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38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5-08_PGA\Exh A\"/>
    </mc:Choice>
  </mc:AlternateContent>
  <xr:revisionPtr revIDLastSave="0" documentId="13_ncr:1_{A5C0F76D-0507-4EED-8A40-67BA727C7845}" xr6:coauthVersionLast="47" xr6:coauthVersionMax="47" xr10:uidLastSave="{00000000-0000-0000-0000-000000000000}"/>
  <bookViews>
    <workbookView xWindow="-120" yWindow="-120" windowWidth="29040" windowHeight="15720" xr2:uid="{3686AA88-6D01-4647-9DCB-79994F53D61D}"/>
  </bookViews>
  <sheets>
    <sheet name="Summary of Temporaries " sheetId="16" r:id="rId1"/>
    <sheet name=" Increments  equal ¢ per therm" sheetId="17" r:id="rId2"/>
    <sheet name="Effect on Cust Avg Bill by RS1" sheetId="18" r:id="rId3"/>
    <sheet name="Summary of Deferrred Acccounts" sheetId="5" r:id="rId4"/>
    <sheet name="151540 WACOG Deferral" sheetId="6" r:id="rId5"/>
    <sheet name="151545 WACOG Amortization " sheetId="7" r:id="rId6"/>
    <sheet name="151550 Demand Accrual" sheetId="8" r:id="rId7"/>
    <sheet name="151555 Demand Amortization" sheetId="9" r:id="rId8"/>
    <sheet name="232035 Storage Sharing" sheetId="10" r:id="rId9"/>
    <sheet name="Total Commodity Summary" sheetId="19" r:id="rId10"/>
    <sheet name="Demand Charges" sheetId="20" r:id="rId11"/>
    <sheet name="Derivation of Demand rates WA" sheetId="21" r:id="rId12"/>
    <sheet name="Winter WACOG " sheetId="22" r:id="rId13"/>
    <sheet name="Effects on Revenue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on08">#REF!</definedName>
    <definedName name="_Fill" hidden="1">#REF!</definedName>
    <definedName name="_xlnm._FilterDatabase" hidden="1">'[1]Summary (Avg)'!#REF!</definedName>
    <definedName name="_gip08">#REF!</definedName>
    <definedName name="_Key1" hidden="1">#REF!</definedName>
    <definedName name="_Key2" hidden="1">#REF!</definedName>
    <definedName name="_nbu2500">#REF!</definedName>
    <definedName name="_Order1" hidden="1">255</definedName>
    <definedName name="_Order2" hidden="1">255</definedName>
    <definedName name="_Parse_In" hidden="1">#REF!</definedName>
    <definedName name="_PG3">#N/A</definedName>
    <definedName name="_ptp08">#REF!</definedName>
    <definedName name="_sa1" hidden="1">{#N/A,#N/A,FALSE,"Assessment";#N/A,#N/A,FALSE,"Staffing";#N/A,#N/A,FALSE,"Hires";#N/A,#N/A,FALSE,"Assumptions"}</definedName>
    <definedName name="_sbn08">#REF!</definedName>
    <definedName name="_Sort" hidden="1">#REF!</definedName>
    <definedName name="_t2" hidden="1">{#N/A,#N/A,FALSE,"Assessment";#N/A,#N/A,FALSE,"Staffing";#N/A,#N/A,FALSE,"Hires";#N/A,#N/A,FALSE,"Assumptions"}</definedName>
    <definedName name="_t3" hidden="1">{#N/A,#N/A,FALSE,"Assessment";#N/A,#N/A,FALSE,"Staffing";#N/A,#N/A,FALSE,"Hires";#N/A,#N/A,FALSE,"Assumptions"}</definedName>
    <definedName name="_t4" hidden="1">{#N/A,#N/A,FALSE,"Assessment";#N/A,#N/A,FALSE,"Staffing";#N/A,#N/A,FALSE,"Hires";#N/A,#N/A,FALSE,"Assumptions"}</definedName>
    <definedName name="A" localSheetId="4">[2]DEPR!#REF!</definedName>
    <definedName name="A" localSheetId="5">[2]DEPR!#REF!</definedName>
    <definedName name="A" localSheetId="6">[2]DEPR!#REF!</definedName>
    <definedName name="A" localSheetId="7">[2]DEPR!#REF!</definedName>
    <definedName name="A" localSheetId="8">[2]DEPR!#REF!</definedName>
    <definedName name="A">[2]DEPR!#REF!</definedName>
    <definedName name="AC__E">'[3]BID COST BREAKDOWN'!#REF!</definedName>
    <definedName name="AccessDatabase" hidden="1">"C:\DATA\KEVIN\MODELS\Model 0218.mdb"</definedName>
    <definedName name="ALLOCATION">#REF!</definedName>
    <definedName name="anscount" hidden="1">3</definedName>
    <definedName name="asdcasdcasd" hidden="1">{"REPORT100",#N/A,FALSE,"100 &amp; 110"}</definedName>
    <definedName name="Assumption" hidden="1">{"report102",#N/A,FALSE,"102"}</definedName>
    <definedName name="AT_DAY">#REF!</definedName>
    <definedName name="AT_NOW">#REF!</definedName>
    <definedName name="AutomationEngineer">[4]IQGEO!$B$9</definedName>
    <definedName name="BenMcLeod">[4]IQGEO!$B$8</definedName>
    <definedName name="BenSainsbury">[4]IQGEO!$B$10</definedName>
    <definedName name="BITS_DEF_VAR">#REF!</definedName>
    <definedName name="BITSDEFF">#REF!</definedName>
    <definedName name="BON00">#REF!</definedName>
    <definedName name="BONUS_90_88">#N/A</definedName>
    <definedName name="bonus00">#REF!</definedName>
    <definedName name="BrianGrass">[4]IQGEO!$B$11</definedName>
    <definedName name="BrianLee">[4]IQGEO!$B$14</definedName>
    <definedName name="BryceGartrell">[4]IQGEO!$B$5</definedName>
    <definedName name="BUBenefits00">#REF!</definedName>
    <definedName name="buc00">#REF!</definedName>
    <definedName name="BUDGET_C_F">#REF!</definedName>
    <definedName name="buf00">#REF!</definedName>
    <definedName name="calcsheet1">#N/A</definedName>
    <definedName name="calcsheet2">#N/A</definedName>
    <definedName name="calcsheet3">#N/A</definedName>
    <definedName name="cancel">'[5]July Int Rate for Amort'!$B$17</definedName>
    <definedName name="casepg1">#N/A</definedName>
    <definedName name="cashallow99">#REF!</definedName>
    <definedName name="cd" hidden="1">{#N/A,#N/A,FALSE,"Assessment";#N/A,#N/A,FALSE,"Staffing";#N/A,#N/A,FALSE,"Hires";#N/A,#N/A,FALSE,"Assumptions"}</definedName>
    <definedName name="Ceramic_Tile">'[3]BID COST BREAKDOWN'!#REF!</definedName>
    <definedName name="check1">[6]Miscellaneous!$C$7</definedName>
    <definedName name="check10">[6]Miscellaneous!$C$16</definedName>
    <definedName name="check11">[6]Miscellaneous!$C$17</definedName>
    <definedName name="check12">[6]Miscellaneous!$C$18</definedName>
    <definedName name="check13">[6]Miscellaneous!$C$19</definedName>
    <definedName name="check14">[6]Miscellaneous!$C$20</definedName>
    <definedName name="check15">[6]Miscellaneous!$C$21</definedName>
    <definedName name="check16">[6]Miscellaneous!$C$22</definedName>
    <definedName name="check17">[6]Miscellaneous!$C$23</definedName>
    <definedName name="check18">[6]Miscellaneous!$C$24</definedName>
    <definedName name="check19">[6]Miscellaneous!$C$25</definedName>
    <definedName name="check2">[6]Miscellaneous!$C$8</definedName>
    <definedName name="check20">[6]Miscellaneous!$C$26</definedName>
    <definedName name="check21">[6]Miscellaneous!$C$27</definedName>
    <definedName name="check22">[6]Miscellaneous!$C$28</definedName>
    <definedName name="check23">[6]Miscellaneous!$C$29</definedName>
    <definedName name="check24">[6]Miscellaneous!$C$30</definedName>
    <definedName name="check25">[6]Miscellaneous!$C$31</definedName>
    <definedName name="check26">[6]Miscellaneous!$C$32</definedName>
    <definedName name="check27">[6]Miscellaneous!$C$33</definedName>
    <definedName name="check28">[6]Miscellaneous!$C$34</definedName>
    <definedName name="check29">[6]Miscellaneous!$C$35</definedName>
    <definedName name="check3">[6]Miscellaneous!$C$9</definedName>
    <definedName name="check30">[6]Miscellaneous!$C$36</definedName>
    <definedName name="check31">[6]Miscellaneous!$C$37</definedName>
    <definedName name="check32">[6]Miscellaneous!$C$38</definedName>
    <definedName name="check33">[6]Miscellaneous!$C$39</definedName>
    <definedName name="check34">[6]Miscellaneous!$C$40</definedName>
    <definedName name="check35">[6]Miscellaneous!$C$41</definedName>
    <definedName name="check36">[6]Miscellaneous!$C$42</definedName>
    <definedName name="check37">[6]Miscellaneous!$C$43</definedName>
    <definedName name="check38">[6]Miscellaneous!$C$44</definedName>
    <definedName name="check39">[6]Miscellaneous!$C$45</definedName>
    <definedName name="check4">[6]Miscellaneous!$C$10</definedName>
    <definedName name="check40">[6]Miscellaneous!$C$46</definedName>
    <definedName name="check41">[6]Miscellaneous!$C$47</definedName>
    <definedName name="check42">[6]Miscellaneous!$C$48</definedName>
    <definedName name="check43">[6]Miscellaneous!$C$49</definedName>
    <definedName name="check44">[6]Miscellaneous!$C$50</definedName>
    <definedName name="check45">[6]Miscellaneous!$C$51</definedName>
    <definedName name="check46">[6]Miscellaneous!$C$52</definedName>
    <definedName name="check5">[6]Miscellaneous!$C$11</definedName>
    <definedName name="check6">[6]Miscellaneous!$C$12</definedName>
    <definedName name="check7">[6]Miscellaneous!$C$13</definedName>
    <definedName name="check8">[6]Miscellaneous!$C$14</definedName>
    <definedName name="check9">[6]Miscellaneous!$C$15</definedName>
    <definedName name="City_Name">'[7]Input Sheet'!$B$76:$B$85</definedName>
    <definedName name="clerical99">#REF!</definedName>
    <definedName name="CMonth">#REF!</definedName>
    <definedName name="column00">#REF!</definedName>
    <definedName name="COMBINE">#REF!</definedName>
    <definedName name="COMMBALCFSTART">#REF!</definedName>
    <definedName name="Commencement_Date">'[8]Inputs Master'!$C$12</definedName>
    <definedName name="COMMSHCF">#REF!</definedName>
    <definedName name="COMMSHCFSTART">#REF!</definedName>
    <definedName name="Concrete">'[3]BID COST BREAKDOWN'!#REF!</definedName>
    <definedName name="Controls">'[3]BID COST BREAKDOWN'!#REF!</definedName>
    <definedName name="costgas">#REF!</definedName>
    <definedName name="coun" hidden="1">{#N/A,#N/A,FALSE,"Assessment";#N/A,#N/A,FALSE,"Staffing";#N/A,#N/A,FALSE,"Hires";#N/A,#N/A,FALSE,"Assumptions"}</definedName>
    <definedName name="count00">#REF!</definedName>
    <definedName name="COUNT2" hidden="1">{#N/A,#N/A,FALSE,"Assessment";#N/A,#N/A,FALSE,"Staffing";#N/A,#N/A,FALSE,"Hires";#N/A,#N/A,FALSE,"Assumptions"}</definedName>
    <definedName name="Country_Name">'[7]Input Sheet'!$B$111:$B$120</definedName>
    <definedName name="CUSTADJYR3">#REF!</definedName>
    <definedName name="CUSTADJYR5">#REF!</definedName>
    <definedName name="CYTD">#REF!</definedName>
    <definedName name="DATA">#REF!</definedName>
    <definedName name="data00">#REF!</definedName>
    <definedName name="data08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ooky">#REF!</definedName>
    <definedName name="DATE_TITLE">#REF!</definedName>
    <definedName name="DATE_WRITE">#REF!</definedName>
    <definedName name="DAY_CALC">#REF!</definedName>
    <definedName name="dd" hidden="1">{#N/A,#N/A,FALSE,"Assessment";#N/A,#N/A,FALSE,"Staffing";#N/A,#N/A,FALSE,"Hires";#N/A,#N/A,FALSE,"Assumptions"}</definedName>
    <definedName name="Décor">'[3]BID COST BREAKDOWN'!#REF!</definedName>
    <definedName name="Def401b00">#REF!</definedName>
    <definedName name="Def401b01">#REF!</definedName>
    <definedName name="Def401p00">#REF!</definedName>
    <definedName name="Def401p01">#REF!</definedName>
    <definedName name="Def401pct">#REF!</definedName>
    <definedName name="Defedcb00">#REF!</definedName>
    <definedName name="Defedcb01">#REF!</definedName>
    <definedName name="Defedcp00">#REF!</definedName>
    <definedName name="Defedcp01">#REF!</definedName>
    <definedName name="Defedcpct">#REF!</definedName>
    <definedName name="DefNames">#REF!</definedName>
    <definedName name="DEMANDADJYR2">#REF!</definedName>
    <definedName name="DEMANDADJYR4">#REF!</definedName>
    <definedName name="DEMANDADJYR5">#REF!</definedName>
    <definedName name="DEMANDTRANS">#REF!</definedName>
    <definedName name="Demolition">'[3]BID COST BREAKDOWN'!#REF!</definedName>
    <definedName name="dental00">#REF!</definedName>
    <definedName name="dentalallow00">#REF!</definedName>
    <definedName name="dentalallow99">#REF!</definedName>
    <definedName name="dentalpremium00">#REF!</definedName>
    <definedName name="dentalpremium99">#REF!</definedName>
    <definedName name="dfadf" hidden="1">{"report102",#N/A,FALSE,"102"}</definedName>
    <definedName name="Differences">#REF!</definedName>
    <definedName name="DIVCF">#REF!</definedName>
    <definedName name="DIVCFSTART">#REF!</definedName>
    <definedName name="DivM">#REF!</definedName>
    <definedName name="DivY">#REF!</definedName>
    <definedName name="dkibid" hidden="1">{"REPORT101",#N/A,FALSE,"101 &amp; 111"}</definedName>
    <definedName name="dots">#REF!</definedName>
    <definedName name="Drywall">'[3]BID COST BREAKDOWN'!#REF!</definedName>
    <definedName name="dude" hidden="1">{"'Server Configuration'!$A$1:$DB$281"}</definedName>
    <definedName name="earn08">#REF!</definedName>
    <definedName name="earn081">#REF!</definedName>
    <definedName name="eee" hidden="1">{"REPORT101",#N/A,FALSE,"101 &amp; 111"}</definedName>
    <definedName name="eeee" hidden="1">{"JOBCOGS",#N/A,FALSE,"JOB COGS";"JOBHIST",#N/A,FALSE,"JOB COGS"}</definedName>
    <definedName name="EFFDATE" localSheetId="1">[9]Inputs!$B$71</definedName>
    <definedName name="EFFDATE" localSheetId="2">[9]Inputs!$B$71</definedName>
    <definedName name="EFFDATE" localSheetId="0">[9]Inputs!$B$71</definedName>
    <definedName name="EFFDATE">[10]Inputs!$B$71</definedName>
    <definedName name="EffectiveDate">[11]Input!$B$8</definedName>
    <definedName name="Electrical">'[3]BID COST BREAKDOWN'!#REF!</definedName>
    <definedName name="EMonth">#REF!,#REF!</definedName>
    <definedName name="emplid00">#REF!</definedName>
    <definedName name="EQUITYCF">#REF!</definedName>
    <definedName name="ErickCaceres">[4]IQGEO!$B$7</definedName>
    <definedName name="EssbaseMonth">[12]Essbase!$D$6</definedName>
    <definedName name="EssLatest">"Beg Bal"</definedName>
    <definedName name="EssOptions">"A3100000000111000000011100010_01000"</definedName>
    <definedName name="EssSamplingValue">100</definedName>
    <definedName name="ExpM">#REF!</definedName>
    <definedName name="ExpY">#REF!</definedName>
    <definedName name="EYTD">#REF!,#REF!</definedName>
    <definedName name="FCINT">#REF!</definedName>
    <definedName name="feb00">[13]Udy!#REF!</definedName>
    <definedName name="Fencing">'[3]BID COST BREAKDOWN'!#REF!</definedName>
    <definedName name="ff" hidden="1">{#N/A,#N/A,FALSE,"Assessment";#N/A,#N/A,FALSE,"Staffing";#N/A,#N/A,FALSE,"Hires";#N/A,#N/A,FALSE,"Assumptions"}</definedName>
    <definedName name="field99">#REF!</definedName>
    <definedName name="Fire_Protection">'[3]BID COST BREAKDOWN'!#REF!</definedName>
    <definedName name="FIRSTYEAR">#REF!</definedName>
    <definedName name="FORMULA">#REF!</definedName>
    <definedName name="GASCOSTTRANS">#REF!</definedName>
    <definedName name="GDS" hidden="1">{#N/A,#N/A,FALSE,"Assessment";#N/A,#N/A,FALSE,"Staffing";#N/A,#N/A,FALSE,"Hires";#N/A,#N/A,FALSE,"Assumptions"}</definedName>
    <definedName name="GITTY">#REF!</definedName>
    <definedName name="glac00">#REF!</definedName>
    <definedName name="glac0200">#REF!</definedName>
    <definedName name="gldist">#REF!</definedName>
    <definedName name="gldist2">#REF!</definedName>
    <definedName name="gmk" hidden="1">{#N/A,#N/A,FALSE,"Assessment";#N/A,#N/A,FALSE,"Staffing";#N/A,#N/A,FALSE,"Hires";#N/A,#N/A,FALSE,"Assumptions"}</definedName>
    <definedName name="greg" hidden="1">{#N/A,#N/A,FALSE,"Assessment";#N/A,#N/A,FALSE,"Staffing";#N/A,#N/A,FALSE,"Hires";#N/A,#N/A,FALSE,"Assumptions"}</definedName>
    <definedName name="GTN">'[14]Fuel factors'!$F$12</definedName>
    <definedName name="hhhh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TML_CodePage" hidden="1">1252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VAC">'[3]BID COST BREAKDOWN'!#REF!</definedName>
    <definedName name="I">"a1..m50"</definedName>
    <definedName name="ii" hidden="1">{"REPORT100",#N/A,FALSE,"100 &amp; 110"}</definedName>
    <definedName name="INCIMPACT">#REF!</definedName>
    <definedName name="Incremental_Support_Cost">#REF!</definedName>
    <definedName name="Inflation_Rate">#REF!</definedName>
    <definedName name="ISG" hidden="1">{"REPORT100",#N/A,FALSE,"100 &amp; 110"}</definedName>
    <definedName name="Janet">[4]IQGEO!$B$3</definedName>
    <definedName name="JanetHoyt">'[15]TGG Resources - H1'!$B$2</definedName>
    <definedName name="JANYEAR3START">#REF!</definedName>
    <definedName name="JasonBerney">[4]IQGEO!$B$6</definedName>
    <definedName name="jkkjh" hidden="1">{"'Server Configuration'!$A$1:$DB$281"}</definedName>
    <definedName name="jobhist00">#REF!</definedName>
    <definedName name="jobhist99">#REF!</definedName>
    <definedName name="JOHN" hidden="1">{"'Server Configuration'!$A$1:$DB$281"}</definedName>
    <definedName name="july_int_rate">'[16]July Int Rate for Amort'!$B$17</definedName>
    <definedName name="KBA">'[17]FEB GL'!#REF!</definedName>
    <definedName name="kbid" hidden="1">{"PRICE",#N/A,FALSE,"PRICE VAR"}</definedName>
    <definedName name="kdibm" hidden="1">{"REPORT100",#N/A,FALSE,"100 &amp; 110"}</definedName>
    <definedName name="kevin" hidden="1">{#N/A,#N/A,FALSE,"Assessment";#N/A,#N/A,FALSE,"Staffing";#N/A,#N/A,FALSE,"Hires";#N/A,#N/A,FALSE,"Assumptions"}</definedName>
    <definedName name="keygoal00">#REF!</definedName>
    <definedName name="kibmb" hidden="1">{"MFG COGS",#N/A,FALSE,"MFG COGS";"MFGCOGS ESTIMATES",#N/A,FALSE,"MFG COGS"}</definedName>
    <definedName name="kiby\" hidden="1">{"JOBCOGS",#N/A,FALSE,"JOB COGS";"JOBHIST",#N/A,FALSE,"JOB COGS"}</definedName>
    <definedName name="kim" hidden="1">{"CONSOL",#N/A,FALSE,"CONSOLIDATION"}</definedName>
    <definedName name="kimb" hidden="1">{"EXCH HIST",#N/A,FALSE,"EXCHANGE VAR";"RATES",#N/A,FALSE,"EXCHANGE VAR"}</definedName>
    <definedName name="kimbmb" hidden="1">{"MFGVAR",#N/A,FALSE,"MFG VAR"}</definedName>
    <definedName name="KKK" hidden="1">{#N/A,#N/A,FALSE,"Assessment";#N/A,#N/A,FALSE,"Staffing";#N/A,#N/A,FALSE,"Hires";#N/A,#N/A,FALSE,"Assumptions"}</definedName>
    <definedName name="kkkk" hidden="1">{#N/A,#N/A,FALSE,"Assessment";#N/A,#N/A,FALSE,"Staffing";#N/A,#N/A,FALSE,"Hires";#N/A,#N/A,FALSE,"Assumptions"}</definedName>
    <definedName name="kodak" hidden="1">{"REPORT100",#N/A,FALSE,"100 &amp; 110"}</definedName>
    <definedName name="kodakrjs" hidden="1">{"MFG COGS",#N/A,FALSE,"MFG COGS";"MFGCOGS ESTIMATES",#N/A,FALSE,"MFG COGS"}</definedName>
    <definedName name="Landscaping">'[3]BID COST BREAKDOWN'!#REF!</definedName>
    <definedName name="Length">'[8]Inputs Master'!$C$9</definedName>
    <definedName name="life00">#REF!</definedName>
    <definedName name="lifeallow99">#REF!</definedName>
    <definedName name="lifepremium00">#REF!</definedName>
    <definedName name="lifepremium99">#REF!</definedName>
    <definedName name="limcount" hidden="1">3</definedName>
    <definedName name="LINE_LOSS">#REF!</definedName>
    <definedName name="Listing" hidden="1">{"REPORT100",#N/A,FALSE,"100 &amp; 110"}</definedName>
    <definedName name="ltd00">#REF!</definedName>
    <definedName name="ltdallow99">#REF!</definedName>
    <definedName name="ltdpremium00">#REF!</definedName>
    <definedName name="ltdpremium99">#REF!</definedName>
    <definedName name="MACRO">#REF!</definedName>
    <definedName name="MARGINTRANS">#N/A</definedName>
    <definedName name="MARGTRANS">#N/A</definedName>
    <definedName name="Maria" hidden="1">{"CONSOL",#N/A,FALSE,"CONSOLIDATION"}</definedName>
    <definedName name="medical00">#REF!</definedName>
    <definedName name="medicalallow00">#REF!</definedName>
    <definedName name="medicalallow99">#REF!</definedName>
    <definedName name="medicalpremium00">#REF!</definedName>
    <definedName name="medicalpremium99">#REF!</definedName>
    <definedName name="Metal_Fixture_Install">'[3]BID COST BREAKDOWN'!#REF!</definedName>
    <definedName name="MIN_CASH">#REF!</definedName>
    <definedName name="mmm" hidden="1">{"REPORT101",#N/A,FALSE,"101 &amp; 111"}</definedName>
    <definedName name="MNTHDEGREE">#REF!</definedName>
    <definedName name="MNTHDEL">#REF!</definedName>
    <definedName name="MNTHTRANSPO">#REF!</definedName>
    <definedName name="MollyEarle">[4]IQGEO!$B$15</definedName>
    <definedName name="Month">#REF!</definedName>
    <definedName name="MONTH_INPUT">#REF!</definedName>
    <definedName name="MONTH_TITLE">#REF!</definedName>
    <definedName name="NAME">#REF!</definedName>
    <definedName name="NAME1">#REF!</definedName>
    <definedName name="nbubenefits00">#REF!</definedName>
    <definedName name="NBUbenefits03">#REF!</definedName>
    <definedName name="nbunames00">#REF!</definedName>
    <definedName name="new_int">'[18]for PGA'!$I$11</definedName>
    <definedName name="newnbu08">#REF!</definedName>
    <definedName name="NicoleNowlin">[4]IQGEO!$B$4</definedName>
    <definedName name="NIYR1">#REF!</definedName>
    <definedName name="nobonus00">#REF!</definedName>
    <definedName name="NORMALIZE">#REF!</definedName>
    <definedName name="NWPL">'[14]Fuel factors'!$F$14</definedName>
    <definedName name="O_MCF">#REF!</definedName>
    <definedName name="O_MCFSTART">#REF!</definedName>
    <definedName name="O_MINFLATION">#REF!</definedName>
    <definedName name="OH_HOME" localSheetId="4">[2]DEPR!#REF!</definedName>
    <definedName name="OH_HOME" localSheetId="5">[2]DEPR!#REF!</definedName>
    <definedName name="OH_HOME" localSheetId="6">[2]DEPR!#REF!</definedName>
    <definedName name="OH_HOME" localSheetId="7">[2]DEPR!#REF!</definedName>
    <definedName name="OH_HOME" localSheetId="8">[2]DEPR!#REF!</definedName>
    <definedName name="OH_HOME">[2]DEPR!#REF!</definedName>
    <definedName name="old_int">#REF!</definedName>
    <definedName name="ONCOR_ELECTRIC_DELIVERY_COMPANY">#REF!</definedName>
    <definedName name="Option">'[8]Inputs Master'!$C$10</definedName>
    <definedName name="ORCOMM">#REF!</definedName>
    <definedName name="ORINTNEW">[19]Interest!$E$3</definedName>
    <definedName name="ORRES">#REF!</definedName>
    <definedName name="ORWACC">#REF!</definedName>
    <definedName name="OUT">'[20]Pipeline Charges:Summary'!$C$5:$AU$599</definedName>
    <definedName name="overtime00">#REF!</definedName>
    <definedName name="page1">#N/A</definedName>
    <definedName name="page2">#N/A</definedName>
    <definedName name="page3">#N/A</definedName>
    <definedName name="page4">#N/A</definedName>
    <definedName name="PAGE5">#REF!</definedName>
    <definedName name="PAGE6">#REF!</definedName>
    <definedName name="PAGEA">#REF!</definedName>
    <definedName name="PAGEAINSERT">#N/A</definedName>
    <definedName name="PAGEB">#REF!</definedName>
    <definedName name="PAGEC">#REF!</definedName>
    <definedName name="PAGED">#REF!</definedName>
    <definedName name="PAGEE">#REF!</definedName>
    <definedName name="PAGEETRANS">#REF!</definedName>
    <definedName name="Painting">'[3]BID COST BREAKDOWN'!#REF!</definedName>
    <definedName name="Pal_Workbook_GUID" hidden="1">"VX3CWJGNQX2CCGI81U4N2V76"</definedName>
    <definedName name="PAYROLL_TAXES">#N/A</definedName>
    <definedName name="percent40199">#REF!</definedName>
    <definedName name="percentedc99">#REF!</definedName>
    <definedName name="Periodic_Upgrade_Costs">#REF!</definedName>
    <definedName name="pg_2c">#N/A</definedName>
    <definedName name="pg_2d">#N/A</definedName>
    <definedName name="pg_2e">#N/A</definedName>
    <definedName name="pg_2f">#N/A</definedName>
    <definedName name="pg_2h">#N/A</definedName>
    <definedName name="pg_2i">#N/A</definedName>
    <definedName name="pg_2j">#N/A</definedName>
    <definedName name="pg_2k">#N/A</definedName>
    <definedName name="pg_2l">#N/A</definedName>
    <definedName name="pg_2m">#N/A</definedName>
    <definedName name="pg_2n">#N/A</definedName>
    <definedName name="pg_2o">#N/A</definedName>
    <definedName name="PGA">#N/A</definedName>
    <definedName name="PGB">#N/A</definedName>
    <definedName name="PGC">#N/A</definedName>
    <definedName name="PGD">#N/A</definedName>
    <definedName name="PGE">#N/A</definedName>
    <definedName name="PGF">#N/A</definedName>
    <definedName name="PGG">#N/A</definedName>
    <definedName name="Plumbing">'[3]BID COST BREAKDOWN'!#REF!</definedName>
    <definedName name="Positions">#REF!</definedName>
    <definedName name="PREFBALCFSTART">#REF!</definedName>
    <definedName name="PRINT">#REF!</definedName>
    <definedName name="_xlnm.Print_Area" localSheetId="1">' Increments  equal ¢ per therm'!$A$1:$W$88</definedName>
    <definedName name="_xlnm.Print_Area" localSheetId="5">'151545 WACOG Amortization '!$A$1:$I$279</definedName>
    <definedName name="_xlnm.Print_Area" localSheetId="6">'151550 Demand Accrual'!$A$1:$I$249</definedName>
    <definedName name="_xlnm.Print_Area" localSheetId="7">'151555 Demand Amortization'!$A$1:$I$268</definedName>
    <definedName name="_xlnm.Print_Area" localSheetId="8">'232035 Storage Sharing'!$A$1:$G$248</definedName>
    <definedName name="_xlnm.Print_Area" localSheetId="10">'Demand Charges'!$A$1:$P$30</definedName>
    <definedName name="_xlnm.Print_Area" localSheetId="11">'Derivation of Demand rates WA'!$A$1:$F$43</definedName>
    <definedName name="_xlnm.Print_Area" localSheetId="2">'Effect on Cust Avg Bill by RS1'!$A$1:$AZ$105</definedName>
    <definedName name="_xlnm.Print_Area" localSheetId="13">'Effects on Revenue'!$A$1:$F$25</definedName>
    <definedName name="_xlnm.Print_Area" localSheetId="3">'Summary of Deferrred Acccounts'!$A$1:$N$65</definedName>
    <definedName name="_xlnm.Print_Area" localSheetId="0">'Summary of Temporaries '!$A$1:$J$90</definedName>
    <definedName name="_xlnm.Print_Area" localSheetId="9">'Total Commodity Summary'!$A$1:$P$59</definedName>
    <definedName name="_xlnm.Print_Area" localSheetId="12">'Winter WACOG '!$A$1:$E$37</definedName>
    <definedName name="_xlnm.Print_Titles" localSheetId="1">' Increments  equal ¢ per therm'!$A:$E</definedName>
    <definedName name="_xlnm.Print_Titles" localSheetId="2">'Effect on Cust Avg Bill by RS1'!$A:$M</definedName>
    <definedName name="_xlnm.Print_Titles" localSheetId="0">'Summary of Temporaries '!$A:$C,'Summary of Temporaries '!$1:$12</definedName>
    <definedName name="_xlnm.Print_Titles" localSheetId="9">'Total Commodity Summary'!$1:$9</definedName>
    <definedName name="_xlnm.Print_Titles">#REF!</definedName>
    <definedName name="print55">#REF!</definedName>
    <definedName name="PRINTMONTH">#REF!</definedName>
    <definedName name="PROJECTION">[21]MAIN!#REF!</definedName>
    <definedName name="QATester">'[15]TGG Resources - H1'!#REF!</definedName>
    <definedName name="QRYCOUNT" hidden="1">0</definedName>
    <definedName name="QRYNEXT" hidden="1">1</definedName>
    <definedName name="QRYWKS1" hidden="1">0</definedName>
    <definedName name="QTR">'[22]QTR TITLE'!$A$52</definedName>
    <definedName name="R8..">#REF!</definedName>
    <definedName name="rangeE">[23]Exempt!#REF!</definedName>
    <definedName name="rangeEAVG">[23]Exempt!#REF!</definedName>
    <definedName name="rangeEYTD">[23]Exempt!#REF!</definedName>
    <definedName name="rangeO">#REF!</definedName>
    <definedName name="rangeOAVG">#REF!</definedName>
    <definedName name="rangeOUAVG">[23]Office!#REF!</definedName>
    <definedName name="rangeOUYTD">[23]Office!#REF!</definedName>
    <definedName name="rangeOYTD">#REF!</definedName>
    <definedName name="rangeUF">[23]Field!#REF!</definedName>
    <definedName name="rangeUFAVG">[23]Field!#REF!</definedName>
    <definedName name="rangeUFYTD">[23]Field!#REF!</definedName>
    <definedName name="rangeUO">[23]Office!#REF!</definedName>
    <definedName name="Refrigeration">'[3]BID COST BREAKDOWN'!#REF!</definedName>
    <definedName name="RESERVE_REPORT" localSheetId="4">[24]UTILPLNT!#REF!</definedName>
    <definedName name="RESERVE_REPORT" localSheetId="5">[24]UTILPLNT!#REF!</definedName>
    <definedName name="RESERVE_REPORT" localSheetId="6">[24]UTILPLNT!#REF!</definedName>
    <definedName name="RESERVE_REPORT" localSheetId="7">[24]UTILPLNT!#REF!</definedName>
    <definedName name="RESERVE_REPORT" localSheetId="8">[24]UTILPLNT!#REF!</definedName>
    <definedName name="RESERVE_REPORT">[24]UTILPLNT!#REF!</definedName>
    <definedName name="Resinous_Flooring">'[3]BID COST BREAKDOWN'!#REF!</definedName>
    <definedName name="resources" hidden="1">{#N/A,#N/A,FALSE,"Assessment";#N/A,#N/A,FALSE,"Staffing";#N/A,#N/A,FALSE,"Hires";#N/A,#N/A,FALSE,"Assumptions"}</definedName>
    <definedName name="REV_PC_OR">#REF!</definedName>
    <definedName name="REV_PC_SYS">#REF!</definedName>
    <definedName name="REV_PC_WA">#REF!</definedName>
    <definedName name="RevM">#REF!</definedName>
    <definedName name="revrate">#REF!</definedName>
    <definedName name="REVREL">#REF!</definedName>
    <definedName name="revsens" localSheetId="1">[9]Inputs!$B$30</definedName>
    <definedName name="revsens" localSheetId="10">'Demand Charges'!$C$33</definedName>
    <definedName name="revsens" localSheetId="2">[9]Inputs!$B$30</definedName>
    <definedName name="revsens" localSheetId="0">[9]Inputs!$B$30</definedName>
    <definedName name="revsens">[10]Inputs!$B$30</definedName>
    <definedName name="REVTRANS">#REF!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1">#N/A</definedName>
    <definedName name="ror_2">#N/A</definedName>
    <definedName name="Rough_Carpentry">'[3]BID COST BREAKDOWN'!#REF!</definedName>
    <definedName name="RPTCOUNT" hidden="1">1</definedName>
    <definedName name="RPTDATACELL1" hidden="1">#REF!</definedName>
    <definedName name="RptDate">#REF!</definedName>
    <definedName name="RPTID" hidden="1">0</definedName>
    <definedName name="RPTNEXT" hidden="1">2</definedName>
    <definedName name="RPTQRY1" hidden="1">1</definedName>
    <definedName name="RPTWKS1" hidden="1">#REF!</definedName>
    <definedName name="rrrrrr" hidden="1">{"MFGVAR",#N/A,FALSE,"MFG VAR"}</definedName>
    <definedName name="RyanDalton">[4]IQGEO!$B$12</definedName>
    <definedName name="sa" hidden="1">{#N/A,#N/A,FALSE,"Assessment";#N/A,#N/A,FALSE,"Staffing";#N/A,#N/A,FALSE,"Hires";#N/A,#N/A,FALSE,"Assumptions"}</definedName>
    <definedName name="SCD">[11]Input!$B$12</definedName>
    <definedName name="ScottOlafsen">[4]IQGEO!$B$13</definedName>
    <definedName name="SECACCUMCOMPRINCOME">'[25]LAW RETAIN EARN'!$B$23</definedName>
    <definedName name="SECAIRCRAFT">'[25]LAW OTHER INV'!$B$45</definedName>
    <definedName name="SECARTRADE1">'[25]LAW CASH'!$B$96</definedName>
    <definedName name="SECARTRADE2">'[25]LAW ACCT REC'!$B$42</definedName>
    <definedName name="SECCUSTADV">'[25]LAW OTHER LIABILITIES'!$B$76</definedName>
    <definedName name="SECDEFINCTAXLIAB">'[25]LAW DEF TAXES INV CREDIT'!$B$34</definedName>
    <definedName name="SECINCTAXASSET">'[25]LAW DEF REG AND OTHER'!$B$159</definedName>
    <definedName name="SECINTRECNNGFC">'[25]LAW INV IN SUBS'!$B$26</definedName>
    <definedName name="SECINTRECNWENERGY">'[25]LAW INV IN SUBS'!$B$24</definedName>
    <definedName name="SECINVESTLIFEINS">'[25]LAW DEF REG AND OTHER'!$B$165</definedName>
    <definedName name="SECLOSSDERIV">'[25]LAW DEF REG AND OTHER'!$B$161</definedName>
    <definedName name="SECNNGFC">'[25]LAW INV IN SUBS'!$B$22</definedName>
    <definedName name="SECNONUTDEPR">'[25]LAW NON UTIL PROP'!$B$44</definedName>
    <definedName name="SECNONUTILPROP">'[25]LAW NON UTIL PROP'!$B$42</definedName>
    <definedName name="SECNWENERGY">'[25]LAW INV IN SUBS'!$B$20</definedName>
    <definedName name="SECONDYEAR">#REF!</definedName>
    <definedName name="SECOTHCURRLIAB">'[25]LAW CUST DEPOS'!$B$17</definedName>
    <definedName name="SECOTHCURRLIAB2">'[25]LAW DIVIDENDS DECLARED'!$B$15</definedName>
    <definedName name="SECOTHERASSETS">'[25]LAW DEF REG AND OTHER'!$B$167</definedName>
    <definedName name="SECOTHERASSETS1">'[25]LAW UNAMT DEBT DISC'!$B$46</definedName>
    <definedName name="SECOTHERINV">'[25]LAW OTHER INV'!$B$47</definedName>
    <definedName name="SECUNAMORTLOSSDEBTRED">'[25]LAW DEF REG AND OTHER'!$B$163</definedName>
    <definedName name="SECUNEARNEDCOMP">'[25]LAW RETAIN EARN'!$B$25</definedName>
    <definedName name="Security.Active" hidden="1">FALSE</definedName>
    <definedName name="Security.Status" hidden="1">TRUE</definedName>
    <definedName name="SECUTILPLANT">'[25]LAW GAS STORED'!$B$23</definedName>
    <definedName name="sencount" hidden="1">3</definedName>
    <definedName name="Sept_2003_YTD_actual">#REF!</definedName>
    <definedName name="ServiceCat_List">'[8]Inputs Master'!$E$4:$E$31</definedName>
    <definedName name="shitodear">#N/A</definedName>
    <definedName name="shitodear2">#N/A</definedName>
    <definedName name="shitodear3">#N/A</definedName>
    <definedName name="SHORTBALCF">#REF!</definedName>
    <definedName name="SHORTBALCFSTART">#REF!</definedName>
    <definedName name="Site_ID">'[7]Input Sheet'!$C$63:$C$72</definedName>
    <definedName name="Site_Name">'[7]Input Sheet'!$B$63:$B$72</definedName>
    <definedName name="Sitework">'[3]BID COST BREAKDOWN'!#REF!</definedName>
    <definedName name="SOCROSS">'[14]Fuel factors'!$F$15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">#REF!</definedName>
    <definedName name="STARTA">#REF!</definedName>
    <definedName name="State_Name">'[7]Input Sheet'!$B$89:$B$98</definedName>
    <definedName name="STATE_PAGE_A_B">#REF!</definedName>
    <definedName name="STATE_UNBILLED">#REF!</definedName>
    <definedName name="STATS">#REF!</definedName>
    <definedName name="Steel_Erection">'[3]BID COST BREAKDOWN'!#REF!</definedName>
    <definedName name="Subcontractors_over__20_000.">'[3]BID COST BREAKDOWN'!#REF!</definedName>
    <definedName name="SUBDATA" localSheetId="13">#REF!</definedName>
    <definedName name="SUBDATA">'[26]page1:CLP with elas'!$A$7:$K$51</definedName>
    <definedName name="Subs_20K">'[3]BID COST BREAKDOWN'!#REF!</definedName>
    <definedName name="sue">#N/A</definedName>
    <definedName name="SUMMARY">#REF!</definedName>
    <definedName name="SUMRY1" localSheetId="13">#REF!</definedName>
    <definedName name="SUMRY1">'[26]New SMPE:Proposed Temps'!$A$1:$L$61</definedName>
    <definedName name="SUPPLY">'[20]Pipeline Charges:Flowing Dispatch'!$Q$97:$Q$379</definedName>
    <definedName name="TAX">#REF!</definedName>
    <definedName name="TAXES_PROPERTY">#REF!</definedName>
    <definedName name="TAXIMPACT">#REF!</definedName>
    <definedName name="TCPL">'[14]Fuel factors'!$F$13</definedName>
    <definedName name="TEMP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DIFF">#REF!</definedName>
    <definedName name="term_index">"Analytics - Termination'!$H$12"</definedName>
    <definedName name="term_reasons">"Analytics - Termination'!$C$33:$C$41"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E_DALLES_BID">'[3]BID COST BREAKDOWN'!#REF!</definedName>
    <definedName name="title">[27]TITLE!$B$5</definedName>
    <definedName name="Total_Installation_Costs_per_Meter">#REF!</definedName>
    <definedName name="total41500">#REF!</definedName>
    <definedName name="Towers">'[7]Input Sheet'!$B$33:$B$35</definedName>
    <definedName name="TRANS">#REF!</definedName>
    <definedName name="TransitionPeriod">[11]Input!$B$11</definedName>
    <definedName name="TRANSTOTAL">#REF!</definedName>
    <definedName name="tristan">#REF!</definedName>
    <definedName name="UNBILLED_Bths">#REF!</definedName>
    <definedName name="UNBILLED_Busd">#REF!</definedName>
    <definedName name="UPDATE">#REF!</definedName>
    <definedName name="ValidGroups">[28]Groups!$E$1:$E$20</definedName>
    <definedName name="VCT">'[3]BID COST BREAKDOWN'!#REF!</definedName>
    <definedName name="Version">#REF!</definedName>
    <definedName name="VOL_S_OR" localSheetId="4">#REF!</definedName>
    <definedName name="VOL_S_OR" localSheetId="5">#REF!</definedName>
    <definedName name="VOL_S_OR" localSheetId="6">#REF!</definedName>
    <definedName name="VOL_S_OR" localSheetId="7">#REF!</definedName>
    <definedName name="VOL_S_OR" localSheetId="8">#REF!</definedName>
    <definedName name="VOL_S_OR">[29]VOL_S!#REF!</definedName>
    <definedName name="VOL_S_SYS" localSheetId="4">#REF!</definedName>
    <definedName name="VOL_S_SYS" localSheetId="5">#REF!</definedName>
    <definedName name="VOL_S_SYS" localSheetId="6">#REF!</definedName>
    <definedName name="VOL_S_SYS" localSheetId="7">#REF!</definedName>
    <definedName name="VOL_S_SYS" localSheetId="8">#REF!</definedName>
    <definedName name="VOL_S_SYS">[29]VOL_S!#REF!</definedName>
    <definedName name="VOL_S_WA" localSheetId="4">#REF!</definedName>
    <definedName name="VOL_S_WA" localSheetId="5">#REF!</definedName>
    <definedName name="VOL_S_WA" localSheetId="6">#REF!</definedName>
    <definedName name="VOL_S_WA" localSheetId="7">#REF!</definedName>
    <definedName name="VOL_S_WA" localSheetId="8">#REF!</definedName>
    <definedName name="VOL_S_WA">[29]VOL_S!#REF!</definedName>
    <definedName name="VOLCLASSTRANS">#REF!</definedName>
    <definedName name="VOLSOURCETRANS">#REF!</definedName>
    <definedName name="WA_INTRATE">[30]Interest!$E$4</definedName>
    <definedName name="wa_revsens" localSheetId="10">'[14]General Inputs'!$E$10</definedName>
    <definedName name="wa_revsens" localSheetId="11">'[14]General Inputs'!$E$10</definedName>
    <definedName name="wa_revsens" localSheetId="9">'[14]General Inputs'!$E$10</definedName>
    <definedName name="wa_revsens" localSheetId="12">'[14]General Inputs'!$E$10</definedName>
    <definedName name="wa_revsens">#REF!</definedName>
    <definedName name="WACWVOL">'[20]Pipeline Charges:Wacog'!$B$38:$E$605</definedName>
    <definedName name="wcomp00">#REF!</definedName>
    <definedName name="WESTCOAST">'[14]Fuel factors'!$F$16</definedName>
    <definedName name="WFACTORYR3">#REF!</definedName>
    <definedName name="WFACTORYR4">#REF!</definedName>
    <definedName name="Wood_Fixture_Install">'[3]BID COST BREAKDOWN'!#REF!</definedName>
    <definedName name="Work">#REF!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v_Summary." hidden="1">{"Entire Spreadsheet",#N/A,FALSE,"ACCTLIST";"Invoices",#N/A,FALSE,"ACCTLIST"}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hort._.Report." hidden="1">{#N/A,#N/A,TRUE,"Cover";#N/A,#N/A,TRUE,"Header (eu)";#N/A,#N/A,TRUE,"Region Charts";#N/A,#N/A,TRUE,"T&amp;O By Region";#N/A,#N/A,TRUE,"AD Report"}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upplemental._.Information." hidden="1">{#N/A,#N/A,FALSE,"Assumptions";#N/A,#N/A,FALSE,"DNP Expense Summary";#N/A,#N/A,FALSE,"Sensitivity Analysis"}</definedName>
    <definedName name="wrs" hidden="1">{#N/A,#N/A,FALSE,"Assessment";#N/A,#N/A,FALSE,"Staffing";#N/A,#N/A,FALSE,"Hires";#N/A,#N/A,FALSE,"Assumptions"}</definedName>
    <definedName name="WS3A2">#N/A</definedName>
    <definedName name="XLDW_VER" hidden="1">"Office 2000 2.0 with Query Builder"</definedName>
    <definedName name="Year">[25]CONTROL!$F$7</definedName>
    <definedName name="YEAR_INPUT">#REF!</definedName>
    <definedName name="YTD">#REF!,#REF!,#REF!</definedName>
    <definedName name="YTD_VACATION">[21]MAIN!#REF!</definedName>
    <definedName name="YTDDEGREE">#REF!</definedName>
    <definedName name="YTDDEL">#REF!</definedName>
    <definedName name="YTDTRANSPO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2" l="1"/>
  <c r="A2" i="22"/>
  <c r="A10" i="22"/>
  <c r="A11" i="22"/>
  <c r="A12" i="22"/>
  <c r="A13" i="22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C13" i="22"/>
  <c r="D27" i="22" s="1"/>
  <c r="C14" i="22"/>
  <c r="C15" i="22"/>
  <c r="C16" i="22"/>
  <c r="C17" i="22"/>
  <c r="C18" i="22"/>
  <c r="C19" i="22"/>
  <c r="C20" i="22"/>
  <c r="C21" i="22"/>
  <c r="C22" i="22"/>
  <c r="C23" i="22"/>
  <c r="C24" i="22"/>
  <c r="D35" i="22"/>
  <c r="D37" i="22"/>
  <c r="A1" i="21"/>
  <c r="A2" i="21"/>
  <c r="D12" i="21"/>
  <c r="D16" i="21"/>
  <c r="D17" i="21"/>
  <c r="D24" i="21"/>
  <c r="D40" i="21" s="1"/>
  <c r="F40" i="21" s="1"/>
  <c r="F24" i="21"/>
  <c r="D25" i="21"/>
  <c r="F25" i="21"/>
  <c r="D26" i="21"/>
  <c r="F26" i="21"/>
  <c r="C33" i="21"/>
  <c r="D33" i="21"/>
  <c r="F33" i="21"/>
  <c r="C34" i="21"/>
  <c r="D13" i="21" s="1"/>
  <c r="D41" i="21"/>
  <c r="F41" i="21" s="1"/>
  <c r="D21" i="21" s="1"/>
  <c r="F21" i="21" s="1"/>
  <c r="A1" i="20"/>
  <c r="A2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D11" i="20"/>
  <c r="E11" i="20"/>
  <c r="P11" i="20" s="1"/>
  <c r="F11" i="20"/>
  <c r="G11" i="20"/>
  <c r="H11" i="20"/>
  <c r="I11" i="20"/>
  <c r="J11" i="20"/>
  <c r="K11" i="20"/>
  <c r="L11" i="20"/>
  <c r="M11" i="20"/>
  <c r="N11" i="20"/>
  <c r="O11" i="20"/>
  <c r="D14" i="20"/>
  <c r="P14" i="20" s="1"/>
  <c r="R14" i="20" s="1"/>
  <c r="E14" i="20"/>
  <c r="E30" i="20" s="1"/>
  <c r="F14" i="20"/>
  <c r="G14" i="20"/>
  <c r="H14" i="20"/>
  <c r="I14" i="20"/>
  <c r="J14" i="20"/>
  <c r="J30" i="20" s="1"/>
  <c r="K14" i="20"/>
  <c r="K30" i="20" s="1"/>
  <c r="L14" i="20"/>
  <c r="M14" i="20"/>
  <c r="N14" i="20"/>
  <c r="O14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R16" i="20"/>
  <c r="D18" i="20"/>
  <c r="P18" i="20" s="1"/>
  <c r="R18" i="20" s="1"/>
  <c r="E18" i="20"/>
  <c r="F18" i="20"/>
  <c r="F30" i="20" s="1"/>
  <c r="G18" i="20"/>
  <c r="G30" i="20" s="1"/>
  <c r="H18" i="20"/>
  <c r="I18" i="20"/>
  <c r="J18" i="20"/>
  <c r="K18" i="20"/>
  <c r="L18" i="20"/>
  <c r="M18" i="20"/>
  <c r="M30" i="20" s="1"/>
  <c r="N18" i="20"/>
  <c r="N30" i="20" s="1"/>
  <c r="O18" i="20"/>
  <c r="O30" i="20" s="1"/>
  <c r="D20" i="20"/>
  <c r="P20" i="20" s="1"/>
  <c r="R20" i="20" s="1"/>
  <c r="E20" i="20"/>
  <c r="F20" i="20"/>
  <c r="G20" i="20"/>
  <c r="H20" i="20"/>
  <c r="I20" i="20"/>
  <c r="J20" i="20"/>
  <c r="K20" i="20"/>
  <c r="L20" i="20"/>
  <c r="L30" i="20" s="1"/>
  <c r="M20" i="20"/>
  <c r="N20" i="20"/>
  <c r="O20" i="20"/>
  <c r="P22" i="20"/>
  <c r="R22" i="20" s="1"/>
  <c r="D24" i="20"/>
  <c r="E24" i="20"/>
  <c r="P24" i="20" s="1"/>
  <c r="F24" i="20"/>
  <c r="G24" i="20"/>
  <c r="H24" i="20"/>
  <c r="I24" i="20"/>
  <c r="J24" i="20"/>
  <c r="K24" i="20"/>
  <c r="L24" i="20"/>
  <c r="M24" i="20"/>
  <c r="N24" i="20"/>
  <c r="O24" i="20"/>
  <c r="D26" i="20"/>
  <c r="P26" i="20" s="1"/>
  <c r="R26" i="20" s="1"/>
  <c r="E26" i="20"/>
  <c r="F26" i="20"/>
  <c r="G26" i="20"/>
  <c r="H26" i="20"/>
  <c r="I26" i="20"/>
  <c r="J26" i="20"/>
  <c r="K26" i="20"/>
  <c r="L26" i="20"/>
  <c r="M26" i="20"/>
  <c r="N26" i="20"/>
  <c r="O26" i="20"/>
  <c r="D28" i="20"/>
  <c r="P28" i="20" s="1"/>
  <c r="E28" i="20"/>
  <c r="F28" i="20"/>
  <c r="G28" i="20"/>
  <c r="H28" i="20"/>
  <c r="I28" i="20"/>
  <c r="J28" i="20"/>
  <c r="K28" i="20"/>
  <c r="L28" i="20"/>
  <c r="M28" i="20"/>
  <c r="N28" i="20"/>
  <c r="O28" i="20"/>
  <c r="H30" i="20"/>
  <c r="I30" i="20"/>
  <c r="Q30" i="20"/>
  <c r="A1" i="19"/>
  <c r="A2" i="19"/>
  <c r="A8" i="19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E9" i="19"/>
  <c r="E11" i="19" s="1"/>
  <c r="E24" i="19" s="1"/>
  <c r="E54" i="19" s="1"/>
  <c r="E55" i="19" s="1"/>
  <c r="E57" i="19" s="1"/>
  <c r="F9" i="19"/>
  <c r="F20" i="19" s="1"/>
  <c r="G9" i="19"/>
  <c r="G11" i="19" s="1"/>
  <c r="H9" i="19"/>
  <c r="H20" i="19" s="1"/>
  <c r="D11" i="19"/>
  <c r="F11" i="19"/>
  <c r="D14" i="19"/>
  <c r="E14" i="19"/>
  <c r="D16" i="19"/>
  <c r="E16" i="19"/>
  <c r="D18" i="19"/>
  <c r="E18" i="19"/>
  <c r="P18" i="19" s="1"/>
  <c r="R18" i="19" s="1"/>
  <c r="F18" i="19"/>
  <c r="G18" i="19"/>
  <c r="H18" i="19"/>
  <c r="I18" i="19"/>
  <c r="J18" i="19"/>
  <c r="K18" i="19"/>
  <c r="L18" i="19"/>
  <c r="M18" i="19"/>
  <c r="N18" i="19"/>
  <c r="O18" i="19"/>
  <c r="D20" i="19"/>
  <c r="E20" i="19"/>
  <c r="D27" i="19"/>
  <c r="D29" i="19" s="1"/>
  <c r="E27" i="19"/>
  <c r="F27" i="19"/>
  <c r="G27" i="19"/>
  <c r="G29" i="19" s="1"/>
  <c r="D28" i="19"/>
  <c r="P28" i="19" s="1"/>
  <c r="E28" i="19"/>
  <c r="F28" i="19"/>
  <c r="G28" i="19"/>
  <c r="H28" i="19"/>
  <c r="I28" i="19"/>
  <c r="J28" i="19"/>
  <c r="K28" i="19"/>
  <c r="L28" i="19"/>
  <c r="M28" i="19"/>
  <c r="N28" i="19"/>
  <c r="O28" i="19"/>
  <c r="E29" i="19"/>
  <c r="F29" i="19"/>
  <c r="D31" i="19"/>
  <c r="D33" i="19" s="1"/>
  <c r="E31" i="19"/>
  <c r="E33" i="19" s="1"/>
  <c r="E35" i="19" s="1"/>
  <c r="D32" i="19"/>
  <c r="E32" i="19"/>
  <c r="D37" i="19"/>
  <c r="G37" i="19"/>
  <c r="H37" i="19"/>
  <c r="P49" i="19"/>
  <c r="D50" i="19"/>
  <c r="P50" i="19" s="1"/>
  <c r="R50" i="19" s="1"/>
  <c r="E50" i="19"/>
  <c r="F50" i="19"/>
  <c r="G50" i="19"/>
  <c r="H50" i="19"/>
  <c r="I50" i="19"/>
  <c r="J50" i="19"/>
  <c r="K50" i="19"/>
  <c r="L50" i="19"/>
  <c r="M50" i="19"/>
  <c r="N50" i="19"/>
  <c r="O50" i="19"/>
  <c r="D69" i="19"/>
  <c r="P69" i="19" s="1"/>
  <c r="E69" i="19"/>
  <c r="F69" i="19"/>
  <c r="G69" i="19"/>
  <c r="H69" i="19"/>
  <c r="I69" i="19"/>
  <c r="J69" i="19"/>
  <c r="K69" i="19"/>
  <c r="L69" i="19"/>
  <c r="M69" i="19"/>
  <c r="N69" i="19"/>
  <c r="O69" i="19"/>
  <c r="D31" i="22" l="1"/>
  <c r="D36" i="22" s="1"/>
  <c r="E36" i="22" s="1"/>
  <c r="D29" i="22"/>
  <c r="F42" i="21"/>
  <c r="D20" i="21"/>
  <c r="D14" i="21"/>
  <c r="F43" i="21" s="1"/>
  <c r="D34" i="21"/>
  <c r="F34" i="21" s="1"/>
  <c r="D30" i="20"/>
  <c r="P30" i="20" s="1"/>
  <c r="R30" i="20" s="1"/>
  <c r="E59" i="19"/>
  <c r="E70" i="19"/>
  <c r="E71" i="19" s="1"/>
  <c r="F35" i="19"/>
  <c r="G35" i="19"/>
  <c r="G39" i="19" s="1"/>
  <c r="A56" i="19"/>
  <c r="A57" i="19" s="1"/>
  <c r="A58" i="19" s="1"/>
  <c r="A59" i="19" s="1"/>
  <c r="A67" i="19" s="1"/>
  <c r="A68" i="19" s="1"/>
  <c r="A69" i="19" s="1"/>
  <c r="A70" i="19" s="1"/>
  <c r="A71" i="19" s="1"/>
  <c r="A72" i="19" s="1"/>
  <c r="B57" i="19"/>
  <c r="D35" i="19"/>
  <c r="H16" i="19"/>
  <c r="F37" i="19"/>
  <c r="G16" i="19"/>
  <c r="E37" i="19"/>
  <c r="H32" i="19"/>
  <c r="H31" i="19"/>
  <c r="F16" i="19"/>
  <c r="H14" i="19"/>
  <c r="G32" i="19"/>
  <c r="G31" i="19"/>
  <c r="G33" i="19" s="1"/>
  <c r="G14" i="19"/>
  <c r="G24" i="19" s="1"/>
  <c r="G54" i="19" s="1"/>
  <c r="G55" i="19" s="1"/>
  <c r="G57" i="19" s="1"/>
  <c r="F32" i="19"/>
  <c r="F31" i="19"/>
  <c r="F33" i="19" s="1"/>
  <c r="H27" i="19"/>
  <c r="H29" i="19" s="1"/>
  <c r="F14" i="19"/>
  <c r="I9" i="19"/>
  <c r="H11" i="19"/>
  <c r="H24" i="19" s="1"/>
  <c r="H54" i="19" s="1"/>
  <c r="H55" i="19" s="1"/>
  <c r="H57" i="19" s="1"/>
  <c r="D24" i="19"/>
  <c r="D54" i="19" s="1"/>
  <c r="G20" i="19"/>
  <c r="D28" i="21" l="1"/>
  <c r="D22" i="21" s="1"/>
  <c r="F22" i="21" s="1"/>
  <c r="F20" i="21"/>
  <c r="G70" i="19"/>
  <c r="G71" i="19" s="1"/>
  <c r="G59" i="19"/>
  <c r="F39" i="19"/>
  <c r="D39" i="19"/>
  <c r="F24" i="19"/>
  <c r="F54" i="19" s="1"/>
  <c r="F55" i="19" s="1"/>
  <c r="F57" i="19" s="1"/>
  <c r="I37" i="19"/>
  <c r="I20" i="19"/>
  <c r="I11" i="19"/>
  <c r="I24" i="19" s="1"/>
  <c r="I54" i="19" s="1"/>
  <c r="I55" i="19" s="1"/>
  <c r="I57" i="19" s="1"/>
  <c r="J9" i="19"/>
  <c r="I27" i="19"/>
  <c r="I29" i="19" s="1"/>
  <c r="I16" i="19"/>
  <c r="I14" i="19"/>
  <c r="I31" i="19"/>
  <c r="I32" i="19"/>
  <c r="E39" i="19"/>
  <c r="D55" i="19"/>
  <c r="H33" i="19"/>
  <c r="H35" i="19" s="1"/>
  <c r="H70" i="19"/>
  <c r="H71" i="19" s="1"/>
  <c r="H59" i="19"/>
  <c r="H39" i="19" l="1"/>
  <c r="D57" i="19"/>
  <c r="F70" i="19"/>
  <c r="F71" i="19" s="1"/>
  <c r="F59" i="19"/>
  <c r="I59" i="19"/>
  <c r="I70" i="19"/>
  <c r="I71" i="19" s="1"/>
  <c r="I33" i="19"/>
  <c r="I35" i="19"/>
  <c r="I39" i="19" s="1"/>
  <c r="J16" i="19"/>
  <c r="J37" i="19"/>
  <c r="J20" i="19"/>
  <c r="J11" i="19"/>
  <c r="J24" i="19" s="1"/>
  <c r="J54" i="19" s="1"/>
  <c r="J55" i="19" s="1"/>
  <c r="J57" i="19" s="1"/>
  <c r="J32" i="19"/>
  <c r="K9" i="19"/>
  <c r="J27" i="19"/>
  <c r="J14" i="19"/>
  <c r="J31" i="19"/>
  <c r="J33" i="19" l="1"/>
  <c r="J29" i="19"/>
  <c r="K20" i="19"/>
  <c r="K16" i="19"/>
  <c r="K37" i="19"/>
  <c r="K14" i="19"/>
  <c r="K31" i="19"/>
  <c r="K32" i="19"/>
  <c r="K11" i="19"/>
  <c r="K24" i="19" s="1"/>
  <c r="K54" i="19" s="1"/>
  <c r="K55" i="19" s="1"/>
  <c r="K57" i="19" s="1"/>
  <c r="L9" i="19"/>
  <c r="K27" i="19"/>
  <c r="K29" i="19" s="1"/>
  <c r="J59" i="19"/>
  <c r="J70" i="19"/>
  <c r="J71" i="19" s="1"/>
  <c r="D70" i="19"/>
  <c r="D71" i="19" s="1"/>
  <c r="D59" i="19"/>
  <c r="L14" i="19" l="1"/>
  <c r="L31" i="19"/>
  <c r="L32" i="19"/>
  <c r="L20" i="19"/>
  <c r="L16" i="19"/>
  <c r="L37" i="19"/>
  <c r="L11" i="19"/>
  <c r="L24" i="19" s="1"/>
  <c r="L54" i="19" s="1"/>
  <c r="L55" i="19" s="1"/>
  <c r="L57" i="19" s="1"/>
  <c r="M9" i="19"/>
  <c r="L27" i="19"/>
  <c r="K33" i="19"/>
  <c r="K35" i="19" s="1"/>
  <c r="K39" i="19" s="1"/>
  <c r="J35" i="19"/>
  <c r="K59" i="19"/>
  <c r="K70" i="19"/>
  <c r="K71" i="19" s="1"/>
  <c r="L29" i="19" l="1"/>
  <c r="M27" i="19"/>
  <c r="M29" i="19" s="1"/>
  <c r="M14" i="19"/>
  <c r="M31" i="19"/>
  <c r="M33" i="19" s="1"/>
  <c r="M32" i="19"/>
  <c r="M37" i="19"/>
  <c r="M16" i="19"/>
  <c r="M20" i="19"/>
  <c r="N9" i="19"/>
  <c r="M11" i="19"/>
  <c r="M24" i="19" s="1"/>
  <c r="M54" i="19" s="1"/>
  <c r="M55" i="19" s="1"/>
  <c r="M57" i="19" s="1"/>
  <c r="L59" i="19"/>
  <c r="L70" i="19"/>
  <c r="L71" i="19" s="1"/>
  <c r="J39" i="19"/>
  <c r="L33" i="19"/>
  <c r="M59" i="19" l="1"/>
  <c r="M70" i="19"/>
  <c r="M71" i="19" s="1"/>
  <c r="O9" i="19"/>
  <c r="N27" i="19"/>
  <c r="N29" i="19" s="1"/>
  <c r="N14" i="19"/>
  <c r="N31" i="19"/>
  <c r="N33" i="19" s="1"/>
  <c r="N32" i="19"/>
  <c r="N16" i="19"/>
  <c r="N37" i="19"/>
  <c r="N20" i="19"/>
  <c r="N11" i="19"/>
  <c r="N24" i="19" s="1"/>
  <c r="N54" i="19" s="1"/>
  <c r="N55" i="19" s="1"/>
  <c r="N57" i="19" s="1"/>
  <c r="M35" i="19"/>
  <c r="M39" i="19" s="1"/>
  <c r="L35" i="19"/>
  <c r="N59" i="19" l="1"/>
  <c r="N70" i="19"/>
  <c r="N71" i="19" s="1"/>
  <c r="N35" i="19"/>
  <c r="N39" i="19" s="1"/>
  <c r="O11" i="19"/>
  <c r="O16" i="19"/>
  <c r="P16" i="19" s="1"/>
  <c r="R16" i="19" s="1"/>
  <c r="O27" i="19"/>
  <c r="O37" i="19"/>
  <c r="P37" i="19" s="1"/>
  <c r="R37" i="19" s="1"/>
  <c r="O14" i="19"/>
  <c r="P14" i="19" s="1"/>
  <c r="R14" i="19" s="1"/>
  <c r="O31" i="19"/>
  <c r="O32" i="19"/>
  <c r="P32" i="19" s="1"/>
  <c r="O20" i="19"/>
  <c r="P20" i="19" s="1"/>
  <c r="R20" i="19" s="1"/>
  <c r="L39" i="19"/>
  <c r="O33" i="19" l="1"/>
  <c r="P33" i="19" s="1"/>
  <c r="R33" i="19" s="1"/>
  <c r="P31" i="19"/>
  <c r="O29" i="19"/>
  <c r="P27" i="19"/>
  <c r="O24" i="19"/>
  <c r="O54" i="19" s="1"/>
  <c r="P11" i="19"/>
  <c r="P24" i="19" l="1"/>
  <c r="R11" i="19"/>
  <c r="O55" i="19"/>
  <c r="P54" i="19"/>
  <c r="O35" i="19"/>
  <c r="P29" i="19"/>
  <c r="R29" i="19" s="1"/>
  <c r="O57" i="19" l="1"/>
  <c r="P55" i="19"/>
  <c r="P57" i="19" s="1"/>
  <c r="P59" i="19" s="1"/>
  <c r="O39" i="19"/>
  <c r="P39" i="19" s="1"/>
  <c r="P35" i="19"/>
  <c r="S60" i="19" l="1"/>
  <c r="S61" i="19" s="1"/>
  <c r="E35" i="22"/>
  <c r="R39" i="19"/>
  <c r="P40" i="19"/>
  <c r="O70" i="19"/>
  <c r="O71" i="19" s="1"/>
  <c r="P71" i="19" s="1"/>
  <c r="O59" i="19"/>
  <c r="A1" i="18" l="1"/>
  <c r="A2" i="18"/>
  <c r="A3" i="18"/>
  <c r="H3" i="18"/>
  <c r="H4" i="18"/>
  <c r="A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M8" i="18"/>
  <c r="AN8" i="18"/>
  <c r="AU8" i="18"/>
  <c r="AV8" i="18"/>
  <c r="AW8" i="18"/>
  <c r="A9" i="18"/>
  <c r="AD9" i="18"/>
  <c r="AV9" i="18"/>
  <c r="AW9" i="18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D13" i="18"/>
  <c r="F13" i="18"/>
  <c r="H13" i="18"/>
  <c r="I13" i="18"/>
  <c r="J13" i="18"/>
  <c r="K13" i="18"/>
  <c r="AG13" i="18" s="1"/>
  <c r="L13" i="18"/>
  <c r="M13" i="18"/>
  <c r="BB13" i="18" s="1"/>
  <c r="W13" i="18"/>
  <c r="X13" i="18"/>
  <c r="Y13" i="18"/>
  <c r="AC13" i="18"/>
  <c r="AD13" i="18"/>
  <c r="AF13" i="18"/>
  <c r="AQ13" i="18"/>
  <c r="AR13" i="18"/>
  <c r="D14" i="18"/>
  <c r="F14" i="18"/>
  <c r="H14" i="18"/>
  <c r="I14" i="18"/>
  <c r="J14" i="18"/>
  <c r="K14" i="18"/>
  <c r="AG14" i="18" s="1"/>
  <c r="L14" i="18"/>
  <c r="W14" i="18"/>
  <c r="AC14" i="18"/>
  <c r="AQ14" i="18" s="1"/>
  <c r="AF14" i="18"/>
  <c r="AR14" i="18" s="1"/>
  <c r="D15" i="18"/>
  <c r="F15" i="18"/>
  <c r="H15" i="18"/>
  <c r="I15" i="18" s="1"/>
  <c r="J15" i="18"/>
  <c r="K15" i="18" s="1"/>
  <c r="L15" i="18"/>
  <c r="M15" i="18"/>
  <c r="BB15" i="18" s="1"/>
  <c r="W15" i="18"/>
  <c r="AC15" i="18"/>
  <c r="AD15" i="18"/>
  <c r="AE15" i="18"/>
  <c r="AF15" i="18"/>
  <c r="AR15" i="18" s="1"/>
  <c r="AG15" i="18"/>
  <c r="AH15" i="18"/>
  <c r="AQ15" i="18"/>
  <c r="D16" i="18"/>
  <c r="F16" i="18"/>
  <c r="H16" i="18"/>
  <c r="I16" i="18"/>
  <c r="J16" i="18"/>
  <c r="K16" i="18"/>
  <c r="L16" i="18"/>
  <c r="AR16" i="18" s="1"/>
  <c r="W16" i="18"/>
  <c r="AC16" i="18"/>
  <c r="AF16" i="18"/>
  <c r="D17" i="18"/>
  <c r="F17" i="18"/>
  <c r="H17" i="18"/>
  <c r="I17" i="18"/>
  <c r="J17" i="18"/>
  <c r="L17" i="18"/>
  <c r="W17" i="18"/>
  <c r="AC17" i="18"/>
  <c r="AQ17" i="18" s="1"/>
  <c r="AF17" i="18"/>
  <c r="AR17" i="18" s="1"/>
  <c r="D18" i="18"/>
  <c r="F18" i="18"/>
  <c r="I18" i="18" s="1"/>
  <c r="H18" i="18"/>
  <c r="J18" i="18"/>
  <c r="K18" i="18"/>
  <c r="L18" i="18"/>
  <c r="M18" i="18"/>
  <c r="BB18" i="18" s="1"/>
  <c r="W18" i="18"/>
  <c r="AC18" i="18"/>
  <c r="AD18" i="18" s="1"/>
  <c r="AE18" i="18" s="1"/>
  <c r="AF18" i="18"/>
  <c r="AG18" i="18"/>
  <c r="AH18" i="18" s="1"/>
  <c r="AQ18" i="18"/>
  <c r="AR18" i="18"/>
  <c r="D19" i="18"/>
  <c r="F19" i="18"/>
  <c r="H19" i="18"/>
  <c r="I19" i="18"/>
  <c r="J19" i="18"/>
  <c r="K19" i="18"/>
  <c r="AG21" i="18" s="1"/>
  <c r="L19" i="18"/>
  <c r="W19" i="18"/>
  <c r="AC19" i="18"/>
  <c r="AF19" i="18"/>
  <c r="D20" i="18"/>
  <c r="L20" i="18"/>
  <c r="W20" i="18"/>
  <c r="AC20" i="18"/>
  <c r="AQ20" i="18" s="1"/>
  <c r="AF20" i="18"/>
  <c r="AR20" i="18" s="1"/>
  <c r="AQ21" i="18"/>
  <c r="AR21" i="18"/>
  <c r="AS21" i="18"/>
  <c r="AT21" i="18" s="1"/>
  <c r="D22" i="18"/>
  <c r="F22" i="18"/>
  <c r="H22" i="18"/>
  <c r="J22" i="18"/>
  <c r="L22" i="18"/>
  <c r="W22" i="18"/>
  <c r="AC22" i="18"/>
  <c r="AQ22" i="18" s="1"/>
  <c r="AF22" i="18"/>
  <c r="AR22" i="18" s="1"/>
  <c r="D23" i="18"/>
  <c r="L23" i="18"/>
  <c r="AQ23" i="18" s="1"/>
  <c r="W23" i="18"/>
  <c r="AC23" i="18"/>
  <c r="AF23" i="18"/>
  <c r="AQ24" i="18"/>
  <c r="AR24" i="18"/>
  <c r="AS24" i="18"/>
  <c r="AT24" i="18"/>
  <c r="D25" i="18"/>
  <c r="F25" i="18"/>
  <c r="H25" i="18"/>
  <c r="I25" i="18"/>
  <c r="J25" i="18"/>
  <c r="K25" i="18" s="1"/>
  <c r="L25" i="18"/>
  <c r="W25" i="18"/>
  <c r="AC25" i="18"/>
  <c r="AF25" i="18"/>
  <c r="AQ25" i="18"/>
  <c r="AR25" i="18"/>
  <c r="D26" i="18"/>
  <c r="L26" i="18"/>
  <c r="W26" i="18"/>
  <c r="AC26" i="18"/>
  <c r="AQ26" i="18" s="1"/>
  <c r="AF26" i="18"/>
  <c r="AR26" i="18" s="1"/>
  <c r="AQ27" i="18"/>
  <c r="AR27" i="18"/>
  <c r="AS27" i="18"/>
  <c r="AT27" i="18"/>
  <c r="D28" i="18"/>
  <c r="F28" i="18"/>
  <c r="H28" i="18"/>
  <c r="I28" i="18" s="1"/>
  <c r="J28" i="18"/>
  <c r="K28" i="18" s="1"/>
  <c r="L28" i="18"/>
  <c r="W28" i="18"/>
  <c r="AC28" i="18"/>
  <c r="AQ28" i="18" s="1"/>
  <c r="AF28" i="18"/>
  <c r="AR28" i="18" s="1"/>
  <c r="D29" i="18"/>
  <c r="L29" i="18"/>
  <c r="W29" i="18"/>
  <c r="AC29" i="18"/>
  <c r="AF29" i="18"/>
  <c r="AQ29" i="18"/>
  <c r="AR29" i="18"/>
  <c r="AQ30" i="18"/>
  <c r="AR30" i="18"/>
  <c r="AS30" i="18"/>
  <c r="D31" i="18"/>
  <c r="F31" i="18"/>
  <c r="G31" i="18"/>
  <c r="H31" i="18"/>
  <c r="I31" i="18"/>
  <c r="AJ33" i="18" s="1"/>
  <c r="J31" i="18"/>
  <c r="K31" i="18" s="1"/>
  <c r="L31" i="18"/>
  <c r="W31" i="18"/>
  <c r="AC31" i="18"/>
  <c r="AF31" i="18"/>
  <c r="AI31" i="18"/>
  <c r="D32" i="18"/>
  <c r="L32" i="18"/>
  <c r="W32" i="18"/>
  <c r="AC32" i="18"/>
  <c r="AQ32" i="18" s="1"/>
  <c r="AF32" i="18"/>
  <c r="AR32" i="18" s="1"/>
  <c r="AI32" i="18"/>
  <c r="M33" i="18"/>
  <c r="BB21" i="18" s="1"/>
  <c r="AQ33" i="18"/>
  <c r="AR33" i="18"/>
  <c r="AS33" i="18"/>
  <c r="AT33" i="18"/>
  <c r="D34" i="18"/>
  <c r="F34" i="18"/>
  <c r="G34" i="18"/>
  <c r="I34" i="18" s="1"/>
  <c r="H34" i="18"/>
  <c r="J34" i="18"/>
  <c r="K34" i="18"/>
  <c r="AG36" i="18" s="1"/>
  <c r="L34" i="18"/>
  <c r="W34" i="18"/>
  <c r="AC34" i="18"/>
  <c r="AF34" i="18"/>
  <c r="AI34" i="18"/>
  <c r="D35" i="18"/>
  <c r="L35" i="18"/>
  <c r="W35" i="18"/>
  <c r="AC35" i="18"/>
  <c r="AF35" i="18"/>
  <c r="AI35" i="18"/>
  <c r="X36" i="18"/>
  <c r="AQ36" i="18"/>
  <c r="AR36" i="18"/>
  <c r="AS36" i="18"/>
  <c r="AT36" i="18"/>
  <c r="D37" i="18"/>
  <c r="F37" i="18"/>
  <c r="H37" i="18"/>
  <c r="I37" i="18" s="1"/>
  <c r="J37" i="18"/>
  <c r="K37" i="18" s="1"/>
  <c r="AG43" i="18" s="1"/>
  <c r="L37" i="18"/>
  <c r="W37" i="18"/>
  <c r="AC37" i="18"/>
  <c r="AQ37" i="18" s="1"/>
  <c r="AF37" i="18"/>
  <c r="AR37" i="18" s="1"/>
  <c r="D38" i="18"/>
  <c r="L38" i="18"/>
  <c r="AR38" i="18" s="1"/>
  <c r="W38" i="18"/>
  <c r="AC38" i="18"/>
  <c r="AF38" i="18"/>
  <c r="D39" i="18"/>
  <c r="L39" i="18"/>
  <c r="W39" i="18"/>
  <c r="AC39" i="18"/>
  <c r="AF39" i="18"/>
  <c r="D40" i="18"/>
  <c r="L40" i="18"/>
  <c r="W40" i="18"/>
  <c r="AC40" i="18"/>
  <c r="AF40" i="18"/>
  <c r="AQ40" i="18"/>
  <c r="AR40" i="18"/>
  <c r="D41" i="18"/>
  <c r="L41" i="18"/>
  <c r="W41" i="18"/>
  <c r="AC41" i="18"/>
  <c r="AQ41" i="18" s="1"/>
  <c r="AF41" i="18"/>
  <c r="AR41" i="18" s="1"/>
  <c r="D42" i="18"/>
  <c r="L42" i="18"/>
  <c r="W42" i="18"/>
  <c r="AC42" i="18"/>
  <c r="AQ42" i="18" s="1"/>
  <c r="AF42" i="18"/>
  <c r="AR42" i="18" s="1"/>
  <c r="AQ43" i="18"/>
  <c r="AR43" i="18"/>
  <c r="AS43" i="18"/>
  <c r="D44" i="18"/>
  <c r="F44" i="18"/>
  <c r="H44" i="18"/>
  <c r="I44" i="18"/>
  <c r="J44" i="18"/>
  <c r="K44" i="18" s="1"/>
  <c r="L44" i="18"/>
  <c r="W44" i="18"/>
  <c r="AC44" i="18"/>
  <c r="AF44" i="18"/>
  <c r="D45" i="18"/>
  <c r="L45" i="18"/>
  <c r="W45" i="18"/>
  <c r="AC45" i="18"/>
  <c r="AQ45" i="18" s="1"/>
  <c r="AF45" i="18"/>
  <c r="AR45" i="18"/>
  <c r="D46" i="18"/>
  <c r="L46" i="18"/>
  <c r="W46" i="18"/>
  <c r="AC46" i="18"/>
  <c r="AQ46" i="18" s="1"/>
  <c r="AF46" i="18"/>
  <c r="AR46" i="18" s="1"/>
  <c r="D47" i="18"/>
  <c r="L47" i="18"/>
  <c r="AR47" i="18" s="1"/>
  <c r="W47" i="18"/>
  <c r="AC47" i="18"/>
  <c r="AQ47" i="18" s="1"/>
  <c r="AF47" i="18"/>
  <c r="D48" i="18"/>
  <c r="L48" i="18"/>
  <c r="W48" i="18"/>
  <c r="AC48" i="18"/>
  <c r="AF48" i="18"/>
  <c r="AQ48" i="18"/>
  <c r="AR48" i="18"/>
  <c r="D49" i="18"/>
  <c r="L49" i="18"/>
  <c r="W49" i="18"/>
  <c r="AC49" i="18"/>
  <c r="AF49" i="18"/>
  <c r="AQ49" i="18"/>
  <c r="AR49" i="18"/>
  <c r="AQ50" i="18"/>
  <c r="AR50" i="18"/>
  <c r="AS50" i="18"/>
  <c r="AT50" i="18"/>
  <c r="D51" i="18"/>
  <c r="F51" i="18"/>
  <c r="G51" i="18"/>
  <c r="H51" i="18"/>
  <c r="I51" i="18"/>
  <c r="J51" i="18"/>
  <c r="K51" i="18"/>
  <c r="L51" i="18"/>
  <c r="M57" i="18" s="1"/>
  <c r="BB33" i="18" s="1"/>
  <c r="W51" i="18"/>
  <c r="X57" i="18" s="1"/>
  <c r="AC51" i="18"/>
  <c r="AF51" i="18"/>
  <c r="AI51" i="18"/>
  <c r="D52" i="18"/>
  <c r="L52" i="18"/>
  <c r="AQ52" i="18" s="1"/>
  <c r="W52" i="18"/>
  <c r="AC52" i="18"/>
  <c r="AF52" i="18"/>
  <c r="AI52" i="18"/>
  <c r="D53" i="18"/>
  <c r="L53" i="18"/>
  <c r="AR53" i="18" s="1"/>
  <c r="W53" i="18"/>
  <c r="AC53" i="18"/>
  <c r="AF53" i="18"/>
  <c r="AI53" i="18"/>
  <c r="AQ53" i="18"/>
  <c r="D54" i="18"/>
  <c r="L54" i="18"/>
  <c r="W54" i="18"/>
  <c r="AC54" i="18"/>
  <c r="AD57" i="18" s="1"/>
  <c r="AF54" i="18"/>
  <c r="AI54" i="18"/>
  <c r="AQ54" i="18"/>
  <c r="D55" i="18"/>
  <c r="L55" i="18"/>
  <c r="W55" i="18"/>
  <c r="AC55" i="18"/>
  <c r="AQ55" i="18" s="1"/>
  <c r="AF55" i="18"/>
  <c r="AR55" i="18" s="1"/>
  <c r="AI55" i="18"/>
  <c r="D56" i="18"/>
  <c r="L56" i="18"/>
  <c r="W56" i="18"/>
  <c r="AC56" i="18"/>
  <c r="AF56" i="18"/>
  <c r="AI56" i="18"/>
  <c r="AQ57" i="18"/>
  <c r="AR57" i="18"/>
  <c r="AS57" i="18"/>
  <c r="AT57" i="18" s="1"/>
  <c r="D58" i="18"/>
  <c r="F58" i="18"/>
  <c r="G58" i="18"/>
  <c r="H58" i="18"/>
  <c r="I58" i="18"/>
  <c r="J58" i="18"/>
  <c r="K58" i="18"/>
  <c r="L58" i="18"/>
  <c r="W58" i="18"/>
  <c r="AC58" i="18"/>
  <c r="AF58" i="18"/>
  <c r="AR58" i="18" s="1"/>
  <c r="AI58" i="18"/>
  <c r="AQ58" i="18"/>
  <c r="D59" i="18"/>
  <c r="L59" i="18"/>
  <c r="W59" i="18"/>
  <c r="AC59" i="18"/>
  <c r="AF59" i="18"/>
  <c r="AR59" i="18" s="1"/>
  <c r="AI59" i="18"/>
  <c r="AQ59" i="18"/>
  <c r="D60" i="18"/>
  <c r="L60" i="18"/>
  <c r="W60" i="18"/>
  <c r="AC60" i="18"/>
  <c r="AQ60" i="18" s="1"/>
  <c r="AF60" i="18"/>
  <c r="AR60" i="18" s="1"/>
  <c r="AI60" i="18"/>
  <c r="D61" i="18"/>
  <c r="L61" i="18"/>
  <c r="W61" i="18"/>
  <c r="AC61" i="18"/>
  <c r="AF61" i="18"/>
  <c r="AI61" i="18"/>
  <c r="D62" i="18"/>
  <c r="L62" i="18"/>
  <c r="W62" i="18"/>
  <c r="AC62" i="18"/>
  <c r="AF62" i="18"/>
  <c r="AI62" i="18"/>
  <c r="D63" i="18"/>
  <c r="L63" i="18"/>
  <c r="W63" i="18"/>
  <c r="AC63" i="18"/>
  <c r="AF63" i="18"/>
  <c r="AI63" i="18"/>
  <c r="AQ63" i="18"/>
  <c r="AR63" i="18"/>
  <c r="X64" i="18"/>
  <c r="AQ64" i="18"/>
  <c r="AR64" i="18"/>
  <c r="AS64" i="18"/>
  <c r="AT64" i="18"/>
  <c r="D65" i="18"/>
  <c r="F65" i="18"/>
  <c r="H65" i="18"/>
  <c r="I65" i="18"/>
  <c r="J65" i="18"/>
  <c r="K65" i="18"/>
  <c r="L65" i="18"/>
  <c r="AR65" i="18" s="1"/>
  <c r="W65" i="18"/>
  <c r="X71" i="18" s="1"/>
  <c r="Y71" i="18" s="1"/>
  <c r="AC65" i="18"/>
  <c r="AQ65" i="18" s="1"/>
  <c r="AF65" i="18"/>
  <c r="D66" i="18"/>
  <c r="L66" i="18"/>
  <c r="W66" i="18"/>
  <c r="AC66" i="18"/>
  <c r="AF66" i="18"/>
  <c r="AQ66" i="18"/>
  <c r="AR66" i="18"/>
  <c r="D67" i="18"/>
  <c r="L67" i="18"/>
  <c r="W67" i="18"/>
  <c r="AC67" i="18"/>
  <c r="AF67" i="18"/>
  <c r="AQ67" i="18"/>
  <c r="AR67" i="18"/>
  <c r="D68" i="18"/>
  <c r="L68" i="18"/>
  <c r="W68" i="18"/>
  <c r="AC68" i="18"/>
  <c r="AF68" i="18"/>
  <c r="AQ68" i="18"/>
  <c r="AR68" i="18"/>
  <c r="D69" i="18"/>
  <c r="L69" i="18"/>
  <c r="W69" i="18"/>
  <c r="AC69" i="18"/>
  <c r="AQ69" i="18" s="1"/>
  <c r="AF69" i="18"/>
  <c r="AR69" i="18" s="1"/>
  <c r="D70" i="18"/>
  <c r="L70" i="18"/>
  <c r="AR70" i="18" s="1"/>
  <c r="W70" i="18"/>
  <c r="AC70" i="18"/>
  <c r="AF70" i="18"/>
  <c r="M71" i="18"/>
  <c r="BB23" i="18" s="1"/>
  <c r="AD71" i="18"/>
  <c r="AE71" i="18"/>
  <c r="AG71" i="18"/>
  <c r="AH71" i="18" s="1"/>
  <c r="AQ71" i="18"/>
  <c r="AR71" i="18"/>
  <c r="AS71" i="18"/>
  <c r="AT71" i="18" s="1"/>
  <c r="D72" i="18"/>
  <c r="F72" i="18"/>
  <c r="H72" i="18"/>
  <c r="I72" i="18"/>
  <c r="J72" i="18"/>
  <c r="K72" i="18" s="1"/>
  <c r="AG78" i="18" s="1"/>
  <c r="L72" i="18"/>
  <c r="W72" i="18"/>
  <c r="AC72" i="18"/>
  <c r="AF72" i="18"/>
  <c r="AQ72" i="18"/>
  <c r="AR72" i="18"/>
  <c r="D73" i="18"/>
  <c r="L73" i="18"/>
  <c r="W73" i="18"/>
  <c r="AC73" i="18"/>
  <c r="AF73" i="18"/>
  <c r="AR73" i="18" s="1"/>
  <c r="AQ73" i="18"/>
  <c r="D74" i="18"/>
  <c r="L74" i="18"/>
  <c r="W74" i="18"/>
  <c r="AC74" i="18"/>
  <c r="AF74" i="18"/>
  <c r="D75" i="18"/>
  <c r="L75" i="18"/>
  <c r="AQ75" i="18" s="1"/>
  <c r="W75" i="18"/>
  <c r="AC75" i="18"/>
  <c r="AF75" i="18"/>
  <c r="D76" i="18"/>
  <c r="L76" i="18"/>
  <c r="AR76" i="18" s="1"/>
  <c r="W76" i="18"/>
  <c r="AC76" i="18"/>
  <c r="AF76" i="18"/>
  <c r="AQ76" i="18"/>
  <c r="D77" i="18"/>
  <c r="L77" i="18"/>
  <c r="W77" i="18"/>
  <c r="AC77" i="18"/>
  <c r="AF77" i="18"/>
  <c r="AR77" i="18" s="1"/>
  <c r="AQ77" i="18"/>
  <c r="AQ78" i="18"/>
  <c r="AR78" i="18"/>
  <c r="AS78" i="18"/>
  <c r="D79" i="18"/>
  <c r="F79" i="18"/>
  <c r="G79" i="18"/>
  <c r="H79" i="18"/>
  <c r="I79" i="18"/>
  <c r="J79" i="18"/>
  <c r="K79" i="18"/>
  <c r="L79" i="18"/>
  <c r="W79" i="18"/>
  <c r="AC79" i="18"/>
  <c r="AF79" i="18"/>
  <c r="AI79" i="18"/>
  <c r="D80" i="18"/>
  <c r="L80" i="18"/>
  <c r="W80" i="18"/>
  <c r="AC80" i="18"/>
  <c r="AF80" i="18"/>
  <c r="AI80" i="18"/>
  <c r="D81" i="18"/>
  <c r="L81" i="18"/>
  <c r="W81" i="18"/>
  <c r="AC81" i="18"/>
  <c r="AF81" i="18"/>
  <c r="AI81" i="18"/>
  <c r="AQ81" i="18"/>
  <c r="AR81" i="18"/>
  <c r="D82" i="18"/>
  <c r="L82" i="18"/>
  <c r="W82" i="18"/>
  <c r="AC82" i="18"/>
  <c r="AQ82" i="18" s="1"/>
  <c r="AF82" i="18"/>
  <c r="AR82" i="18" s="1"/>
  <c r="AI82" i="18"/>
  <c r="D83" i="18"/>
  <c r="L83" i="18"/>
  <c r="W83" i="18"/>
  <c r="AC83" i="18"/>
  <c r="AQ83" i="18" s="1"/>
  <c r="AF83" i="18"/>
  <c r="AR83" i="18" s="1"/>
  <c r="AI83" i="18"/>
  <c r="D84" i="18"/>
  <c r="L84" i="18"/>
  <c r="W84" i="18"/>
  <c r="AC84" i="18"/>
  <c r="AQ84" i="18" s="1"/>
  <c r="AF84" i="18"/>
  <c r="AI84" i="18"/>
  <c r="AR84" i="18"/>
  <c r="X85" i="18"/>
  <c r="AD85" i="18"/>
  <c r="AJ85" i="18"/>
  <c r="AQ85" i="18"/>
  <c r="AR85" i="18"/>
  <c r="AS85" i="18"/>
  <c r="AT85" i="18"/>
  <c r="D86" i="18"/>
  <c r="F86" i="18"/>
  <c r="G86" i="18"/>
  <c r="H86" i="18"/>
  <c r="I86" i="18"/>
  <c r="J86" i="18"/>
  <c r="K86" i="18"/>
  <c r="L86" i="18"/>
  <c r="AR86" i="18" s="1"/>
  <c r="W86" i="18"/>
  <c r="AC86" i="18"/>
  <c r="AF86" i="18"/>
  <c r="AI86" i="18"/>
  <c r="D87" i="18"/>
  <c r="L87" i="18"/>
  <c r="AQ87" i="18" s="1"/>
  <c r="W87" i="18"/>
  <c r="AC87" i="18"/>
  <c r="AF87" i="18"/>
  <c r="AI87" i="18"/>
  <c r="D88" i="18"/>
  <c r="L88" i="18"/>
  <c r="AQ88" i="18" s="1"/>
  <c r="W88" i="18"/>
  <c r="AC88" i="18"/>
  <c r="AF88" i="18"/>
  <c r="AI88" i="18"/>
  <c r="AR88" i="18"/>
  <c r="D89" i="18"/>
  <c r="L89" i="18"/>
  <c r="W89" i="18"/>
  <c r="AC89" i="18"/>
  <c r="AF89" i="18"/>
  <c r="AI89" i="18"/>
  <c r="AQ89" i="18"/>
  <c r="AR89" i="18"/>
  <c r="D90" i="18"/>
  <c r="L90" i="18"/>
  <c r="W90" i="18"/>
  <c r="AC90" i="18"/>
  <c r="AQ90" i="18" s="1"/>
  <c r="AF90" i="18"/>
  <c r="AR90" i="18" s="1"/>
  <c r="AI90" i="18"/>
  <c r="D91" i="18"/>
  <c r="L91" i="18"/>
  <c r="W91" i="18"/>
  <c r="AC91" i="18"/>
  <c r="AF91" i="18"/>
  <c r="AI91" i="18"/>
  <c r="AD92" i="18"/>
  <c r="AG92" i="18"/>
  <c r="AJ92" i="18"/>
  <c r="AQ92" i="18"/>
  <c r="AR92" i="18"/>
  <c r="AS92" i="18"/>
  <c r="AT92" i="18"/>
  <c r="D93" i="18"/>
  <c r="F93" i="18"/>
  <c r="I93" i="18"/>
  <c r="J93" i="18"/>
  <c r="L93" i="18"/>
  <c r="M93" i="18"/>
  <c r="BB30" i="18" s="1"/>
  <c r="W93" i="18"/>
  <c r="AC93" i="18"/>
  <c r="AF93" i="18"/>
  <c r="AI93" i="18"/>
  <c r="AJ93" i="18"/>
  <c r="AQ93" i="18"/>
  <c r="AR93" i="18"/>
  <c r="D94" i="18"/>
  <c r="F94" i="18"/>
  <c r="I94" i="18"/>
  <c r="J94" i="18"/>
  <c r="L94" i="18"/>
  <c r="M94" i="18"/>
  <c r="BB34" i="18" s="1"/>
  <c r="W94" i="18"/>
  <c r="X94" i="18"/>
  <c r="Y94" i="18"/>
  <c r="AC94" i="18"/>
  <c r="AQ94" i="18" s="1"/>
  <c r="AF94" i="18"/>
  <c r="AI94" i="18"/>
  <c r="AR94" i="18"/>
  <c r="AF95" i="18"/>
  <c r="AG95" i="18" s="1"/>
  <c r="A1" i="17"/>
  <c r="A2" i="17"/>
  <c r="F7" i="17"/>
  <c r="I7" i="17"/>
  <c r="L7" i="17"/>
  <c r="O7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F8" i="17"/>
  <c r="I8" i="17"/>
  <c r="L8" i="17"/>
  <c r="L10" i="17" s="1"/>
  <c r="O8" i="17"/>
  <c r="O10" i="17" s="1"/>
  <c r="R8" i="17"/>
  <c r="F9" i="17"/>
  <c r="I9" i="17"/>
  <c r="L9" i="17"/>
  <c r="O9" i="17"/>
  <c r="R9" i="17"/>
  <c r="G10" i="17"/>
  <c r="I10" i="17"/>
  <c r="J10" i="17"/>
  <c r="M10" i="17"/>
  <c r="P10" i="17"/>
  <c r="S10" i="17"/>
  <c r="U10" i="17"/>
  <c r="V10" i="17"/>
  <c r="D13" i="17"/>
  <c r="G13" i="17"/>
  <c r="S13" i="17"/>
  <c r="D14" i="17"/>
  <c r="J14" i="17"/>
  <c r="W14" i="17"/>
  <c r="D15" i="17"/>
  <c r="G15" i="17" s="1"/>
  <c r="J15" i="17"/>
  <c r="M15" i="17"/>
  <c r="P15" i="17"/>
  <c r="S15" i="17"/>
  <c r="W15" i="17"/>
  <c r="AF15" i="17" s="1"/>
  <c r="D16" i="17"/>
  <c r="G16" i="17"/>
  <c r="D17" i="17"/>
  <c r="S17" i="17" s="1"/>
  <c r="G17" i="17"/>
  <c r="J17" i="17"/>
  <c r="M17" i="17"/>
  <c r="D18" i="17"/>
  <c r="G18" i="17" s="1"/>
  <c r="J18" i="17"/>
  <c r="M18" i="17"/>
  <c r="P18" i="17"/>
  <c r="S18" i="17"/>
  <c r="D19" i="17"/>
  <c r="J19" i="17" s="1"/>
  <c r="G19" i="17"/>
  <c r="P19" i="17"/>
  <c r="S19" i="17"/>
  <c r="D20" i="17"/>
  <c r="D21" i="17"/>
  <c r="D22" i="17"/>
  <c r="G22" i="17" s="1"/>
  <c r="M22" i="17"/>
  <c r="P22" i="17"/>
  <c r="S22" i="17"/>
  <c r="D23" i="17"/>
  <c r="G23" i="17"/>
  <c r="J23" i="17"/>
  <c r="D24" i="17"/>
  <c r="S24" i="17" s="1"/>
  <c r="G24" i="17"/>
  <c r="J24" i="17"/>
  <c r="M24" i="17"/>
  <c r="P24" i="17"/>
  <c r="D25" i="17"/>
  <c r="G25" i="17" s="1"/>
  <c r="J25" i="17"/>
  <c r="M25" i="17"/>
  <c r="P25" i="17"/>
  <c r="S25" i="17"/>
  <c r="D26" i="17"/>
  <c r="J26" i="17" s="1"/>
  <c r="G26" i="17"/>
  <c r="P26" i="17"/>
  <c r="S26" i="17"/>
  <c r="D27" i="17"/>
  <c r="J27" i="17"/>
  <c r="M27" i="17"/>
  <c r="D28" i="17"/>
  <c r="P28" i="17"/>
  <c r="S28" i="17"/>
  <c r="D29" i="17"/>
  <c r="G29" i="17" s="1"/>
  <c r="M29" i="17"/>
  <c r="P29" i="17"/>
  <c r="S29" i="17"/>
  <c r="D30" i="17"/>
  <c r="G30" i="17"/>
  <c r="D31" i="17"/>
  <c r="S31" i="17" s="1"/>
  <c r="G31" i="17"/>
  <c r="J31" i="17"/>
  <c r="M31" i="17"/>
  <c r="D32" i="17"/>
  <c r="G32" i="17" s="1"/>
  <c r="J32" i="17"/>
  <c r="M32" i="17"/>
  <c r="P32" i="17"/>
  <c r="S32" i="17"/>
  <c r="D33" i="17"/>
  <c r="M33" i="17" s="1"/>
  <c r="G33" i="17"/>
  <c r="J33" i="17"/>
  <c r="P33" i="17"/>
  <c r="S33" i="17"/>
  <c r="D34" i="17"/>
  <c r="G34" i="17" s="1"/>
  <c r="J34" i="17"/>
  <c r="M34" i="17"/>
  <c r="D35" i="17"/>
  <c r="G35" i="17" s="1"/>
  <c r="J35" i="17"/>
  <c r="M35" i="17"/>
  <c r="P35" i="17"/>
  <c r="S35" i="17"/>
  <c r="D36" i="17"/>
  <c r="G36" i="17" s="1"/>
  <c r="M36" i="17"/>
  <c r="P36" i="17"/>
  <c r="S36" i="17"/>
  <c r="D37" i="17"/>
  <c r="G37" i="17"/>
  <c r="S37" i="17"/>
  <c r="D38" i="17"/>
  <c r="D39" i="17"/>
  <c r="G39" i="17" s="1"/>
  <c r="J39" i="17"/>
  <c r="M39" i="17"/>
  <c r="P39" i="17"/>
  <c r="S39" i="17"/>
  <c r="D40" i="17"/>
  <c r="M40" i="17" s="1"/>
  <c r="G40" i="17"/>
  <c r="J40" i="17"/>
  <c r="P40" i="17"/>
  <c r="S40" i="17"/>
  <c r="D41" i="17"/>
  <c r="D42" i="17"/>
  <c r="M42" i="17" s="1"/>
  <c r="P42" i="17"/>
  <c r="S42" i="17"/>
  <c r="D43" i="17"/>
  <c r="G43" i="17" s="1"/>
  <c r="M43" i="17"/>
  <c r="P43" i="17"/>
  <c r="S43" i="17"/>
  <c r="D44" i="17"/>
  <c r="G44" i="17"/>
  <c r="J44" i="17"/>
  <c r="S44" i="17"/>
  <c r="D45" i="17"/>
  <c r="G45" i="17"/>
  <c r="D46" i="17"/>
  <c r="G46" i="17" s="1"/>
  <c r="J46" i="17"/>
  <c r="M46" i="17"/>
  <c r="P46" i="17"/>
  <c r="S46" i="17"/>
  <c r="D47" i="17"/>
  <c r="M47" i="17" s="1"/>
  <c r="G47" i="17"/>
  <c r="J47" i="17"/>
  <c r="P47" i="17"/>
  <c r="S47" i="17"/>
  <c r="D48" i="17"/>
  <c r="G48" i="17" s="1"/>
  <c r="J48" i="17"/>
  <c r="M48" i="17"/>
  <c r="D49" i="17"/>
  <c r="G49" i="17"/>
  <c r="J49" i="17"/>
  <c r="M49" i="17"/>
  <c r="P49" i="17"/>
  <c r="S49" i="17"/>
  <c r="D50" i="17"/>
  <c r="G50" i="17" s="1"/>
  <c r="M50" i="17"/>
  <c r="P50" i="17"/>
  <c r="S50" i="17"/>
  <c r="D51" i="17"/>
  <c r="J51" i="17"/>
  <c r="D52" i="17"/>
  <c r="S52" i="17" s="1"/>
  <c r="G52" i="17"/>
  <c r="J52" i="17"/>
  <c r="M52" i="17"/>
  <c r="D53" i="17"/>
  <c r="G53" i="17" s="1"/>
  <c r="J53" i="17"/>
  <c r="M53" i="17"/>
  <c r="P53" i="17"/>
  <c r="S53" i="17"/>
  <c r="D54" i="17"/>
  <c r="J54" i="17" s="1"/>
  <c r="G54" i="17"/>
  <c r="P54" i="17"/>
  <c r="S54" i="17"/>
  <c r="D55" i="17"/>
  <c r="G55" i="17"/>
  <c r="J55" i="17"/>
  <c r="M55" i="17"/>
  <c r="D56" i="17"/>
  <c r="G56" i="17"/>
  <c r="J56" i="17"/>
  <c r="M56" i="17"/>
  <c r="P56" i="17"/>
  <c r="S56" i="17"/>
  <c r="D57" i="17"/>
  <c r="G57" i="17" s="1"/>
  <c r="M57" i="17"/>
  <c r="P57" i="17"/>
  <c r="S57" i="17"/>
  <c r="D58" i="17"/>
  <c r="G58" i="17"/>
  <c r="J58" i="17"/>
  <c r="S58" i="17"/>
  <c r="D59" i="17"/>
  <c r="J59" i="17"/>
  <c r="D60" i="17"/>
  <c r="G60" i="17" s="1"/>
  <c r="J60" i="17"/>
  <c r="M60" i="17"/>
  <c r="P60" i="17"/>
  <c r="S60" i="17"/>
  <c r="D61" i="17"/>
  <c r="M61" i="17" s="1"/>
  <c r="G61" i="17"/>
  <c r="J61" i="17"/>
  <c r="P61" i="17"/>
  <c r="S61" i="17"/>
  <c r="D62" i="17"/>
  <c r="G62" i="17"/>
  <c r="D63" i="17"/>
  <c r="S63" i="17" s="1"/>
  <c r="D64" i="17"/>
  <c r="J64" i="17" s="1"/>
  <c r="G64" i="17"/>
  <c r="M64" i="17"/>
  <c r="P64" i="17"/>
  <c r="S64" i="17"/>
  <c r="D65" i="17"/>
  <c r="G65" i="17"/>
  <c r="J65" i="17"/>
  <c r="D66" i="17"/>
  <c r="S66" i="17"/>
  <c r="D67" i="17"/>
  <c r="D68" i="17"/>
  <c r="G68" i="17"/>
  <c r="J68" i="17"/>
  <c r="M68" i="17"/>
  <c r="P68" i="17"/>
  <c r="S68" i="17"/>
  <c r="D69" i="17"/>
  <c r="J69" i="17" s="1"/>
  <c r="G69" i="17"/>
  <c r="P69" i="17"/>
  <c r="S69" i="17"/>
  <c r="D70" i="17"/>
  <c r="J70" i="17" s="1"/>
  <c r="M70" i="17"/>
  <c r="D71" i="17"/>
  <c r="M71" i="17" s="1"/>
  <c r="P71" i="17"/>
  <c r="S71" i="17"/>
  <c r="D72" i="17"/>
  <c r="M72" i="17"/>
  <c r="P72" i="17"/>
  <c r="D73" i="17"/>
  <c r="G73" i="17" s="1"/>
  <c r="S73" i="17"/>
  <c r="D74" i="17"/>
  <c r="S74" i="17" s="1"/>
  <c r="G74" i="17"/>
  <c r="J74" i="17"/>
  <c r="M74" i="17"/>
  <c r="P74" i="17"/>
  <c r="D75" i="17"/>
  <c r="G75" i="17"/>
  <c r="J75" i="17"/>
  <c r="M75" i="17"/>
  <c r="P75" i="17"/>
  <c r="S75" i="17"/>
  <c r="D76" i="17"/>
  <c r="J76" i="17" s="1"/>
  <c r="G76" i="17"/>
  <c r="P76" i="17"/>
  <c r="S76" i="17"/>
  <c r="D77" i="17"/>
  <c r="D78" i="17"/>
  <c r="P78" i="17"/>
  <c r="D79" i="17"/>
  <c r="M79" i="17" s="1"/>
  <c r="P79" i="17"/>
  <c r="D80" i="17"/>
  <c r="S80" i="17"/>
  <c r="AA81" i="17"/>
  <c r="AB81" i="17"/>
  <c r="AC81" i="17"/>
  <c r="AD81" i="17"/>
  <c r="AE81" i="17"/>
  <c r="AF81" i="17"/>
  <c r="V83" i="17"/>
  <c r="A1" i="16"/>
  <c r="A2" i="16"/>
  <c r="A3" i="16"/>
  <c r="A8" i="16"/>
  <c r="A9" i="16" s="1"/>
  <c r="A10" i="16" s="1"/>
  <c r="A11" i="16" s="1"/>
  <c r="K10" i="16"/>
  <c r="L10" i="16"/>
  <c r="M10" i="16"/>
  <c r="N10" i="16"/>
  <c r="O10" i="16"/>
  <c r="P10" i="16"/>
  <c r="AM10" i="16" s="1"/>
  <c r="U10" i="16"/>
  <c r="AP10" i="16" s="1"/>
  <c r="AJ10" i="16"/>
  <c r="AK10" i="16"/>
  <c r="AN10" i="16"/>
  <c r="AO10" i="16"/>
  <c r="AQ10" i="16"/>
  <c r="A12" i="16"/>
  <c r="A13" i="16"/>
  <c r="A14" i="16" s="1"/>
  <c r="A15" i="16" s="1"/>
  <c r="A16" i="16" s="1"/>
  <c r="A17" i="16" s="1"/>
  <c r="A18" i="16" s="1"/>
  <c r="A19" i="16" s="1"/>
  <c r="A20" i="16" s="1"/>
  <c r="R13" i="16"/>
  <c r="AJ13" i="16" s="1"/>
  <c r="U13" i="16"/>
  <c r="AP13" i="16" s="1"/>
  <c r="V13" i="16"/>
  <c r="AQ13" i="16" s="1"/>
  <c r="AW13" i="16"/>
  <c r="AX13" i="16"/>
  <c r="AY13" i="16"/>
  <c r="AZ13" i="16"/>
  <c r="BA13" i="16"/>
  <c r="BB13" i="16"/>
  <c r="BC13" i="16"/>
  <c r="BD13" i="16"/>
  <c r="BE13" i="16"/>
  <c r="R14" i="16"/>
  <c r="U14" i="16"/>
  <c r="AP14" i="16" s="1"/>
  <c r="V14" i="16"/>
  <c r="AQ14" i="16" s="1"/>
  <c r="AJ14" i="16"/>
  <c r="AW14" i="16"/>
  <c r="AX14" i="16"/>
  <c r="AY14" i="16"/>
  <c r="AZ14" i="16"/>
  <c r="BA14" i="16"/>
  <c r="BB14" i="16"/>
  <c r="BC14" i="16"/>
  <c r="BD14" i="16"/>
  <c r="BE14" i="16"/>
  <c r="R15" i="16"/>
  <c r="AJ15" i="16" s="1"/>
  <c r="U15" i="16"/>
  <c r="AP15" i="16" s="1"/>
  <c r="V15" i="16"/>
  <c r="AQ15" i="16"/>
  <c r="AW15" i="16"/>
  <c r="AX15" i="16"/>
  <c r="AY15" i="16"/>
  <c r="AZ15" i="16"/>
  <c r="BA15" i="16"/>
  <c r="BB15" i="16"/>
  <c r="BC15" i="16"/>
  <c r="BH15" i="16" s="1"/>
  <c r="BD15" i="16"/>
  <c r="BE15" i="16"/>
  <c r="R16" i="16"/>
  <c r="AJ16" i="16" s="1"/>
  <c r="U16" i="16"/>
  <c r="AP16" i="16"/>
  <c r="AW16" i="16"/>
  <c r="AX16" i="16"/>
  <c r="AY16" i="16"/>
  <c r="AZ16" i="16"/>
  <c r="BA16" i="16"/>
  <c r="BB16" i="16"/>
  <c r="BC16" i="16"/>
  <c r="BD16" i="16"/>
  <c r="BE16" i="16"/>
  <c r="BH16" i="16"/>
  <c r="R17" i="16"/>
  <c r="AJ17" i="16" s="1"/>
  <c r="U17" i="16"/>
  <c r="AP17" i="16" s="1"/>
  <c r="AW17" i="16"/>
  <c r="AX17" i="16"/>
  <c r="AY17" i="16"/>
  <c r="AZ17" i="16"/>
  <c r="BA17" i="16"/>
  <c r="BB17" i="16"/>
  <c r="BC17" i="16"/>
  <c r="BD17" i="16"/>
  <c r="BE17" i="16"/>
  <c r="R18" i="16"/>
  <c r="U18" i="16"/>
  <c r="AP18" i="16" s="1"/>
  <c r="AJ18" i="16"/>
  <c r="AW18" i="16"/>
  <c r="AX18" i="16"/>
  <c r="AY18" i="16"/>
  <c r="AZ18" i="16"/>
  <c r="BA18" i="16"/>
  <c r="BB18" i="16"/>
  <c r="BC18" i="16"/>
  <c r="BD18" i="16"/>
  <c r="BE18" i="16"/>
  <c r="R19" i="16"/>
  <c r="AJ19" i="16" s="1"/>
  <c r="U19" i="16"/>
  <c r="AP19" i="16"/>
  <c r="AW19" i="16"/>
  <c r="AX19" i="16"/>
  <c r="AY19" i="16"/>
  <c r="AZ19" i="16"/>
  <c r="BA19" i="16"/>
  <c r="BB19" i="16"/>
  <c r="BC19" i="16"/>
  <c r="BD19" i="16"/>
  <c r="BE19" i="16"/>
  <c r="R20" i="16"/>
  <c r="U20" i="16"/>
  <c r="AP20" i="16" s="1"/>
  <c r="AJ20" i="16"/>
  <c r="AW20" i="16"/>
  <c r="AX20" i="16"/>
  <c r="AY20" i="16"/>
  <c r="AZ20" i="16"/>
  <c r="BA20" i="16"/>
  <c r="BB20" i="16"/>
  <c r="BC20" i="16"/>
  <c r="BD20" i="16"/>
  <c r="BE20" i="16"/>
  <c r="BH20" i="16"/>
  <c r="A21" i="16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R21" i="16"/>
  <c r="AJ21" i="16" s="1"/>
  <c r="U21" i="16"/>
  <c r="AP21" i="16" s="1"/>
  <c r="AW21" i="16"/>
  <c r="AX21" i="16"/>
  <c r="AY21" i="16"/>
  <c r="AZ21" i="16"/>
  <c r="BA21" i="16"/>
  <c r="BB21" i="16"/>
  <c r="BC21" i="16"/>
  <c r="BD21" i="16"/>
  <c r="BE21" i="16"/>
  <c r="R22" i="16"/>
  <c r="AJ22" i="16" s="1"/>
  <c r="U22" i="16"/>
  <c r="AP22" i="16" s="1"/>
  <c r="AW22" i="16"/>
  <c r="AX22" i="16"/>
  <c r="AY22" i="16"/>
  <c r="AZ22" i="16"/>
  <c r="BA22" i="16"/>
  <c r="BB22" i="16"/>
  <c r="BC22" i="16"/>
  <c r="BD22" i="16"/>
  <c r="BE22" i="16"/>
  <c r="R23" i="16"/>
  <c r="U23" i="16"/>
  <c r="AP23" i="16" s="1"/>
  <c r="AJ23" i="16"/>
  <c r="AW23" i="16"/>
  <c r="BH23" i="16" s="1"/>
  <c r="AX23" i="16"/>
  <c r="AY23" i="16"/>
  <c r="AZ23" i="16"/>
  <c r="BA23" i="16"/>
  <c r="BB23" i="16"/>
  <c r="BC23" i="16"/>
  <c r="BD23" i="16"/>
  <c r="BE23" i="16"/>
  <c r="R24" i="16"/>
  <c r="U24" i="16"/>
  <c r="AP24" i="16" s="1"/>
  <c r="AJ24" i="16"/>
  <c r="AW24" i="16"/>
  <c r="AX24" i="16"/>
  <c r="AY24" i="16"/>
  <c r="AZ24" i="16"/>
  <c r="BA24" i="16"/>
  <c r="BB24" i="16"/>
  <c r="BC24" i="16"/>
  <c r="BD24" i="16"/>
  <c r="BE24" i="16"/>
  <c r="R25" i="16"/>
  <c r="AJ25" i="16" s="1"/>
  <c r="U25" i="16"/>
  <c r="AP25" i="16"/>
  <c r="AW25" i="16"/>
  <c r="AX25" i="16"/>
  <c r="AY25" i="16"/>
  <c r="AZ25" i="16"/>
  <c r="BA25" i="16"/>
  <c r="BB25" i="16"/>
  <c r="BC25" i="16"/>
  <c r="BD25" i="16"/>
  <c r="BE25" i="16"/>
  <c r="BH25" i="16"/>
  <c r="R26" i="16"/>
  <c r="AJ26" i="16" s="1"/>
  <c r="U26" i="16"/>
  <c r="AP26" i="16"/>
  <c r="AW26" i="16"/>
  <c r="BH26" i="16" s="1"/>
  <c r="AX26" i="16"/>
  <c r="AY26" i="16"/>
  <c r="AZ26" i="16"/>
  <c r="BA26" i="16"/>
  <c r="BB26" i="16"/>
  <c r="BC26" i="16"/>
  <c r="BD26" i="16"/>
  <c r="BE26" i="16"/>
  <c r="R27" i="16"/>
  <c r="AJ27" i="16" s="1"/>
  <c r="U27" i="16"/>
  <c r="AP27" i="16" s="1"/>
  <c r="AW27" i="16"/>
  <c r="AX27" i="16"/>
  <c r="AY27" i="16"/>
  <c r="AZ27" i="16"/>
  <c r="BA27" i="16"/>
  <c r="BB27" i="16"/>
  <c r="BC27" i="16"/>
  <c r="BD27" i="16"/>
  <c r="BE27" i="16"/>
  <c r="R28" i="16"/>
  <c r="AJ28" i="16" s="1"/>
  <c r="U28" i="16"/>
  <c r="AP28" i="16" s="1"/>
  <c r="AW28" i="16"/>
  <c r="AX28" i="16"/>
  <c r="AY28" i="16"/>
  <c r="AZ28" i="16"/>
  <c r="BA28" i="16"/>
  <c r="BB28" i="16"/>
  <c r="BC28" i="16"/>
  <c r="BD28" i="16"/>
  <c r="BE28" i="16"/>
  <c r="R29" i="16"/>
  <c r="AJ29" i="16" s="1"/>
  <c r="U29" i="16"/>
  <c r="AP29" i="16"/>
  <c r="AW29" i="16"/>
  <c r="AX29" i="16"/>
  <c r="AY29" i="16"/>
  <c r="AZ29" i="16"/>
  <c r="BA29" i="16"/>
  <c r="BB29" i="16"/>
  <c r="BC29" i="16"/>
  <c r="BD29" i="16"/>
  <c r="BE29" i="16"/>
  <c r="R30" i="16"/>
  <c r="AJ30" i="16" s="1"/>
  <c r="U30" i="16"/>
  <c r="AP30" i="16" s="1"/>
  <c r="AW30" i="16"/>
  <c r="BH30" i="16" s="1"/>
  <c r="AX30" i="16"/>
  <c r="AY30" i="16"/>
  <c r="AZ30" i="16"/>
  <c r="BA30" i="16"/>
  <c r="BB30" i="16"/>
  <c r="BC30" i="16"/>
  <c r="BD30" i="16"/>
  <c r="BE30" i="16"/>
  <c r="R31" i="16"/>
  <c r="AJ31" i="16" s="1"/>
  <c r="U31" i="16"/>
  <c r="AP31" i="16" s="1"/>
  <c r="AW31" i="16"/>
  <c r="BH31" i="16" s="1"/>
  <c r="AX31" i="16"/>
  <c r="AY31" i="16"/>
  <c r="AZ31" i="16"/>
  <c r="BA31" i="16"/>
  <c r="BB31" i="16"/>
  <c r="BC31" i="16"/>
  <c r="BD31" i="16"/>
  <c r="BE31" i="16"/>
  <c r="R32" i="16"/>
  <c r="AJ32" i="16" s="1"/>
  <c r="U32" i="16"/>
  <c r="AP32" i="16" s="1"/>
  <c r="AW32" i="16"/>
  <c r="BH32" i="16" s="1"/>
  <c r="AX32" i="16"/>
  <c r="AY32" i="16"/>
  <c r="AZ32" i="16"/>
  <c r="BA32" i="16"/>
  <c r="BB32" i="16"/>
  <c r="BC32" i="16"/>
  <c r="BD32" i="16"/>
  <c r="BE32" i="16"/>
  <c r="R33" i="16"/>
  <c r="AJ33" i="16" s="1"/>
  <c r="U33" i="16"/>
  <c r="AP33" i="16" s="1"/>
  <c r="AW33" i="16"/>
  <c r="AX33" i="16"/>
  <c r="AY33" i="16"/>
  <c r="AZ33" i="16"/>
  <c r="BA33" i="16"/>
  <c r="BB33" i="16"/>
  <c r="BC33" i="16"/>
  <c r="BD33" i="16"/>
  <c r="BE33" i="16"/>
  <c r="R34" i="16"/>
  <c r="U34" i="16"/>
  <c r="AP34" i="16" s="1"/>
  <c r="AJ34" i="16"/>
  <c r="AW34" i="16"/>
  <c r="AX34" i="16"/>
  <c r="AY34" i="16"/>
  <c r="AZ34" i="16"/>
  <c r="BA34" i="16"/>
  <c r="BB34" i="16"/>
  <c r="BC34" i="16"/>
  <c r="BD34" i="16"/>
  <c r="BE34" i="16"/>
  <c r="BH34" i="16"/>
  <c r="R35" i="16"/>
  <c r="AJ35" i="16" s="1"/>
  <c r="U35" i="16"/>
  <c r="AP35" i="16"/>
  <c r="AW35" i="16"/>
  <c r="BH35" i="16" s="1"/>
  <c r="AX35" i="16"/>
  <c r="AY35" i="16"/>
  <c r="AZ35" i="16"/>
  <c r="BA35" i="16"/>
  <c r="BB35" i="16"/>
  <c r="BC35" i="16"/>
  <c r="BD35" i="16"/>
  <c r="BE35" i="16"/>
  <c r="R36" i="16"/>
  <c r="U36" i="16"/>
  <c r="AP36" i="16" s="1"/>
  <c r="AJ36" i="16"/>
  <c r="AW36" i="16"/>
  <c r="AX36" i="16"/>
  <c r="AY36" i="16"/>
  <c r="AZ36" i="16"/>
  <c r="BA36" i="16"/>
  <c r="BB36" i="16"/>
  <c r="BC36" i="16"/>
  <c r="BD36" i="16"/>
  <c r="BE36" i="16"/>
  <c r="R37" i="16"/>
  <c r="U37" i="16"/>
  <c r="AP37" i="16" s="1"/>
  <c r="AJ37" i="16"/>
  <c r="AW37" i="16"/>
  <c r="AX37" i="16"/>
  <c r="AY37" i="16"/>
  <c r="AZ37" i="16"/>
  <c r="BA37" i="16"/>
  <c r="BB37" i="16"/>
  <c r="BC37" i="16"/>
  <c r="BD37" i="16"/>
  <c r="BE37" i="16"/>
  <c r="R38" i="16"/>
  <c r="U38" i="16"/>
  <c r="AP38" i="16" s="1"/>
  <c r="AJ38" i="16"/>
  <c r="AW38" i="16"/>
  <c r="AX38" i="16"/>
  <c r="AY38" i="16"/>
  <c r="AZ38" i="16"/>
  <c r="BA38" i="16"/>
  <c r="BB38" i="16"/>
  <c r="BC38" i="16"/>
  <c r="BD38" i="16"/>
  <c r="BE38" i="16"/>
  <c r="R39" i="16"/>
  <c r="AJ39" i="16" s="1"/>
  <c r="U39" i="16"/>
  <c r="AP39" i="16"/>
  <c r="AW39" i="16"/>
  <c r="AX39" i="16"/>
  <c r="AY39" i="16"/>
  <c r="AZ39" i="16"/>
  <c r="BA39" i="16"/>
  <c r="BB39" i="16"/>
  <c r="BC39" i="16"/>
  <c r="BD39" i="16"/>
  <c r="BE39" i="16"/>
  <c r="BH39" i="16"/>
  <c r="R40" i="16"/>
  <c r="AJ40" i="16" s="1"/>
  <c r="U40" i="16"/>
  <c r="AP40" i="16"/>
  <c r="AW40" i="16"/>
  <c r="AX40" i="16"/>
  <c r="AY40" i="16"/>
  <c r="AZ40" i="16"/>
  <c r="BA40" i="16"/>
  <c r="BB40" i="16"/>
  <c r="BC40" i="16"/>
  <c r="BD40" i="16"/>
  <c r="BE40" i="16"/>
  <c r="R41" i="16"/>
  <c r="AJ41" i="16" s="1"/>
  <c r="U41" i="16"/>
  <c r="AP41" i="16" s="1"/>
  <c r="AW41" i="16"/>
  <c r="BH41" i="16" s="1"/>
  <c r="AX41" i="16"/>
  <c r="AY41" i="16"/>
  <c r="AZ41" i="16"/>
  <c r="BA41" i="16"/>
  <c r="BB41" i="16"/>
  <c r="BC41" i="16"/>
  <c r="BD41" i="16"/>
  <c r="BE41" i="16"/>
  <c r="R42" i="16"/>
  <c r="AJ42" i="16" s="1"/>
  <c r="U42" i="16"/>
  <c r="AP42" i="16" s="1"/>
  <c r="AW42" i="16"/>
  <c r="AX42" i="16"/>
  <c r="AY42" i="16"/>
  <c r="AZ42" i="16"/>
  <c r="BA42" i="16"/>
  <c r="BB42" i="16"/>
  <c r="BC42" i="16"/>
  <c r="BD42" i="16"/>
  <c r="BE42" i="16"/>
  <c r="R43" i="16"/>
  <c r="AJ43" i="16" s="1"/>
  <c r="U43" i="16"/>
  <c r="AP43" i="16"/>
  <c r="AW43" i="16"/>
  <c r="AX43" i="16"/>
  <c r="AY43" i="16"/>
  <c r="AZ43" i="16"/>
  <c r="BA43" i="16"/>
  <c r="BB43" i="16"/>
  <c r="BC43" i="16"/>
  <c r="BD43" i="16"/>
  <c r="BE43" i="16"/>
  <c r="R44" i="16"/>
  <c r="AJ44" i="16" s="1"/>
  <c r="U44" i="16"/>
  <c r="AP44" i="16"/>
  <c r="AW44" i="16"/>
  <c r="BH44" i="16" s="1"/>
  <c r="AX44" i="16"/>
  <c r="AY44" i="16"/>
  <c r="AZ44" i="16"/>
  <c r="BA44" i="16"/>
  <c r="BB44" i="16"/>
  <c r="BC44" i="16"/>
  <c r="BD44" i="16"/>
  <c r="BE44" i="16"/>
  <c r="R45" i="16"/>
  <c r="AJ45" i="16" s="1"/>
  <c r="U45" i="16"/>
  <c r="AP45" i="16"/>
  <c r="AW45" i="16"/>
  <c r="AX45" i="16"/>
  <c r="AY45" i="16"/>
  <c r="AZ45" i="16"/>
  <c r="BA45" i="16"/>
  <c r="BB45" i="16"/>
  <c r="BC45" i="16"/>
  <c r="BD45" i="16"/>
  <c r="BE45" i="16"/>
  <c r="BH45" i="16"/>
  <c r="R46" i="16"/>
  <c r="AJ46" i="16" s="1"/>
  <c r="U46" i="16"/>
  <c r="AP46" i="16" s="1"/>
  <c r="AW46" i="16"/>
  <c r="AX46" i="16"/>
  <c r="AY46" i="16"/>
  <c r="AZ46" i="16"/>
  <c r="BA46" i="16"/>
  <c r="BB46" i="16"/>
  <c r="BC46" i="16"/>
  <c r="BH46" i="16" s="1"/>
  <c r="BD46" i="16"/>
  <c r="BE46" i="16"/>
  <c r="R47" i="16"/>
  <c r="AJ47" i="16" s="1"/>
  <c r="U47" i="16"/>
  <c r="AP47" i="16"/>
  <c r="AW47" i="16"/>
  <c r="AX47" i="16"/>
  <c r="BH47" i="16" s="1"/>
  <c r="AY47" i="16"/>
  <c r="AZ47" i="16"/>
  <c r="BA47" i="16"/>
  <c r="BB47" i="16"/>
  <c r="BC47" i="16"/>
  <c r="BD47" i="16"/>
  <c r="BE47" i="16"/>
  <c r="R48" i="16"/>
  <c r="AJ48" i="16" s="1"/>
  <c r="U48" i="16"/>
  <c r="AP48" i="16" s="1"/>
  <c r="AW48" i="16"/>
  <c r="AX48" i="16"/>
  <c r="AY48" i="16"/>
  <c r="AZ48" i="16"/>
  <c r="BA48" i="16"/>
  <c r="BB48" i="16"/>
  <c r="BC48" i="16"/>
  <c r="BD48" i="16"/>
  <c r="BE48" i="16"/>
  <c r="R49" i="16"/>
  <c r="U49" i="16"/>
  <c r="AP49" i="16" s="1"/>
  <c r="AJ49" i="16"/>
  <c r="AW49" i="16"/>
  <c r="BH49" i="16" s="1"/>
  <c r="AX49" i="16"/>
  <c r="AY49" i="16"/>
  <c r="AZ49" i="16"/>
  <c r="BA49" i="16"/>
  <c r="BB49" i="16"/>
  <c r="BC49" i="16"/>
  <c r="BD49" i="16"/>
  <c r="BE49" i="16"/>
  <c r="R50" i="16"/>
  <c r="U50" i="16"/>
  <c r="AJ50" i="16"/>
  <c r="AP50" i="16"/>
  <c r="AW50" i="16"/>
  <c r="AX50" i="16"/>
  <c r="AY50" i="16"/>
  <c r="AZ50" i="16"/>
  <c r="BH50" i="16" s="1"/>
  <c r="BA50" i="16"/>
  <c r="BB50" i="16"/>
  <c r="BC50" i="16"/>
  <c r="BD50" i="16"/>
  <c r="BE50" i="16"/>
  <c r="R51" i="16"/>
  <c r="AJ51" i="16" s="1"/>
  <c r="U51" i="16"/>
  <c r="AP51" i="16" s="1"/>
  <c r="AW51" i="16"/>
  <c r="AX51" i="16"/>
  <c r="AY51" i="16"/>
  <c r="AZ51" i="16"/>
  <c r="BA51" i="16"/>
  <c r="BB51" i="16"/>
  <c r="BC51" i="16"/>
  <c r="BD51" i="16"/>
  <c r="BE51" i="16"/>
  <c r="BH51" i="16" s="1"/>
  <c r="R52" i="16"/>
  <c r="AJ52" i="16" s="1"/>
  <c r="U52" i="16"/>
  <c r="AP52" i="16" s="1"/>
  <c r="AW52" i="16"/>
  <c r="AX52" i="16"/>
  <c r="AY52" i="16"/>
  <c r="AZ52" i="16"/>
  <c r="BA52" i="16"/>
  <c r="BB52" i="16"/>
  <c r="BC52" i="16"/>
  <c r="BD52" i="16"/>
  <c r="BE52" i="16"/>
  <c r="R53" i="16"/>
  <c r="U53" i="16"/>
  <c r="AP53" i="16" s="1"/>
  <c r="AJ53" i="16"/>
  <c r="AW53" i="16"/>
  <c r="AX53" i="16"/>
  <c r="AY53" i="16"/>
  <c r="AZ53" i="16"/>
  <c r="BA53" i="16"/>
  <c r="BB53" i="16"/>
  <c r="BC53" i="16"/>
  <c r="BD53" i="16"/>
  <c r="BE53" i="16"/>
  <c r="R54" i="16"/>
  <c r="AJ54" i="16" s="1"/>
  <c r="U54" i="16"/>
  <c r="AP54" i="16" s="1"/>
  <c r="AW54" i="16"/>
  <c r="AX54" i="16"/>
  <c r="AY54" i="16"/>
  <c r="AZ54" i="16"/>
  <c r="BA54" i="16"/>
  <c r="BB54" i="16"/>
  <c r="BC54" i="16"/>
  <c r="BD54" i="16"/>
  <c r="BE54" i="16"/>
  <c r="R55" i="16"/>
  <c r="U55" i="16"/>
  <c r="AJ55" i="16"/>
  <c r="AP55" i="16"/>
  <c r="AW55" i="16"/>
  <c r="AX55" i="16"/>
  <c r="AY55" i="16"/>
  <c r="AZ55" i="16"/>
  <c r="BA55" i="16"/>
  <c r="BB55" i="16"/>
  <c r="BC55" i="16"/>
  <c r="BD55" i="16"/>
  <c r="BE55" i="16"/>
  <c r="BH55" i="16"/>
  <c r="R56" i="16"/>
  <c r="AJ56" i="16" s="1"/>
  <c r="U56" i="16"/>
  <c r="AP56" i="16"/>
  <c r="AW56" i="16"/>
  <c r="AX56" i="16"/>
  <c r="AY56" i="16"/>
  <c r="AZ56" i="16"/>
  <c r="BA56" i="16"/>
  <c r="BB56" i="16"/>
  <c r="BC56" i="16"/>
  <c r="BD56" i="16"/>
  <c r="BE56" i="16"/>
  <c r="BH56" i="16"/>
  <c r="R57" i="16"/>
  <c r="AJ57" i="16" s="1"/>
  <c r="U57" i="16"/>
  <c r="AP57" i="16" s="1"/>
  <c r="AW57" i="16"/>
  <c r="AX57" i="16"/>
  <c r="AY57" i="16"/>
  <c r="AZ57" i="16"/>
  <c r="BA57" i="16"/>
  <c r="BB57" i="16"/>
  <c r="BC57" i="16"/>
  <c r="BD57" i="16"/>
  <c r="BE57" i="16"/>
  <c r="R58" i="16"/>
  <c r="AJ58" i="16" s="1"/>
  <c r="U58" i="16"/>
  <c r="AP58" i="16" s="1"/>
  <c r="AW58" i="16"/>
  <c r="AX58" i="16"/>
  <c r="AY58" i="16"/>
  <c r="AZ58" i="16"/>
  <c r="BA58" i="16"/>
  <c r="BB58" i="16"/>
  <c r="BC58" i="16"/>
  <c r="BD58" i="16"/>
  <c r="BE58" i="16"/>
  <c r="R59" i="16"/>
  <c r="U59" i="16"/>
  <c r="AJ59" i="16"/>
  <c r="AP59" i="16"/>
  <c r="AW59" i="16"/>
  <c r="AX59" i="16"/>
  <c r="AY59" i="16"/>
  <c r="AZ59" i="16"/>
  <c r="BA59" i="16"/>
  <c r="BB59" i="16"/>
  <c r="BC59" i="16"/>
  <c r="BD59" i="16"/>
  <c r="BE59" i="16"/>
  <c r="R60" i="16"/>
  <c r="U60" i="16"/>
  <c r="AP60" i="16" s="1"/>
  <c r="AJ60" i="16"/>
  <c r="AW60" i="16"/>
  <c r="AX60" i="16"/>
  <c r="AY60" i="16"/>
  <c r="AZ60" i="16"/>
  <c r="BA60" i="16"/>
  <c r="BB60" i="16"/>
  <c r="BC60" i="16"/>
  <c r="BD60" i="16"/>
  <c r="BE60" i="16"/>
  <c r="BH60" i="16"/>
  <c r="R61" i="16"/>
  <c r="AJ61" i="16" s="1"/>
  <c r="U61" i="16"/>
  <c r="AP61" i="16"/>
  <c r="AW61" i="16"/>
  <c r="AX61" i="16"/>
  <c r="AY61" i="16"/>
  <c r="AZ61" i="16"/>
  <c r="BA61" i="16"/>
  <c r="BB61" i="16"/>
  <c r="BC61" i="16"/>
  <c r="BD61" i="16"/>
  <c r="BE61" i="16"/>
  <c r="BH61" i="16"/>
  <c r="R62" i="16"/>
  <c r="AJ62" i="16" s="1"/>
  <c r="U62" i="16"/>
  <c r="AP62" i="16" s="1"/>
  <c r="AW62" i="16"/>
  <c r="AX62" i="16"/>
  <c r="AY62" i="16"/>
  <c r="AZ62" i="16"/>
  <c r="BA62" i="16"/>
  <c r="BB62" i="16"/>
  <c r="BC62" i="16"/>
  <c r="BD62" i="16"/>
  <c r="BE62" i="16"/>
  <c r="R63" i="16"/>
  <c r="U63" i="16"/>
  <c r="AP63" i="16" s="1"/>
  <c r="AJ63" i="16"/>
  <c r="AW63" i="16"/>
  <c r="AX63" i="16"/>
  <c r="AY63" i="16"/>
  <c r="AZ63" i="16"/>
  <c r="BA63" i="16"/>
  <c r="BB63" i="16"/>
  <c r="BC63" i="16"/>
  <c r="BD63" i="16"/>
  <c r="BE63" i="16"/>
  <c r="R64" i="16"/>
  <c r="U64" i="16"/>
  <c r="AJ64" i="16"/>
  <c r="AP64" i="16"/>
  <c r="AW64" i="16"/>
  <c r="AX64" i="16"/>
  <c r="AY64" i="16"/>
  <c r="BH64" i="16" s="1"/>
  <c r="AZ64" i="16"/>
  <c r="BA64" i="16"/>
  <c r="BB64" i="16"/>
  <c r="BC64" i="16"/>
  <c r="BD64" i="16"/>
  <c r="BE64" i="16"/>
  <c r="R65" i="16"/>
  <c r="AJ65" i="16" s="1"/>
  <c r="U65" i="16"/>
  <c r="AP65" i="16" s="1"/>
  <c r="AW65" i="16"/>
  <c r="AX65" i="16"/>
  <c r="AY65" i="16"/>
  <c r="AZ65" i="16"/>
  <c r="BA65" i="16"/>
  <c r="BB65" i="16"/>
  <c r="BC65" i="16"/>
  <c r="BD65" i="16"/>
  <c r="BE65" i="16"/>
  <c r="R66" i="16"/>
  <c r="AJ66" i="16" s="1"/>
  <c r="U66" i="16"/>
  <c r="AP66" i="16" s="1"/>
  <c r="AW66" i="16"/>
  <c r="AX66" i="16"/>
  <c r="AY66" i="16"/>
  <c r="AZ66" i="16"/>
  <c r="BA66" i="16"/>
  <c r="BB66" i="16"/>
  <c r="BC66" i="16"/>
  <c r="BD66" i="16"/>
  <c r="BE66" i="16"/>
  <c r="BH66" i="16"/>
  <c r="R67" i="16"/>
  <c r="U67" i="16"/>
  <c r="AP67" i="16" s="1"/>
  <c r="AJ67" i="16"/>
  <c r="AW67" i="16"/>
  <c r="AX67" i="16"/>
  <c r="AY67" i="16"/>
  <c r="AZ67" i="16"/>
  <c r="BA67" i="16"/>
  <c r="BB67" i="16"/>
  <c r="BC67" i="16"/>
  <c r="BD67" i="16"/>
  <c r="BE67" i="16"/>
  <c r="BH67" i="16"/>
  <c r="R68" i="16"/>
  <c r="AJ68" i="16" s="1"/>
  <c r="U68" i="16"/>
  <c r="AP68" i="16"/>
  <c r="AW68" i="16"/>
  <c r="BH68" i="16" s="1"/>
  <c r="AX68" i="16"/>
  <c r="AY68" i="16"/>
  <c r="AZ68" i="16"/>
  <c r="BA68" i="16"/>
  <c r="BB68" i="16"/>
  <c r="BC68" i="16"/>
  <c r="BD68" i="16"/>
  <c r="BE68" i="16"/>
  <c r="R69" i="16"/>
  <c r="AJ69" i="16" s="1"/>
  <c r="U69" i="16"/>
  <c r="AP69" i="16" s="1"/>
  <c r="AW69" i="16"/>
  <c r="AX69" i="16"/>
  <c r="AY69" i="16"/>
  <c r="AZ69" i="16"/>
  <c r="BA69" i="16"/>
  <c r="BB69" i="16"/>
  <c r="BC69" i="16"/>
  <c r="BD69" i="16"/>
  <c r="BE69" i="16"/>
  <c r="R70" i="16"/>
  <c r="AJ70" i="16" s="1"/>
  <c r="U70" i="16"/>
  <c r="AP70" i="16" s="1"/>
  <c r="AW70" i="16"/>
  <c r="AX70" i="16"/>
  <c r="AY70" i="16"/>
  <c r="AZ70" i="16"/>
  <c r="BA70" i="16"/>
  <c r="BB70" i="16"/>
  <c r="BC70" i="16"/>
  <c r="BD70" i="16"/>
  <c r="BE70" i="16"/>
  <c r="R71" i="16"/>
  <c r="U71" i="16"/>
  <c r="AJ71" i="16"/>
  <c r="AP71" i="16"/>
  <c r="AW71" i="16"/>
  <c r="AX71" i="16"/>
  <c r="AY71" i="16"/>
  <c r="AZ71" i="16"/>
  <c r="BA71" i="16"/>
  <c r="BB71" i="16"/>
  <c r="BC71" i="16"/>
  <c r="BD71" i="16"/>
  <c r="BE71" i="16"/>
  <c r="R72" i="16"/>
  <c r="AJ72" i="16" s="1"/>
  <c r="U72" i="16"/>
  <c r="AP72" i="16"/>
  <c r="AW72" i="16"/>
  <c r="AX72" i="16"/>
  <c r="AY72" i="16"/>
  <c r="AZ72" i="16"/>
  <c r="BA72" i="16"/>
  <c r="BB72" i="16"/>
  <c r="BC72" i="16"/>
  <c r="BD72" i="16"/>
  <c r="BE72" i="16"/>
  <c r="BH72" i="16"/>
  <c r="G73" i="16"/>
  <c r="L73" i="16"/>
  <c r="O73" i="16"/>
  <c r="R73" i="16"/>
  <c r="AJ73" i="16" s="1"/>
  <c r="U73" i="16"/>
  <c r="AP73" i="16"/>
  <c r="AU73" i="16"/>
  <c r="AW73" i="16"/>
  <c r="AX73" i="16"/>
  <c r="AY73" i="16"/>
  <c r="AZ73" i="16"/>
  <c r="BA73" i="16"/>
  <c r="BB73" i="16"/>
  <c r="BC73" i="16"/>
  <c r="BD73" i="16"/>
  <c r="BE73" i="16"/>
  <c r="G74" i="16"/>
  <c r="H74" i="16"/>
  <c r="L74" i="16"/>
  <c r="M74" i="16"/>
  <c r="O74" i="16"/>
  <c r="R74" i="16"/>
  <c r="AJ74" i="16" s="1"/>
  <c r="U74" i="16"/>
  <c r="AP74" i="16" s="1"/>
  <c r="AU74" i="16"/>
  <c r="AW74" i="16"/>
  <c r="AX74" i="16"/>
  <c r="AY74" i="16"/>
  <c r="AZ74" i="16"/>
  <c r="BA74" i="16"/>
  <c r="BB74" i="16"/>
  <c r="BC74" i="16"/>
  <c r="BD74" i="16"/>
  <c r="BE74" i="16"/>
  <c r="G75" i="16"/>
  <c r="H75" i="16"/>
  <c r="L75" i="16"/>
  <c r="M75" i="16"/>
  <c r="O75" i="16"/>
  <c r="R75" i="16"/>
  <c r="AJ75" i="16" s="1"/>
  <c r="U75" i="16"/>
  <c r="AP75" i="16" s="1"/>
  <c r="AU75" i="16"/>
  <c r="AW75" i="16"/>
  <c r="AX75" i="16"/>
  <c r="AY75" i="16"/>
  <c r="AZ75" i="16"/>
  <c r="BA75" i="16"/>
  <c r="BB75" i="16"/>
  <c r="BC75" i="16"/>
  <c r="BD75" i="16"/>
  <c r="BE75" i="16"/>
  <c r="G76" i="16"/>
  <c r="H76" i="16"/>
  <c r="L76" i="16"/>
  <c r="M76" i="16"/>
  <c r="O76" i="16"/>
  <c r="R76" i="16"/>
  <c r="AJ76" i="16" s="1"/>
  <c r="U76" i="16"/>
  <c r="AC76" i="16"/>
  <c r="AP76" i="16"/>
  <c r="AW76" i="16"/>
  <c r="AX76" i="16"/>
  <c r="AY76" i="16"/>
  <c r="AZ76" i="16"/>
  <c r="BA76" i="16"/>
  <c r="BB76" i="16"/>
  <c r="BC76" i="16"/>
  <c r="BD76" i="16"/>
  <c r="BE76" i="16"/>
  <c r="G77" i="16"/>
  <c r="L77" i="16"/>
  <c r="M77" i="16"/>
  <c r="O77" i="16"/>
  <c r="AU77" i="16" s="1"/>
  <c r="R77" i="16"/>
  <c r="AJ77" i="16" s="1"/>
  <c r="U77" i="16"/>
  <c r="AP77" i="16" s="1"/>
  <c r="AW77" i="16"/>
  <c r="AX77" i="16"/>
  <c r="AY77" i="16"/>
  <c r="AZ77" i="16"/>
  <c r="BA77" i="16"/>
  <c r="BB77" i="16"/>
  <c r="BC77" i="16"/>
  <c r="BD77" i="16"/>
  <c r="BE77" i="16"/>
  <c r="BH77" i="16"/>
  <c r="G78" i="16"/>
  <c r="L78" i="16"/>
  <c r="M78" i="16"/>
  <c r="O78" i="16"/>
  <c r="R78" i="16"/>
  <c r="AJ78" i="16" s="1"/>
  <c r="U78" i="16"/>
  <c r="AP78" i="16" s="1"/>
  <c r="AU78" i="16"/>
  <c r="AW78" i="16"/>
  <c r="AX78" i="16"/>
  <c r="AY78" i="16"/>
  <c r="AZ78" i="16"/>
  <c r="BA78" i="16"/>
  <c r="BB78" i="16"/>
  <c r="BC78" i="16"/>
  <c r="BD78" i="16"/>
  <c r="BE78" i="16"/>
  <c r="G79" i="16"/>
  <c r="L79" i="16"/>
  <c r="O79" i="16"/>
  <c r="R79" i="16"/>
  <c r="U79" i="16"/>
  <c r="AP79" i="16" s="1"/>
  <c r="AJ79" i="16"/>
  <c r="AU79" i="16"/>
  <c r="AW79" i="16"/>
  <c r="AX79" i="16"/>
  <c r="AY79" i="16"/>
  <c r="AZ79" i="16"/>
  <c r="BA79" i="16"/>
  <c r="BB79" i="16"/>
  <c r="BC79" i="16"/>
  <c r="BD79" i="16"/>
  <c r="BE79" i="16"/>
  <c r="R80" i="16"/>
  <c r="AJ80" i="16" s="1"/>
  <c r="U80" i="16"/>
  <c r="AP80" i="16" s="1"/>
  <c r="AW80" i="16"/>
  <c r="AX80" i="16"/>
  <c r="AY80" i="16"/>
  <c r="AZ80" i="16"/>
  <c r="BA80" i="16"/>
  <c r="BB80" i="16"/>
  <c r="BC80" i="16"/>
  <c r="BD80" i="16"/>
  <c r="BE80" i="16"/>
  <c r="Z81" i="16"/>
  <c r="AA81" i="16"/>
  <c r="AB81" i="16"/>
  <c r="AC81" i="16"/>
  <c r="AD81" i="16"/>
  <c r="BI81" i="16" s="1"/>
  <c r="AE81" i="16"/>
  <c r="BJ81" i="16" s="1"/>
  <c r="AF81" i="16"/>
  <c r="AH81" i="16"/>
  <c r="AI81" i="16"/>
  <c r="AJ81" i="16"/>
  <c r="AK81" i="16"/>
  <c r="AL81" i="16"/>
  <c r="AM81" i="16"/>
  <c r="AN81" i="16"/>
  <c r="AO81" i="16"/>
  <c r="AP81" i="16"/>
  <c r="AQ81" i="16"/>
  <c r="AT81" i="16"/>
  <c r="AU81" i="16"/>
  <c r="AV81" i="16"/>
  <c r="AW81" i="16"/>
  <c r="AX81" i="16"/>
  <c r="AY81" i="16"/>
  <c r="AZ81" i="16"/>
  <c r="BA81" i="16"/>
  <c r="BB81" i="16"/>
  <c r="BC81" i="16"/>
  <c r="BD81" i="16"/>
  <c r="BE81" i="16"/>
  <c r="E84" i="16"/>
  <c r="F90" i="16"/>
  <c r="G90" i="16"/>
  <c r="H90" i="16"/>
  <c r="K90" i="16"/>
  <c r="L90" i="16" s="1"/>
  <c r="N90" i="16"/>
  <c r="O90" i="16"/>
  <c r="Q90" i="16"/>
  <c r="F27" i="15"/>
  <c r="B27" i="15"/>
  <c r="H20" i="15"/>
  <c r="F20" i="15"/>
  <c r="J20" i="15" s="1"/>
  <c r="H18" i="15"/>
  <c r="F14" i="15"/>
  <c r="J14" i="15" s="1"/>
  <c r="F12" i="15"/>
  <c r="J12" i="15" s="1"/>
  <c r="H10" i="15"/>
  <c r="H12" i="15" s="1"/>
  <c r="F10" i="15"/>
  <c r="J10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" i="15"/>
  <c r="AQ80" i="18" l="1"/>
  <c r="AR80" i="18"/>
  <c r="AQ35" i="18"/>
  <c r="AR35" i="18"/>
  <c r="AG27" i="18"/>
  <c r="AH27" i="18" s="1"/>
  <c r="AR54" i="18"/>
  <c r="AG57" i="18"/>
  <c r="AH57" i="18" s="1"/>
  <c r="X27" i="18"/>
  <c r="M27" i="18"/>
  <c r="BB20" i="18" s="1"/>
  <c r="AD27" i="18"/>
  <c r="AE27" i="18" s="1"/>
  <c r="AQ31" i="18"/>
  <c r="AR31" i="18"/>
  <c r="M17" i="18"/>
  <c r="BB17" i="18" s="1"/>
  <c r="AD17" i="18"/>
  <c r="AE17" i="18" s="1"/>
  <c r="X17" i="18"/>
  <c r="AG50" i="18"/>
  <c r="AH50" i="18" s="1"/>
  <c r="AG33" i="18"/>
  <c r="AH33" i="18" s="1"/>
  <c r="AQ19" i="18"/>
  <c r="AR19" i="18"/>
  <c r="M21" i="18"/>
  <c r="BB19" i="18" s="1"/>
  <c r="AD93" i="18"/>
  <c r="AE93" i="18" s="1"/>
  <c r="AG93" i="18"/>
  <c r="AH93" i="18" s="1"/>
  <c r="X92" i="18"/>
  <c r="AT78" i="18"/>
  <c r="Y57" i="18"/>
  <c r="AD78" i="18"/>
  <c r="M78" i="18"/>
  <c r="BB24" i="18" s="1"/>
  <c r="X78" i="18"/>
  <c r="M50" i="18"/>
  <c r="BB32" i="18" s="1"/>
  <c r="X50" i="18"/>
  <c r="Y50" i="18" s="1"/>
  <c r="AD50" i="18"/>
  <c r="AE50" i="18" s="1"/>
  <c r="AR39" i="18"/>
  <c r="AQ39" i="18"/>
  <c r="AG30" i="18"/>
  <c r="AH30" i="18" s="1"/>
  <c r="AD16" i="18"/>
  <c r="AE16" i="18" s="1"/>
  <c r="M16" i="18"/>
  <c r="BB16" i="18" s="1"/>
  <c r="X16" i="18"/>
  <c r="Y16" i="18" s="1"/>
  <c r="AQ91" i="18"/>
  <c r="AR91" i="18"/>
  <c r="M92" i="18"/>
  <c r="AD30" i="18"/>
  <c r="AE30" i="18" s="1"/>
  <c r="M30" i="18"/>
  <c r="BB27" i="18" s="1"/>
  <c r="X30" i="18"/>
  <c r="Y30" i="18" s="1"/>
  <c r="AG16" i="18"/>
  <c r="AH16" i="18" s="1"/>
  <c r="AQ44" i="18"/>
  <c r="AR44" i="18"/>
  <c r="AE85" i="18"/>
  <c r="AR79" i="18"/>
  <c r="M85" i="18"/>
  <c r="AJ57" i="18"/>
  <c r="AK57" i="18" s="1"/>
  <c r="AT30" i="18"/>
  <c r="AR62" i="18"/>
  <c r="AQ62" i="18"/>
  <c r="AG85" i="18"/>
  <c r="AH85" i="18" s="1"/>
  <c r="AQ70" i="18"/>
  <c r="X43" i="18"/>
  <c r="AD43" i="18"/>
  <c r="M43" i="18"/>
  <c r="AQ16" i="18"/>
  <c r="AE57" i="18"/>
  <c r="AK93" i="18"/>
  <c r="AK33" i="18"/>
  <c r="AG94" i="18"/>
  <c r="AH94" i="18" s="1"/>
  <c r="AJ94" i="18"/>
  <c r="AK94" i="18" s="1"/>
  <c r="X93" i="18"/>
  <c r="Y93" i="18" s="1"/>
  <c r="AR87" i="18"/>
  <c r="AQ86" i="18"/>
  <c r="AQ61" i="18"/>
  <c r="AR61" i="18"/>
  <c r="AD94" i="18"/>
  <c r="AE94" i="18" s="1"/>
  <c r="AH14" i="18"/>
  <c r="M36" i="18"/>
  <c r="BB25" i="18" s="1"/>
  <c r="AJ36" i="18"/>
  <c r="AK36" i="18" s="1"/>
  <c r="X15" i="18"/>
  <c r="Y15" i="18" s="1"/>
  <c r="AQ56" i="18"/>
  <c r="X21" i="18"/>
  <c r="X33" i="18"/>
  <c r="Y33" i="18" s="1"/>
  <c r="AD64" i="18"/>
  <c r="M64" i="18"/>
  <c r="AJ64" i="18"/>
  <c r="M14" i="18"/>
  <c r="AD14" i="18"/>
  <c r="AE14" i="18" s="1"/>
  <c r="AH13" i="18"/>
  <c r="AQ79" i="18"/>
  <c r="AT43" i="18"/>
  <c r="AQ38" i="18"/>
  <c r="AR34" i="18"/>
  <c r="I22" i="18"/>
  <c r="K22" i="18"/>
  <c r="AQ34" i="18"/>
  <c r="AE13" i="18"/>
  <c r="AG64" i="18"/>
  <c r="AR56" i="18"/>
  <c r="AR74" i="18"/>
  <c r="AR51" i="18"/>
  <c r="AD36" i="18"/>
  <c r="AE36" i="18" s="1"/>
  <c r="AD33" i="18"/>
  <c r="AE33" i="18" s="1"/>
  <c r="AR23" i="18"/>
  <c r="AR75" i="18"/>
  <c r="AQ74" i="18"/>
  <c r="AR52" i="18"/>
  <c r="AQ51" i="18"/>
  <c r="AD21" i="18"/>
  <c r="X18" i="18"/>
  <c r="Y18" i="18" s="1"/>
  <c r="K17" i="18"/>
  <c r="X14" i="18"/>
  <c r="Y14" i="18" s="1"/>
  <c r="G67" i="17"/>
  <c r="S67" i="17"/>
  <c r="M67" i="17"/>
  <c r="P67" i="17"/>
  <c r="J67" i="17"/>
  <c r="Y8" i="17"/>
  <c r="F10" i="17"/>
  <c r="S38" i="17"/>
  <c r="G38" i="17"/>
  <c r="J38" i="17"/>
  <c r="M38" i="17"/>
  <c r="P38" i="17"/>
  <c r="S45" i="17"/>
  <c r="M45" i="17"/>
  <c r="P45" i="17"/>
  <c r="J45" i="17"/>
  <c r="P20" i="17"/>
  <c r="S20" i="17"/>
  <c r="G20" i="17"/>
  <c r="J20" i="17"/>
  <c r="M20" i="17"/>
  <c r="P77" i="17"/>
  <c r="S77" i="17"/>
  <c r="G77" i="17"/>
  <c r="J77" i="17"/>
  <c r="H77" i="16" s="1"/>
  <c r="AC77" i="16" s="1"/>
  <c r="M77" i="17"/>
  <c r="AC73" i="16"/>
  <c r="G63" i="17"/>
  <c r="P63" i="17"/>
  <c r="J63" i="17"/>
  <c r="M63" i="17"/>
  <c r="S59" i="17"/>
  <c r="M59" i="17"/>
  <c r="P59" i="17"/>
  <c r="G59" i="17"/>
  <c r="M80" i="17"/>
  <c r="P80" i="17"/>
  <c r="G80" i="17"/>
  <c r="J80" i="17"/>
  <c r="M78" i="17"/>
  <c r="G78" i="17"/>
  <c r="J78" i="17"/>
  <c r="H78" i="16" s="1"/>
  <c r="S78" i="17"/>
  <c r="M51" i="17"/>
  <c r="P51" i="17"/>
  <c r="G51" i="17"/>
  <c r="S51" i="17"/>
  <c r="P62" i="17"/>
  <c r="S62" i="17"/>
  <c r="M62" i="17"/>
  <c r="J62" i="17"/>
  <c r="R10" i="17"/>
  <c r="Y9" i="17"/>
  <c r="AC78" i="16"/>
  <c r="J66" i="17"/>
  <c r="P66" i="17"/>
  <c r="M66" i="17"/>
  <c r="G66" i="17"/>
  <c r="P27" i="17"/>
  <c r="S27" i="17"/>
  <c r="G27" i="17"/>
  <c r="G21" i="17"/>
  <c r="J21" i="17"/>
  <c r="P21" i="17"/>
  <c r="S21" i="17"/>
  <c r="M21" i="17"/>
  <c r="P41" i="17"/>
  <c r="S41" i="17"/>
  <c r="J41" i="17"/>
  <c r="M41" i="17"/>
  <c r="G28" i="17"/>
  <c r="J28" i="17"/>
  <c r="M37" i="17"/>
  <c r="P37" i="17"/>
  <c r="J37" i="17"/>
  <c r="G14" i="17"/>
  <c r="D83" i="17"/>
  <c r="AF14" i="17"/>
  <c r="M14" i="17"/>
  <c r="S14" i="17"/>
  <c r="AG81" i="17"/>
  <c r="G79" i="17"/>
  <c r="J79" i="17"/>
  <c r="H79" i="16" s="1"/>
  <c r="S79" i="17"/>
  <c r="G42" i="17"/>
  <c r="J42" i="17"/>
  <c r="M30" i="17"/>
  <c r="P30" i="17"/>
  <c r="S30" i="17"/>
  <c r="J30" i="17"/>
  <c r="M16" i="17"/>
  <c r="P16" i="17"/>
  <c r="S16" i="17"/>
  <c r="J16" i="17"/>
  <c r="J73" i="17"/>
  <c r="H73" i="16" s="1"/>
  <c r="J71" i="17"/>
  <c r="M28" i="17"/>
  <c r="G72" i="17"/>
  <c r="J72" i="17"/>
  <c r="S72" i="17"/>
  <c r="G71" i="17"/>
  <c r="M73" i="17"/>
  <c r="P73" i="17"/>
  <c r="P70" i="17"/>
  <c r="S70" i="17"/>
  <c r="G70" i="17"/>
  <c r="G41" i="17"/>
  <c r="G83" i="17" s="1"/>
  <c r="P14" i="17"/>
  <c r="M65" i="17"/>
  <c r="P65" i="17"/>
  <c r="M58" i="17"/>
  <c r="P58" i="17"/>
  <c r="M44" i="17"/>
  <c r="P44" i="17"/>
  <c r="M13" i="17"/>
  <c r="P13" i="17"/>
  <c r="J13" i="17"/>
  <c r="M76" i="17"/>
  <c r="M69" i="17"/>
  <c r="M23" i="17"/>
  <c r="P23" i="17"/>
  <c r="S23" i="17"/>
  <c r="S65" i="17"/>
  <c r="P55" i="17"/>
  <c r="S55" i="17"/>
  <c r="AF13" i="17"/>
  <c r="P52" i="17"/>
  <c r="P48" i="17"/>
  <c r="S48" i="17"/>
  <c r="P34" i="17"/>
  <c r="S34" i="17"/>
  <c r="P31" i="17"/>
  <c r="P17" i="17"/>
  <c r="W16" i="17"/>
  <c r="J57" i="17"/>
  <c r="M54" i="17"/>
  <c r="J50" i="17"/>
  <c r="J43" i="17"/>
  <c r="J36" i="17"/>
  <c r="J29" i="17"/>
  <c r="M26" i="17"/>
  <c r="J22" i="17"/>
  <c r="M19" i="17"/>
  <c r="BH80" i="16"/>
  <c r="AG81" i="16"/>
  <c r="BH71" i="16"/>
  <c r="BH78" i="16"/>
  <c r="BH48" i="16"/>
  <c r="BH76" i="16"/>
  <c r="AU76" i="16"/>
  <c r="BH62" i="16"/>
  <c r="BH75" i="16"/>
  <c r="BH81" i="16"/>
  <c r="AC74" i="16"/>
  <c r="BH70" i="16"/>
  <c r="BH37" i="16"/>
  <c r="BH52" i="16"/>
  <c r="BH79" i="16"/>
  <c r="BH69" i="16"/>
  <c r="BH65" i="16"/>
  <c r="M90" i="16"/>
  <c r="BH73" i="16"/>
  <c r="AC75" i="16"/>
  <c r="AC79" i="16"/>
  <c r="BH59" i="16"/>
  <c r="BH57" i="16"/>
  <c r="BH54" i="16"/>
  <c r="BH74" i="16"/>
  <c r="BH29" i="16"/>
  <c r="BH24" i="16"/>
  <c r="BH19" i="16"/>
  <c r="BH17" i="16"/>
  <c r="BH53" i="16"/>
  <c r="BH13" i="16"/>
  <c r="BH58" i="16"/>
  <c r="BH38" i="16"/>
  <c r="BH33" i="16"/>
  <c r="BH21" i="16"/>
  <c r="BH63" i="16"/>
  <c r="BH43" i="16"/>
  <c r="BH40" i="16"/>
  <c r="BH28" i="16"/>
  <c r="BH42" i="16"/>
  <c r="BH14" i="16"/>
  <c r="BH22" i="16"/>
  <c r="BH36" i="16"/>
  <c r="BH27" i="16"/>
  <c r="BH18" i="16"/>
  <c r="AE43" i="18" l="1"/>
  <c r="AE64" i="18"/>
  <c r="BB31" i="18"/>
  <c r="AH43" i="18"/>
  <c r="Y92" i="18"/>
  <c r="Y17" i="18"/>
  <c r="Y102" i="18" s="1"/>
  <c r="AG17" i="18"/>
  <c r="AH17" i="18" s="1"/>
  <c r="AE21" i="18"/>
  <c r="AH21" i="18"/>
  <c r="BB22" i="18"/>
  <c r="Y64" i="18"/>
  <c r="AE78" i="18"/>
  <c r="BB14" i="18"/>
  <c r="AG24" i="18"/>
  <c r="Y36" i="18"/>
  <c r="AH92" i="18"/>
  <c r="BB29" i="18"/>
  <c r="AE92" i="18"/>
  <c r="AK92" i="18"/>
  <c r="Y43" i="18"/>
  <c r="AH64" i="18"/>
  <c r="AH36" i="18"/>
  <c r="Y21" i="18"/>
  <c r="AH78" i="18"/>
  <c r="AD24" i="18"/>
  <c r="M24" i="18"/>
  <c r="BB26" i="18" s="1"/>
  <c r="X24" i="18"/>
  <c r="Y24" i="18" s="1"/>
  <c r="AK64" i="18"/>
  <c r="BB28" i="18"/>
  <c r="AK85" i="18"/>
  <c r="Y85" i="18"/>
  <c r="Y78" i="18"/>
  <c r="Y27" i="18"/>
  <c r="S83" i="17"/>
  <c r="T83" i="17" s="1"/>
  <c r="J83" i="17"/>
  <c r="K83" i="17" s="1"/>
  <c r="P83" i="17"/>
  <c r="Q83" i="17" s="1"/>
  <c r="M83" i="17"/>
  <c r="N83" i="17" s="1"/>
  <c r="Y10" i="17"/>
  <c r="H83" i="17"/>
  <c r="W17" i="17"/>
  <c r="V16" i="16"/>
  <c r="AQ16" i="16" s="1"/>
  <c r="AF16" i="17"/>
  <c r="AH24" i="18" l="1"/>
  <c r="AH102" i="18" s="1"/>
  <c r="AE24" i="18"/>
  <c r="AE102" i="18" s="1"/>
  <c r="T14" i="17"/>
  <c r="T21" i="17"/>
  <c r="T28" i="17"/>
  <c r="T35" i="17"/>
  <c r="T42" i="17"/>
  <c r="T49" i="17"/>
  <c r="T56" i="17"/>
  <c r="T63" i="17"/>
  <c r="T17" i="17"/>
  <c r="T24" i="17"/>
  <c r="T31" i="17"/>
  <c r="T38" i="17"/>
  <c r="T45" i="17"/>
  <c r="T52" i="17"/>
  <c r="T59" i="17"/>
  <c r="T13" i="17"/>
  <c r="T18" i="17"/>
  <c r="T25" i="17"/>
  <c r="T32" i="17"/>
  <c r="T39" i="17"/>
  <c r="T46" i="17"/>
  <c r="T53" i="17"/>
  <c r="T60" i="17"/>
  <c r="T15" i="17"/>
  <c r="T29" i="17"/>
  <c r="T74" i="17"/>
  <c r="T64" i="17"/>
  <c r="T65" i="17"/>
  <c r="T67" i="17"/>
  <c r="T33" i="17"/>
  <c r="T34" i="17"/>
  <c r="T47" i="17"/>
  <c r="T48" i="17"/>
  <c r="T73" i="17"/>
  <c r="T80" i="17"/>
  <c r="T22" i="17"/>
  <c r="T37" i="17"/>
  <c r="T61" i="17"/>
  <c r="T62" i="17"/>
  <c r="T66" i="17"/>
  <c r="T26" i="17"/>
  <c r="T27" i="17"/>
  <c r="T68" i="17"/>
  <c r="T75" i="17"/>
  <c r="T51" i="17"/>
  <c r="T78" i="17"/>
  <c r="T41" i="17"/>
  <c r="T36" i="17"/>
  <c r="T70" i="17"/>
  <c r="T16" i="17"/>
  <c r="T30" i="17"/>
  <c r="T54" i="17"/>
  <c r="T43" i="17"/>
  <c r="T58" i="17"/>
  <c r="T76" i="17"/>
  <c r="T79" i="17"/>
  <c r="T23" i="17"/>
  <c r="T69" i="17"/>
  <c r="T71" i="17"/>
  <c r="T19" i="17"/>
  <c r="T55" i="17"/>
  <c r="T44" i="17"/>
  <c r="T20" i="17"/>
  <c r="T57" i="17"/>
  <c r="T77" i="17"/>
  <c r="T40" i="17"/>
  <c r="T72" i="17"/>
  <c r="T50" i="17"/>
  <c r="AF17" i="17"/>
  <c r="V17" i="16"/>
  <c r="AQ17" i="16" s="1"/>
  <c r="W18" i="17"/>
  <c r="N20" i="17"/>
  <c r="N27" i="17"/>
  <c r="N34" i="17"/>
  <c r="N41" i="17"/>
  <c r="N48" i="17"/>
  <c r="N55" i="17"/>
  <c r="N62" i="17"/>
  <c r="N13" i="17"/>
  <c r="N16" i="17"/>
  <c r="N23" i="17"/>
  <c r="N30" i="17"/>
  <c r="N37" i="17"/>
  <c r="N44" i="17"/>
  <c r="N51" i="17"/>
  <c r="N58" i="17"/>
  <c r="N65" i="17"/>
  <c r="N17" i="17"/>
  <c r="N24" i="17"/>
  <c r="N31" i="17"/>
  <c r="N38" i="17"/>
  <c r="N45" i="17"/>
  <c r="N52" i="17"/>
  <c r="N59" i="17"/>
  <c r="N18" i="17"/>
  <c r="N19" i="17"/>
  <c r="N32" i="17"/>
  <c r="N33" i="17"/>
  <c r="N47" i="17"/>
  <c r="N53" i="17"/>
  <c r="N73" i="17"/>
  <c r="AC73" i="17" s="1"/>
  <c r="N80" i="17"/>
  <c r="N54" i="17"/>
  <c r="N60" i="17"/>
  <c r="N35" i="17"/>
  <c r="N36" i="17"/>
  <c r="N42" i="17"/>
  <c r="N72" i="17"/>
  <c r="N79" i="17"/>
  <c r="AC79" i="17" s="1"/>
  <c r="N50" i="17"/>
  <c r="N56" i="17"/>
  <c r="N15" i="17"/>
  <c r="N28" i="17"/>
  <c r="N29" i="17"/>
  <c r="N39" i="17"/>
  <c r="N74" i="17"/>
  <c r="AC74" i="17" s="1"/>
  <c r="N21" i="17"/>
  <c r="N57" i="17"/>
  <c r="N67" i="17"/>
  <c r="N66" i="17"/>
  <c r="N68" i="17"/>
  <c r="N61" i="17"/>
  <c r="N75" i="17"/>
  <c r="AC75" i="17" s="1"/>
  <c r="N22" i="17"/>
  <c r="N26" i="17"/>
  <c r="N63" i="17"/>
  <c r="N76" i="17"/>
  <c r="AC76" i="17" s="1"/>
  <c r="N14" i="17"/>
  <c r="N25" i="17"/>
  <c r="N69" i="17"/>
  <c r="N71" i="17"/>
  <c r="N64" i="17"/>
  <c r="N49" i="17"/>
  <c r="N78" i="17"/>
  <c r="AC78" i="17" s="1"/>
  <c r="N46" i="17"/>
  <c r="N70" i="17"/>
  <c r="N40" i="17"/>
  <c r="N77" i="17"/>
  <c r="AC77" i="17" s="1"/>
  <c r="N43" i="17"/>
  <c r="H19" i="17"/>
  <c r="H26" i="17"/>
  <c r="H33" i="17"/>
  <c r="H40" i="17"/>
  <c r="H47" i="17"/>
  <c r="H54" i="17"/>
  <c r="H61" i="17"/>
  <c r="H15" i="17"/>
  <c r="H22" i="17"/>
  <c r="H29" i="17"/>
  <c r="H36" i="17"/>
  <c r="H43" i="17"/>
  <c r="H50" i="17"/>
  <c r="H57" i="17"/>
  <c r="H64" i="17"/>
  <c r="H16" i="17"/>
  <c r="H23" i="17"/>
  <c r="H30" i="17"/>
  <c r="H37" i="17"/>
  <c r="H44" i="17"/>
  <c r="H51" i="17"/>
  <c r="H58" i="17"/>
  <c r="H65" i="17"/>
  <c r="H21" i="17"/>
  <c r="H41" i="17"/>
  <c r="H66" i="17"/>
  <c r="H20" i="17"/>
  <c r="H35" i="17"/>
  <c r="H42" i="17"/>
  <c r="H72" i="17"/>
  <c r="H79" i="17"/>
  <c r="H34" i="17"/>
  <c r="H48" i="17"/>
  <c r="H14" i="17"/>
  <c r="H62" i="17"/>
  <c r="H71" i="17"/>
  <c r="H78" i="17"/>
  <c r="H27" i="17"/>
  <c r="H45" i="17"/>
  <c r="H67" i="17"/>
  <c r="H53" i="17"/>
  <c r="H59" i="17"/>
  <c r="H73" i="17"/>
  <c r="H80" i="17"/>
  <c r="H24" i="17"/>
  <c r="H28" i="17"/>
  <c r="H17" i="17"/>
  <c r="H31" i="17"/>
  <c r="H56" i="17"/>
  <c r="H60" i="17"/>
  <c r="H70" i="17"/>
  <c r="H69" i="17"/>
  <c r="H75" i="17"/>
  <c r="H46" i="17"/>
  <c r="H77" i="17"/>
  <c r="H52" i="17"/>
  <c r="H76" i="17"/>
  <c r="H25" i="17"/>
  <c r="H49" i="17"/>
  <c r="H32" i="17"/>
  <c r="H13" i="17"/>
  <c r="H68" i="17"/>
  <c r="H55" i="17"/>
  <c r="H38" i="17"/>
  <c r="H18" i="17"/>
  <c r="H63" i="17"/>
  <c r="H74" i="17"/>
  <c r="H39" i="17"/>
  <c r="K16" i="17"/>
  <c r="K23" i="17"/>
  <c r="K30" i="17"/>
  <c r="K37" i="17"/>
  <c r="K44" i="17"/>
  <c r="K51" i="17"/>
  <c r="K58" i="17"/>
  <c r="K65" i="17"/>
  <c r="K19" i="17"/>
  <c r="K26" i="17"/>
  <c r="K33" i="17"/>
  <c r="K40" i="17"/>
  <c r="K47" i="17"/>
  <c r="K54" i="17"/>
  <c r="K61" i="17"/>
  <c r="K20" i="17"/>
  <c r="K27" i="17"/>
  <c r="K34" i="17"/>
  <c r="K41" i="17"/>
  <c r="K48" i="17"/>
  <c r="K55" i="17"/>
  <c r="K62" i="17"/>
  <c r="K60" i="17"/>
  <c r="K69" i="17"/>
  <c r="K76" i="17"/>
  <c r="AB76" i="17" s="1"/>
  <c r="K21" i="17"/>
  <c r="K22" i="17"/>
  <c r="K66" i="17"/>
  <c r="K24" i="17"/>
  <c r="K25" i="17"/>
  <c r="K49" i="17"/>
  <c r="K68" i="17"/>
  <c r="K75" i="17"/>
  <c r="AB75" i="17" s="1"/>
  <c r="K13" i="17"/>
  <c r="K38" i="17"/>
  <c r="K63" i="17"/>
  <c r="K46" i="17"/>
  <c r="K70" i="17"/>
  <c r="K77" i="17"/>
  <c r="AB77" i="17" s="1"/>
  <c r="K36" i="17"/>
  <c r="K45" i="17"/>
  <c r="K28" i="17"/>
  <c r="K50" i="17"/>
  <c r="K72" i="17"/>
  <c r="K39" i="17"/>
  <c r="K43" i="17"/>
  <c r="K64" i="17"/>
  <c r="K74" i="17"/>
  <c r="AB74" i="17" s="1"/>
  <c r="K15" i="17"/>
  <c r="K42" i="17"/>
  <c r="K79" i="17"/>
  <c r="AB79" i="17" s="1"/>
  <c r="K29" i="17"/>
  <c r="K78" i="17"/>
  <c r="AB78" i="17" s="1"/>
  <c r="K80" i="17"/>
  <c r="K18" i="17"/>
  <c r="K32" i="17"/>
  <c r="K67" i="17"/>
  <c r="K17" i="17"/>
  <c r="K35" i="17"/>
  <c r="K53" i="17"/>
  <c r="K56" i="17"/>
  <c r="K71" i="17"/>
  <c r="K14" i="17"/>
  <c r="K57" i="17"/>
  <c r="K52" i="17"/>
  <c r="K59" i="17"/>
  <c r="K31" i="17"/>
  <c r="K73" i="17"/>
  <c r="AB73" i="17" s="1"/>
  <c r="Q17" i="17"/>
  <c r="Q24" i="17"/>
  <c r="Q31" i="17"/>
  <c r="Q38" i="17"/>
  <c r="Q45" i="17"/>
  <c r="Q52" i="17"/>
  <c r="Q59" i="17"/>
  <c r="Q20" i="17"/>
  <c r="Q27" i="17"/>
  <c r="Q34" i="17"/>
  <c r="Q41" i="17"/>
  <c r="Q48" i="17"/>
  <c r="Q55" i="17"/>
  <c r="Q62" i="17"/>
  <c r="Q13" i="17"/>
  <c r="Q14" i="17"/>
  <c r="Q21" i="17"/>
  <c r="Q28" i="17"/>
  <c r="Q35" i="17"/>
  <c r="Q42" i="17"/>
  <c r="Q49" i="17"/>
  <c r="Q56" i="17"/>
  <c r="Q63" i="17"/>
  <c r="Q64" i="17"/>
  <c r="Q65" i="17"/>
  <c r="Q67" i="17"/>
  <c r="Q40" i="17"/>
  <c r="Q46" i="17"/>
  <c r="Q70" i="17"/>
  <c r="Q77" i="17"/>
  <c r="Q18" i="17"/>
  <c r="Q19" i="17"/>
  <c r="Q32" i="17"/>
  <c r="Q23" i="17"/>
  <c r="Q69" i="17"/>
  <c r="Q76" i="17"/>
  <c r="Q43" i="17"/>
  <c r="Q44" i="17"/>
  <c r="Q57" i="17"/>
  <c r="Q58" i="17"/>
  <c r="Q71" i="17"/>
  <c r="Q78" i="17"/>
  <c r="Q25" i="17"/>
  <c r="Q66" i="17"/>
  <c r="Q60" i="17"/>
  <c r="Q72" i="17"/>
  <c r="Q39" i="17"/>
  <c r="Q74" i="17"/>
  <c r="Q53" i="17"/>
  <c r="Q47" i="17"/>
  <c r="Q75" i="17"/>
  <c r="Q29" i="17"/>
  <c r="Q51" i="17"/>
  <c r="Q80" i="17"/>
  <c r="Q33" i="17"/>
  <c r="Q37" i="17"/>
  <c r="Q30" i="17"/>
  <c r="Q73" i="17"/>
  <c r="Q68" i="17"/>
  <c r="Q22" i="17"/>
  <c r="Q36" i="17"/>
  <c r="Q16" i="17"/>
  <c r="Q26" i="17"/>
  <c r="Q50" i="17"/>
  <c r="Q79" i="17"/>
  <c r="Q54" i="17"/>
  <c r="Q61" i="17"/>
  <c r="Q15" i="17"/>
  <c r="AD28" i="17" l="1"/>
  <c r="Q28" i="16"/>
  <c r="AI28" i="16" s="1"/>
  <c r="AC56" i="17"/>
  <c r="H56" i="16"/>
  <c r="AD36" i="17"/>
  <c r="Q36" i="16"/>
  <c r="AI36" i="16" s="1"/>
  <c r="AD39" i="17"/>
  <c r="Q39" i="16"/>
  <c r="AI39" i="16" s="1"/>
  <c r="AD32" i="17"/>
  <c r="Q32" i="16"/>
  <c r="AI32" i="16" s="1"/>
  <c r="AD35" i="17"/>
  <c r="Q35" i="16"/>
  <c r="AI35" i="16" s="1"/>
  <c r="AD45" i="17"/>
  <c r="Q45" i="16"/>
  <c r="AI45" i="16" s="1"/>
  <c r="AB35" i="17"/>
  <c r="G35" i="16"/>
  <c r="AB39" i="17"/>
  <c r="G39" i="16"/>
  <c r="AC39" i="16" s="1"/>
  <c r="AB49" i="17"/>
  <c r="G49" i="16"/>
  <c r="AB27" i="17"/>
  <c r="G27" i="16"/>
  <c r="AC27" i="16" s="1"/>
  <c r="AH27" i="16" s="1"/>
  <c r="AB30" i="17"/>
  <c r="G30" i="16"/>
  <c r="AA76" i="17"/>
  <c r="F76" i="16"/>
  <c r="AA73" i="17"/>
  <c r="F73" i="16"/>
  <c r="AA42" i="17"/>
  <c r="F42" i="16"/>
  <c r="AA64" i="17"/>
  <c r="F64" i="16"/>
  <c r="AA19" i="17"/>
  <c r="F19" i="16"/>
  <c r="H63" i="16"/>
  <c r="AC63" i="17"/>
  <c r="AC15" i="17"/>
  <c r="H15" i="16"/>
  <c r="AC33" i="17"/>
  <c r="H33" i="16"/>
  <c r="AC44" i="17"/>
  <c r="H44" i="16"/>
  <c r="AE79" i="17"/>
  <c r="S79" i="16"/>
  <c r="AK79" i="16" s="1"/>
  <c r="AE27" i="17"/>
  <c r="S27" i="16"/>
  <c r="AK27" i="16" s="1"/>
  <c r="AE65" i="17"/>
  <c r="S65" i="16"/>
  <c r="AK65" i="16" s="1"/>
  <c r="AE52" i="17"/>
  <c r="S52" i="16"/>
  <c r="AK52" i="16" s="1"/>
  <c r="AD38" i="17"/>
  <c r="Q38" i="16"/>
  <c r="AI38" i="16" s="1"/>
  <c r="G23" i="16"/>
  <c r="AB23" i="17"/>
  <c r="AA57" i="17"/>
  <c r="F57" i="16"/>
  <c r="AC26" i="17"/>
  <c r="H26" i="16"/>
  <c r="AC37" i="17"/>
  <c r="H37" i="16"/>
  <c r="S45" i="16"/>
  <c r="AK45" i="16" s="1"/>
  <c r="AE45" i="17"/>
  <c r="AD68" i="17"/>
  <c r="Q68" i="16"/>
  <c r="AI68" i="16" s="1"/>
  <c r="AD60" i="17"/>
  <c r="Q60" i="16"/>
  <c r="AI60" i="16" s="1"/>
  <c r="AD18" i="17"/>
  <c r="Q18" i="16"/>
  <c r="AI18" i="16" s="1"/>
  <c r="AD21" i="17"/>
  <c r="Q21" i="16"/>
  <c r="AI21" i="16" s="1"/>
  <c r="Q31" i="16"/>
  <c r="AI31" i="16" s="1"/>
  <c r="AD31" i="17"/>
  <c r="AB67" i="17"/>
  <c r="G67" i="16"/>
  <c r="AC67" i="16" s="1"/>
  <c r="AB50" i="17"/>
  <c r="G50" i="16"/>
  <c r="AC50" i="16" s="1"/>
  <c r="AB24" i="17"/>
  <c r="G24" i="16"/>
  <c r="AB61" i="17"/>
  <c r="G61" i="16"/>
  <c r="AB16" i="17"/>
  <c r="G16" i="16"/>
  <c r="AA77" i="17"/>
  <c r="AG77" i="17" s="1"/>
  <c r="F77" i="16"/>
  <c r="AA53" i="17"/>
  <c r="F53" i="16"/>
  <c r="AA20" i="17"/>
  <c r="F20" i="16"/>
  <c r="AB20" i="16" s="1"/>
  <c r="AA50" i="17"/>
  <c r="F50" i="16"/>
  <c r="AC22" i="17"/>
  <c r="H22" i="16"/>
  <c r="AC50" i="17"/>
  <c r="H50" i="16"/>
  <c r="AC19" i="17"/>
  <c r="H19" i="16"/>
  <c r="AC30" i="17"/>
  <c r="H30" i="16"/>
  <c r="AE50" i="17"/>
  <c r="S50" i="16"/>
  <c r="AK50" i="16" s="1"/>
  <c r="AE58" i="17"/>
  <c r="S58" i="16"/>
  <c r="AK58" i="16" s="1"/>
  <c r="AE66" i="17"/>
  <c r="S66" i="16"/>
  <c r="AK66" i="16" s="1"/>
  <c r="S74" i="16"/>
  <c r="AK74" i="16" s="1"/>
  <c r="AE74" i="17"/>
  <c r="AE38" i="17"/>
  <c r="S38" i="16"/>
  <c r="AK38" i="16" s="1"/>
  <c r="AD73" i="17"/>
  <c r="Q73" i="16"/>
  <c r="AI73" i="16" s="1"/>
  <c r="Q66" i="16"/>
  <c r="AI66" i="16" s="1"/>
  <c r="AD66" i="17"/>
  <c r="AD77" i="17"/>
  <c r="Q77" i="16"/>
  <c r="AI77" i="16" s="1"/>
  <c r="AD14" i="17"/>
  <c r="Q14" i="16"/>
  <c r="AI14" i="16" s="1"/>
  <c r="AD24" i="17"/>
  <c r="Q24" i="16"/>
  <c r="AI24" i="16" s="1"/>
  <c r="AB32" i="17"/>
  <c r="G32" i="16"/>
  <c r="AB28" i="17"/>
  <c r="G28" i="16"/>
  <c r="AB66" i="17"/>
  <c r="G66" i="16"/>
  <c r="AB54" i="17"/>
  <c r="G54" i="16"/>
  <c r="AA39" i="17"/>
  <c r="F39" i="16"/>
  <c r="AA46" i="17"/>
  <c r="F46" i="16"/>
  <c r="F67" i="16"/>
  <c r="AA67" i="17"/>
  <c r="AA66" i="17"/>
  <c r="F66" i="16"/>
  <c r="AA43" i="17"/>
  <c r="F43" i="16"/>
  <c r="AC40" i="17"/>
  <c r="H40" i="16"/>
  <c r="AC18" i="17"/>
  <c r="H18" i="16"/>
  <c r="AC23" i="17"/>
  <c r="H23" i="16"/>
  <c r="AE72" i="17"/>
  <c r="S72" i="16"/>
  <c r="AK72" i="16" s="1"/>
  <c r="AE43" i="17"/>
  <c r="S43" i="16"/>
  <c r="AK43" i="16" s="1"/>
  <c r="AE62" i="17"/>
  <c r="S62" i="16"/>
  <c r="AK62" i="16" s="1"/>
  <c r="AE29" i="17"/>
  <c r="S29" i="16"/>
  <c r="AK29" i="16" s="1"/>
  <c r="S31" i="16"/>
  <c r="AK31" i="16" s="1"/>
  <c r="AE31" i="17"/>
  <c r="AD72" i="17"/>
  <c r="Q72" i="16"/>
  <c r="AI72" i="16" s="1"/>
  <c r="AD13" i="17"/>
  <c r="Q13" i="16"/>
  <c r="AI13" i="16" s="1"/>
  <c r="AA75" i="17"/>
  <c r="F75" i="16"/>
  <c r="H16" i="16"/>
  <c r="AC16" i="17"/>
  <c r="S24" i="16"/>
  <c r="AK24" i="16" s="1"/>
  <c r="AE24" i="17"/>
  <c r="Q37" i="16"/>
  <c r="AI37" i="16" s="1"/>
  <c r="AD37" i="17"/>
  <c r="AD78" i="17"/>
  <c r="Q78" i="16"/>
  <c r="AI78" i="16" s="1"/>
  <c r="AD46" i="17"/>
  <c r="Q46" i="16"/>
  <c r="AI46" i="16" s="1"/>
  <c r="Q62" i="16"/>
  <c r="AI62" i="16" s="1"/>
  <c r="AD62" i="17"/>
  <c r="AB80" i="17"/>
  <c r="G80" i="16"/>
  <c r="AB36" i="17"/>
  <c r="G36" i="16"/>
  <c r="AC36" i="16" s="1"/>
  <c r="AB21" i="17"/>
  <c r="G21" i="16"/>
  <c r="G40" i="16"/>
  <c r="AB40" i="17"/>
  <c r="AA63" i="17"/>
  <c r="F63" i="16"/>
  <c r="F69" i="16"/>
  <c r="AA69" i="17"/>
  <c r="F27" i="16"/>
  <c r="AB27" i="16" s="1"/>
  <c r="AA27" i="17"/>
  <c r="AA21" i="17"/>
  <c r="F21" i="16"/>
  <c r="AB21" i="16" s="1"/>
  <c r="AA29" i="17"/>
  <c r="AG29" i="17" s="1"/>
  <c r="F29" i="16"/>
  <c r="AC46" i="17"/>
  <c r="H46" i="16"/>
  <c r="AC68" i="17"/>
  <c r="H68" i="16"/>
  <c r="AC42" i="17"/>
  <c r="H42" i="16"/>
  <c r="AC52" i="17"/>
  <c r="H52" i="16"/>
  <c r="H13" i="16"/>
  <c r="AC13" i="17"/>
  <c r="AE77" i="17"/>
  <c r="S77" i="16"/>
  <c r="AK77" i="16" s="1"/>
  <c r="AE30" i="17"/>
  <c r="S30" i="16"/>
  <c r="AK30" i="16" s="1"/>
  <c r="AE37" i="17"/>
  <c r="S37" i="16"/>
  <c r="AK37" i="16" s="1"/>
  <c r="AE60" i="17"/>
  <c r="S60" i="16"/>
  <c r="AK60" i="16" s="1"/>
  <c r="S17" i="16"/>
  <c r="AK17" i="16" s="1"/>
  <c r="AE17" i="17"/>
  <c r="AD22" i="17"/>
  <c r="Q22" i="16"/>
  <c r="AI22" i="16" s="1"/>
  <c r="G20" i="16"/>
  <c r="AB20" i="17"/>
  <c r="AE26" i="17"/>
  <c r="S26" i="16"/>
  <c r="AK26" i="16" s="1"/>
  <c r="AD70" i="17"/>
  <c r="Q70" i="16"/>
  <c r="AI70" i="16" s="1"/>
  <c r="AB22" i="17"/>
  <c r="G22" i="16"/>
  <c r="AA41" i="17"/>
  <c r="F41" i="16"/>
  <c r="AC72" i="17"/>
  <c r="H72" i="16"/>
  <c r="AE54" i="17"/>
  <c r="S54" i="16"/>
  <c r="AK54" i="16" s="1"/>
  <c r="AD55" i="17"/>
  <c r="Q55" i="16"/>
  <c r="AI55" i="16" s="1"/>
  <c r="AA70" i="17"/>
  <c r="F70" i="16"/>
  <c r="AB70" i="16" s="1"/>
  <c r="AC36" i="17"/>
  <c r="H36" i="16"/>
  <c r="AC45" i="17"/>
  <c r="H45" i="16"/>
  <c r="H62" i="16"/>
  <c r="AC62" i="17"/>
  <c r="AE57" i="17"/>
  <c r="S57" i="16"/>
  <c r="AK57" i="16" s="1"/>
  <c r="AE63" i="17"/>
  <c r="S63" i="16"/>
  <c r="AK63" i="16" s="1"/>
  <c r="AD15" i="17"/>
  <c r="Q15" i="16"/>
  <c r="AI15" i="16" s="1"/>
  <c r="AD80" i="17"/>
  <c r="Q80" i="16"/>
  <c r="AI80" i="16" s="1"/>
  <c r="AD58" i="17"/>
  <c r="Q58" i="16"/>
  <c r="AI58" i="16" s="1"/>
  <c r="AD67" i="17"/>
  <c r="Q67" i="16"/>
  <c r="AI67" i="16" s="1"/>
  <c r="AD48" i="17"/>
  <c r="Q48" i="16"/>
  <c r="AI48" i="16" s="1"/>
  <c r="AB59" i="17"/>
  <c r="G59" i="16"/>
  <c r="AC59" i="16" s="1"/>
  <c r="AB29" i="17"/>
  <c r="G29" i="16"/>
  <c r="G70" i="16"/>
  <c r="AB70" i="17"/>
  <c r="AB69" i="17"/>
  <c r="G69" i="16"/>
  <c r="AB26" i="17"/>
  <c r="G26" i="16"/>
  <c r="AA38" i="17"/>
  <c r="F38" i="16"/>
  <c r="AA60" i="17"/>
  <c r="F60" i="16"/>
  <c r="AA71" i="17"/>
  <c r="F71" i="16"/>
  <c r="AA58" i="17"/>
  <c r="AG58" i="17" s="1"/>
  <c r="F58" i="16"/>
  <c r="AA15" i="17"/>
  <c r="F15" i="16"/>
  <c r="AB15" i="16" s="1"/>
  <c r="AC49" i="17"/>
  <c r="H49" i="16"/>
  <c r="H67" i="16"/>
  <c r="AC67" i="17"/>
  <c r="AC35" i="17"/>
  <c r="H35" i="16"/>
  <c r="H38" i="16"/>
  <c r="AC38" i="17"/>
  <c r="AC55" i="17"/>
  <c r="H55" i="16"/>
  <c r="AE20" i="17"/>
  <c r="S20" i="16"/>
  <c r="AK20" i="16" s="1"/>
  <c r="AE70" i="17"/>
  <c r="S70" i="16"/>
  <c r="AK70" i="16" s="1"/>
  <c r="AE80" i="17"/>
  <c r="S80" i="16"/>
  <c r="AK80" i="16" s="1"/>
  <c r="AE46" i="17"/>
  <c r="S46" i="16"/>
  <c r="AK46" i="16" s="1"/>
  <c r="S56" i="16"/>
  <c r="AK56" i="16" s="1"/>
  <c r="AE56" i="17"/>
  <c r="AD61" i="17"/>
  <c r="Q61" i="16"/>
  <c r="AI61" i="16" s="1"/>
  <c r="AD51" i="17"/>
  <c r="Q51" i="16"/>
  <c r="AI51" i="16" s="1"/>
  <c r="AD57" i="17"/>
  <c r="Q57" i="16"/>
  <c r="AI57" i="16" s="1"/>
  <c r="Q65" i="16"/>
  <c r="AI65" i="16" s="1"/>
  <c r="AD65" i="17"/>
  <c r="AD41" i="17"/>
  <c r="Q41" i="16"/>
  <c r="AI41" i="16" s="1"/>
  <c r="AB52" i="17"/>
  <c r="G52" i="16"/>
  <c r="AB46" i="17"/>
  <c r="G46" i="16"/>
  <c r="AC46" i="16" s="1"/>
  <c r="AB60" i="17"/>
  <c r="G60" i="16"/>
  <c r="AC60" i="16" s="1"/>
  <c r="AB19" i="17"/>
  <c r="G19" i="16"/>
  <c r="AC19" i="16" s="1"/>
  <c r="AA55" i="17"/>
  <c r="F55" i="16"/>
  <c r="AA56" i="17"/>
  <c r="F56" i="16"/>
  <c r="AA62" i="17"/>
  <c r="F62" i="16"/>
  <c r="AA51" i="17"/>
  <c r="F51" i="16"/>
  <c r="AA61" i="17"/>
  <c r="AG61" i="17" s="1"/>
  <c r="F61" i="16"/>
  <c r="AC64" i="17"/>
  <c r="H64" i="16"/>
  <c r="AC57" i="17"/>
  <c r="H57" i="16"/>
  <c r="AC60" i="17"/>
  <c r="H60" i="16"/>
  <c r="AC31" i="17"/>
  <c r="H31" i="16"/>
  <c r="H48" i="16"/>
  <c r="AC48" i="17"/>
  <c r="AE44" i="17"/>
  <c r="S44" i="16"/>
  <c r="AK44" i="16" s="1"/>
  <c r="AE36" i="17"/>
  <c r="S36" i="16"/>
  <c r="AK36" i="16" s="1"/>
  <c r="AE73" i="17"/>
  <c r="S73" i="16"/>
  <c r="AK73" i="16" s="1"/>
  <c r="AE39" i="17"/>
  <c r="S39" i="16"/>
  <c r="AK39" i="16" s="1"/>
  <c r="S49" i="16"/>
  <c r="AK49" i="16" s="1"/>
  <c r="AE49" i="17"/>
  <c r="AB72" i="17"/>
  <c r="G72" i="16"/>
  <c r="AC72" i="16" s="1"/>
  <c r="AA59" i="17"/>
  <c r="F59" i="16"/>
  <c r="AE76" i="17"/>
  <c r="S76" i="16"/>
  <c r="AK76" i="16" s="1"/>
  <c r="AD17" i="17"/>
  <c r="Q17" i="16"/>
  <c r="AI17" i="16" s="1"/>
  <c r="AB47" i="17"/>
  <c r="G47" i="16"/>
  <c r="AA45" i="17"/>
  <c r="F45" i="16"/>
  <c r="AC70" i="17"/>
  <c r="H70" i="16"/>
  <c r="H59" i="16"/>
  <c r="AC59" i="17"/>
  <c r="AE61" i="17"/>
  <c r="S61" i="16"/>
  <c r="AK61" i="16" s="1"/>
  <c r="AD71" i="17"/>
  <c r="Q71" i="16"/>
  <c r="AI71" i="16" s="1"/>
  <c r="AB31" i="17"/>
  <c r="G31" i="16"/>
  <c r="AA18" i="17"/>
  <c r="F18" i="16"/>
  <c r="AB18" i="16" s="1"/>
  <c r="AH18" i="16" s="1"/>
  <c r="AA22" i="17"/>
  <c r="AG22" i="17" s="1"/>
  <c r="F22" i="16"/>
  <c r="AE22" i="17"/>
  <c r="S22" i="16"/>
  <c r="AK22" i="16" s="1"/>
  <c r="AD44" i="17"/>
  <c r="Q44" i="16"/>
  <c r="AI44" i="16" s="1"/>
  <c r="Q34" i="16"/>
  <c r="AI34" i="16" s="1"/>
  <c r="AD34" i="17"/>
  <c r="AB63" i="17"/>
  <c r="G63" i="16"/>
  <c r="AB65" i="17"/>
  <c r="G65" i="16"/>
  <c r="AC65" i="16" s="1"/>
  <c r="AA14" i="17"/>
  <c r="F14" i="16"/>
  <c r="AA54" i="17"/>
  <c r="F54" i="16"/>
  <c r="H21" i="16"/>
  <c r="I21" i="16" s="1"/>
  <c r="J21" i="16" s="1"/>
  <c r="AC21" i="17"/>
  <c r="AC54" i="17"/>
  <c r="H54" i="16"/>
  <c r="S55" i="16"/>
  <c r="AK55" i="16" s="1"/>
  <c r="AE55" i="17"/>
  <c r="AE42" i="17"/>
  <c r="S42" i="16"/>
  <c r="AK42" i="16" s="1"/>
  <c r="AD43" i="17"/>
  <c r="Q43" i="16"/>
  <c r="AI43" i="16" s="1"/>
  <c r="AD27" i="17"/>
  <c r="Q27" i="16"/>
  <c r="AI27" i="16" s="1"/>
  <c r="AB15" i="17"/>
  <c r="G15" i="16"/>
  <c r="AB55" i="17"/>
  <c r="G55" i="16"/>
  <c r="F13" i="16"/>
  <c r="AA13" i="17"/>
  <c r="AA48" i="17"/>
  <c r="F48" i="16"/>
  <c r="F47" i="16"/>
  <c r="AA47" i="17"/>
  <c r="AC17" i="17"/>
  <c r="H17" i="16"/>
  <c r="AC34" i="17"/>
  <c r="H34" i="16"/>
  <c r="AE78" i="17"/>
  <c r="S78" i="16"/>
  <c r="AK78" i="16" s="1"/>
  <c r="AE47" i="17"/>
  <c r="S47" i="16"/>
  <c r="AK47" i="16" s="1"/>
  <c r="AD76" i="17"/>
  <c r="Q76" i="16"/>
  <c r="AI76" i="16" s="1"/>
  <c r="Q20" i="16"/>
  <c r="AI20" i="16" s="1"/>
  <c r="AD20" i="17"/>
  <c r="AB13" i="17"/>
  <c r="G13" i="16"/>
  <c r="AC13" i="16" s="1"/>
  <c r="AB48" i="17"/>
  <c r="G48" i="16"/>
  <c r="AC48" i="16" s="1"/>
  <c r="AB51" i="17"/>
  <c r="G51" i="16"/>
  <c r="AA32" i="17"/>
  <c r="F32" i="16"/>
  <c r="AA28" i="17"/>
  <c r="F28" i="16"/>
  <c r="F34" i="16"/>
  <c r="AB34" i="16" s="1"/>
  <c r="AH34" i="16" s="1"/>
  <c r="AA34" i="17"/>
  <c r="AA30" i="17"/>
  <c r="F30" i="16"/>
  <c r="AA40" i="17"/>
  <c r="F40" i="16"/>
  <c r="AC25" i="17"/>
  <c r="H25" i="16"/>
  <c r="AC39" i="17"/>
  <c r="H39" i="16"/>
  <c r="H65" i="16"/>
  <c r="AC65" i="17"/>
  <c r="AC27" i="17"/>
  <c r="H27" i="16"/>
  <c r="AE71" i="17"/>
  <c r="S71" i="16"/>
  <c r="AK71" i="16" s="1"/>
  <c r="AE51" i="17"/>
  <c r="S51" i="16"/>
  <c r="AK51" i="16" s="1"/>
  <c r="S34" i="16"/>
  <c r="AK34" i="16" s="1"/>
  <c r="AE34" i="17"/>
  <c r="S18" i="16"/>
  <c r="AK18" i="16" s="1"/>
  <c r="AE18" i="17"/>
  <c r="AE28" i="17"/>
  <c r="S28" i="16"/>
  <c r="AK28" i="16" s="1"/>
  <c r="AD19" i="17"/>
  <c r="Q19" i="16"/>
  <c r="AI19" i="16" s="1"/>
  <c r="AB25" i="17"/>
  <c r="G25" i="16"/>
  <c r="AA52" i="17"/>
  <c r="F52" i="16"/>
  <c r="AC43" i="17"/>
  <c r="H43" i="16"/>
  <c r="AC32" i="17"/>
  <c r="H32" i="16"/>
  <c r="AD30" i="17"/>
  <c r="Q30" i="16"/>
  <c r="AI30" i="16" s="1"/>
  <c r="AB18" i="17"/>
  <c r="G18" i="16"/>
  <c r="AC18" i="16" s="1"/>
  <c r="AA74" i="17"/>
  <c r="AG74" i="17" s="1"/>
  <c r="F74" i="16"/>
  <c r="AC61" i="17"/>
  <c r="H61" i="16"/>
  <c r="AE15" i="17"/>
  <c r="S15" i="16"/>
  <c r="AK15" i="16" s="1"/>
  <c r="AD40" i="17"/>
  <c r="Q40" i="16"/>
  <c r="AI40" i="16" s="1"/>
  <c r="F65" i="16"/>
  <c r="AA65" i="17"/>
  <c r="S53" i="16"/>
  <c r="AK53" i="16" s="1"/>
  <c r="AE53" i="17"/>
  <c r="AD54" i="17"/>
  <c r="Q54" i="16"/>
  <c r="AI54" i="16" s="1"/>
  <c r="AD64" i="17"/>
  <c r="Q64" i="16"/>
  <c r="AI64" i="16" s="1"/>
  <c r="AB42" i="17"/>
  <c r="G42" i="16"/>
  <c r="AC42" i="16" s="1"/>
  <c r="AB62" i="17"/>
  <c r="G62" i="16"/>
  <c r="AA68" i="17"/>
  <c r="F68" i="16"/>
  <c r="F44" i="16"/>
  <c r="AA44" i="17"/>
  <c r="AC71" i="17"/>
  <c r="H71" i="16"/>
  <c r="H24" i="16"/>
  <c r="AC24" i="17"/>
  <c r="H41" i="16"/>
  <c r="AC41" i="17"/>
  <c r="S41" i="16"/>
  <c r="AK41" i="16" s="1"/>
  <c r="AE41" i="17"/>
  <c r="AE32" i="17"/>
  <c r="S32" i="16"/>
  <c r="AK32" i="16" s="1"/>
  <c r="AD75" i="17"/>
  <c r="Q75" i="16"/>
  <c r="AI75" i="16" s="1"/>
  <c r="AD63" i="17"/>
  <c r="Q63" i="16"/>
  <c r="AI63" i="16" s="1"/>
  <c r="AB14" i="17"/>
  <c r="G14" i="16"/>
  <c r="G38" i="16"/>
  <c r="AB38" i="17"/>
  <c r="AB58" i="17"/>
  <c r="G58" i="16"/>
  <c r="AC58" i="16" s="1"/>
  <c r="AA17" i="17"/>
  <c r="AG17" i="17" s="1"/>
  <c r="F17" i="16"/>
  <c r="AA37" i="17"/>
  <c r="F37" i="16"/>
  <c r="AC69" i="17"/>
  <c r="H69" i="16"/>
  <c r="AC80" i="17"/>
  <c r="H80" i="16"/>
  <c r="AE19" i="17"/>
  <c r="S19" i="16"/>
  <c r="AK19" i="16" s="1"/>
  <c r="S35" i="16"/>
  <c r="AK35" i="16" s="1"/>
  <c r="AE35" i="17"/>
  <c r="AD59" i="17"/>
  <c r="Q59" i="16"/>
  <c r="AI59" i="16" s="1"/>
  <c r="AA49" i="17"/>
  <c r="AG49" i="17" s="1"/>
  <c r="F49" i="16"/>
  <c r="AA79" i="17"/>
  <c r="F79" i="16"/>
  <c r="F23" i="16"/>
  <c r="AA23" i="17"/>
  <c r="F33" i="16"/>
  <c r="AA33" i="17"/>
  <c r="H14" i="16"/>
  <c r="AC14" i="17"/>
  <c r="AC29" i="17"/>
  <c r="H29" i="16"/>
  <c r="AC53" i="17"/>
  <c r="H53" i="16"/>
  <c r="AC58" i="17"/>
  <c r="H58" i="16"/>
  <c r="H20" i="16"/>
  <c r="AC20" i="17"/>
  <c r="AE69" i="17"/>
  <c r="S69" i="16"/>
  <c r="AK69" i="16" s="1"/>
  <c r="AE75" i="17"/>
  <c r="S75" i="16"/>
  <c r="AK75" i="16" s="1"/>
  <c r="AE33" i="17"/>
  <c r="S33" i="16"/>
  <c r="AK33" i="16" s="1"/>
  <c r="AE13" i="17"/>
  <c r="S13" i="16"/>
  <c r="AK13" i="16" s="1"/>
  <c r="AE21" i="17"/>
  <c r="S21" i="16"/>
  <c r="AK21" i="16" s="1"/>
  <c r="AB17" i="17"/>
  <c r="G17" i="16"/>
  <c r="AA35" i="17"/>
  <c r="F35" i="16"/>
  <c r="AE64" i="17"/>
  <c r="S64" i="16"/>
  <c r="AK64" i="16" s="1"/>
  <c r="AD25" i="17"/>
  <c r="Q25" i="16"/>
  <c r="AI25" i="16" s="1"/>
  <c r="AB45" i="17"/>
  <c r="G45" i="16"/>
  <c r="AC45" i="16" s="1"/>
  <c r="AA36" i="17"/>
  <c r="F36" i="16"/>
  <c r="AE40" i="17"/>
  <c r="S40" i="16"/>
  <c r="AK40" i="16" s="1"/>
  <c r="AD33" i="17"/>
  <c r="Q33" i="16"/>
  <c r="AI33" i="16" s="1"/>
  <c r="AB33" i="17"/>
  <c r="G33" i="16"/>
  <c r="AC33" i="16" s="1"/>
  <c r="AA78" i="17"/>
  <c r="AG78" i="17" s="1"/>
  <c r="F78" i="16"/>
  <c r="AC66" i="17"/>
  <c r="H66" i="16"/>
  <c r="AC66" i="16" s="1"/>
  <c r="AE16" i="17"/>
  <c r="S16" i="16"/>
  <c r="AK16" i="16" s="1"/>
  <c r="AD29" i="17"/>
  <c r="Q29" i="16"/>
  <c r="AI29" i="16" s="1"/>
  <c r="AB57" i="17"/>
  <c r="G57" i="16"/>
  <c r="AC57" i="16" s="1"/>
  <c r="AA31" i="17"/>
  <c r="F31" i="16"/>
  <c r="AE48" i="17"/>
  <c r="S48" i="16"/>
  <c r="AK48" i="16" s="1"/>
  <c r="AD79" i="17"/>
  <c r="Q79" i="16"/>
  <c r="AI79" i="16" s="1"/>
  <c r="S25" i="16"/>
  <c r="AK25" i="16" s="1"/>
  <c r="AE25" i="17"/>
  <c r="AD50" i="17"/>
  <c r="Q50" i="16"/>
  <c r="AI50" i="16" s="1"/>
  <c r="AD47" i="17"/>
  <c r="Q47" i="16"/>
  <c r="AI47" i="16" s="1"/>
  <c r="AD56" i="17"/>
  <c r="Q56" i="16"/>
  <c r="AI56" i="16" s="1"/>
  <c r="AB71" i="17"/>
  <c r="G71" i="16"/>
  <c r="AD26" i="17"/>
  <c r="Q26" i="16"/>
  <c r="AI26" i="16" s="1"/>
  <c r="AD53" i="17"/>
  <c r="Q53" i="16"/>
  <c r="AI53" i="16" s="1"/>
  <c r="AD69" i="17"/>
  <c r="Q69" i="16"/>
  <c r="AI69" i="16" s="1"/>
  <c r="AD49" i="17"/>
  <c r="Q49" i="16"/>
  <c r="AI49" i="16" s="1"/>
  <c r="AB56" i="17"/>
  <c r="G56" i="16"/>
  <c r="G64" i="16"/>
  <c r="AC64" i="16" s="1"/>
  <c r="AB64" i="17"/>
  <c r="G41" i="16"/>
  <c r="AB41" i="17"/>
  <c r="AB44" i="17"/>
  <c r="G44" i="16"/>
  <c r="AA24" i="17"/>
  <c r="F24" i="16"/>
  <c r="AD16" i="17"/>
  <c r="Q16" i="16"/>
  <c r="AI16" i="16" s="1"/>
  <c r="AD74" i="17"/>
  <c r="Q74" i="16"/>
  <c r="AI74" i="16" s="1"/>
  <c r="AD23" i="17"/>
  <c r="Q23" i="16"/>
  <c r="AI23" i="16" s="1"/>
  <c r="AD42" i="17"/>
  <c r="Q42" i="16"/>
  <c r="AI42" i="16" s="1"/>
  <c r="AD52" i="17"/>
  <c r="Q52" i="16"/>
  <c r="AI52" i="16" s="1"/>
  <c r="AB53" i="17"/>
  <c r="G53" i="16"/>
  <c r="AC53" i="16" s="1"/>
  <c r="AB43" i="17"/>
  <c r="G43" i="16"/>
  <c r="AC43" i="16" s="1"/>
  <c r="AB68" i="17"/>
  <c r="G68" i="16"/>
  <c r="AC68" i="16" s="1"/>
  <c r="G34" i="16"/>
  <c r="AC34" i="16" s="1"/>
  <c r="AB34" i="17"/>
  <c r="AB37" i="17"/>
  <c r="G37" i="16"/>
  <c r="AA25" i="17"/>
  <c r="F25" i="16"/>
  <c r="AA80" i="17"/>
  <c r="F80" i="16"/>
  <c r="AB80" i="16" s="1"/>
  <c r="AA72" i="17"/>
  <c r="F72" i="16"/>
  <c r="AA16" i="17"/>
  <c r="F16" i="16"/>
  <c r="AA26" i="17"/>
  <c r="F26" i="16"/>
  <c r="AC28" i="17"/>
  <c r="H28" i="16"/>
  <c r="AC47" i="17"/>
  <c r="H47" i="16"/>
  <c r="AC51" i="17"/>
  <c r="H51" i="16"/>
  <c r="AF18" i="17"/>
  <c r="W19" i="17"/>
  <c r="V18" i="16"/>
  <c r="AQ18" i="16" s="1"/>
  <c r="AE23" i="17"/>
  <c r="S23" i="16"/>
  <c r="AK23" i="16" s="1"/>
  <c r="AE68" i="17"/>
  <c r="S68" i="16"/>
  <c r="AK68" i="16" s="1"/>
  <c r="S67" i="16"/>
  <c r="AK67" i="16" s="1"/>
  <c r="AE67" i="17"/>
  <c r="AE59" i="17"/>
  <c r="S59" i="16"/>
  <c r="AK59" i="16" s="1"/>
  <c r="AE14" i="17"/>
  <c r="S14" i="16"/>
  <c r="AK14" i="16" s="1"/>
  <c r="I72" i="16" l="1"/>
  <c r="J72" i="16" s="1"/>
  <c r="AB72" i="16"/>
  <c r="AH72" i="16" s="1"/>
  <c r="AB24" i="16"/>
  <c r="AH24" i="16" s="1"/>
  <c r="I24" i="16"/>
  <c r="J24" i="16" s="1"/>
  <c r="I78" i="16"/>
  <c r="J78" i="16" s="1"/>
  <c r="AB78" i="16"/>
  <c r="AH78" i="16" s="1"/>
  <c r="AG36" i="17"/>
  <c r="AB49" i="16"/>
  <c r="I49" i="16"/>
  <c r="J49" i="16" s="1"/>
  <c r="AG37" i="17"/>
  <c r="AB68" i="16"/>
  <c r="AH68" i="16" s="1"/>
  <c r="I68" i="16"/>
  <c r="J68" i="16" s="1"/>
  <c r="I65" i="16"/>
  <c r="J65" i="16" s="1"/>
  <c r="AB65" i="16"/>
  <c r="AH65" i="16" s="1"/>
  <c r="AB32" i="16"/>
  <c r="I32" i="16"/>
  <c r="J32" i="16" s="1"/>
  <c r="AB13" i="16"/>
  <c r="AH13" i="16" s="1"/>
  <c r="I13" i="16"/>
  <c r="J13" i="16" s="1"/>
  <c r="AB61" i="16"/>
  <c r="I61" i="16"/>
  <c r="J61" i="16" s="1"/>
  <c r="AB58" i="16"/>
  <c r="I58" i="16"/>
  <c r="J58" i="16" s="1"/>
  <c r="AC69" i="16"/>
  <c r="AB29" i="16"/>
  <c r="I29" i="16"/>
  <c r="J29" i="16" s="1"/>
  <c r="AG63" i="17"/>
  <c r="AG46" i="17"/>
  <c r="AG50" i="17"/>
  <c r="AC24" i="16"/>
  <c r="AB40" i="16"/>
  <c r="AH40" i="16" s="1"/>
  <c r="I40" i="16"/>
  <c r="J40" i="16" s="1"/>
  <c r="AG32" i="17"/>
  <c r="AC55" i="16"/>
  <c r="AG70" i="17"/>
  <c r="AC40" i="16"/>
  <c r="AG76" i="17"/>
  <c r="AG72" i="17"/>
  <c r="AG24" i="17"/>
  <c r="AC62" i="16"/>
  <c r="AG40" i="17"/>
  <c r="AC51" i="16"/>
  <c r="I34" i="16"/>
  <c r="J34" i="16" s="1"/>
  <c r="AB59" i="16"/>
  <c r="AH59" i="16" s="1"/>
  <c r="I59" i="16"/>
  <c r="J59" i="16" s="1"/>
  <c r="AB51" i="16"/>
  <c r="AH51" i="16" s="1"/>
  <c r="I51" i="16"/>
  <c r="J51" i="16" s="1"/>
  <c r="I71" i="16"/>
  <c r="J71" i="16" s="1"/>
  <c r="AB71" i="16"/>
  <c r="AH71" i="16" s="1"/>
  <c r="I70" i="16"/>
  <c r="J70" i="16" s="1"/>
  <c r="AC70" i="16"/>
  <c r="AH70" i="16" s="1"/>
  <c r="AH21" i="16"/>
  <c r="AC21" i="16"/>
  <c r="I43" i="16"/>
  <c r="J43" i="16" s="1"/>
  <c r="AB43" i="16"/>
  <c r="AH43" i="16" s="1"/>
  <c r="AG39" i="17"/>
  <c r="AG20" i="17"/>
  <c r="I19" i="16"/>
  <c r="J19" i="16" s="1"/>
  <c r="AB19" i="16"/>
  <c r="AH19" i="16" s="1"/>
  <c r="AB76" i="16"/>
  <c r="AH76" i="16" s="1"/>
  <c r="I76" i="16"/>
  <c r="J76" i="16" s="1"/>
  <c r="AB17" i="16"/>
  <c r="I17" i="16"/>
  <c r="J17" i="16" s="1"/>
  <c r="I15" i="16"/>
  <c r="J15" i="16" s="1"/>
  <c r="AC15" i="16"/>
  <c r="AB54" i="16"/>
  <c r="I54" i="16"/>
  <c r="J54" i="16" s="1"/>
  <c r="AG51" i="17"/>
  <c r="AC29" i="16"/>
  <c r="AC83" i="17"/>
  <c r="AC84" i="17" s="1"/>
  <c r="AC54" i="16"/>
  <c r="AG19" i="17"/>
  <c r="AC30" i="16"/>
  <c r="AG80" i="17"/>
  <c r="AC44" i="16"/>
  <c r="AG33" i="17"/>
  <c r="AH58" i="16"/>
  <c r="I52" i="16"/>
  <c r="J52" i="16" s="1"/>
  <c r="AB52" i="16"/>
  <c r="AH52" i="16" s="1"/>
  <c r="I30" i="16"/>
  <c r="J30" i="16" s="1"/>
  <c r="AB30" i="16"/>
  <c r="AH30" i="16" s="1"/>
  <c r="AG54" i="17"/>
  <c r="AG59" i="17"/>
  <c r="AG71" i="17"/>
  <c r="AC20" i="16"/>
  <c r="AG21" i="17"/>
  <c r="AG43" i="17"/>
  <c r="AB53" i="16"/>
  <c r="AH53" i="16" s="1"/>
  <c r="I53" i="16"/>
  <c r="J53" i="16" s="1"/>
  <c r="I39" i="16"/>
  <c r="J39" i="16" s="1"/>
  <c r="AB39" i="16"/>
  <c r="AH39" i="16" s="1"/>
  <c r="AB33" i="16"/>
  <c r="AH33" i="16" s="1"/>
  <c r="I33" i="16"/>
  <c r="J33" i="16" s="1"/>
  <c r="I66" i="16"/>
  <c r="J66" i="16" s="1"/>
  <c r="AB66" i="16"/>
  <c r="AH66" i="16" s="1"/>
  <c r="AG53" i="17"/>
  <c r="I25" i="16"/>
  <c r="J25" i="16" s="1"/>
  <c r="AB25" i="16"/>
  <c r="AC71" i="16"/>
  <c r="I31" i="16"/>
  <c r="J31" i="16" s="1"/>
  <c r="AB31" i="16"/>
  <c r="AG52" i="17"/>
  <c r="AG47" i="17"/>
  <c r="AG62" i="17"/>
  <c r="AC52" i="16"/>
  <c r="I60" i="16"/>
  <c r="J60" i="16" s="1"/>
  <c r="AB60" i="16"/>
  <c r="AH60" i="16" s="1"/>
  <c r="AG27" i="17"/>
  <c r="I80" i="16"/>
  <c r="J80" i="16" s="1"/>
  <c r="AC80" i="16"/>
  <c r="AH80" i="16" s="1"/>
  <c r="I75" i="16"/>
  <c r="J75" i="16" s="1"/>
  <c r="AB75" i="16"/>
  <c r="AH75" i="16" s="1"/>
  <c r="AG66" i="17"/>
  <c r="AB77" i="16"/>
  <c r="AH77" i="16" s="1"/>
  <c r="I77" i="16"/>
  <c r="J77" i="16" s="1"/>
  <c r="I64" i="16"/>
  <c r="J64" i="16" s="1"/>
  <c r="AB64" i="16"/>
  <c r="AH64" i="16" s="1"/>
  <c r="AC41" i="16"/>
  <c r="AH41" i="16" s="1"/>
  <c r="AG23" i="17"/>
  <c r="AC38" i="16"/>
  <c r="AB74" i="16"/>
  <c r="AH74" i="16" s="1"/>
  <c r="I74" i="16"/>
  <c r="J74" i="16" s="1"/>
  <c r="AC25" i="16"/>
  <c r="I27" i="16"/>
  <c r="J27" i="16" s="1"/>
  <c r="AG34" i="17"/>
  <c r="AB83" i="17"/>
  <c r="AB84" i="17" s="1"/>
  <c r="AB47" i="16"/>
  <c r="I47" i="16"/>
  <c r="J47" i="16" s="1"/>
  <c r="AB14" i="16"/>
  <c r="AH14" i="16" s="1"/>
  <c r="I14" i="16"/>
  <c r="J14" i="16" s="1"/>
  <c r="I45" i="16"/>
  <c r="J45" i="16" s="1"/>
  <c r="AB45" i="16"/>
  <c r="AH45" i="16" s="1"/>
  <c r="AG60" i="17"/>
  <c r="AG75" i="17"/>
  <c r="AC28" i="16"/>
  <c r="AG64" i="17"/>
  <c r="AC49" i="16"/>
  <c r="AG68" i="17"/>
  <c r="AE83" i="17"/>
  <c r="AE84" i="17" s="1"/>
  <c r="AG30" i="17"/>
  <c r="I62" i="16"/>
  <c r="J62" i="16" s="1"/>
  <c r="AB62" i="16"/>
  <c r="AC37" i="16"/>
  <c r="AG35" i="17"/>
  <c r="AG45" i="17"/>
  <c r="AC32" i="16"/>
  <c r="AC16" i="16"/>
  <c r="AC56" i="16"/>
  <c r="AC17" i="16"/>
  <c r="AB79" i="16"/>
  <c r="AH79" i="16" s="1"/>
  <c r="I79" i="16"/>
  <c r="J79" i="16" s="1"/>
  <c r="AG44" i="17"/>
  <c r="AG18" i="17"/>
  <c r="AC47" i="16"/>
  <c r="AG56" i="17"/>
  <c r="AH15" i="16"/>
  <c r="AG38" i="17"/>
  <c r="AG41" i="17"/>
  <c r="AD83" i="17"/>
  <c r="AD84" i="17" s="1"/>
  <c r="I67" i="16"/>
  <c r="J67" i="16" s="1"/>
  <c r="AB67" i="16"/>
  <c r="AH67" i="16" s="1"/>
  <c r="AG42" i="17"/>
  <c r="AH20" i="16"/>
  <c r="I35" i="16"/>
  <c r="J35" i="16" s="1"/>
  <c r="AB35" i="16"/>
  <c r="AH35" i="16" s="1"/>
  <c r="AB23" i="16"/>
  <c r="I23" i="16"/>
  <c r="J23" i="16" s="1"/>
  <c r="AC14" i="16"/>
  <c r="AB41" i="16"/>
  <c r="I41" i="16"/>
  <c r="J41" i="16" s="1"/>
  <c r="I57" i="16"/>
  <c r="J57" i="16" s="1"/>
  <c r="AB57" i="16"/>
  <c r="AH57" i="16" s="1"/>
  <c r="AG26" i="17"/>
  <c r="I20" i="16"/>
  <c r="J20" i="16" s="1"/>
  <c r="AB48" i="16"/>
  <c r="AH48" i="16" s="1"/>
  <c r="I48" i="16"/>
  <c r="J48" i="16" s="1"/>
  <c r="AB69" i="16"/>
  <c r="AH69" i="16" s="1"/>
  <c r="I69" i="16"/>
  <c r="J69" i="16" s="1"/>
  <c r="AG67" i="17"/>
  <c r="AG57" i="17"/>
  <c r="AB42" i="16"/>
  <c r="AH42" i="16" s="1"/>
  <c r="I42" i="16"/>
  <c r="J42" i="16" s="1"/>
  <c r="AB16" i="16"/>
  <c r="I16" i="16"/>
  <c r="J16" i="16" s="1"/>
  <c r="I44" i="16"/>
  <c r="J44" i="16" s="1"/>
  <c r="AB44" i="16"/>
  <c r="AH44" i="16" s="1"/>
  <c r="AB28" i="16"/>
  <c r="AH28" i="16" s="1"/>
  <c r="I28" i="16"/>
  <c r="J28" i="16" s="1"/>
  <c r="AG48" i="17"/>
  <c r="AC63" i="16"/>
  <c r="AH63" i="16" s="1"/>
  <c r="AC31" i="16"/>
  <c r="AB55" i="16"/>
  <c r="AH55" i="16" s="1"/>
  <c r="I55" i="16"/>
  <c r="J55" i="16" s="1"/>
  <c r="AG15" i="17"/>
  <c r="AC26" i="16"/>
  <c r="AC22" i="16"/>
  <c r="AB63" i="16"/>
  <c r="I63" i="16"/>
  <c r="J63" i="16" s="1"/>
  <c r="AB50" i="16"/>
  <c r="AH50" i="16" s="1"/>
  <c r="I50" i="16"/>
  <c r="J50" i="16" s="1"/>
  <c r="AC61" i="16"/>
  <c r="AC23" i="16"/>
  <c r="AH23" i="16" s="1"/>
  <c r="AB73" i="16"/>
  <c r="AH73" i="16" s="1"/>
  <c r="I73" i="16"/>
  <c r="J73" i="16" s="1"/>
  <c r="AC35" i="16"/>
  <c r="AF19" i="17"/>
  <c r="W20" i="17"/>
  <c r="V19" i="16"/>
  <c r="AQ19" i="16" s="1"/>
  <c r="AB22" i="16"/>
  <c r="AH22" i="16" s="1"/>
  <c r="I22" i="16"/>
  <c r="J22" i="16" s="1"/>
  <c r="AB26" i="16"/>
  <c r="AH26" i="16" s="1"/>
  <c r="I26" i="16"/>
  <c r="J26" i="16" s="1"/>
  <c r="AG25" i="17"/>
  <c r="AG31" i="17"/>
  <c r="AG14" i="17"/>
  <c r="I56" i="16"/>
  <c r="J56" i="16" s="1"/>
  <c r="AB56" i="16"/>
  <c r="I38" i="16"/>
  <c r="J38" i="16" s="1"/>
  <c r="AB38" i="16"/>
  <c r="AH38" i="16" s="1"/>
  <c r="AG69" i="17"/>
  <c r="AG16" i="17"/>
  <c r="I36" i="16"/>
  <c r="J36" i="16" s="1"/>
  <c r="AB36" i="16"/>
  <c r="AH36" i="16" s="1"/>
  <c r="AG79" i="17"/>
  <c r="AB37" i="16"/>
  <c r="AH37" i="16" s="1"/>
  <c r="I37" i="16"/>
  <c r="J37" i="16" s="1"/>
  <c r="AG65" i="17"/>
  <c r="AG28" i="17"/>
  <c r="AG13" i="17"/>
  <c r="AA83" i="17"/>
  <c r="AG55" i="17"/>
  <c r="I18" i="16"/>
  <c r="J18" i="16" s="1"/>
  <c r="AB46" i="16"/>
  <c r="AH46" i="16" s="1"/>
  <c r="I46" i="16"/>
  <c r="J46" i="16" s="1"/>
  <c r="AG73" i="17"/>
  <c r="AH29" i="16" l="1"/>
  <c r="AH49" i="16"/>
  <c r="AH56" i="16"/>
  <c r="AA84" i="17"/>
  <c r="AG84" i="17" s="1"/>
  <c r="AG83" i="17"/>
  <c r="AH17" i="16"/>
  <c r="AH61" i="16"/>
  <c r="W21" i="17"/>
  <c r="AF20" i="17"/>
  <c r="V20" i="16"/>
  <c r="AQ20" i="16" s="1"/>
  <c r="AH62" i="16"/>
  <c r="AH31" i="16"/>
  <c r="AH47" i="16"/>
  <c r="AH32" i="16"/>
  <c r="AH16" i="16"/>
  <c r="AH54" i="16"/>
  <c r="AH25" i="16"/>
  <c r="W22" i="17" l="1"/>
  <c r="V21" i="16"/>
  <c r="AQ21" i="16" s="1"/>
  <c r="AF21" i="17"/>
  <c r="AF22" i="17" l="1"/>
  <c r="V22" i="16"/>
  <c r="AQ22" i="16" s="1"/>
  <c r="W23" i="17"/>
  <c r="W24" i="17" l="1"/>
  <c r="V23" i="16"/>
  <c r="AQ23" i="16" s="1"/>
  <c r="AF23" i="17"/>
  <c r="W25" i="17" l="1"/>
  <c r="V24" i="16"/>
  <c r="AQ24" i="16" s="1"/>
  <c r="AF24" i="17"/>
  <c r="AF25" i="17" l="1"/>
  <c r="W26" i="17"/>
  <c r="V25" i="16"/>
  <c r="AQ25" i="16" s="1"/>
  <c r="AF26" i="17" l="1"/>
  <c r="W27" i="17"/>
  <c r="V26" i="16"/>
  <c r="AQ26" i="16" s="1"/>
  <c r="W28" i="17" l="1"/>
  <c r="AF27" i="17"/>
  <c r="V27" i="16"/>
  <c r="AQ27" i="16" s="1"/>
  <c r="AF28" i="17" l="1"/>
  <c r="W29" i="17"/>
  <c r="V28" i="16"/>
  <c r="AQ28" i="16" s="1"/>
  <c r="AF29" i="17" l="1"/>
  <c r="W30" i="17"/>
  <c r="V29" i="16"/>
  <c r="AQ29" i="16" s="1"/>
  <c r="W31" i="17" l="1"/>
  <c r="AF30" i="17"/>
  <c r="V30" i="16"/>
  <c r="AQ30" i="16" s="1"/>
  <c r="AF31" i="17" l="1"/>
  <c r="W32" i="17"/>
  <c r="V31" i="16"/>
  <c r="AQ31" i="16" s="1"/>
  <c r="AF32" i="17" l="1"/>
  <c r="W33" i="17"/>
  <c r="V32" i="16"/>
  <c r="AQ32" i="16" s="1"/>
  <c r="AF33" i="17" l="1"/>
  <c r="W34" i="17"/>
  <c r="V33" i="16"/>
  <c r="AQ33" i="16" s="1"/>
  <c r="A9" i="10"/>
  <c r="A10" i="10" s="1"/>
  <c r="A11" i="10" s="1"/>
  <c r="A12" i="10" s="1"/>
  <c r="A13" i="10" s="1"/>
  <c r="A14" i="10" s="1"/>
  <c r="A15" i="10" s="1"/>
  <c r="A16" i="10" s="1"/>
  <c r="B16" i="10"/>
  <c r="F16" i="10"/>
  <c r="G16" i="10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B17" i="10"/>
  <c r="B18" i="10" s="1"/>
  <c r="B19" i="10" s="1"/>
  <c r="B20" i="10" s="1"/>
  <c r="B21" i="10" s="1"/>
  <c r="B22" i="10" s="1"/>
  <c r="F17" i="10"/>
  <c r="F18" i="10"/>
  <c r="F19" i="10"/>
  <c r="F20" i="10"/>
  <c r="F21" i="10"/>
  <c r="F22" i="10"/>
  <c r="B23" i="10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F23" i="10"/>
  <c r="F24" i="10"/>
  <c r="F25" i="10"/>
  <c r="F26" i="10"/>
  <c r="F27" i="10"/>
  <c r="F28" i="10"/>
  <c r="F29" i="10"/>
  <c r="F30" i="10"/>
  <c r="F31" i="10"/>
  <c r="F33" i="10"/>
  <c r="F34" i="10"/>
  <c r="F35" i="10"/>
  <c r="F36" i="10"/>
  <c r="F37" i="10"/>
  <c r="F38" i="10"/>
  <c r="F39" i="10"/>
  <c r="F40" i="10"/>
  <c r="F41" i="10"/>
  <c r="F43" i="10"/>
  <c r="F44" i="10"/>
  <c r="F45" i="10"/>
  <c r="F46" i="10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F47" i="10"/>
  <c r="F48" i="10"/>
  <c r="F49" i="10"/>
  <c r="F50" i="10"/>
  <c r="F51" i="10"/>
  <c r="F52" i="10"/>
  <c r="F53" i="10"/>
  <c r="F55" i="10"/>
  <c r="F56" i="10"/>
  <c r="F57" i="10"/>
  <c r="F58" i="10"/>
  <c r="F59" i="10"/>
  <c r="F60" i="10"/>
  <c r="F61" i="10"/>
  <c r="F62" i="10"/>
  <c r="F63" i="10"/>
  <c r="F64" i="10"/>
  <c r="F65" i="10"/>
  <c r="F67" i="10"/>
  <c r="F68" i="10"/>
  <c r="A69" i="10"/>
  <c r="A70" i="10" s="1"/>
  <c r="A71" i="10" s="1"/>
  <c r="A72" i="10" s="1"/>
  <c r="A73" i="10" s="1"/>
  <c r="A74" i="10" s="1"/>
  <c r="F69" i="10"/>
  <c r="F70" i="10"/>
  <c r="F71" i="10"/>
  <c r="F72" i="10"/>
  <c r="F73" i="10"/>
  <c r="F74" i="10"/>
  <c r="A75" i="10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F75" i="10"/>
  <c r="F76" i="10"/>
  <c r="F77" i="10"/>
  <c r="F79" i="10"/>
  <c r="F80" i="10"/>
  <c r="F81" i="10"/>
  <c r="D82" i="10"/>
  <c r="F82" i="10" s="1"/>
  <c r="F83" i="10"/>
  <c r="F84" i="10"/>
  <c r="F85" i="10"/>
  <c r="F86" i="10"/>
  <c r="F87" i="10"/>
  <c r="F88" i="10"/>
  <c r="F89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D125" i="10"/>
  <c r="F125" i="10" s="1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D210" i="10"/>
  <c r="F210" i="10" s="1"/>
  <c r="F211" i="10"/>
  <c r="F212" i="10"/>
  <c r="F213" i="10"/>
  <c r="A214" i="10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5" i="10"/>
  <c r="F236" i="10"/>
  <c r="F237" i="10"/>
  <c r="F238" i="10"/>
  <c r="F239" i="10"/>
  <c r="F240" i="10"/>
  <c r="F241" i="10"/>
  <c r="F242" i="10"/>
  <c r="F243" i="10"/>
  <c r="A9" i="9"/>
  <c r="A10" i="9"/>
  <c r="A11" i="9" s="1"/>
  <c r="A12" i="9" s="1"/>
  <c r="A13" i="9" s="1"/>
  <c r="A14" i="9" s="1"/>
  <c r="A15" i="9" s="1"/>
  <c r="A16" i="9" s="1"/>
  <c r="A17" i="9" s="1"/>
  <c r="B16" i="9"/>
  <c r="D16" i="9"/>
  <c r="E16" i="9"/>
  <c r="H16" i="9" s="1"/>
  <c r="I16" i="9" s="1"/>
  <c r="G16" i="9"/>
  <c r="B17" i="9"/>
  <c r="H17" i="9"/>
  <c r="I17" i="9"/>
  <c r="I18" i="9" s="1"/>
  <c r="I19" i="9" s="1"/>
  <c r="A18" i="9"/>
  <c r="A19" i="9" s="1"/>
  <c r="A20" i="9" s="1"/>
  <c r="A21" i="9" s="1"/>
  <c r="A22" i="9" s="1"/>
  <c r="A23" i="9" s="1"/>
  <c r="A24" i="9" s="1"/>
  <c r="A25" i="9" s="1"/>
  <c r="A26" i="9" s="1"/>
  <c r="A27" i="9" s="1"/>
  <c r="B18" i="9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H18" i="9"/>
  <c r="H19" i="9"/>
  <c r="E20" i="9"/>
  <c r="H20" i="9"/>
  <c r="H21" i="9"/>
  <c r="H22" i="9"/>
  <c r="H23" i="9"/>
  <c r="A28" i="9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G29" i="9"/>
  <c r="H29" i="9" s="1"/>
  <c r="H34" i="9"/>
  <c r="H35" i="9"/>
  <c r="H36" i="9"/>
  <c r="E41" i="9"/>
  <c r="H45" i="9"/>
  <c r="B47" i="9"/>
  <c r="B48" i="9" s="1"/>
  <c r="B49" i="9" s="1"/>
  <c r="B50" i="9" s="1"/>
  <c r="B51" i="9" s="1"/>
  <c r="B52" i="9" s="1"/>
  <c r="B53" i="9" s="1"/>
  <c r="D51" i="9"/>
  <c r="D56" i="9"/>
  <c r="D57" i="9"/>
  <c r="E81" i="9"/>
  <c r="G81" i="9" s="1"/>
  <c r="H81" i="9" s="1"/>
  <c r="G94" i="9"/>
  <c r="H94" i="9" s="1"/>
  <c r="E109" i="9"/>
  <c r="E120" i="9"/>
  <c r="G120" i="9" s="1"/>
  <c r="H120" i="9"/>
  <c r="G133" i="9"/>
  <c r="H133" i="9"/>
  <c r="G146" i="9"/>
  <c r="H146" i="9" s="1"/>
  <c r="G159" i="9"/>
  <c r="H159" i="9" s="1"/>
  <c r="G172" i="9"/>
  <c r="H172" i="9" s="1"/>
  <c r="D184" i="9"/>
  <c r="G185" i="9"/>
  <c r="H185" i="9" s="1"/>
  <c r="G198" i="9"/>
  <c r="H198" i="9"/>
  <c r="E211" i="9"/>
  <c r="G211" i="9" s="1"/>
  <c r="D217" i="9"/>
  <c r="G224" i="9"/>
  <c r="H224" i="9"/>
  <c r="D232" i="9"/>
  <c r="G237" i="9"/>
  <c r="H237" i="9"/>
  <c r="G250" i="9"/>
  <c r="H250" i="9" s="1"/>
  <c r="D260" i="9"/>
  <c r="D261" i="9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B16" i="8"/>
  <c r="B17" i="8" s="1"/>
  <c r="B18" i="8" s="1"/>
  <c r="H16" i="8"/>
  <c r="I16" i="8"/>
  <c r="D17" i="8"/>
  <c r="G17" i="8"/>
  <c r="H17" i="8" s="1"/>
  <c r="I17" i="8" s="1"/>
  <c r="I18" i="8" s="1"/>
  <c r="I19" i="8" s="1"/>
  <c r="I20" i="8" s="1"/>
  <c r="H18" i="8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H19" i="8"/>
  <c r="H20" i="8"/>
  <c r="H21" i="8"/>
  <c r="H22" i="8"/>
  <c r="G23" i="8"/>
  <c r="H23" i="8" s="1"/>
  <c r="G24" i="8"/>
  <c r="H24" i="8"/>
  <c r="H25" i="8"/>
  <c r="H26" i="8"/>
  <c r="H27" i="8"/>
  <c r="A28" i="8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H30" i="8"/>
  <c r="H31" i="8"/>
  <c r="D32" i="8"/>
  <c r="H32" i="8" s="1"/>
  <c r="G32" i="8"/>
  <c r="H33" i="8"/>
  <c r="H35" i="8"/>
  <c r="B39" i="8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D39" i="8"/>
  <c r="E45" i="8"/>
  <c r="H45" i="8" s="1"/>
  <c r="H48" i="8"/>
  <c r="J51" i="8"/>
  <c r="D52" i="8"/>
  <c r="D53" i="8"/>
  <c r="D88" i="8"/>
  <c r="A120" i="8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E123" i="8"/>
  <c r="E125" i="8"/>
  <c r="H187" i="8"/>
  <c r="J247" i="8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B16" i="7"/>
  <c r="D16" i="7"/>
  <c r="E16" i="7"/>
  <c r="G16" i="7"/>
  <c r="B17" i="7"/>
  <c r="B18" i="7" s="1"/>
  <c r="B19" i="7" s="1"/>
  <c r="H17" i="7"/>
  <c r="H18" i="7"/>
  <c r="H19" i="7"/>
  <c r="B20" i="7"/>
  <c r="B21" i="7" s="1"/>
  <c r="B22" i="7" s="1"/>
  <c r="B23" i="7" s="1"/>
  <c r="B24" i="7" s="1"/>
  <c r="B25" i="7" s="1"/>
  <c r="B26" i="7" s="1"/>
  <c r="B27" i="7" s="1"/>
  <c r="B28" i="7" s="1"/>
  <c r="H20" i="7"/>
  <c r="H21" i="7"/>
  <c r="H22" i="7"/>
  <c r="H23" i="7"/>
  <c r="G29" i="7"/>
  <c r="H29" i="7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D40" i="7"/>
  <c r="E41" i="7"/>
  <c r="D55" i="7"/>
  <c r="H58" i="7"/>
  <c r="A78" i="7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75" i="7" s="1"/>
  <c r="A276" i="7" s="1"/>
  <c r="A277" i="7" s="1"/>
  <c r="A278" i="7" s="1"/>
  <c r="A279" i="7" s="1"/>
  <c r="E88" i="7"/>
  <c r="G94" i="7"/>
  <c r="H94" i="7" s="1"/>
  <c r="D108" i="7"/>
  <c r="D109" i="7"/>
  <c r="D110" i="7"/>
  <c r="D111" i="7"/>
  <c r="D112" i="7"/>
  <c r="D113" i="7"/>
  <c r="D114" i="7"/>
  <c r="E120" i="7"/>
  <c r="G120" i="7" s="1"/>
  <c r="H120" i="7"/>
  <c r="G133" i="7"/>
  <c r="H133" i="7" s="1"/>
  <c r="G146" i="7"/>
  <c r="H146" i="7" s="1"/>
  <c r="G159" i="7"/>
  <c r="H159" i="7"/>
  <c r="G172" i="7"/>
  <c r="H172" i="7" s="1"/>
  <c r="D184" i="7"/>
  <c r="E185" i="7"/>
  <c r="G185" i="7"/>
  <c r="G198" i="7"/>
  <c r="H198" i="7" s="1"/>
  <c r="E211" i="7"/>
  <c r="G224" i="7"/>
  <c r="H224" i="7" s="1"/>
  <c r="G237" i="7"/>
  <c r="H237" i="7"/>
  <c r="G250" i="7"/>
  <c r="H250" i="7"/>
  <c r="D260" i="7"/>
  <c r="D261" i="7"/>
  <c r="A9" i="6"/>
  <c r="A10" i="6"/>
  <c r="A11" i="6" s="1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B16" i="6"/>
  <c r="B17" i="6" s="1"/>
  <c r="B18" i="6" s="1"/>
  <c r="B19" i="6" s="1"/>
  <c r="B20" i="6" s="1"/>
  <c r="B21" i="6" s="1"/>
  <c r="B22" i="6" s="1"/>
  <c r="B23" i="6" s="1"/>
  <c r="B24" i="6" s="1"/>
  <c r="B25" i="6" s="1"/>
  <c r="D16" i="6"/>
  <c r="H16" i="6" s="1"/>
  <c r="I16" i="6" s="1"/>
  <c r="I17" i="6" s="1"/>
  <c r="I18" i="6" s="1"/>
  <c r="G16" i="6"/>
  <c r="H17" i="6"/>
  <c r="H18" i="6"/>
  <c r="H19" i="6"/>
  <c r="I19" i="6"/>
  <c r="I20" i="6" s="1"/>
  <c r="I21" i="6" s="1"/>
  <c r="I22" i="6" s="1"/>
  <c r="I23" i="6" s="1"/>
  <c r="I24" i="6" s="1"/>
  <c r="I25" i="6" s="1"/>
  <c r="I26" i="6" s="1"/>
  <c r="I27" i="6" s="1"/>
  <c r="H20" i="6"/>
  <c r="H21" i="6"/>
  <c r="H22" i="6"/>
  <c r="D23" i="6"/>
  <c r="H23" i="6" s="1"/>
  <c r="G23" i="6"/>
  <c r="H24" i="6"/>
  <c r="H25" i="6"/>
  <c r="B26" i="6"/>
  <c r="B27" i="6" s="1"/>
  <c r="B28" i="6" s="1"/>
  <c r="B29" i="6" s="1"/>
  <c r="B30" i="6" s="1"/>
  <c r="H26" i="6"/>
  <c r="H27" i="6"/>
  <c r="H29" i="6"/>
  <c r="H30" i="6"/>
  <c r="B31" i="6"/>
  <c r="B32" i="6" s="1"/>
  <c r="B33" i="6" s="1"/>
  <c r="D31" i="6"/>
  <c r="H31" i="6" s="1"/>
  <c r="G31" i="6"/>
  <c r="H32" i="6"/>
  <c r="H33" i="6"/>
  <c r="B34" i="6"/>
  <c r="B35" i="6" s="1"/>
  <c r="D34" i="6"/>
  <c r="H34" i="6" s="1"/>
  <c r="G34" i="6"/>
  <c r="H35" i="6"/>
  <c r="B36" i="6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D52" i="6"/>
  <c r="D58" i="6"/>
  <c r="D59" i="6"/>
  <c r="G59" i="6"/>
  <c r="H59" i="6" s="1"/>
  <c r="H60" i="6"/>
  <c r="H61" i="6"/>
  <c r="D196" i="6"/>
  <c r="D237" i="6"/>
  <c r="A13" i="5"/>
  <c r="A14" i="5" s="1"/>
  <c r="A15" i="5" s="1"/>
  <c r="A16" i="5" s="1"/>
  <c r="C14" i="5"/>
  <c r="E14" i="5"/>
  <c r="F14" i="5"/>
  <c r="C15" i="5"/>
  <c r="D15" i="5"/>
  <c r="E15" i="5"/>
  <c r="F15" i="5"/>
  <c r="C16" i="5"/>
  <c r="D16" i="5"/>
  <c r="A17" i="5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C18" i="5"/>
  <c r="C20" i="5" s="1"/>
  <c r="E18" i="5"/>
  <c r="F18" i="5"/>
  <c r="C19" i="5"/>
  <c r="D19" i="5"/>
  <c r="F19" i="5" s="1"/>
  <c r="E19" i="5"/>
  <c r="E20" i="5"/>
  <c r="F20" i="5"/>
  <c r="C22" i="5"/>
  <c r="F22" i="5" s="1"/>
  <c r="D22" i="5"/>
  <c r="E22" i="5"/>
  <c r="E24" i="5" s="1"/>
  <c r="C23" i="5"/>
  <c r="F23" i="5" s="1"/>
  <c r="D23" i="5"/>
  <c r="C24" i="5"/>
  <c r="D24" i="5"/>
  <c r="D28" i="5"/>
  <c r="D29" i="5" s="1"/>
  <c r="O31" i="5"/>
  <c r="Q31" i="5"/>
  <c r="D32" i="5"/>
  <c r="O32" i="5"/>
  <c r="Q32" i="5"/>
  <c r="D34" i="5"/>
  <c r="F38" i="5"/>
  <c r="C39" i="5"/>
  <c r="D39" i="5"/>
  <c r="D40" i="5" s="1"/>
  <c r="E39" i="5"/>
  <c r="E40" i="5" s="1"/>
  <c r="C40" i="5"/>
  <c r="F42" i="5"/>
  <c r="C43" i="5"/>
  <c r="D43" i="5"/>
  <c r="D44" i="5" s="1"/>
  <c r="E43" i="5"/>
  <c r="E44" i="5"/>
  <c r="C46" i="5"/>
  <c r="F46" i="5" s="1"/>
  <c r="E46" i="5"/>
  <c r="C47" i="5"/>
  <c r="D47" i="5"/>
  <c r="E47" i="5"/>
  <c r="F47" i="5" s="1"/>
  <c r="C48" i="5"/>
  <c r="D48" i="5"/>
  <c r="C50" i="5"/>
  <c r="D50" i="5"/>
  <c r="F50" i="5" s="1"/>
  <c r="E50" i="5"/>
  <c r="G50" i="5"/>
  <c r="D51" i="5"/>
  <c r="C53" i="5"/>
  <c r="F53" i="5" s="1"/>
  <c r="F54" i="5" s="1"/>
  <c r="H54" i="5" s="1"/>
  <c r="J54" i="5" s="1"/>
  <c r="E53" i="5"/>
  <c r="E54" i="5" s="1"/>
  <c r="C54" i="5"/>
  <c r="D54" i="5"/>
  <c r="C56" i="5"/>
  <c r="F56" i="5" s="1"/>
  <c r="E56" i="5"/>
  <c r="D57" i="5"/>
  <c r="E57" i="5"/>
  <c r="F57" i="5"/>
  <c r="H57" i="5" s="1"/>
  <c r="J57" i="5" s="1"/>
  <c r="W35" i="17" l="1"/>
  <c r="AF34" i="17"/>
  <c r="V34" i="16"/>
  <c r="AQ34" i="16" s="1"/>
  <c r="A238" i="6"/>
  <c r="A239" i="6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E28" i="6"/>
  <c r="A42" i="5"/>
  <c r="A43" i="5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B54" i="6"/>
  <c r="B55" i="6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E16" i="5"/>
  <c r="F16" i="5"/>
  <c r="C51" i="5"/>
  <c r="E48" i="5"/>
  <c r="E51" i="5"/>
  <c r="F39" i="5"/>
  <c r="F43" i="5"/>
  <c r="F44" i="5" s="1"/>
  <c r="C44" i="5"/>
  <c r="G20" i="5"/>
  <c r="H20" i="5"/>
  <c r="J20" i="5" s="1"/>
  <c r="F48" i="5"/>
  <c r="G211" i="7"/>
  <c r="H211" i="7" s="1"/>
  <c r="F40" i="5"/>
  <c r="F24" i="5"/>
  <c r="B30" i="7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29" i="7"/>
  <c r="D20" i="5"/>
  <c r="D60" i="5" s="1"/>
  <c r="C57" i="5"/>
  <c r="H185" i="7"/>
  <c r="I21" i="8"/>
  <c r="I22" i="8" s="1"/>
  <c r="I23" i="8" s="1"/>
  <c r="I24" i="8" s="1"/>
  <c r="I25" i="8" s="1"/>
  <c r="I26" i="8" s="1"/>
  <c r="I27" i="8" s="1"/>
  <c r="B54" i="8"/>
  <c r="B55" i="8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H16" i="7"/>
  <c r="I16" i="7" s="1"/>
  <c r="I17" i="7" s="1"/>
  <c r="I18" i="7" s="1"/>
  <c r="I19" i="7" s="1"/>
  <c r="I20" i="7" s="1"/>
  <c r="I21" i="7" s="1"/>
  <c r="I22" i="7" s="1"/>
  <c r="I23" i="7" s="1"/>
  <c r="B54" i="9"/>
  <c r="B56" i="9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I20" i="9"/>
  <c r="I21" i="9" s="1"/>
  <c r="I22" i="9" s="1"/>
  <c r="I23" i="9" s="1"/>
  <c r="G17" i="10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H211" i="9"/>
  <c r="AF35" i="17" l="1"/>
  <c r="V35" i="16"/>
  <c r="AQ35" i="16" s="1"/>
  <c r="W36" i="17"/>
  <c r="G44" i="5"/>
  <c r="H44" i="5" s="1"/>
  <c r="J44" i="5" s="1"/>
  <c r="B81" i="9"/>
  <c r="B82" i="9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E32" i="10"/>
  <c r="G30" i="10"/>
  <c r="G31" i="10" s="1"/>
  <c r="B54" i="7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G24" i="9"/>
  <c r="H24" i="9" s="1"/>
  <c r="I24" i="9" s="1"/>
  <c r="G24" i="7"/>
  <c r="H24" i="7" s="1"/>
  <c r="I24" i="7" s="1"/>
  <c r="E28" i="8"/>
  <c r="G28" i="8"/>
  <c r="E28" i="7"/>
  <c r="H28" i="6"/>
  <c r="I28" i="6" s="1"/>
  <c r="I29" i="6" s="1"/>
  <c r="I30" i="6" s="1"/>
  <c r="I31" i="6" s="1"/>
  <c r="I32" i="6" s="1"/>
  <c r="I33" i="6" s="1"/>
  <c r="I34" i="6" s="1"/>
  <c r="I35" i="6" s="1"/>
  <c r="G40" i="5"/>
  <c r="H40" i="5"/>
  <c r="J40" i="5" s="1"/>
  <c r="G16" i="5"/>
  <c r="H16" i="5"/>
  <c r="J16" i="5" s="1"/>
  <c r="G24" i="5"/>
  <c r="H24" i="5" s="1"/>
  <c r="J24" i="5" s="1"/>
  <c r="F51" i="5"/>
  <c r="G48" i="5"/>
  <c r="H48" i="5" s="1"/>
  <c r="J48" i="5" s="1"/>
  <c r="AF36" i="17" l="1"/>
  <c r="W37" i="17"/>
  <c r="V36" i="16"/>
  <c r="AQ36" i="16" s="1"/>
  <c r="G25" i="9"/>
  <c r="H25" i="9" s="1"/>
  <c r="I25" i="9"/>
  <c r="G25" i="7"/>
  <c r="H25" i="7" s="1"/>
  <c r="I25" i="7" s="1"/>
  <c r="G51" i="5"/>
  <c r="H51" i="5" s="1"/>
  <c r="J51" i="5" s="1"/>
  <c r="B81" i="7"/>
  <c r="B82" i="7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G32" i="10"/>
  <c r="G33" i="10" s="1"/>
  <c r="G34" i="10" s="1"/>
  <c r="G35" i="10" s="1"/>
  <c r="G36" i="10" s="1"/>
  <c r="G37" i="10" s="1"/>
  <c r="G38" i="10" s="1"/>
  <c r="G39" i="10" s="1"/>
  <c r="G40" i="10" s="1"/>
  <c r="G41" i="10" s="1"/>
  <c r="E33" i="9"/>
  <c r="H33" i="9" s="1"/>
  <c r="F32" i="10"/>
  <c r="B134" i="9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33" i="9"/>
  <c r="G36" i="6"/>
  <c r="H36" i="6" s="1"/>
  <c r="I36" i="6" s="1"/>
  <c r="E28" i="9"/>
  <c r="H28" i="8"/>
  <c r="I28" i="8" s="1"/>
  <c r="W38" i="17" l="1"/>
  <c r="AF37" i="17"/>
  <c r="V37" i="16"/>
  <c r="AQ37" i="16" s="1"/>
  <c r="G37" i="6"/>
  <c r="H37" i="6" s="1"/>
  <c r="I37" i="6" s="1"/>
  <c r="G26" i="7"/>
  <c r="H26" i="7" s="1"/>
  <c r="I26" i="7" s="1"/>
  <c r="E42" i="10"/>
  <c r="G29" i="8"/>
  <c r="H29" i="8" s="1"/>
  <c r="I29" i="8"/>
  <c r="I30" i="8" s="1"/>
  <c r="I31" i="8" s="1"/>
  <c r="I32" i="8" s="1"/>
  <c r="I33" i="8" s="1"/>
  <c r="B133" i="7"/>
  <c r="B134" i="7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60" i="7" s="1"/>
  <c r="B147" i="9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60" i="9" s="1"/>
  <c r="B146" i="9"/>
  <c r="G26" i="9"/>
  <c r="H26" i="9" s="1"/>
  <c r="I26" i="9" s="1"/>
  <c r="W39" i="17" l="1"/>
  <c r="AF38" i="17"/>
  <c r="V38" i="16"/>
  <c r="AQ38" i="16" s="1"/>
  <c r="I27" i="9"/>
  <c r="G27" i="9"/>
  <c r="H27" i="9" s="1"/>
  <c r="I27" i="7"/>
  <c r="G27" i="7"/>
  <c r="H27" i="7" s="1"/>
  <c r="G38" i="6"/>
  <c r="H38" i="6" s="1"/>
  <c r="I38" i="6"/>
  <c r="G34" i="8"/>
  <c r="H34" i="8" s="1"/>
  <c r="I34" i="8"/>
  <c r="I35" i="8" s="1"/>
  <c r="F42" i="10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E43" i="9"/>
  <c r="W40" i="17" l="1"/>
  <c r="AF39" i="17"/>
  <c r="V39" i="16"/>
  <c r="AQ39" i="16" s="1"/>
  <c r="G36" i="8"/>
  <c r="H36" i="8" s="1"/>
  <c r="I36" i="8"/>
  <c r="G39" i="6"/>
  <c r="H39" i="6" s="1"/>
  <c r="I39" i="6" s="1"/>
  <c r="E54" i="10"/>
  <c r="G28" i="7"/>
  <c r="H28" i="7" s="1"/>
  <c r="I28" i="7"/>
  <c r="I29" i="7" s="1"/>
  <c r="G28" i="9"/>
  <c r="H28" i="9" s="1"/>
  <c r="I28" i="9"/>
  <c r="I29" i="9" s="1"/>
  <c r="AF40" i="17" l="1"/>
  <c r="W41" i="17"/>
  <c r="V40" i="16"/>
  <c r="AQ40" i="16" s="1"/>
  <c r="G40" i="6"/>
  <c r="H40" i="6" s="1"/>
  <c r="I40" i="6" s="1"/>
  <c r="G30" i="9"/>
  <c r="H30" i="9" s="1"/>
  <c r="I30" i="9" s="1"/>
  <c r="E56" i="9"/>
  <c r="F54" i="10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37" i="8"/>
  <c r="H37" i="8" s="1"/>
  <c r="I37" i="8" s="1"/>
  <c r="G30" i="7"/>
  <c r="H30" i="7" s="1"/>
  <c r="I30" i="7"/>
  <c r="W42" i="17" l="1"/>
  <c r="AF41" i="17"/>
  <c r="V41" i="16"/>
  <c r="AQ41" i="16" s="1"/>
  <c r="G38" i="8"/>
  <c r="H38" i="8" s="1"/>
  <c r="I38" i="8"/>
  <c r="G31" i="9"/>
  <c r="H31" i="9" s="1"/>
  <c r="I31" i="9" s="1"/>
  <c r="G41" i="6"/>
  <c r="H41" i="6" s="1"/>
  <c r="I41" i="6"/>
  <c r="E66" i="10"/>
  <c r="G31" i="7"/>
  <c r="H31" i="7" s="1"/>
  <c r="I31" i="7" s="1"/>
  <c r="AF42" i="17" l="1"/>
  <c r="W43" i="17"/>
  <c r="V42" i="16"/>
  <c r="AQ42" i="16" s="1"/>
  <c r="G32" i="9"/>
  <c r="H32" i="9" s="1"/>
  <c r="I32" i="9" s="1"/>
  <c r="I33" i="9" s="1"/>
  <c r="I34" i="9" s="1"/>
  <c r="I35" i="9" s="1"/>
  <c r="I36" i="9" s="1"/>
  <c r="G32" i="7"/>
  <c r="H32" i="7" s="1"/>
  <c r="I32" i="7" s="1"/>
  <c r="G42" i="6"/>
  <c r="H42" i="6" s="1"/>
  <c r="I42" i="6" s="1"/>
  <c r="E70" i="9"/>
  <c r="F66" i="10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39" i="8"/>
  <c r="H39" i="8" s="1"/>
  <c r="I39" i="8" s="1"/>
  <c r="AF43" i="17" l="1"/>
  <c r="W44" i="17"/>
  <c r="V43" i="16"/>
  <c r="AQ43" i="16" s="1"/>
  <c r="G37" i="9"/>
  <c r="H37" i="9" s="1"/>
  <c r="I37" i="9" s="1"/>
  <c r="G40" i="8"/>
  <c r="H40" i="8" s="1"/>
  <c r="I40" i="8" s="1"/>
  <c r="G43" i="6"/>
  <c r="H43" i="6" s="1"/>
  <c r="I43" i="6"/>
  <c r="G33" i="7"/>
  <c r="H33" i="7" s="1"/>
  <c r="I33" i="7"/>
  <c r="E78" i="10"/>
  <c r="W45" i="17" l="1"/>
  <c r="AF44" i="17"/>
  <c r="V44" i="16"/>
  <c r="AQ44" i="16" s="1"/>
  <c r="G41" i="8"/>
  <c r="H41" i="8" s="1"/>
  <c r="I41" i="8"/>
  <c r="G38" i="9"/>
  <c r="H38" i="9" s="1"/>
  <c r="I38" i="9" s="1"/>
  <c r="G34" i="7"/>
  <c r="H34" i="7" s="1"/>
  <c r="I34" i="7" s="1"/>
  <c r="F78" i="10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E83" i="9"/>
  <c r="G44" i="6"/>
  <c r="H44" i="6" s="1"/>
  <c r="I44" i="6" s="1"/>
  <c r="W46" i="17" l="1"/>
  <c r="AF45" i="17"/>
  <c r="V45" i="16"/>
  <c r="AQ45" i="16" s="1"/>
  <c r="G45" i="6"/>
  <c r="H45" i="6" s="1"/>
  <c r="I45" i="6"/>
  <c r="E47" i="6"/>
  <c r="G35" i="7"/>
  <c r="H35" i="7" s="1"/>
  <c r="I35" i="7" s="1"/>
  <c r="G39" i="9"/>
  <c r="H39" i="9" s="1"/>
  <c r="I39" i="9" s="1"/>
  <c r="E90" i="10"/>
  <c r="F90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 s="1"/>
  <c r="G208" i="10" s="1"/>
  <c r="G209" i="10" s="1"/>
  <c r="G210" i="10" s="1"/>
  <c r="G211" i="10" s="1"/>
  <c r="G212" i="10" s="1"/>
  <c r="G213" i="10" s="1"/>
  <c r="G214" i="10" s="1"/>
  <c r="G215" i="10" s="1"/>
  <c r="G216" i="10" s="1"/>
  <c r="G217" i="10" s="1"/>
  <c r="G218" i="10" s="1"/>
  <c r="G219" i="10" s="1"/>
  <c r="G220" i="10" s="1"/>
  <c r="G221" i="10" s="1"/>
  <c r="G222" i="10" s="1"/>
  <c r="G223" i="10" s="1"/>
  <c r="G224" i="10" s="1"/>
  <c r="G225" i="10" s="1"/>
  <c r="G226" i="10" s="1"/>
  <c r="G227" i="10" s="1"/>
  <c r="G228" i="10" s="1"/>
  <c r="G229" i="10" s="1"/>
  <c r="G230" i="10" s="1"/>
  <c r="G231" i="10" s="1"/>
  <c r="G232" i="10" s="1"/>
  <c r="G233" i="10" s="1"/>
  <c r="G42" i="8"/>
  <c r="H42" i="8" s="1"/>
  <c r="I42" i="8"/>
  <c r="AF46" i="17" l="1"/>
  <c r="W47" i="17"/>
  <c r="V46" i="16"/>
  <c r="AQ46" i="16" s="1"/>
  <c r="E234" i="10"/>
  <c r="F234" i="10" s="1"/>
  <c r="G234" i="10" s="1"/>
  <c r="G235" i="10" s="1"/>
  <c r="G236" i="10" s="1"/>
  <c r="G237" i="10" s="1"/>
  <c r="G238" i="10" s="1"/>
  <c r="G239" i="10" s="1"/>
  <c r="G240" i="10" s="1"/>
  <c r="G241" i="10" s="1"/>
  <c r="G36" i="7"/>
  <c r="H36" i="7" s="1"/>
  <c r="I36" i="7" s="1"/>
  <c r="G40" i="9"/>
  <c r="H40" i="9" s="1"/>
  <c r="I40" i="9"/>
  <c r="G43" i="8"/>
  <c r="H43" i="8" s="1"/>
  <c r="I43" i="8"/>
  <c r="E48" i="7"/>
  <c r="G46" i="6"/>
  <c r="H46" i="6" s="1"/>
  <c r="I46" i="6" s="1"/>
  <c r="AF47" i="17" l="1"/>
  <c r="V47" i="16"/>
  <c r="AQ47" i="16" s="1"/>
  <c r="W48" i="17"/>
  <c r="G47" i="6"/>
  <c r="H47" i="6" s="1"/>
  <c r="I47" i="6"/>
  <c r="G37" i="7"/>
  <c r="H37" i="7" s="1"/>
  <c r="I37" i="7" s="1"/>
  <c r="G242" i="10"/>
  <c r="G243" i="10" s="1"/>
  <c r="C33" i="5"/>
  <c r="F33" i="5" s="1"/>
  <c r="G44" i="8"/>
  <c r="H44" i="8" s="1"/>
  <c r="I44" i="8" s="1"/>
  <c r="I45" i="8" s="1"/>
  <c r="G41" i="9"/>
  <c r="H41" i="9" s="1"/>
  <c r="I41" i="9"/>
  <c r="W49" i="17" l="1"/>
  <c r="AF48" i="17"/>
  <c r="V48" i="16"/>
  <c r="AQ48" i="16" s="1"/>
  <c r="G46" i="8"/>
  <c r="H46" i="8" s="1"/>
  <c r="I46" i="8" s="1"/>
  <c r="G38" i="7"/>
  <c r="H38" i="7" s="1"/>
  <c r="I38" i="7" s="1"/>
  <c r="G42" i="9"/>
  <c r="H42" i="9" s="1"/>
  <c r="I42" i="9" s="1"/>
  <c r="G48" i="6"/>
  <c r="H48" i="6" s="1"/>
  <c r="I48" i="6"/>
  <c r="W50" i="17" l="1"/>
  <c r="V49" i="16"/>
  <c r="AQ49" i="16" s="1"/>
  <c r="AF49" i="17"/>
  <c r="G39" i="7"/>
  <c r="H39" i="7" s="1"/>
  <c r="I39" i="7" s="1"/>
  <c r="G43" i="9"/>
  <c r="H43" i="9" s="1"/>
  <c r="I43" i="9" s="1"/>
  <c r="G47" i="8"/>
  <c r="H47" i="8" s="1"/>
  <c r="I47" i="8"/>
  <c r="G49" i="6"/>
  <c r="H49" i="6" s="1"/>
  <c r="I49" i="6" s="1"/>
  <c r="AF50" i="17" l="1"/>
  <c r="V50" i="16"/>
  <c r="AQ50" i="16" s="1"/>
  <c r="W51" i="17"/>
  <c r="G50" i="6"/>
  <c r="H50" i="6" s="1"/>
  <c r="I50" i="6" s="1"/>
  <c r="G44" i="9"/>
  <c r="H44" i="9" s="1"/>
  <c r="I44" i="9" s="1"/>
  <c r="I45" i="9" s="1"/>
  <c r="G40" i="7"/>
  <c r="H40" i="7" s="1"/>
  <c r="I40" i="7" s="1"/>
  <c r="K47" i="8"/>
  <c r="I48" i="8"/>
  <c r="W52" i="17" l="1"/>
  <c r="V51" i="16"/>
  <c r="AQ51" i="16" s="1"/>
  <c r="AF51" i="17"/>
  <c r="G41" i="7"/>
  <c r="H41" i="7" s="1"/>
  <c r="I41" i="7" s="1"/>
  <c r="G46" i="9"/>
  <c r="H46" i="9" s="1"/>
  <c r="I46" i="9" s="1"/>
  <c r="G51" i="6"/>
  <c r="H51" i="6" s="1"/>
  <c r="I51" i="6"/>
  <c r="K48" i="8"/>
  <c r="G49" i="8"/>
  <c r="H49" i="8" s="1"/>
  <c r="I49" i="8" s="1"/>
  <c r="W53" i="17" l="1"/>
  <c r="AF52" i="17"/>
  <c r="V52" i="16"/>
  <c r="AQ52" i="16" s="1"/>
  <c r="G50" i="8"/>
  <c r="H50" i="8" s="1"/>
  <c r="I50" i="8" s="1"/>
  <c r="K49" i="8"/>
  <c r="G47" i="9"/>
  <c r="H47" i="9" s="1"/>
  <c r="I47" i="9" s="1"/>
  <c r="G42" i="7"/>
  <c r="H42" i="7" s="1"/>
  <c r="I42" i="7" s="1"/>
  <c r="E52" i="6"/>
  <c r="W54" i="17" l="1"/>
  <c r="V53" i="16"/>
  <c r="AQ53" i="16" s="1"/>
  <c r="AF53" i="17"/>
  <c r="I43" i="7"/>
  <c r="G43" i="7"/>
  <c r="H43" i="7" s="1"/>
  <c r="G48" i="9"/>
  <c r="H48" i="9" s="1"/>
  <c r="I48" i="9" s="1"/>
  <c r="G51" i="8"/>
  <c r="H51" i="8" s="1"/>
  <c r="I51" i="8"/>
  <c r="K50" i="8"/>
  <c r="E55" i="7"/>
  <c r="G52" i="6"/>
  <c r="H52" i="6" s="1"/>
  <c r="I52" i="6" s="1"/>
  <c r="AF54" i="17" l="1"/>
  <c r="W55" i="17"/>
  <c r="V54" i="16"/>
  <c r="AQ54" i="16" s="1"/>
  <c r="G53" i="6"/>
  <c r="H53" i="6" s="1"/>
  <c r="I53" i="6" s="1"/>
  <c r="G49" i="9"/>
  <c r="H49" i="9" s="1"/>
  <c r="I49" i="9" s="1"/>
  <c r="E52" i="8"/>
  <c r="K51" i="8"/>
  <c r="G52" i="8"/>
  <c r="G55" i="7"/>
  <c r="H55" i="7"/>
  <c r="G44" i="7"/>
  <c r="H44" i="7" s="1"/>
  <c r="I44" i="7" s="1"/>
  <c r="W56" i="17" l="1"/>
  <c r="V55" i="16"/>
  <c r="AQ55" i="16" s="1"/>
  <c r="AF55" i="17"/>
  <c r="G45" i="7"/>
  <c r="H45" i="7" s="1"/>
  <c r="I45" i="7" s="1"/>
  <c r="G50" i="9"/>
  <c r="H50" i="9" s="1"/>
  <c r="I50" i="9" s="1"/>
  <c r="G55" i="6"/>
  <c r="H55" i="6" s="1"/>
  <c r="I55" i="6" s="1"/>
  <c r="E55" i="9"/>
  <c r="H52" i="8"/>
  <c r="I52" i="8" s="1"/>
  <c r="AF56" i="17" l="1"/>
  <c r="W57" i="17"/>
  <c r="V56" i="16"/>
  <c r="AQ56" i="16" s="1"/>
  <c r="G56" i="6"/>
  <c r="H56" i="6" s="1"/>
  <c r="I56" i="6"/>
  <c r="G51" i="9"/>
  <c r="H51" i="9" s="1"/>
  <c r="I51" i="9"/>
  <c r="I46" i="7"/>
  <c r="G46" i="7"/>
  <c r="H46" i="7" s="1"/>
  <c r="G55" i="9"/>
  <c r="H55" i="9" s="1"/>
  <c r="G53" i="8"/>
  <c r="H53" i="8" s="1"/>
  <c r="I53" i="8" s="1"/>
  <c r="K52" i="8"/>
  <c r="AF57" i="17" l="1"/>
  <c r="W58" i="17"/>
  <c r="V57" i="16"/>
  <c r="AQ57" i="16" s="1"/>
  <c r="G55" i="8"/>
  <c r="H55" i="8" s="1"/>
  <c r="I55" i="8"/>
  <c r="K53" i="8"/>
  <c r="G47" i="7"/>
  <c r="H47" i="7" s="1"/>
  <c r="I47" i="7" s="1"/>
  <c r="G57" i="6"/>
  <c r="H57" i="6" s="1"/>
  <c r="I57" i="6"/>
  <c r="G52" i="9"/>
  <c r="H52" i="9" s="1"/>
  <c r="I52" i="9" s="1"/>
  <c r="W59" i="17" l="1"/>
  <c r="AF58" i="17"/>
  <c r="V58" i="16"/>
  <c r="AQ58" i="16" s="1"/>
  <c r="G53" i="9"/>
  <c r="H53" i="9" s="1"/>
  <c r="I53" i="9" s="1"/>
  <c r="I55" i="9" s="1"/>
  <c r="G48" i="7"/>
  <c r="H48" i="7" s="1"/>
  <c r="I48" i="7" s="1"/>
  <c r="G58" i="6"/>
  <c r="H58" i="6" s="1"/>
  <c r="I58" i="6"/>
  <c r="I59" i="6" s="1"/>
  <c r="I60" i="6" s="1"/>
  <c r="I61" i="6" s="1"/>
  <c r="K55" i="8"/>
  <c r="G56" i="8"/>
  <c r="H56" i="8" s="1"/>
  <c r="I56" i="8"/>
  <c r="V59" i="16" l="1"/>
  <c r="AQ59" i="16" s="1"/>
  <c r="W60" i="17"/>
  <c r="AF59" i="17"/>
  <c r="G49" i="7"/>
  <c r="H49" i="7" s="1"/>
  <c r="I49" i="7" s="1"/>
  <c r="G56" i="9"/>
  <c r="H56" i="9" s="1"/>
  <c r="I56" i="9" s="1"/>
  <c r="G62" i="6"/>
  <c r="H62" i="6" s="1"/>
  <c r="I62" i="6"/>
  <c r="G57" i="8"/>
  <c r="H57" i="8" s="1"/>
  <c r="I57" i="8" s="1"/>
  <c r="K56" i="8"/>
  <c r="AF60" i="17" l="1"/>
  <c r="W61" i="17"/>
  <c r="V60" i="16"/>
  <c r="AQ60" i="16" s="1"/>
  <c r="G58" i="8"/>
  <c r="H58" i="8" s="1"/>
  <c r="I58" i="8" s="1"/>
  <c r="K57" i="8"/>
  <c r="G57" i="9"/>
  <c r="H57" i="9" s="1"/>
  <c r="I57" i="9" s="1"/>
  <c r="G50" i="7"/>
  <c r="H50" i="7" s="1"/>
  <c r="I50" i="7" s="1"/>
  <c r="G63" i="6"/>
  <c r="H63" i="6" s="1"/>
  <c r="I63" i="6" s="1"/>
  <c r="AF61" i="17" l="1"/>
  <c r="W62" i="17"/>
  <c r="V61" i="16"/>
  <c r="AQ61" i="16" s="1"/>
  <c r="G58" i="9"/>
  <c r="H58" i="9" s="1"/>
  <c r="I58" i="9" s="1"/>
  <c r="G64" i="6"/>
  <c r="H64" i="6" s="1"/>
  <c r="I64" i="6"/>
  <c r="G51" i="7"/>
  <c r="H51" i="7" s="1"/>
  <c r="I51" i="7" s="1"/>
  <c r="K58" i="8"/>
  <c r="G59" i="8"/>
  <c r="H59" i="8" s="1"/>
  <c r="I59" i="8" s="1"/>
  <c r="W63" i="17" l="1"/>
  <c r="AF62" i="17"/>
  <c r="V62" i="16"/>
  <c r="AQ62" i="16" s="1"/>
  <c r="K59" i="8"/>
  <c r="G60" i="8"/>
  <c r="H60" i="8" s="1"/>
  <c r="I60" i="8" s="1"/>
  <c r="G52" i="7"/>
  <c r="H52" i="7" s="1"/>
  <c r="I52" i="7" s="1"/>
  <c r="G59" i="9"/>
  <c r="H59" i="9" s="1"/>
  <c r="I59" i="9" s="1"/>
  <c r="E65" i="6"/>
  <c r="G65" i="6"/>
  <c r="AF63" i="17" l="1"/>
  <c r="V63" i="16"/>
  <c r="AQ63" i="16" s="1"/>
  <c r="W64" i="17"/>
  <c r="G60" i="9"/>
  <c r="H60" i="9" s="1"/>
  <c r="I60" i="9" s="1"/>
  <c r="G53" i="7"/>
  <c r="H53" i="7" s="1"/>
  <c r="I53" i="7"/>
  <c r="I55" i="7" s="1"/>
  <c r="K60" i="8"/>
  <c r="G61" i="8"/>
  <c r="H61" i="8" s="1"/>
  <c r="I61" i="8" s="1"/>
  <c r="E68" i="7"/>
  <c r="H65" i="6"/>
  <c r="I65" i="6" s="1"/>
  <c r="AF64" i="17" l="1"/>
  <c r="V64" i="16"/>
  <c r="AQ64" i="16" s="1"/>
  <c r="W65" i="17"/>
  <c r="K61" i="8"/>
  <c r="G62" i="8"/>
  <c r="H62" i="8" s="1"/>
  <c r="I62" i="8" s="1"/>
  <c r="G61" i="9"/>
  <c r="H61" i="9" s="1"/>
  <c r="I61" i="9" s="1"/>
  <c r="G56" i="7"/>
  <c r="H56" i="7" s="1"/>
  <c r="I56" i="7" s="1"/>
  <c r="G66" i="6"/>
  <c r="H66" i="6" s="1"/>
  <c r="I66" i="6" s="1"/>
  <c r="G68" i="7"/>
  <c r="H68" i="7"/>
  <c r="W66" i="17" l="1"/>
  <c r="AF65" i="17"/>
  <c r="V65" i="16"/>
  <c r="AQ65" i="16" s="1"/>
  <c r="G67" i="6"/>
  <c r="H67" i="6" s="1"/>
  <c r="I67" i="6"/>
  <c r="G57" i="7"/>
  <c r="H57" i="7" s="1"/>
  <c r="I57" i="7" s="1"/>
  <c r="I58" i="7" s="1"/>
  <c r="G63" i="8"/>
  <c r="H63" i="8" s="1"/>
  <c r="I63" i="8"/>
  <c r="G62" i="9"/>
  <c r="H62" i="9" s="1"/>
  <c r="I62" i="9"/>
  <c r="AF66" i="17" l="1"/>
  <c r="W67" i="17"/>
  <c r="V66" i="16"/>
  <c r="AQ66" i="16" s="1"/>
  <c r="G59" i="7"/>
  <c r="H59" i="7" s="1"/>
  <c r="I59" i="7"/>
  <c r="G64" i="8"/>
  <c r="H64" i="8" s="1"/>
  <c r="I64" i="8" s="1"/>
  <c r="G63" i="9"/>
  <c r="H63" i="9" s="1"/>
  <c r="I63" i="9" s="1"/>
  <c r="G68" i="6"/>
  <c r="H68" i="6" s="1"/>
  <c r="I68" i="6" s="1"/>
  <c r="AF67" i="17" l="1"/>
  <c r="W68" i="17"/>
  <c r="V67" i="16"/>
  <c r="AQ67" i="16" s="1"/>
  <c r="G69" i="6"/>
  <c r="H69" i="6" s="1"/>
  <c r="I69" i="6" s="1"/>
  <c r="G64" i="9"/>
  <c r="H64" i="9" s="1"/>
  <c r="I64" i="9" s="1"/>
  <c r="E65" i="8"/>
  <c r="G65" i="8"/>
  <c r="G60" i="7"/>
  <c r="H60" i="7" s="1"/>
  <c r="I60" i="7" s="1"/>
  <c r="W69" i="17" l="1"/>
  <c r="AF68" i="17"/>
  <c r="V68" i="16"/>
  <c r="AQ68" i="16" s="1"/>
  <c r="G65" i="9"/>
  <c r="H65" i="9" s="1"/>
  <c r="I65" i="9" s="1"/>
  <c r="G61" i="7"/>
  <c r="H61" i="7" s="1"/>
  <c r="I61" i="7" s="1"/>
  <c r="G70" i="6"/>
  <c r="H70" i="6" s="1"/>
  <c r="I70" i="6" s="1"/>
  <c r="E68" i="9"/>
  <c r="H65" i="8"/>
  <c r="I65" i="8" s="1"/>
  <c r="AF69" i="17" l="1"/>
  <c r="V69" i="16"/>
  <c r="AQ69" i="16" s="1"/>
  <c r="W70" i="17"/>
  <c r="G71" i="6"/>
  <c r="H71" i="6" s="1"/>
  <c r="I71" i="6"/>
  <c r="G62" i="7"/>
  <c r="H62" i="7" s="1"/>
  <c r="I62" i="7"/>
  <c r="G66" i="9"/>
  <c r="H66" i="9" s="1"/>
  <c r="I66" i="9" s="1"/>
  <c r="G66" i="8"/>
  <c r="H66" i="8" s="1"/>
  <c r="I66" i="8"/>
  <c r="G68" i="9"/>
  <c r="H68" i="9" s="1"/>
  <c r="W71" i="17" l="1"/>
  <c r="AF70" i="17"/>
  <c r="V70" i="16"/>
  <c r="AQ70" i="16" s="1"/>
  <c r="G67" i="9"/>
  <c r="H67" i="9" s="1"/>
  <c r="I67" i="9" s="1"/>
  <c r="I68" i="9" s="1"/>
  <c r="G67" i="8"/>
  <c r="H67" i="8" s="1"/>
  <c r="I67" i="8" s="1"/>
  <c r="G63" i="7"/>
  <c r="H63" i="7" s="1"/>
  <c r="I63" i="7"/>
  <c r="G72" i="6"/>
  <c r="H72" i="6" s="1"/>
  <c r="I72" i="6" s="1"/>
  <c r="AF71" i="17" l="1"/>
  <c r="W72" i="17"/>
  <c r="V71" i="16"/>
  <c r="AQ71" i="16" s="1"/>
  <c r="G73" i="6"/>
  <c r="H73" i="6" s="1"/>
  <c r="I73" i="6" s="1"/>
  <c r="G68" i="8"/>
  <c r="H68" i="8" s="1"/>
  <c r="I68" i="8" s="1"/>
  <c r="G69" i="9"/>
  <c r="H69" i="9" s="1"/>
  <c r="I69" i="9" s="1"/>
  <c r="G64" i="7"/>
  <c r="H64" i="7" s="1"/>
  <c r="I64" i="7"/>
  <c r="AF72" i="17" l="1"/>
  <c r="V72" i="16"/>
  <c r="AQ72" i="16" s="1"/>
  <c r="W73" i="17"/>
  <c r="K68" i="8"/>
  <c r="G69" i="8"/>
  <c r="H69" i="8" s="1"/>
  <c r="I69" i="8"/>
  <c r="G70" i="9"/>
  <c r="H70" i="9" s="1"/>
  <c r="I70" i="9"/>
  <c r="G74" i="6"/>
  <c r="H74" i="6" s="1"/>
  <c r="I74" i="6" s="1"/>
  <c r="G65" i="7"/>
  <c r="H65" i="7" s="1"/>
  <c r="I65" i="7" s="1"/>
  <c r="W74" i="17" l="1"/>
  <c r="AF73" i="17"/>
  <c r="V73" i="16"/>
  <c r="AQ73" i="16" s="1"/>
  <c r="G66" i="7"/>
  <c r="H66" i="7" s="1"/>
  <c r="I66" i="7" s="1"/>
  <c r="G75" i="6"/>
  <c r="H75" i="6" s="1"/>
  <c r="I75" i="6" s="1"/>
  <c r="K69" i="8"/>
  <c r="G70" i="8"/>
  <c r="H70" i="8" s="1"/>
  <c r="I70" i="8" s="1"/>
  <c r="G71" i="9"/>
  <c r="H71" i="9" s="1"/>
  <c r="I71" i="9" s="1"/>
  <c r="AF74" i="17" l="1"/>
  <c r="V74" i="16"/>
  <c r="AQ74" i="16" s="1"/>
  <c r="W75" i="17"/>
  <c r="G72" i="9"/>
  <c r="H72" i="9" s="1"/>
  <c r="I72" i="9"/>
  <c r="G71" i="8"/>
  <c r="H71" i="8" s="1"/>
  <c r="I71" i="8" s="1"/>
  <c r="G76" i="6"/>
  <c r="H76" i="6" s="1"/>
  <c r="I76" i="6" s="1"/>
  <c r="G67" i="7"/>
  <c r="H67" i="7" s="1"/>
  <c r="I67" i="7" s="1"/>
  <c r="I68" i="7" s="1"/>
  <c r="W76" i="17" l="1"/>
  <c r="AF75" i="17"/>
  <c r="V75" i="16"/>
  <c r="AQ75" i="16" s="1"/>
  <c r="G69" i="7"/>
  <c r="H69" i="7" s="1"/>
  <c r="I69" i="7" s="1"/>
  <c r="G72" i="8"/>
  <c r="H72" i="8" s="1"/>
  <c r="I72" i="8" s="1"/>
  <c r="E77" i="6"/>
  <c r="G77" i="6"/>
  <c r="G73" i="9"/>
  <c r="H73" i="9" s="1"/>
  <c r="I73" i="9" s="1"/>
  <c r="AF76" i="17" l="1"/>
  <c r="W77" i="17"/>
  <c r="V76" i="16"/>
  <c r="AQ76" i="16" s="1"/>
  <c r="G74" i="9"/>
  <c r="H74" i="9" s="1"/>
  <c r="I74" i="9" s="1"/>
  <c r="I73" i="8"/>
  <c r="G73" i="8"/>
  <c r="H73" i="8" s="1"/>
  <c r="G70" i="7"/>
  <c r="H70" i="7" s="1"/>
  <c r="I70" i="7"/>
  <c r="H77" i="6"/>
  <c r="I77" i="6" s="1"/>
  <c r="E81" i="7"/>
  <c r="W78" i="17" l="1"/>
  <c r="V77" i="16"/>
  <c r="AQ77" i="16" s="1"/>
  <c r="AF77" i="17"/>
  <c r="G75" i="9"/>
  <c r="H75" i="9" s="1"/>
  <c r="I75" i="9"/>
  <c r="G71" i="7"/>
  <c r="H71" i="7" s="1"/>
  <c r="I71" i="7"/>
  <c r="H81" i="7"/>
  <c r="G81" i="7"/>
  <c r="G74" i="8"/>
  <c r="H74" i="8" s="1"/>
  <c r="I74" i="8" s="1"/>
  <c r="G78" i="6"/>
  <c r="H78" i="6" s="1"/>
  <c r="I78" i="6" s="1"/>
  <c r="W79" i="17" l="1"/>
  <c r="AF78" i="17"/>
  <c r="V78" i="16"/>
  <c r="AQ78" i="16" s="1"/>
  <c r="G79" i="6"/>
  <c r="H79" i="6" s="1"/>
  <c r="I79" i="6"/>
  <c r="G75" i="8"/>
  <c r="H75" i="8" s="1"/>
  <c r="I75" i="8" s="1"/>
  <c r="G72" i="7"/>
  <c r="H72" i="7" s="1"/>
  <c r="I72" i="7" s="1"/>
  <c r="G76" i="9"/>
  <c r="H76" i="9" s="1"/>
  <c r="I76" i="9" s="1"/>
  <c r="AF79" i="17" l="1"/>
  <c r="W80" i="17"/>
  <c r="V79" i="16"/>
  <c r="AQ79" i="16" s="1"/>
  <c r="G77" i="9"/>
  <c r="H77" i="9" s="1"/>
  <c r="I77" i="9"/>
  <c r="I73" i="7"/>
  <c r="G73" i="7"/>
  <c r="H73" i="7" s="1"/>
  <c r="G76" i="8"/>
  <c r="H76" i="8" s="1"/>
  <c r="I76" i="8" s="1"/>
  <c r="G80" i="6"/>
  <c r="H80" i="6" s="1"/>
  <c r="I80" i="6"/>
  <c r="V80" i="16" l="1"/>
  <c r="AQ80" i="16" s="1"/>
  <c r="AF80" i="17"/>
  <c r="AF83" i="17" s="1"/>
  <c r="G77" i="8"/>
  <c r="H77" i="8" s="1"/>
  <c r="I77" i="8" s="1"/>
  <c r="G81" i="6"/>
  <c r="H81" i="6" s="1"/>
  <c r="I81" i="6" s="1"/>
  <c r="G74" i="7"/>
  <c r="H74" i="7" s="1"/>
  <c r="I74" i="7" s="1"/>
  <c r="G78" i="9"/>
  <c r="H78" i="9" s="1"/>
  <c r="I78" i="9" s="1"/>
  <c r="G79" i="9" l="1"/>
  <c r="H79" i="9" s="1"/>
  <c r="I79" i="9"/>
  <c r="G75" i="7"/>
  <c r="H75" i="7" s="1"/>
  <c r="I75" i="7" s="1"/>
  <c r="G82" i="6"/>
  <c r="H82" i="6" s="1"/>
  <c r="I82" i="6" s="1"/>
  <c r="G78" i="8"/>
  <c r="H78" i="8" s="1"/>
  <c r="I78" i="8" s="1"/>
  <c r="G79" i="8" l="1"/>
  <c r="H79" i="8" s="1"/>
  <c r="I79" i="8" s="1"/>
  <c r="G83" i="6"/>
  <c r="H83" i="6" s="1"/>
  <c r="I83" i="6" s="1"/>
  <c r="G76" i="7"/>
  <c r="H76" i="7" s="1"/>
  <c r="I76" i="7" s="1"/>
  <c r="G80" i="9"/>
  <c r="H80" i="9" s="1"/>
  <c r="I80" i="9" s="1"/>
  <c r="I81" i="9" s="1"/>
  <c r="G84" i="6" l="1"/>
  <c r="H84" i="6" s="1"/>
  <c r="I84" i="6" s="1"/>
  <c r="G82" i="9"/>
  <c r="H82" i="9" s="1"/>
  <c r="I82" i="9" s="1"/>
  <c r="G77" i="7"/>
  <c r="H77" i="7" s="1"/>
  <c r="I77" i="7" s="1"/>
  <c r="G80" i="8"/>
  <c r="H80" i="8" s="1"/>
  <c r="I80" i="8" s="1"/>
  <c r="G81" i="8" l="1"/>
  <c r="H81" i="8" s="1"/>
  <c r="I81" i="8" s="1"/>
  <c r="G78" i="7"/>
  <c r="H78" i="7" s="1"/>
  <c r="I78" i="7"/>
  <c r="G83" i="9"/>
  <c r="H83" i="9" s="1"/>
  <c r="I83" i="9"/>
  <c r="G85" i="6"/>
  <c r="H85" i="6" s="1"/>
  <c r="I85" i="6" s="1"/>
  <c r="G86" i="6" l="1"/>
  <c r="H86" i="6" s="1"/>
  <c r="I86" i="6"/>
  <c r="G82" i="8"/>
  <c r="H82" i="8" s="1"/>
  <c r="I82" i="8" s="1"/>
  <c r="G84" i="9"/>
  <c r="H84" i="9" s="1"/>
  <c r="I84" i="9"/>
  <c r="G79" i="7"/>
  <c r="H79" i="7" s="1"/>
  <c r="I79" i="7"/>
  <c r="G83" i="8" l="1"/>
  <c r="H83" i="8" s="1"/>
  <c r="I83" i="8"/>
  <c r="G80" i="7"/>
  <c r="H80" i="7" s="1"/>
  <c r="I80" i="7" s="1"/>
  <c r="I81" i="7" s="1"/>
  <c r="I85" i="9"/>
  <c r="G85" i="9"/>
  <c r="H85" i="9" s="1"/>
  <c r="G87" i="6"/>
  <c r="H87" i="6" s="1"/>
  <c r="I87" i="6" s="1"/>
  <c r="G88" i="6" l="1"/>
  <c r="H88" i="6" s="1"/>
  <c r="I88" i="6" s="1"/>
  <c r="G82" i="7"/>
  <c r="H82" i="7" s="1"/>
  <c r="I82" i="7"/>
  <c r="G86" i="9"/>
  <c r="H86" i="9" s="1"/>
  <c r="I86" i="9" s="1"/>
  <c r="G84" i="8"/>
  <c r="H84" i="8" s="1"/>
  <c r="I84" i="8" s="1"/>
  <c r="G85" i="8" l="1"/>
  <c r="H85" i="8" s="1"/>
  <c r="I85" i="8"/>
  <c r="G87" i="9"/>
  <c r="H87" i="9" s="1"/>
  <c r="I87" i="9"/>
  <c r="E89" i="6"/>
  <c r="G83" i="7"/>
  <c r="H83" i="7" s="1"/>
  <c r="I83" i="7"/>
  <c r="G84" i="7" l="1"/>
  <c r="H84" i="7" s="1"/>
  <c r="I84" i="7" s="1"/>
  <c r="G86" i="8"/>
  <c r="H86" i="8" s="1"/>
  <c r="I86" i="8" s="1"/>
  <c r="G89" i="6"/>
  <c r="H89" i="6" s="1"/>
  <c r="I89" i="6" s="1"/>
  <c r="G88" i="9"/>
  <c r="H88" i="9" s="1"/>
  <c r="I88" i="9"/>
  <c r="G90" i="6" l="1"/>
  <c r="H90" i="6" s="1"/>
  <c r="I90" i="6"/>
  <c r="G87" i="8"/>
  <c r="H87" i="8" s="1"/>
  <c r="I87" i="8" s="1"/>
  <c r="G85" i="7"/>
  <c r="H85" i="7" s="1"/>
  <c r="I85" i="7" s="1"/>
  <c r="G89" i="9"/>
  <c r="H89" i="9" s="1"/>
  <c r="I89" i="9" s="1"/>
  <c r="G90" i="9" l="1"/>
  <c r="H90" i="9" s="1"/>
  <c r="I90" i="9" s="1"/>
  <c r="G86" i="7"/>
  <c r="H86" i="7" s="1"/>
  <c r="I86" i="7" s="1"/>
  <c r="G88" i="8"/>
  <c r="H88" i="8" s="1"/>
  <c r="I88" i="8" s="1"/>
  <c r="G91" i="6"/>
  <c r="H91" i="6" s="1"/>
  <c r="I91" i="6" s="1"/>
  <c r="E89" i="8" l="1"/>
  <c r="G89" i="8"/>
  <c r="G87" i="7"/>
  <c r="H87" i="7" s="1"/>
  <c r="I87" i="7" s="1"/>
  <c r="G92" i="6"/>
  <c r="H92" i="6" s="1"/>
  <c r="I92" i="6"/>
  <c r="G91" i="9"/>
  <c r="H91" i="9" s="1"/>
  <c r="I91" i="9" s="1"/>
  <c r="G88" i="7" l="1"/>
  <c r="H88" i="7" s="1"/>
  <c r="I88" i="7" s="1"/>
  <c r="G92" i="9"/>
  <c r="H92" i="9" s="1"/>
  <c r="I92" i="9" s="1"/>
  <c r="I93" i="6"/>
  <c r="G93" i="6"/>
  <c r="H93" i="6" s="1"/>
  <c r="H89" i="8"/>
  <c r="I89" i="8" s="1"/>
  <c r="G89" i="7" l="1"/>
  <c r="H89" i="7" s="1"/>
  <c r="I89" i="7"/>
  <c r="G93" i="9"/>
  <c r="H93" i="9" s="1"/>
  <c r="I93" i="9"/>
  <c r="I94" i="9" s="1"/>
  <c r="G90" i="8"/>
  <c r="H90" i="8" s="1"/>
  <c r="I90" i="8"/>
  <c r="G94" i="6"/>
  <c r="H94" i="6" s="1"/>
  <c r="I94" i="6" s="1"/>
  <c r="G95" i="6" l="1"/>
  <c r="H95" i="6" s="1"/>
  <c r="I95" i="6" s="1"/>
  <c r="G95" i="9"/>
  <c r="H95" i="9" s="1"/>
  <c r="I95" i="9" s="1"/>
  <c r="G91" i="8"/>
  <c r="H91" i="8" s="1"/>
  <c r="I91" i="8" s="1"/>
  <c r="G90" i="7"/>
  <c r="H90" i="7" s="1"/>
  <c r="I90" i="7" s="1"/>
  <c r="G91" i="7" l="1"/>
  <c r="H91" i="7" s="1"/>
  <c r="I91" i="7"/>
  <c r="G92" i="8"/>
  <c r="H92" i="8" s="1"/>
  <c r="I92" i="8" s="1"/>
  <c r="G96" i="9"/>
  <c r="H96" i="9" s="1"/>
  <c r="I96" i="9" s="1"/>
  <c r="G96" i="6"/>
  <c r="H96" i="6" s="1"/>
  <c r="I96" i="6" s="1"/>
  <c r="G97" i="6" l="1"/>
  <c r="H97" i="6" s="1"/>
  <c r="I97" i="6" s="1"/>
  <c r="G97" i="9"/>
  <c r="H97" i="9" s="1"/>
  <c r="I97" i="9"/>
  <c r="G93" i="8"/>
  <c r="H93" i="8" s="1"/>
  <c r="I93" i="8"/>
  <c r="I92" i="7"/>
  <c r="G92" i="7"/>
  <c r="H92" i="7" s="1"/>
  <c r="I98" i="6" l="1"/>
  <c r="G98" i="6"/>
  <c r="H98" i="6" s="1"/>
  <c r="G94" i="8"/>
  <c r="H94" i="8" s="1"/>
  <c r="I94" i="8" s="1"/>
  <c r="G93" i="7"/>
  <c r="H93" i="7" s="1"/>
  <c r="I93" i="7" s="1"/>
  <c r="I94" i="7" s="1"/>
  <c r="G98" i="9"/>
  <c r="H98" i="9" s="1"/>
  <c r="I98" i="9"/>
  <c r="G95" i="7" l="1"/>
  <c r="H95" i="7" s="1"/>
  <c r="I95" i="7" s="1"/>
  <c r="G95" i="8"/>
  <c r="H95" i="8" s="1"/>
  <c r="I95" i="8" s="1"/>
  <c r="G99" i="9"/>
  <c r="H99" i="9" s="1"/>
  <c r="I99" i="9" s="1"/>
  <c r="G99" i="6"/>
  <c r="H99" i="6" s="1"/>
  <c r="I99" i="6" s="1"/>
  <c r="G100" i="6" l="1"/>
  <c r="H100" i="6" s="1"/>
  <c r="I100" i="6"/>
  <c r="G96" i="8"/>
  <c r="H96" i="8" s="1"/>
  <c r="I96" i="8"/>
  <c r="I100" i="9"/>
  <c r="G100" i="9"/>
  <c r="H100" i="9" s="1"/>
  <c r="G96" i="7"/>
  <c r="H96" i="7" s="1"/>
  <c r="I96" i="7"/>
  <c r="G101" i="9" l="1"/>
  <c r="H101" i="9" s="1"/>
  <c r="I101" i="9" s="1"/>
  <c r="G97" i="8"/>
  <c r="H97" i="8" s="1"/>
  <c r="I97" i="8"/>
  <c r="G101" i="6"/>
  <c r="E101" i="6"/>
  <c r="G97" i="7"/>
  <c r="H97" i="7" s="1"/>
  <c r="I97" i="7" s="1"/>
  <c r="G98" i="7" l="1"/>
  <c r="H98" i="7" s="1"/>
  <c r="I98" i="7" s="1"/>
  <c r="G102" i="9"/>
  <c r="H102" i="9" s="1"/>
  <c r="I102" i="9" s="1"/>
  <c r="G98" i="8"/>
  <c r="H98" i="8" s="1"/>
  <c r="I98" i="8" s="1"/>
  <c r="E107" i="7"/>
  <c r="H101" i="6"/>
  <c r="I101" i="6" s="1"/>
  <c r="G103" i="9" l="1"/>
  <c r="H103" i="9" s="1"/>
  <c r="I103" i="9" s="1"/>
  <c r="G99" i="8"/>
  <c r="H99" i="8" s="1"/>
  <c r="I99" i="8" s="1"/>
  <c r="G99" i="7"/>
  <c r="H99" i="7" s="1"/>
  <c r="I99" i="7"/>
  <c r="G107" i="7"/>
  <c r="H107" i="7"/>
  <c r="G102" i="6"/>
  <c r="H102" i="6" s="1"/>
  <c r="I102" i="6" s="1"/>
  <c r="G103" i="6" l="1"/>
  <c r="H103" i="6" s="1"/>
  <c r="I103" i="6"/>
  <c r="G100" i="8"/>
  <c r="H100" i="8" s="1"/>
  <c r="I100" i="8"/>
  <c r="G104" i="9"/>
  <c r="H104" i="9" s="1"/>
  <c r="I104" i="9" s="1"/>
  <c r="G100" i="7"/>
  <c r="H100" i="7" s="1"/>
  <c r="I100" i="7" s="1"/>
  <c r="G101" i="7" l="1"/>
  <c r="H101" i="7" s="1"/>
  <c r="I101" i="7"/>
  <c r="G105" i="9"/>
  <c r="H105" i="9" s="1"/>
  <c r="I105" i="9" s="1"/>
  <c r="G104" i="6"/>
  <c r="H104" i="6" s="1"/>
  <c r="I104" i="6"/>
  <c r="E101" i="8"/>
  <c r="G101" i="8"/>
  <c r="G106" i="9" l="1"/>
  <c r="H106" i="9" s="1"/>
  <c r="I106" i="9" s="1"/>
  <c r="E107" i="9"/>
  <c r="H101" i="8"/>
  <c r="I101" i="8" s="1"/>
  <c r="G105" i="6"/>
  <c r="H105" i="6" s="1"/>
  <c r="I105" i="6" s="1"/>
  <c r="G102" i="7"/>
  <c r="H102" i="7" s="1"/>
  <c r="I102" i="7" s="1"/>
  <c r="G103" i="7" l="1"/>
  <c r="H103" i="7" s="1"/>
  <c r="I103" i="7" s="1"/>
  <c r="G106" i="6"/>
  <c r="H106" i="6" s="1"/>
  <c r="I106" i="6" s="1"/>
  <c r="G102" i="8"/>
  <c r="H102" i="8" s="1"/>
  <c r="I102" i="8"/>
  <c r="G107" i="9"/>
  <c r="H107" i="9"/>
  <c r="I107" i="9" s="1"/>
  <c r="G107" i="6" l="1"/>
  <c r="H107" i="6" s="1"/>
  <c r="I107" i="6" s="1"/>
  <c r="G108" i="9"/>
  <c r="H108" i="9" s="1"/>
  <c r="I108" i="9" s="1"/>
  <c r="G104" i="7"/>
  <c r="H104" i="7" s="1"/>
  <c r="I104" i="7" s="1"/>
  <c r="G103" i="8"/>
  <c r="H103" i="8" s="1"/>
  <c r="I103" i="8" s="1"/>
  <c r="G104" i="8" l="1"/>
  <c r="H104" i="8" s="1"/>
  <c r="I104" i="8"/>
  <c r="G105" i="7"/>
  <c r="H105" i="7" s="1"/>
  <c r="I105" i="7" s="1"/>
  <c r="G109" i="9"/>
  <c r="H109" i="9" s="1"/>
  <c r="I109" i="9" s="1"/>
  <c r="G108" i="6"/>
  <c r="H108" i="6" s="1"/>
  <c r="I108" i="6"/>
  <c r="G110" i="9" l="1"/>
  <c r="H110" i="9" s="1"/>
  <c r="I110" i="9" s="1"/>
  <c r="G106" i="7"/>
  <c r="H106" i="7" s="1"/>
  <c r="I106" i="7" s="1"/>
  <c r="I107" i="7" s="1"/>
  <c r="G109" i="6"/>
  <c r="H109" i="6" s="1"/>
  <c r="I109" i="6" s="1"/>
  <c r="G105" i="8"/>
  <c r="H105" i="8" s="1"/>
  <c r="I105" i="8" s="1"/>
  <c r="G106" i="8" l="1"/>
  <c r="H106" i="8" s="1"/>
  <c r="I106" i="8" s="1"/>
  <c r="G110" i="6"/>
  <c r="H110" i="6" s="1"/>
  <c r="I110" i="6" s="1"/>
  <c r="G108" i="7"/>
  <c r="H108" i="7" s="1"/>
  <c r="I108" i="7"/>
  <c r="G111" i="9"/>
  <c r="H111" i="9" s="1"/>
  <c r="I111" i="9"/>
  <c r="G111" i="6" l="1"/>
  <c r="H111" i="6" s="1"/>
  <c r="I111" i="6" s="1"/>
  <c r="I107" i="8"/>
  <c r="G107" i="8"/>
  <c r="H107" i="8" s="1"/>
  <c r="G112" i="9"/>
  <c r="H112" i="9" s="1"/>
  <c r="I112" i="9" s="1"/>
  <c r="G109" i="7"/>
  <c r="H109" i="7" s="1"/>
  <c r="I109" i="7" s="1"/>
  <c r="I113" i="9" l="1"/>
  <c r="G113" i="9"/>
  <c r="H113" i="9" s="1"/>
  <c r="G110" i="7"/>
  <c r="H110" i="7" s="1"/>
  <c r="I110" i="7" s="1"/>
  <c r="G112" i="6"/>
  <c r="H112" i="6" s="1"/>
  <c r="I112" i="6"/>
  <c r="G108" i="8"/>
  <c r="H108" i="8" s="1"/>
  <c r="I108" i="8" s="1"/>
  <c r="G109" i="8" l="1"/>
  <c r="H109" i="8" s="1"/>
  <c r="I109" i="8" s="1"/>
  <c r="G111" i="7"/>
  <c r="H111" i="7" s="1"/>
  <c r="I111" i="7"/>
  <c r="G114" i="9"/>
  <c r="H114" i="9" s="1"/>
  <c r="I114" i="9" s="1"/>
  <c r="G113" i="6"/>
  <c r="H113" i="6" s="1"/>
  <c r="I113" i="6" s="1"/>
  <c r="G110" i="8" l="1"/>
  <c r="H110" i="8" s="1"/>
  <c r="I110" i="8" s="1"/>
  <c r="G114" i="6"/>
  <c r="H114" i="6" s="1"/>
  <c r="I114" i="6" s="1"/>
  <c r="G115" i="9"/>
  <c r="H115" i="9" s="1"/>
  <c r="I115" i="9" s="1"/>
  <c r="G112" i="7"/>
  <c r="H112" i="7" s="1"/>
  <c r="I112" i="7"/>
  <c r="G111" i="8" l="1"/>
  <c r="H111" i="8" s="1"/>
  <c r="I111" i="8" s="1"/>
  <c r="G116" i="9"/>
  <c r="H116" i="9" s="1"/>
  <c r="I116" i="9"/>
  <c r="G115" i="6"/>
  <c r="H115" i="6" s="1"/>
  <c r="I115" i="6" s="1"/>
  <c r="G113" i="7"/>
  <c r="H113" i="7" s="1"/>
  <c r="I113" i="7" s="1"/>
  <c r="G114" i="7" l="1"/>
  <c r="H114" i="7" s="1"/>
  <c r="I114" i="7" s="1"/>
  <c r="I112" i="8"/>
  <c r="G112" i="8"/>
  <c r="H112" i="8" s="1"/>
  <c r="G116" i="6"/>
  <c r="H116" i="6" s="1"/>
  <c r="I116" i="6"/>
  <c r="G117" i="9"/>
  <c r="H117" i="9" s="1"/>
  <c r="I117" i="9"/>
  <c r="G115" i="7" l="1"/>
  <c r="H115" i="7" s="1"/>
  <c r="I115" i="7" s="1"/>
  <c r="G113" i="8"/>
  <c r="H113" i="8" s="1"/>
  <c r="I113" i="8" s="1"/>
  <c r="G118" i="9"/>
  <c r="H118" i="9" s="1"/>
  <c r="I118" i="9" s="1"/>
  <c r="G117" i="6"/>
  <c r="H117" i="6" s="1"/>
  <c r="I117" i="6" s="1"/>
  <c r="G118" i="6" l="1"/>
  <c r="H118" i="6" s="1"/>
  <c r="I118" i="6" s="1"/>
  <c r="G119" i="9"/>
  <c r="H119" i="9" s="1"/>
  <c r="I119" i="9" s="1"/>
  <c r="I120" i="9" s="1"/>
  <c r="G114" i="8"/>
  <c r="H114" i="8" s="1"/>
  <c r="I114" i="8"/>
  <c r="G116" i="7"/>
  <c r="H116" i="7" s="1"/>
  <c r="I116" i="7" s="1"/>
  <c r="G117" i="7" l="1"/>
  <c r="H117" i="7" s="1"/>
  <c r="I117" i="7" s="1"/>
  <c r="G121" i="9"/>
  <c r="H121" i="9" s="1"/>
  <c r="I121" i="9" s="1"/>
  <c r="G119" i="6"/>
  <c r="H119" i="6" s="1"/>
  <c r="I119" i="6" s="1"/>
  <c r="G115" i="8"/>
  <c r="H115" i="8" s="1"/>
  <c r="I115" i="8"/>
  <c r="G120" i="6" l="1"/>
  <c r="H120" i="6" s="1"/>
  <c r="I120" i="6" s="1"/>
  <c r="G122" i="9"/>
  <c r="H122" i="9" s="1"/>
  <c r="I122" i="9" s="1"/>
  <c r="G118" i="7"/>
  <c r="H118" i="7" s="1"/>
  <c r="I118" i="7"/>
  <c r="G116" i="8"/>
  <c r="H116" i="8" s="1"/>
  <c r="I116" i="8" s="1"/>
  <c r="I117" i="8" l="1"/>
  <c r="G117" i="8"/>
  <c r="H117" i="8" s="1"/>
  <c r="I123" i="9"/>
  <c r="G123" i="9"/>
  <c r="H123" i="9" s="1"/>
  <c r="G121" i="6"/>
  <c r="H121" i="6" s="1"/>
  <c r="I121" i="6" s="1"/>
  <c r="G119" i="7"/>
  <c r="H119" i="7" s="1"/>
  <c r="I119" i="7"/>
  <c r="I120" i="7" s="1"/>
  <c r="G122" i="6" l="1"/>
  <c r="H122" i="6" s="1"/>
  <c r="I122" i="6" s="1"/>
  <c r="G121" i="7"/>
  <c r="H121" i="7" s="1"/>
  <c r="I121" i="7" s="1"/>
  <c r="G124" i="9"/>
  <c r="H124" i="9" s="1"/>
  <c r="I124" i="9" s="1"/>
  <c r="G118" i="8"/>
  <c r="H118" i="8" s="1"/>
  <c r="I118" i="8" s="1"/>
  <c r="G122" i="7" l="1"/>
  <c r="H122" i="7" s="1"/>
  <c r="I122" i="7" s="1"/>
  <c r="G119" i="8"/>
  <c r="H119" i="8" s="1"/>
  <c r="I119" i="8" s="1"/>
  <c r="G125" i="9"/>
  <c r="H125" i="9" s="1"/>
  <c r="I125" i="9"/>
  <c r="G123" i="6"/>
  <c r="H123" i="6" s="1"/>
  <c r="I123" i="6" s="1"/>
  <c r="G124" i="6" l="1"/>
  <c r="H124" i="6" s="1"/>
  <c r="I124" i="6" s="1"/>
  <c r="G120" i="8"/>
  <c r="H120" i="8" s="1"/>
  <c r="I120" i="8"/>
  <c r="G123" i="7"/>
  <c r="H123" i="7" s="1"/>
  <c r="I123" i="7"/>
  <c r="G126" i="9"/>
  <c r="H126" i="9" s="1"/>
  <c r="I126" i="9" s="1"/>
  <c r="G127" i="9" l="1"/>
  <c r="H127" i="9" s="1"/>
  <c r="I127" i="9"/>
  <c r="G125" i="6"/>
  <c r="H125" i="6" s="1"/>
  <c r="I125" i="6"/>
  <c r="G124" i="7"/>
  <c r="H124" i="7" s="1"/>
  <c r="I124" i="7" s="1"/>
  <c r="G121" i="8"/>
  <c r="H121" i="8" s="1"/>
  <c r="I121" i="8" s="1"/>
  <c r="G122" i="8" l="1"/>
  <c r="H122" i="8" s="1"/>
  <c r="I122" i="8"/>
  <c r="G125" i="7"/>
  <c r="H125" i="7" s="1"/>
  <c r="I125" i="7"/>
  <c r="G126" i="6"/>
  <c r="H126" i="6" s="1"/>
  <c r="I126" i="6" s="1"/>
  <c r="G128" i="9"/>
  <c r="H128" i="9" s="1"/>
  <c r="I128" i="9"/>
  <c r="G127" i="6" l="1"/>
  <c r="H127" i="6" s="1"/>
  <c r="I127" i="6" s="1"/>
  <c r="G126" i="7"/>
  <c r="H126" i="7" s="1"/>
  <c r="I126" i="7" s="1"/>
  <c r="G129" i="9"/>
  <c r="H129" i="9" s="1"/>
  <c r="I129" i="9"/>
  <c r="G123" i="8"/>
  <c r="H123" i="8" s="1"/>
  <c r="I123" i="8" s="1"/>
  <c r="G124" i="8" l="1"/>
  <c r="H124" i="8" s="1"/>
  <c r="I124" i="8" s="1"/>
  <c r="G127" i="7"/>
  <c r="H127" i="7" s="1"/>
  <c r="I127" i="7" s="1"/>
  <c r="G128" i="6"/>
  <c r="H128" i="6" s="1"/>
  <c r="I128" i="6"/>
  <c r="G130" i="9"/>
  <c r="H130" i="9" s="1"/>
  <c r="I130" i="9"/>
  <c r="G128" i="7" l="1"/>
  <c r="H128" i="7" s="1"/>
  <c r="I128" i="7" s="1"/>
  <c r="G125" i="8"/>
  <c r="H125" i="8" s="1"/>
  <c r="I125" i="8" s="1"/>
  <c r="G129" i="6"/>
  <c r="H129" i="6" s="1"/>
  <c r="I129" i="6" s="1"/>
  <c r="G131" i="9"/>
  <c r="H131" i="9" s="1"/>
  <c r="I131" i="9" s="1"/>
  <c r="I132" i="9" l="1"/>
  <c r="I133" i="9" s="1"/>
  <c r="G132" i="9"/>
  <c r="H132" i="9" s="1"/>
  <c r="G130" i="6"/>
  <c r="H130" i="6" s="1"/>
  <c r="I130" i="6" s="1"/>
  <c r="G126" i="8"/>
  <c r="H126" i="8" s="1"/>
  <c r="I126" i="8"/>
  <c r="G129" i="7"/>
  <c r="H129" i="7" s="1"/>
  <c r="I129" i="7" s="1"/>
  <c r="G130" i="7" l="1"/>
  <c r="H130" i="7" s="1"/>
  <c r="I130" i="7" s="1"/>
  <c r="G131" i="6"/>
  <c r="H131" i="6" s="1"/>
  <c r="I131" i="6"/>
  <c r="G127" i="8"/>
  <c r="H127" i="8" s="1"/>
  <c r="I127" i="8" s="1"/>
  <c r="G134" i="9"/>
  <c r="H134" i="9" s="1"/>
  <c r="I134" i="9" s="1"/>
  <c r="G135" i="9" l="1"/>
  <c r="H135" i="9" s="1"/>
  <c r="I135" i="9" s="1"/>
  <c r="G128" i="8"/>
  <c r="H128" i="8" s="1"/>
  <c r="I128" i="8" s="1"/>
  <c r="G131" i="7"/>
  <c r="H131" i="7" s="1"/>
  <c r="I131" i="7" s="1"/>
  <c r="G132" i="6"/>
  <c r="H132" i="6" s="1"/>
  <c r="I132" i="6" s="1"/>
  <c r="G133" i="6" l="1"/>
  <c r="H133" i="6" s="1"/>
  <c r="I133" i="6" s="1"/>
  <c r="G132" i="7"/>
  <c r="H132" i="7" s="1"/>
  <c r="I132" i="7" s="1"/>
  <c r="I133" i="7" s="1"/>
  <c r="G129" i="8"/>
  <c r="H129" i="8" s="1"/>
  <c r="I129" i="8"/>
  <c r="G136" i="9"/>
  <c r="H136" i="9" s="1"/>
  <c r="I136" i="9" s="1"/>
  <c r="G137" i="9" l="1"/>
  <c r="H137" i="9" s="1"/>
  <c r="I137" i="9" s="1"/>
  <c r="G134" i="7"/>
  <c r="H134" i="7" s="1"/>
  <c r="I134" i="7"/>
  <c r="G134" i="6"/>
  <c r="H134" i="6" s="1"/>
  <c r="I134" i="6"/>
  <c r="G130" i="8"/>
  <c r="H130" i="8" s="1"/>
  <c r="I130" i="8"/>
  <c r="G138" i="9" l="1"/>
  <c r="H138" i="9" s="1"/>
  <c r="I138" i="9"/>
  <c r="G131" i="8"/>
  <c r="H131" i="8" s="1"/>
  <c r="I131" i="8" s="1"/>
  <c r="G135" i="6"/>
  <c r="H135" i="6" s="1"/>
  <c r="I135" i="6"/>
  <c r="G135" i="7"/>
  <c r="H135" i="7" s="1"/>
  <c r="I135" i="7"/>
  <c r="G132" i="8" l="1"/>
  <c r="H132" i="8" s="1"/>
  <c r="I132" i="8"/>
  <c r="G136" i="7"/>
  <c r="H136" i="7" s="1"/>
  <c r="I136" i="7" s="1"/>
  <c r="G136" i="6"/>
  <c r="H136" i="6" s="1"/>
  <c r="I136" i="6" s="1"/>
  <c r="G139" i="9"/>
  <c r="H139" i="9" s="1"/>
  <c r="I139" i="9" s="1"/>
  <c r="G140" i="9" l="1"/>
  <c r="H140" i="9" s="1"/>
  <c r="I140" i="9" s="1"/>
  <c r="I137" i="6"/>
  <c r="G137" i="6"/>
  <c r="H137" i="6" s="1"/>
  <c r="G137" i="7"/>
  <c r="H137" i="7" s="1"/>
  <c r="I137" i="7" s="1"/>
  <c r="G133" i="8"/>
  <c r="H133" i="8" s="1"/>
  <c r="I133" i="8"/>
  <c r="G138" i="7" l="1"/>
  <c r="H138" i="7" s="1"/>
  <c r="I138" i="7" s="1"/>
  <c r="G141" i="9"/>
  <c r="H141" i="9" s="1"/>
  <c r="I141" i="9" s="1"/>
  <c r="G134" i="8"/>
  <c r="H134" i="8" s="1"/>
  <c r="I134" i="8" s="1"/>
  <c r="G138" i="6"/>
  <c r="H138" i="6" s="1"/>
  <c r="I138" i="6" s="1"/>
  <c r="G135" i="8" l="1"/>
  <c r="H135" i="8" s="1"/>
  <c r="I135" i="8" s="1"/>
  <c r="G139" i="6"/>
  <c r="H139" i="6" s="1"/>
  <c r="I139" i="6" s="1"/>
  <c r="G142" i="9"/>
  <c r="H142" i="9" s="1"/>
  <c r="I142" i="9" s="1"/>
  <c r="G139" i="7"/>
  <c r="H139" i="7" s="1"/>
  <c r="I139" i="7" s="1"/>
  <c r="G140" i="7" l="1"/>
  <c r="H140" i="7" s="1"/>
  <c r="I140" i="7" s="1"/>
  <c r="G140" i="6"/>
  <c r="H140" i="6" s="1"/>
  <c r="I140" i="6" s="1"/>
  <c r="G143" i="9"/>
  <c r="H143" i="9" s="1"/>
  <c r="I143" i="9"/>
  <c r="G136" i="8"/>
  <c r="H136" i="8" s="1"/>
  <c r="I136" i="8" s="1"/>
  <c r="G137" i="8" l="1"/>
  <c r="H137" i="8" s="1"/>
  <c r="I137" i="8" s="1"/>
  <c r="G141" i="6"/>
  <c r="H141" i="6" s="1"/>
  <c r="I141" i="6" s="1"/>
  <c r="G141" i="7"/>
  <c r="H141" i="7" s="1"/>
  <c r="I141" i="7"/>
  <c r="G144" i="9"/>
  <c r="H144" i="9" s="1"/>
  <c r="I144" i="9" s="1"/>
  <c r="G145" i="9" l="1"/>
  <c r="H145" i="9" s="1"/>
  <c r="I145" i="9" s="1"/>
  <c r="I146" i="9" s="1"/>
  <c r="G142" i="6"/>
  <c r="H142" i="6" s="1"/>
  <c r="I142" i="6" s="1"/>
  <c r="G138" i="8"/>
  <c r="H138" i="8" s="1"/>
  <c r="I138" i="8"/>
  <c r="G142" i="7"/>
  <c r="H142" i="7" s="1"/>
  <c r="I142" i="7" s="1"/>
  <c r="G143" i="7" l="1"/>
  <c r="H143" i="7" s="1"/>
  <c r="I143" i="7" s="1"/>
  <c r="G143" i="6"/>
  <c r="H143" i="6" s="1"/>
  <c r="I143" i="6" s="1"/>
  <c r="G147" i="9"/>
  <c r="H147" i="9" s="1"/>
  <c r="I147" i="9" s="1"/>
  <c r="G139" i="8"/>
  <c r="H139" i="8" s="1"/>
  <c r="I139" i="8" s="1"/>
  <c r="G140" i="8" l="1"/>
  <c r="H140" i="8" s="1"/>
  <c r="I140" i="8" s="1"/>
  <c r="G148" i="9"/>
  <c r="H148" i="9" s="1"/>
  <c r="I148" i="9" s="1"/>
  <c r="G144" i="6"/>
  <c r="H144" i="6" s="1"/>
  <c r="I144" i="6" s="1"/>
  <c r="G144" i="7"/>
  <c r="H144" i="7" s="1"/>
  <c r="I144" i="7"/>
  <c r="G149" i="9" l="1"/>
  <c r="H149" i="9" s="1"/>
  <c r="I149" i="9" s="1"/>
  <c r="G145" i="6"/>
  <c r="H145" i="6" s="1"/>
  <c r="I145" i="6" s="1"/>
  <c r="G141" i="8"/>
  <c r="H141" i="8" s="1"/>
  <c r="I141" i="8"/>
  <c r="G145" i="7"/>
  <c r="H145" i="7" s="1"/>
  <c r="I145" i="7" s="1"/>
  <c r="I146" i="7" s="1"/>
  <c r="G147" i="7" l="1"/>
  <c r="H147" i="7" s="1"/>
  <c r="I147" i="7" s="1"/>
  <c r="G146" i="6"/>
  <c r="H146" i="6" s="1"/>
  <c r="I146" i="6" s="1"/>
  <c r="G150" i="9"/>
  <c r="H150" i="9" s="1"/>
  <c r="I150" i="9" s="1"/>
  <c r="G142" i="8"/>
  <c r="H142" i="8" s="1"/>
  <c r="I142" i="8" s="1"/>
  <c r="G143" i="8" l="1"/>
  <c r="H143" i="8" s="1"/>
  <c r="I143" i="8"/>
  <c r="G151" i="9"/>
  <c r="H151" i="9" s="1"/>
  <c r="I151" i="9" s="1"/>
  <c r="G147" i="6"/>
  <c r="H147" i="6" s="1"/>
  <c r="I147" i="6" s="1"/>
  <c r="G148" i="7"/>
  <c r="H148" i="7" s="1"/>
  <c r="I148" i="7" s="1"/>
  <c r="G149" i="7" l="1"/>
  <c r="H149" i="7" s="1"/>
  <c r="I149" i="7"/>
  <c r="G148" i="6"/>
  <c r="H148" i="6" s="1"/>
  <c r="I148" i="6" s="1"/>
  <c r="G152" i="9"/>
  <c r="H152" i="9" s="1"/>
  <c r="I152" i="9"/>
  <c r="G144" i="8"/>
  <c r="H144" i="8" s="1"/>
  <c r="I144" i="8"/>
  <c r="G149" i="6" l="1"/>
  <c r="H149" i="6" s="1"/>
  <c r="I149" i="6" s="1"/>
  <c r="G145" i="8"/>
  <c r="H145" i="8" s="1"/>
  <c r="I145" i="8" s="1"/>
  <c r="G150" i="7"/>
  <c r="H150" i="7" s="1"/>
  <c r="I150" i="7" s="1"/>
  <c r="G153" i="9"/>
  <c r="H153" i="9" s="1"/>
  <c r="I153" i="9" s="1"/>
  <c r="G154" i="9" l="1"/>
  <c r="H154" i="9" s="1"/>
  <c r="I154" i="9"/>
  <c r="G151" i="7"/>
  <c r="H151" i="7" s="1"/>
  <c r="I151" i="7" s="1"/>
  <c r="G146" i="8"/>
  <c r="H146" i="8" s="1"/>
  <c r="I146" i="8" s="1"/>
  <c r="G150" i="6"/>
  <c r="H150" i="6" s="1"/>
  <c r="I150" i="6" s="1"/>
  <c r="G151" i="6" l="1"/>
  <c r="H151" i="6" s="1"/>
  <c r="I151" i="6"/>
  <c r="G147" i="8"/>
  <c r="H147" i="8" s="1"/>
  <c r="I147" i="8" s="1"/>
  <c r="G152" i="7"/>
  <c r="H152" i="7" s="1"/>
  <c r="I152" i="7" s="1"/>
  <c r="G155" i="9"/>
  <c r="H155" i="9" s="1"/>
  <c r="I155" i="9" s="1"/>
  <c r="G156" i="9" l="1"/>
  <c r="H156" i="9" s="1"/>
  <c r="I156" i="9" s="1"/>
  <c r="G153" i="7"/>
  <c r="H153" i="7" s="1"/>
  <c r="I153" i="7" s="1"/>
  <c r="G148" i="8"/>
  <c r="H148" i="8" s="1"/>
  <c r="I148" i="8"/>
  <c r="G152" i="6"/>
  <c r="H152" i="6" s="1"/>
  <c r="I152" i="6" s="1"/>
  <c r="G153" i="6" l="1"/>
  <c r="H153" i="6" s="1"/>
  <c r="I153" i="6" s="1"/>
  <c r="G154" i="7"/>
  <c r="H154" i="7" s="1"/>
  <c r="I154" i="7" s="1"/>
  <c r="G157" i="9"/>
  <c r="H157" i="9" s="1"/>
  <c r="I157" i="9" s="1"/>
  <c r="G149" i="8"/>
  <c r="H149" i="8" s="1"/>
  <c r="I149" i="8" s="1"/>
  <c r="G150" i="8" l="1"/>
  <c r="H150" i="8" s="1"/>
  <c r="I150" i="8" s="1"/>
  <c r="G158" i="9"/>
  <c r="H158" i="9" s="1"/>
  <c r="I158" i="9" s="1"/>
  <c r="I159" i="9" s="1"/>
  <c r="G155" i="7"/>
  <c r="H155" i="7" s="1"/>
  <c r="I155" i="7" s="1"/>
  <c r="G154" i="6"/>
  <c r="H154" i="6" s="1"/>
  <c r="I154" i="6" s="1"/>
  <c r="G156" i="7" l="1"/>
  <c r="H156" i="7" s="1"/>
  <c r="I156" i="7"/>
  <c r="I155" i="6"/>
  <c r="G155" i="6"/>
  <c r="H155" i="6" s="1"/>
  <c r="G160" i="9"/>
  <c r="H160" i="9" s="1"/>
  <c r="I160" i="9" s="1"/>
  <c r="G151" i="8"/>
  <c r="H151" i="8" s="1"/>
  <c r="I151" i="8" s="1"/>
  <c r="G152" i="8" l="1"/>
  <c r="H152" i="8" s="1"/>
  <c r="I152" i="8" s="1"/>
  <c r="G161" i="9"/>
  <c r="H161" i="9" s="1"/>
  <c r="I161" i="9"/>
  <c r="G156" i="6"/>
  <c r="H156" i="6" s="1"/>
  <c r="I156" i="6" s="1"/>
  <c r="G157" i="7"/>
  <c r="H157" i="7" s="1"/>
  <c r="I157" i="7" s="1"/>
  <c r="G158" i="7" l="1"/>
  <c r="H158" i="7" s="1"/>
  <c r="I158" i="7" s="1"/>
  <c r="I159" i="7" s="1"/>
  <c r="G157" i="6"/>
  <c r="H157" i="6" s="1"/>
  <c r="I157" i="6" s="1"/>
  <c r="G153" i="8"/>
  <c r="H153" i="8" s="1"/>
  <c r="I153" i="8" s="1"/>
  <c r="G162" i="9"/>
  <c r="H162" i="9" s="1"/>
  <c r="I162" i="9" s="1"/>
  <c r="G154" i="8" l="1"/>
  <c r="H154" i="8" s="1"/>
  <c r="I154" i="8"/>
  <c r="G158" i="6"/>
  <c r="H158" i="6" s="1"/>
  <c r="I158" i="6" s="1"/>
  <c r="G163" i="9"/>
  <c r="H163" i="9" s="1"/>
  <c r="I163" i="9"/>
  <c r="G160" i="7"/>
  <c r="H160" i="7" s="1"/>
  <c r="I160" i="7" s="1"/>
  <c r="G161" i="7" l="1"/>
  <c r="H161" i="7" s="1"/>
  <c r="I161" i="7" s="1"/>
  <c r="G159" i="6"/>
  <c r="H159" i="6" s="1"/>
  <c r="I159" i="6"/>
  <c r="G164" i="9"/>
  <c r="H164" i="9" s="1"/>
  <c r="I164" i="9" s="1"/>
  <c r="G155" i="8"/>
  <c r="H155" i="8" s="1"/>
  <c r="I155" i="8"/>
  <c r="G165" i="9" l="1"/>
  <c r="H165" i="9" s="1"/>
  <c r="I165" i="9"/>
  <c r="G162" i="7"/>
  <c r="H162" i="7" s="1"/>
  <c r="I162" i="7" s="1"/>
  <c r="G160" i="6"/>
  <c r="H160" i="6" s="1"/>
  <c r="I160" i="6" s="1"/>
  <c r="G156" i="8"/>
  <c r="H156" i="8" s="1"/>
  <c r="I156" i="8" s="1"/>
  <c r="G161" i="6" l="1"/>
  <c r="H161" i="6" s="1"/>
  <c r="I161" i="6" s="1"/>
  <c r="G157" i="8"/>
  <c r="H157" i="8" s="1"/>
  <c r="I157" i="8" s="1"/>
  <c r="G163" i="7"/>
  <c r="H163" i="7" s="1"/>
  <c r="I163" i="7" s="1"/>
  <c r="G166" i="9"/>
  <c r="H166" i="9" s="1"/>
  <c r="I166" i="9" s="1"/>
  <c r="G167" i="9" l="1"/>
  <c r="H167" i="9" s="1"/>
  <c r="I167" i="9"/>
  <c r="G164" i="7"/>
  <c r="H164" i="7" s="1"/>
  <c r="I164" i="7" s="1"/>
  <c r="G158" i="8"/>
  <c r="H158" i="8" s="1"/>
  <c r="I158" i="8" s="1"/>
  <c r="G162" i="6"/>
  <c r="H162" i="6" s="1"/>
  <c r="I162" i="6" s="1"/>
  <c r="G163" i="6" l="1"/>
  <c r="H163" i="6" s="1"/>
  <c r="I163" i="6" s="1"/>
  <c r="G159" i="8"/>
  <c r="H159" i="8" s="1"/>
  <c r="I159" i="8"/>
  <c r="G165" i="7"/>
  <c r="H165" i="7" s="1"/>
  <c r="I165" i="7" s="1"/>
  <c r="G168" i="9"/>
  <c r="H168" i="9" s="1"/>
  <c r="I168" i="9" s="1"/>
  <c r="I164" i="6" l="1"/>
  <c r="G164" i="6"/>
  <c r="H164" i="6" s="1"/>
  <c r="G169" i="9"/>
  <c r="H169" i="9" s="1"/>
  <c r="I169" i="9" s="1"/>
  <c r="G166" i="7"/>
  <c r="H166" i="7" s="1"/>
  <c r="I166" i="7" s="1"/>
  <c r="G160" i="8"/>
  <c r="H160" i="8" s="1"/>
  <c r="I160" i="8" s="1"/>
  <c r="G161" i="8" l="1"/>
  <c r="H161" i="8" s="1"/>
  <c r="I161" i="8" s="1"/>
  <c r="G167" i="7"/>
  <c r="H167" i="7" s="1"/>
  <c r="I167" i="7" s="1"/>
  <c r="G170" i="9"/>
  <c r="H170" i="9" s="1"/>
  <c r="I170" i="9"/>
  <c r="G165" i="6"/>
  <c r="H165" i="6" s="1"/>
  <c r="I165" i="6" s="1"/>
  <c r="G168" i="7" l="1"/>
  <c r="H168" i="7" s="1"/>
  <c r="I168" i="7" s="1"/>
  <c r="G166" i="6"/>
  <c r="H166" i="6" s="1"/>
  <c r="I166" i="6" s="1"/>
  <c r="G162" i="8"/>
  <c r="H162" i="8" s="1"/>
  <c r="I162" i="8" s="1"/>
  <c r="G171" i="9"/>
  <c r="H171" i="9" s="1"/>
  <c r="I171" i="9"/>
  <c r="I172" i="9" s="1"/>
  <c r="G163" i="8" l="1"/>
  <c r="H163" i="8" s="1"/>
  <c r="I163" i="8" s="1"/>
  <c r="G167" i="6"/>
  <c r="H167" i="6" s="1"/>
  <c r="I167" i="6" s="1"/>
  <c r="G169" i="7"/>
  <c r="H169" i="7" s="1"/>
  <c r="I169" i="7"/>
  <c r="G173" i="9"/>
  <c r="H173" i="9" s="1"/>
  <c r="I173" i="9" s="1"/>
  <c r="I174" i="9" l="1"/>
  <c r="G174" i="9"/>
  <c r="H174" i="9" s="1"/>
  <c r="G168" i="6"/>
  <c r="H168" i="6" s="1"/>
  <c r="I168" i="6" s="1"/>
  <c r="G164" i="8"/>
  <c r="H164" i="8" s="1"/>
  <c r="I164" i="8" s="1"/>
  <c r="G170" i="7"/>
  <c r="H170" i="7" s="1"/>
  <c r="I170" i="7" s="1"/>
  <c r="G171" i="7" l="1"/>
  <c r="H171" i="7" s="1"/>
  <c r="I171" i="7" s="1"/>
  <c r="I172" i="7" s="1"/>
  <c r="G165" i="8"/>
  <c r="H165" i="8" s="1"/>
  <c r="I165" i="8" s="1"/>
  <c r="G169" i="6"/>
  <c r="H169" i="6" s="1"/>
  <c r="I169" i="6"/>
  <c r="G175" i="9"/>
  <c r="H175" i="9" s="1"/>
  <c r="I175" i="9" s="1"/>
  <c r="G166" i="8" l="1"/>
  <c r="H166" i="8" s="1"/>
  <c r="I166" i="8" s="1"/>
  <c r="G176" i="9"/>
  <c r="H176" i="9" s="1"/>
  <c r="I176" i="9" s="1"/>
  <c r="G173" i="7"/>
  <c r="H173" i="7" s="1"/>
  <c r="I173" i="7" s="1"/>
  <c r="G170" i="6"/>
  <c r="H170" i="6" s="1"/>
  <c r="I170" i="6" s="1"/>
  <c r="G177" i="9" l="1"/>
  <c r="H177" i="9" s="1"/>
  <c r="I177" i="9" s="1"/>
  <c r="G171" i="6"/>
  <c r="H171" i="6" s="1"/>
  <c r="I171" i="6" s="1"/>
  <c r="G174" i="7"/>
  <c r="H174" i="7" s="1"/>
  <c r="I174" i="7" s="1"/>
  <c r="G167" i="8"/>
  <c r="H167" i="8" s="1"/>
  <c r="I167" i="8" s="1"/>
  <c r="G168" i="8" l="1"/>
  <c r="H168" i="8" s="1"/>
  <c r="I168" i="8" s="1"/>
  <c r="G175" i="7"/>
  <c r="H175" i="7" s="1"/>
  <c r="I175" i="7" s="1"/>
  <c r="G172" i="6"/>
  <c r="H172" i="6" s="1"/>
  <c r="I172" i="6" s="1"/>
  <c r="G178" i="9"/>
  <c r="H178" i="9" s="1"/>
  <c r="I178" i="9" s="1"/>
  <c r="G179" i="9" l="1"/>
  <c r="H179" i="9" s="1"/>
  <c r="I179" i="9"/>
  <c r="G176" i="7"/>
  <c r="H176" i="7" s="1"/>
  <c r="I176" i="7" s="1"/>
  <c r="G173" i="6"/>
  <c r="H173" i="6" s="1"/>
  <c r="I173" i="6" s="1"/>
  <c r="G169" i="8"/>
  <c r="H169" i="8" s="1"/>
  <c r="I169" i="8"/>
  <c r="G174" i="6" l="1"/>
  <c r="H174" i="6" s="1"/>
  <c r="I174" i="6" s="1"/>
  <c r="G177" i="7"/>
  <c r="H177" i="7" s="1"/>
  <c r="I177" i="7" s="1"/>
  <c r="G170" i="8"/>
  <c r="H170" i="8" s="1"/>
  <c r="I170" i="8"/>
  <c r="G180" i="9"/>
  <c r="H180" i="9" s="1"/>
  <c r="I180" i="9" s="1"/>
  <c r="G181" i="9" l="1"/>
  <c r="H181" i="9" s="1"/>
  <c r="I181" i="9"/>
  <c r="G178" i="7"/>
  <c r="H178" i="7" s="1"/>
  <c r="I178" i="7"/>
  <c r="G175" i="6"/>
  <c r="H175" i="6" s="1"/>
  <c r="I175" i="6" s="1"/>
  <c r="G171" i="8"/>
  <c r="H171" i="8" s="1"/>
  <c r="I171" i="8" s="1"/>
  <c r="G172" i="8" l="1"/>
  <c r="H172" i="8" s="1"/>
  <c r="I172" i="8" s="1"/>
  <c r="G176" i="6"/>
  <c r="H176" i="6" s="1"/>
  <c r="I176" i="6" s="1"/>
  <c r="G179" i="7"/>
  <c r="H179" i="7" s="1"/>
  <c r="I179" i="7" s="1"/>
  <c r="G182" i="9"/>
  <c r="H182" i="9" s="1"/>
  <c r="I182" i="9" s="1"/>
  <c r="G183" i="9" l="1"/>
  <c r="H183" i="9" s="1"/>
  <c r="I183" i="9" s="1"/>
  <c r="G177" i="6"/>
  <c r="H177" i="6" s="1"/>
  <c r="I177" i="6" s="1"/>
  <c r="G180" i="7"/>
  <c r="H180" i="7" s="1"/>
  <c r="I180" i="7" s="1"/>
  <c r="I173" i="8"/>
  <c r="G173" i="8"/>
  <c r="H173" i="8" s="1"/>
  <c r="G178" i="6" l="1"/>
  <c r="H178" i="6" s="1"/>
  <c r="I178" i="6" s="1"/>
  <c r="G181" i="7"/>
  <c r="H181" i="7" s="1"/>
  <c r="I181" i="7" s="1"/>
  <c r="G184" i="9"/>
  <c r="H184" i="9" s="1"/>
  <c r="I184" i="9" s="1"/>
  <c r="I185" i="9" s="1"/>
  <c r="G174" i="8"/>
  <c r="H174" i="8" s="1"/>
  <c r="I174" i="8"/>
  <c r="I186" i="9" l="1"/>
  <c r="G186" i="9"/>
  <c r="H186" i="9" s="1"/>
  <c r="G182" i="7"/>
  <c r="H182" i="7" s="1"/>
  <c r="I182" i="7"/>
  <c r="G179" i="6"/>
  <c r="H179" i="6" s="1"/>
  <c r="I179" i="6" s="1"/>
  <c r="G175" i="8"/>
  <c r="H175" i="8" s="1"/>
  <c r="I175" i="8" s="1"/>
  <c r="G176" i="8" l="1"/>
  <c r="H176" i="8" s="1"/>
  <c r="I176" i="8" s="1"/>
  <c r="G180" i="6"/>
  <c r="H180" i="6" s="1"/>
  <c r="I180" i="6" s="1"/>
  <c r="G183" i="7"/>
  <c r="H183" i="7" s="1"/>
  <c r="I183" i="7"/>
  <c r="G187" i="9"/>
  <c r="H187" i="9" s="1"/>
  <c r="I187" i="9" s="1"/>
  <c r="G188" i="9" l="1"/>
  <c r="H188" i="9" s="1"/>
  <c r="I188" i="9" s="1"/>
  <c r="G181" i="6"/>
  <c r="H181" i="6" s="1"/>
  <c r="I181" i="6" s="1"/>
  <c r="G177" i="8"/>
  <c r="H177" i="8" s="1"/>
  <c r="I177" i="8" s="1"/>
  <c r="G184" i="7"/>
  <c r="H184" i="7" s="1"/>
  <c r="I184" i="7" s="1"/>
  <c r="I185" i="7" s="1"/>
  <c r="G186" i="7" l="1"/>
  <c r="H186" i="7" s="1"/>
  <c r="I186" i="7" s="1"/>
  <c r="G178" i="8"/>
  <c r="H178" i="8" s="1"/>
  <c r="I178" i="8" s="1"/>
  <c r="G182" i="6"/>
  <c r="H182" i="6" s="1"/>
  <c r="I182" i="6"/>
  <c r="G189" i="9"/>
  <c r="H189" i="9" s="1"/>
  <c r="I189" i="9" s="1"/>
  <c r="G187" i="7" l="1"/>
  <c r="H187" i="7" s="1"/>
  <c r="I187" i="7" s="1"/>
  <c r="G190" i="9"/>
  <c r="H190" i="9" s="1"/>
  <c r="I190" i="9"/>
  <c r="I179" i="8"/>
  <c r="G179" i="8"/>
  <c r="H179" i="8" s="1"/>
  <c r="G183" i="6"/>
  <c r="H183" i="6" s="1"/>
  <c r="I183" i="6" s="1"/>
  <c r="I184" i="6" l="1"/>
  <c r="G184" i="6"/>
  <c r="H184" i="6" s="1"/>
  <c r="G188" i="7"/>
  <c r="H188" i="7" s="1"/>
  <c r="I188" i="7"/>
  <c r="G180" i="8"/>
  <c r="H180" i="8" s="1"/>
  <c r="I180" i="8" s="1"/>
  <c r="G191" i="9"/>
  <c r="H191" i="9" s="1"/>
  <c r="I191" i="9" s="1"/>
  <c r="G181" i="8" l="1"/>
  <c r="H181" i="8" s="1"/>
  <c r="I181" i="8" s="1"/>
  <c r="G192" i="9"/>
  <c r="H192" i="9" s="1"/>
  <c r="I192" i="9" s="1"/>
  <c r="G189" i="7"/>
  <c r="H189" i="7" s="1"/>
  <c r="I189" i="7" s="1"/>
  <c r="G185" i="6"/>
  <c r="H185" i="6" s="1"/>
  <c r="I185" i="6" s="1"/>
  <c r="G190" i="7" l="1"/>
  <c r="H190" i="7" s="1"/>
  <c r="I190" i="7" s="1"/>
  <c r="G186" i="6"/>
  <c r="H186" i="6" s="1"/>
  <c r="I186" i="6" s="1"/>
  <c r="G193" i="9"/>
  <c r="H193" i="9" s="1"/>
  <c r="I193" i="9" s="1"/>
  <c r="G182" i="8"/>
  <c r="H182" i="8" s="1"/>
  <c r="I182" i="8" s="1"/>
  <c r="G183" i="8" l="1"/>
  <c r="H183" i="8" s="1"/>
  <c r="I183" i="8" s="1"/>
  <c r="G187" i="6"/>
  <c r="H187" i="6" s="1"/>
  <c r="I187" i="6"/>
  <c r="G194" i="9"/>
  <c r="H194" i="9" s="1"/>
  <c r="I194" i="9" s="1"/>
  <c r="G191" i="7"/>
  <c r="H191" i="7" s="1"/>
  <c r="I191" i="7" s="1"/>
  <c r="G195" i="9" l="1"/>
  <c r="H195" i="9" s="1"/>
  <c r="I195" i="9" s="1"/>
  <c r="G192" i="7"/>
  <c r="H192" i="7" s="1"/>
  <c r="I192" i="7" s="1"/>
  <c r="G184" i="8"/>
  <c r="H184" i="8" s="1"/>
  <c r="I184" i="8" s="1"/>
  <c r="G188" i="6"/>
  <c r="H188" i="6" s="1"/>
  <c r="I188" i="6"/>
  <c r="G193" i="7" l="1"/>
  <c r="H193" i="7" s="1"/>
  <c r="I193" i="7" s="1"/>
  <c r="G185" i="8"/>
  <c r="H185" i="8" s="1"/>
  <c r="I185" i="8" s="1"/>
  <c r="G196" i="9"/>
  <c r="H196" i="9" s="1"/>
  <c r="I196" i="9" s="1"/>
  <c r="G189" i="6"/>
  <c r="H189" i="6" s="1"/>
  <c r="I189" i="6" s="1"/>
  <c r="G190" i="6" l="1"/>
  <c r="H190" i="6" s="1"/>
  <c r="I190" i="6" s="1"/>
  <c r="G197" i="9"/>
  <c r="H197" i="9" s="1"/>
  <c r="I197" i="9" s="1"/>
  <c r="I198" i="9" s="1"/>
  <c r="G186" i="8"/>
  <c r="H186" i="8" s="1"/>
  <c r="I186" i="8" s="1"/>
  <c r="I187" i="8" s="1"/>
  <c r="G194" i="7"/>
  <c r="H194" i="7" s="1"/>
  <c r="I194" i="7" s="1"/>
  <c r="G195" i="7" l="1"/>
  <c r="H195" i="7" s="1"/>
  <c r="I195" i="7" s="1"/>
  <c r="G188" i="8"/>
  <c r="H188" i="8" s="1"/>
  <c r="I188" i="8" s="1"/>
  <c r="G199" i="9"/>
  <c r="H199" i="9" s="1"/>
  <c r="I199" i="9"/>
  <c r="G191" i="6"/>
  <c r="H191" i="6" s="1"/>
  <c r="I191" i="6" s="1"/>
  <c r="G192" i="6" l="1"/>
  <c r="H192" i="6" s="1"/>
  <c r="I192" i="6" s="1"/>
  <c r="G189" i="8"/>
  <c r="H189" i="8" s="1"/>
  <c r="I189" i="8" s="1"/>
  <c r="G196" i="7"/>
  <c r="H196" i="7" s="1"/>
  <c r="I196" i="7" s="1"/>
  <c r="G200" i="9"/>
  <c r="H200" i="9" s="1"/>
  <c r="I200" i="9" s="1"/>
  <c r="G201" i="9" l="1"/>
  <c r="H201" i="9" s="1"/>
  <c r="I201" i="9" s="1"/>
  <c r="G190" i="8"/>
  <c r="H190" i="8" s="1"/>
  <c r="I190" i="8" s="1"/>
  <c r="G197" i="7"/>
  <c r="H197" i="7" s="1"/>
  <c r="I197" i="7" s="1"/>
  <c r="I198" i="7" s="1"/>
  <c r="G193" i="6"/>
  <c r="H193" i="6" s="1"/>
  <c r="I193" i="6" s="1"/>
  <c r="I194" i="6" l="1"/>
  <c r="G194" i="6"/>
  <c r="H194" i="6" s="1"/>
  <c r="G199" i="7"/>
  <c r="H199" i="7" s="1"/>
  <c r="I199" i="7" s="1"/>
  <c r="G191" i="8"/>
  <c r="H191" i="8" s="1"/>
  <c r="I191" i="8" s="1"/>
  <c r="G202" i="9"/>
  <c r="H202" i="9" s="1"/>
  <c r="I202" i="9" s="1"/>
  <c r="G203" i="9" l="1"/>
  <c r="H203" i="9" s="1"/>
  <c r="I203" i="9" s="1"/>
  <c r="G192" i="8"/>
  <c r="H192" i="8" s="1"/>
  <c r="I192" i="8" s="1"/>
  <c r="G200" i="7"/>
  <c r="H200" i="7" s="1"/>
  <c r="I200" i="7"/>
  <c r="G195" i="6"/>
  <c r="H195" i="6" s="1"/>
  <c r="I195" i="6" s="1"/>
  <c r="G196" i="6" l="1"/>
  <c r="H196" i="6" s="1"/>
  <c r="I196" i="6"/>
  <c r="G193" i="8"/>
  <c r="H193" i="8" s="1"/>
  <c r="I193" i="8"/>
  <c r="G204" i="9"/>
  <c r="H204" i="9" s="1"/>
  <c r="I204" i="9" s="1"/>
  <c r="G201" i="7"/>
  <c r="H201" i="7" s="1"/>
  <c r="I201" i="7"/>
  <c r="G205" i="9" l="1"/>
  <c r="H205" i="9" s="1"/>
  <c r="I205" i="9" s="1"/>
  <c r="G202" i="7"/>
  <c r="H202" i="7" s="1"/>
  <c r="I202" i="7" s="1"/>
  <c r="G197" i="6"/>
  <c r="H197" i="6" s="1"/>
  <c r="I197" i="6" s="1"/>
  <c r="G194" i="8"/>
  <c r="H194" i="8" s="1"/>
  <c r="I194" i="8"/>
  <c r="G203" i="7" l="1"/>
  <c r="H203" i="7" s="1"/>
  <c r="I203" i="7" s="1"/>
  <c r="G198" i="6"/>
  <c r="H198" i="6" s="1"/>
  <c r="I198" i="6" s="1"/>
  <c r="G206" i="9"/>
  <c r="H206" i="9" s="1"/>
  <c r="I206" i="9" s="1"/>
  <c r="G195" i="8"/>
  <c r="H195" i="8" s="1"/>
  <c r="I195" i="8" s="1"/>
  <c r="G196" i="8" l="1"/>
  <c r="H196" i="8" s="1"/>
  <c r="I196" i="8" s="1"/>
  <c r="G207" i="9"/>
  <c r="H207" i="9" s="1"/>
  <c r="I207" i="9" s="1"/>
  <c r="G199" i="6"/>
  <c r="H199" i="6" s="1"/>
  <c r="I199" i="6"/>
  <c r="G204" i="7"/>
  <c r="H204" i="7" s="1"/>
  <c r="I204" i="7" s="1"/>
  <c r="I205" i="7" l="1"/>
  <c r="G205" i="7"/>
  <c r="H205" i="7" s="1"/>
  <c r="G208" i="9"/>
  <c r="H208" i="9" s="1"/>
  <c r="I208" i="9"/>
  <c r="G197" i="8"/>
  <c r="H197" i="8" s="1"/>
  <c r="I197" i="8" s="1"/>
  <c r="G200" i="6"/>
  <c r="H200" i="6" s="1"/>
  <c r="I200" i="6" s="1"/>
  <c r="G201" i="6" l="1"/>
  <c r="H201" i="6" s="1"/>
  <c r="I201" i="6" s="1"/>
  <c r="G198" i="8"/>
  <c r="H198" i="8" s="1"/>
  <c r="I198" i="8"/>
  <c r="G209" i="9"/>
  <c r="H209" i="9" s="1"/>
  <c r="I209" i="9" s="1"/>
  <c r="I206" i="7"/>
  <c r="G206" i="7"/>
  <c r="H206" i="7" s="1"/>
  <c r="G210" i="9" l="1"/>
  <c r="H210" i="9" s="1"/>
  <c r="I210" i="9" s="1"/>
  <c r="I211" i="9" s="1"/>
  <c r="G202" i="6"/>
  <c r="H202" i="6" s="1"/>
  <c r="I202" i="6" s="1"/>
  <c r="G207" i="7"/>
  <c r="H207" i="7" s="1"/>
  <c r="I207" i="7" s="1"/>
  <c r="I199" i="8"/>
  <c r="G199" i="8"/>
  <c r="H199" i="8" s="1"/>
  <c r="G208" i="7" l="1"/>
  <c r="H208" i="7" s="1"/>
  <c r="I208" i="7"/>
  <c r="G203" i="6"/>
  <c r="H203" i="6" s="1"/>
  <c r="I203" i="6"/>
  <c r="G212" i="9"/>
  <c r="H212" i="9" s="1"/>
  <c r="I212" i="9" s="1"/>
  <c r="G200" i="8"/>
  <c r="H200" i="8" s="1"/>
  <c r="I200" i="8"/>
  <c r="G213" i="9" l="1"/>
  <c r="H213" i="9" s="1"/>
  <c r="I213" i="9" s="1"/>
  <c r="G201" i="8"/>
  <c r="H201" i="8" s="1"/>
  <c r="I201" i="8" s="1"/>
  <c r="G204" i="6"/>
  <c r="H204" i="6" s="1"/>
  <c r="I204" i="6" s="1"/>
  <c r="G209" i="7"/>
  <c r="H209" i="7" s="1"/>
  <c r="I209" i="7" s="1"/>
  <c r="G205" i="6" l="1"/>
  <c r="H205" i="6" s="1"/>
  <c r="I205" i="6" s="1"/>
  <c r="I214" i="9"/>
  <c r="G214" i="9"/>
  <c r="H214" i="9" s="1"/>
  <c r="G210" i="7"/>
  <c r="H210" i="7" s="1"/>
  <c r="I210" i="7" s="1"/>
  <c r="I211" i="7" s="1"/>
  <c r="G202" i="8"/>
  <c r="H202" i="8" s="1"/>
  <c r="I202" i="8" s="1"/>
  <c r="G212" i="7" l="1"/>
  <c r="H212" i="7" s="1"/>
  <c r="I212" i="7" s="1"/>
  <c r="G203" i="8"/>
  <c r="H203" i="8" s="1"/>
  <c r="I203" i="8" s="1"/>
  <c r="G206" i="6"/>
  <c r="H206" i="6" s="1"/>
  <c r="I206" i="6"/>
  <c r="G215" i="9"/>
  <c r="H215" i="9" s="1"/>
  <c r="I215" i="9"/>
  <c r="G204" i="8" l="1"/>
  <c r="H204" i="8" s="1"/>
  <c r="I204" i="8"/>
  <c r="G213" i="7"/>
  <c r="H213" i="7" s="1"/>
  <c r="I213" i="7" s="1"/>
  <c r="G216" i="9"/>
  <c r="H216" i="9" s="1"/>
  <c r="I216" i="9"/>
  <c r="G207" i="6"/>
  <c r="H207" i="6" s="1"/>
  <c r="I207" i="6" s="1"/>
  <c r="G208" i="6" l="1"/>
  <c r="H208" i="6" s="1"/>
  <c r="I208" i="6" s="1"/>
  <c r="G214" i="7"/>
  <c r="H214" i="7" s="1"/>
  <c r="I214" i="7" s="1"/>
  <c r="G217" i="9"/>
  <c r="H217" i="9" s="1"/>
  <c r="I217" i="9" s="1"/>
  <c r="G205" i="8"/>
  <c r="H205" i="8" s="1"/>
  <c r="I205" i="8" s="1"/>
  <c r="G206" i="8" l="1"/>
  <c r="H206" i="8" s="1"/>
  <c r="I206" i="8" s="1"/>
  <c r="G215" i="7"/>
  <c r="H215" i="7" s="1"/>
  <c r="I215" i="7" s="1"/>
  <c r="G218" i="9"/>
  <c r="H218" i="9" s="1"/>
  <c r="I218" i="9"/>
  <c r="G209" i="6"/>
  <c r="H209" i="6" s="1"/>
  <c r="I209" i="6" s="1"/>
  <c r="G210" i="6" l="1"/>
  <c r="H210" i="6" s="1"/>
  <c r="I210" i="6" s="1"/>
  <c r="G216" i="7"/>
  <c r="H216" i="7" s="1"/>
  <c r="I216" i="7" s="1"/>
  <c r="G207" i="8"/>
  <c r="H207" i="8" s="1"/>
  <c r="I207" i="8"/>
  <c r="G219" i="9"/>
  <c r="H219" i="9" s="1"/>
  <c r="I219" i="9"/>
  <c r="G217" i="7" l="1"/>
  <c r="H217" i="7" s="1"/>
  <c r="I217" i="7" s="1"/>
  <c r="G211" i="6"/>
  <c r="H211" i="6" s="1"/>
  <c r="I211" i="6" s="1"/>
  <c r="G208" i="8"/>
  <c r="H208" i="8" s="1"/>
  <c r="I208" i="8" s="1"/>
  <c r="G220" i="9"/>
  <c r="H220" i="9" s="1"/>
  <c r="I220" i="9" s="1"/>
  <c r="G209" i="8" l="1"/>
  <c r="H209" i="8" s="1"/>
  <c r="I209" i="8" s="1"/>
  <c r="G212" i="6"/>
  <c r="H212" i="6" s="1"/>
  <c r="I212" i="6" s="1"/>
  <c r="G221" i="9"/>
  <c r="H221" i="9" s="1"/>
  <c r="I221" i="9"/>
  <c r="G218" i="7"/>
  <c r="H218" i="7" s="1"/>
  <c r="I218" i="7" s="1"/>
  <c r="G213" i="6" l="1"/>
  <c r="H213" i="6" s="1"/>
  <c r="I213" i="6" s="1"/>
  <c r="G219" i="7"/>
  <c r="H219" i="7" s="1"/>
  <c r="I219" i="7" s="1"/>
  <c r="I210" i="8"/>
  <c r="G210" i="8"/>
  <c r="H210" i="8" s="1"/>
  <c r="G222" i="9"/>
  <c r="H222" i="9" s="1"/>
  <c r="I222" i="9" s="1"/>
  <c r="G223" i="9" l="1"/>
  <c r="H223" i="9" s="1"/>
  <c r="I223" i="9"/>
  <c r="I224" i="9" s="1"/>
  <c r="G220" i="7"/>
  <c r="H220" i="7" s="1"/>
  <c r="I220" i="7" s="1"/>
  <c r="G214" i="6"/>
  <c r="H214" i="6" s="1"/>
  <c r="I214" i="6"/>
  <c r="I211" i="8"/>
  <c r="G211" i="8"/>
  <c r="H211" i="8" s="1"/>
  <c r="G221" i="7" l="1"/>
  <c r="H221" i="7" s="1"/>
  <c r="I221" i="7" s="1"/>
  <c r="G212" i="8"/>
  <c r="H212" i="8" s="1"/>
  <c r="I212" i="8"/>
  <c r="G225" i="9"/>
  <c r="H225" i="9" s="1"/>
  <c r="I225" i="9"/>
  <c r="G215" i="6"/>
  <c r="H215" i="6" s="1"/>
  <c r="I215" i="6" s="1"/>
  <c r="G222" i="7" l="1"/>
  <c r="H222" i="7" s="1"/>
  <c r="I222" i="7"/>
  <c r="G216" i="6"/>
  <c r="H216" i="6" s="1"/>
  <c r="I216" i="6" s="1"/>
  <c r="G226" i="9"/>
  <c r="H226" i="9" s="1"/>
  <c r="I226" i="9" s="1"/>
  <c r="G213" i="8"/>
  <c r="H213" i="8" s="1"/>
  <c r="I213" i="8" s="1"/>
  <c r="G214" i="8" l="1"/>
  <c r="H214" i="8" s="1"/>
  <c r="I214" i="8" s="1"/>
  <c r="G227" i="9"/>
  <c r="H227" i="9" s="1"/>
  <c r="I227" i="9" s="1"/>
  <c r="G217" i="6"/>
  <c r="H217" i="6" s="1"/>
  <c r="I217" i="6" s="1"/>
  <c r="G223" i="7"/>
  <c r="H223" i="7" s="1"/>
  <c r="I223" i="7" s="1"/>
  <c r="I224" i="7" s="1"/>
  <c r="G218" i="6" l="1"/>
  <c r="H218" i="6" s="1"/>
  <c r="I218" i="6" s="1"/>
  <c r="G225" i="7"/>
  <c r="H225" i="7" s="1"/>
  <c r="I225" i="7" s="1"/>
  <c r="G228" i="9"/>
  <c r="H228" i="9" s="1"/>
  <c r="I228" i="9"/>
  <c r="G215" i="8"/>
  <c r="H215" i="8" s="1"/>
  <c r="I215" i="8" s="1"/>
  <c r="G219" i="6" l="1"/>
  <c r="H219" i="6" s="1"/>
  <c r="I219" i="6" s="1"/>
  <c r="G226" i="7"/>
  <c r="H226" i="7" s="1"/>
  <c r="I226" i="7" s="1"/>
  <c r="G216" i="8"/>
  <c r="H216" i="8" s="1"/>
  <c r="I216" i="8"/>
  <c r="G229" i="9"/>
  <c r="H229" i="9" s="1"/>
  <c r="I229" i="9"/>
  <c r="G227" i="7" l="1"/>
  <c r="H227" i="7" s="1"/>
  <c r="I227" i="7" s="1"/>
  <c r="G220" i="6"/>
  <c r="H220" i="6" s="1"/>
  <c r="I220" i="6" s="1"/>
  <c r="G230" i="9"/>
  <c r="H230" i="9" s="1"/>
  <c r="I230" i="9" s="1"/>
  <c r="G217" i="8"/>
  <c r="H217" i="8" s="1"/>
  <c r="I217" i="8" s="1"/>
  <c r="G218" i="8" l="1"/>
  <c r="H218" i="8" s="1"/>
  <c r="I218" i="8" s="1"/>
  <c r="G231" i="9"/>
  <c r="H231" i="9" s="1"/>
  <c r="I231" i="9" s="1"/>
  <c r="G221" i="6"/>
  <c r="H221" i="6" s="1"/>
  <c r="I221" i="6" s="1"/>
  <c r="I228" i="7"/>
  <c r="G228" i="7"/>
  <c r="H228" i="7" s="1"/>
  <c r="G222" i="6" l="1"/>
  <c r="H222" i="6" s="1"/>
  <c r="I222" i="6" s="1"/>
  <c r="G232" i="9"/>
  <c r="H232" i="9" s="1"/>
  <c r="I232" i="9" s="1"/>
  <c r="G219" i="8"/>
  <c r="H219" i="8" s="1"/>
  <c r="I219" i="8" s="1"/>
  <c r="G229" i="7"/>
  <c r="H229" i="7" s="1"/>
  <c r="I229" i="7" s="1"/>
  <c r="G230" i="7" l="1"/>
  <c r="H230" i="7" s="1"/>
  <c r="I230" i="7"/>
  <c r="G220" i="8"/>
  <c r="H220" i="8" s="1"/>
  <c r="I220" i="8" s="1"/>
  <c r="G233" i="9"/>
  <c r="H233" i="9" s="1"/>
  <c r="I233" i="9" s="1"/>
  <c r="G223" i="6"/>
  <c r="H223" i="6" s="1"/>
  <c r="I223" i="6" s="1"/>
  <c r="G224" i="6" l="1"/>
  <c r="H224" i="6" s="1"/>
  <c r="I224" i="6"/>
  <c r="G234" i="9"/>
  <c r="H234" i="9" s="1"/>
  <c r="I234" i="9"/>
  <c r="G221" i="8"/>
  <c r="H221" i="8" s="1"/>
  <c r="I221" i="8"/>
  <c r="G231" i="7"/>
  <c r="H231" i="7" s="1"/>
  <c r="I231" i="7"/>
  <c r="G222" i="8" l="1"/>
  <c r="H222" i="8" s="1"/>
  <c r="I222" i="8" s="1"/>
  <c r="G232" i="7"/>
  <c r="H232" i="7" s="1"/>
  <c r="I232" i="7"/>
  <c r="G235" i="9"/>
  <c r="H235" i="9" s="1"/>
  <c r="I235" i="9"/>
  <c r="G225" i="6"/>
  <c r="H225" i="6" s="1"/>
  <c r="I225" i="6" s="1"/>
  <c r="G226" i="6" l="1"/>
  <c r="H226" i="6" s="1"/>
  <c r="I226" i="6" s="1"/>
  <c r="G223" i="8"/>
  <c r="H223" i="8" s="1"/>
  <c r="I223" i="8"/>
  <c r="G233" i="7"/>
  <c r="H233" i="7" s="1"/>
  <c r="I233" i="7" s="1"/>
  <c r="G236" i="9"/>
  <c r="H236" i="9" s="1"/>
  <c r="I236" i="9" s="1"/>
  <c r="I237" i="9" s="1"/>
  <c r="G234" i="7" l="1"/>
  <c r="H234" i="7" s="1"/>
  <c r="I234" i="7" s="1"/>
  <c r="G238" i="9"/>
  <c r="H238" i="9" s="1"/>
  <c r="I238" i="9" s="1"/>
  <c r="G227" i="6"/>
  <c r="H227" i="6" s="1"/>
  <c r="I227" i="6" s="1"/>
  <c r="G224" i="8"/>
  <c r="H224" i="8" s="1"/>
  <c r="I224" i="8"/>
  <c r="G239" i="9" l="1"/>
  <c r="H239" i="9" s="1"/>
  <c r="I239" i="9" s="1"/>
  <c r="G228" i="6"/>
  <c r="H228" i="6" s="1"/>
  <c r="I228" i="6" s="1"/>
  <c r="G235" i="7"/>
  <c r="H235" i="7" s="1"/>
  <c r="I235" i="7"/>
  <c r="G225" i="8"/>
  <c r="H225" i="8" s="1"/>
  <c r="I225" i="8" s="1"/>
  <c r="G226" i="8" l="1"/>
  <c r="H226" i="8" s="1"/>
  <c r="I226" i="8" s="1"/>
  <c r="G229" i="6"/>
  <c r="H229" i="6" s="1"/>
  <c r="I229" i="6"/>
  <c r="G240" i="9"/>
  <c r="H240" i="9" s="1"/>
  <c r="I240" i="9" s="1"/>
  <c r="G236" i="7"/>
  <c r="H236" i="7" s="1"/>
  <c r="I236" i="7" s="1"/>
  <c r="I237" i="7" s="1"/>
  <c r="G238" i="7" l="1"/>
  <c r="H238" i="7" s="1"/>
  <c r="I238" i="7" s="1"/>
  <c r="G241" i="9"/>
  <c r="H241" i="9" s="1"/>
  <c r="I241" i="9" s="1"/>
  <c r="G227" i="8"/>
  <c r="H227" i="8" s="1"/>
  <c r="I227" i="8" s="1"/>
  <c r="G230" i="6"/>
  <c r="H230" i="6" s="1"/>
  <c r="I230" i="6" s="1"/>
  <c r="G228" i="8" l="1"/>
  <c r="H228" i="8" s="1"/>
  <c r="I228" i="8" s="1"/>
  <c r="G242" i="9"/>
  <c r="H242" i="9" s="1"/>
  <c r="I242" i="9"/>
  <c r="G231" i="6"/>
  <c r="H231" i="6" s="1"/>
  <c r="I231" i="6" s="1"/>
  <c r="I239" i="7"/>
  <c r="G239" i="7"/>
  <c r="H239" i="7" s="1"/>
  <c r="G232" i="6" l="1"/>
  <c r="H232" i="6" s="1"/>
  <c r="I232" i="6" s="1"/>
  <c r="G229" i="8"/>
  <c r="H229" i="8" s="1"/>
  <c r="I229" i="8" s="1"/>
  <c r="G240" i="7"/>
  <c r="H240" i="7" s="1"/>
  <c r="I240" i="7" s="1"/>
  <c r="G243" i="9"/>
  <c r="H243" i="9" s="1"/>
  <c r="I243" i="9" s="1"/>
  <c r="G244" i="9" l="1"/>
  <c r="H244" i="9" s="1"/>
  <c r="I244" i="9" s="1"/>
  <c r="I241" i="7"/>
  <c r="G241" i="7"/>
  <c r="H241" i="7" s="1"/>
  <c r="G230" i="8"/>
  <c r="H230" i="8" s="1"/>
  <c r="I230" i="8" s="1"/>
  <c r="G233" i="6"/>
  <c r="H233" i="6" s="1"/>
  <c r="I233" i="6" s="1"/>
  <c r="G231" i="8" l="1"/>
  <c r="H231" i="8" s="1"/>
  <c r="I231" i="8"/>
  <c r="G234" i="6"/>
  <c r="H234" i="6" s="1"/>
  <c r="I234" i="6" s="1"/>
  <c r="I245" i="9"/>
  <c r="G245" i="9"/>
  <c r="H245" i="9" s="1"/>
  <c r="G242" i="7"/>
  <c r="H242" i="7" s="1"/>
  <c r="I242" i="7" s="1"/>
  <c r="G243" i="7" l="1"/>
  <c r="H243" i="7" s="1"/>
  <c r="I243" i="7" s="1"/>
  <c r="G235" i="6"/>
  <c r="H235" i="6" s="1"/>
  <c r="I235" i="6" s="1"/>
  <c r="G246" i="9"/>
  <c r="H246" i="9" s="1"/>
  <c r="I246" i="9" s="1"/>
  <c r="G232" i="8"/>
  <c r="H232" i="8" s="1"/>
  <c r="I232" i="8" s="1"/>
  <c r="G233" i="8" l="1"/>
  <c r="H233" i="8" s="1"/>
  <c r="I233" i="8" s="1"/>
  <c r="G236" i="6"/>
  <c r="H236" i="6" s="1"/>
  <c r="I236" i="6" s="1"/>
  <c r="G247" i="9"/>
  <c r="H247" i="9" s="1"/>
  <c r="I247" i="9" s="1"/>
  <c r="G244" i="7"/>
  <c r="H244" i="7" s="1"/>
  <c r="I244" i="7" s="1"/>
  <c r="G237" i="6" l="1"/>
  <c r="H237" i="6" s="1"/>
  <c r="I237" i="6" s="1"/>
  <c r="G245" i="7"/>
  <c r="H245" i="7" s="1"/>
  <c r="I245" i="7"/>
  <c r="G248" i="9"/>
  <c r="H248" i="9" s="1"/>
  <c r="I248" i="9" s="1"/>
  <c r="G234" i="8"/>
  <c r="H234" i="8" s="1"/>
  <c r="I234" i="8" s="1"/>
  <c r="G249" i="9" l="1"/>
  <c r="H249" i="9" s="1"/>
  <c r="I249" i="9" s="1"/>
  <c r="I250" i="9" s="1"/>
  <c r="G235" i="8"/>
  <c r="H235" i="8" s="1"/>
  <c r="I235" i="8" s="1"/>
  <c r="G238" i="6"/>
  <c r="H238" i="6" s="1"/>
  <c r="I238" i="6" s="1"/>
  <c r="G246" i="7"/>
  <c r="H246" i="7" s="1"/>
  <c r="I246" i="7" s="1"/>
  <c r="G239" i="6" l="1"/>
  <c r="H239" i="6" s="1"/>
  <c r="I239" i="6"/>
  <c r="G236" i="8"/>
  <c r="H236" i="8" s="1"/>
  <c r="I236" i="8" s="1"/>
  <c r="G247" i="7"/>
  <c r="H247" i="7" s="1"/>
  <c r="I247" i="7" s="1"/>
  <c r="G251" i="9"/>
  <c r="H251" i="9" s="1"/>
  <c r="I251" i="9" s="1"/>
  <c r="G248" i="7" l="1"/>
  <c r="H248" i="7" s="1"/>
  <c r="I248" i="7" s="1"/>
  <c r="G252" i="9"/>
  <c r="H252" i="9" s="1"/>
  <c r="I252" i="9" s="1"/>
  <c r="G237" i="8"/>
  <c r="H237" i="8" s="1"/>
  <c r="I237" i="8"/>
  <c r="G240" i="6"/>
  <c r="H240" i="6" s="1"/>
  <c r="I240" i="6" s="1"/>
  <c r="G253" i="9" l="1"/>
  <c r="H253" i="9" s="1"/>
  <c r="I253" i="9" s="1"/>
  <c r="G241" i="6"/>
  <c r="H241" i="6" s="1"/>
  <c r="I241" i="6" s="1"/>
  <c r="G249" i="7"/>
  <c r="H249" i="7" s="1"/>
  <c r="I249" i="7" s="1"/>
  <c r="I250" i="7" s="1"/>
  <c r="G238" i="8"/>
  <c r="H238" i="8" s="1"/>
  <c r="I238" i="8" s="1"/>
  <c r="G239" i="8" l="1"/>
  <c r="H239" i="8" s="1"/>
  <c r="I239" i="8"/>
  <c r="G242" i="6"/>
  <c r="G251" i="7"/>
  <c r="H251" i="7" s="1"/>
  <c r="I251" i="7" s="1"/>
  <c r="G254" i="9"/>
  <c r="H254" i="9" s="1"/>
  <c r="I254" i="9" s="1"/>
  <c r="G255" i="9" l="1"/>
  <c r="H255" i="9" s="1"/>
  <c r="I255" i="9" s="1"/>
  <c r="G252" i="7"/>
  <c r="H252" i="7" s="1"/>
  <c r="I252" i="7"/>
  <c r="H242" i="6"/>
  <c r="I242" i="6" s="1"/>
  <c r="G240" i="8"/>
  <c r="H240" i="8" s="1"/>
  <c r="I240" i="8" s="1"/>
  <c r="G241" i="8" l="1"/>
  <c r="H241" i="8" s="1"/>
  <c r="I241" i="8" s="1"/>
  <c r="G256" i="9"/>
  <c r="H256" i="9" s="1"/>
  <c r="I256" i="9" s="1"/>
  <c r="G253" i="7"/>
  <c r="H253" i="7" s="1"/>
  <c r="I253" i="7" s="1"/>
  <c r="C27" i="5"/>
  <c r="G243" i="6"/>
  <c r="G257" i="9" l="1"/>
  <c r="H257" i="9" s="1"/>
  <c r="I257" i="9" s="1"/>
  <c r="G254" i="7"/>
  <c r="H254" i="7" s="1"/>
  <c r="I254" i="7" s="1"/>
  <c r="G242" i="8"/>
  <c r="H242" i="8" s="1"/>
  <c r="I242" i="8"/>
  <c r="F27" i="5"/>
  <c r="H243" i="6"/>
  <c r="I243" i="6" s="1"/>
  <c r="E27" i="5"/>
  <c r="G255" i="7" l="1"/>
  <c r="H255" i="7" s="1"/>
  <c r="I255" i="7" s="1"/>
  <c r="G258" i="9"/>
  <c r="H258" i="9" s="1"/>
  <c r="I258" i="9" s="1"/>
  <c r="G243" i="8"/>
  <c r="C31" i="5"/>
  <c r="G244" i="6"/>
  <c r="H244" i="6" s="1"/>
  <c r="I244" i="6" s="1"/>
  <c r="G259" i="9" l="1"/>
  <c r="H259" i="9" s="1"/>
  <c r="I259" i="9" s="1"/>
  <c r="G256" i="7"/>
  <c r="H256" i="7" s="1"/>
  <c r="I256" i="7" s="1"/>
  <c r="H243" i="8"/>
  <c r="I243" i="8" s="1"/>
  <c r="G257" i="7" l="1"/>
  <c r="H257" i="7" s="1"/>
  <c r="I257" i="7" s="1"/>
  <c r="G260" i="9"/>
  <c r="C32" i="5"/>
  <c r="G244" i="8"/>
  <c r="G258" i="7" l="1"/>
  <c r="H258" i="7" s="1"/>
  <c r="I258" i="7" s="1"/>
  <c r="C34" i="5"/>
  <c r="H260" i="9"/>
  <c r="I260" i="9" s="1"/>
  <c r="H244" i="8"/>
  <c r="I244" i="8" s="1"/>
  <c r="E31" i="5"/>
  <c r="G259" i="7" l="1"/>
  <c r="H259" i="7" s="1"/>
  <c r="I259" i="7"/>
  <c r="F31" i="5"/>
  <c r="G261" i="9"/>
  <c r="H261" i="9" l="1"/>
  <c r="I261" i="9" s="1"/>
  <c r="E32" i="5"/>
  <c r="G260" i="7"/>
  <c r="C28" i="5"/>
  <c r="C29" i="5" l="1"/>
  <c r="C60" i="5" s="1"/>
  <c r="H260" i="7"/>
  <c r="I260" i="7" s="1"/>
  <c r="F32" i="5"/>
  <c r="F34" i="5" s="1"/>
  <c r="E34" i="5"/>
  <c r="G34" i="5" l="1"/>
  <c r="H34" i="5" s="1"/>
  <c r="G261" i="7"/>
  <c r="J34" i="5" l="1"/>
  <c r="H261" i="7"/>
  <c r="I261" i="7" s="1"/>
  <c r="E28" i="5"/>
  <c r="E29" i="5" l="1"/>
  <c r="E60" i="5" s="1"/>
  <c r="F28" i="5"/>
  <c r="F29" i="5" s="1"/>
  <c r="M31" i="5"/>
  <c r="M32" i="5" s="1"/>
  <c r="G29" i="5" l="1"/>
  <c r="G60" i="5" s="1"/>
  <c r="F60" i="5"/>
  <c r="H29" i="5" l="1"/>
  <c r="J29" i="5" l="1"/>
  <c r="J60" i="5" s="1"/>
  <c r="H60" i="5"/>
  <c r="AI13" i="18" l="1"/>
  <c r="AJ13" i="18" s="1"/>
  <c r="AK13" i="18" s="1"/>
  <c r="AI66" i="18" l="1"/>
  <c r="AI68" i="18"/>
  <c r="AI22" i="18"/>
  <c r="AI45" i="18"/>
  <c r="AI75" i="18"/>
  <c r="AI49" i="18"/>
  <c r="AI23" i="18"/>
  <c r="AI26" i="18"/>
  <c r="AI77" i="18"/>
  <c r="AI74" i="18"/>
  <c r="AI46" i="18"/>
  <c r="AI42" i="18"/>
  <c r="AI29" i="18"/>
  <c r="AI67" i="18"/>
  <c r="AI69" i="18"/>
  <c r="AI73" i="18"/>
  <c r="AI20" i="18"/>
  <c r="AI76" i="18"/>
  <c r="AI38" i="18"/>
  <c r="AI70" i="18"/>
  <c r="AI25" i="18"/>
  <c r="AJ27" i="18" s="1"/>
  <c r="AK27" i="18" s="1"/>
  <c r="AI65" i="18"/>
  <c r="AI28" i="18"/>
  <c r="AJ30" i="18" s="1"/>
  <c r="AK30" i="18" s="1"/>
  <c r="AI41" i="18"/>
  <c r="AI48" i="18"/>
  <c r="AI40" i="18"/>
  <c r="AI39" i="18"/>
  <c r="AI47" i="18"/>
  <c r="AI18" i="18"/>
  <c r="AJ18" i="18" s="1"/>
  <c r="AK18" i="18" s="1"/>
  <c r="AI72" i="18"/>
  <c r="AJ78" i="18" s="1"/>
  <c r="AK78" i="18" s="1"/>
  <c r="AI16" i="18"/>
  <c r="AJ16" i="18" s="1"/>
  <c r="AK16" i="18" s="1"/>
  <c r="AI44" i="18"/>
  <c r="AJ50" i="18" s="1"/>
  <c r="AK50" i="18" s="1"/>
  <c r="AI15" i="18"/>
  <c r="AJ15" i="18" s="1"/>
  <c r="AK15" i="18" s="1"/>
  <c r="AI14" i="18"/>
  <c r="AJ14" i="18" s="1"/>
  <c r="AK14" i="18" s="1"/>
  <c r="AI17" i="18"/>
  <c r="AJ17" i="18" s="1"/>
  <c r="AK17" i="18" s="1"/>
  <c r="AI19" i="18"/>
  <c r="AI37" i="18"/>
  <c r="AJ21" i="18" l="1"/>
  <c r="AK21" i="18" s="1"/>
  <c r="AJ43" i="18"/>
  <c r="AK43" i="18" s="1"/>
  <c r="AJ24" i="18"/>
  <c r="AK24" i="18" s="1"/>
  <c r="AJ71" i="18"/>
  <c r="AK71" i="18" s="1"/>
  <c r="AK102" i="18" l="1"/>
  <c r="K17" i="16" l="1"/>
  <c r="K80" i="16"/>
  <c r="K16" i="16"/>
  <c r="K34" i="16"/>
  <c r="K28" i="16"/>
  <c r="K79" i="16"/>
  <c r="K19" i="16"/>
  <c r="K37" i="16"/>
  <c r="K76" i="16"/>
  <c r="K18" i="16"/>
  <c r="K23" i="16"/>
  <c r="N89" i="18" l="1"/>
  <c r="AU88" i="18"/>
  <c r="K15" i="16"/>
  <c r="AL76" i="16"/>
  <c r="M80" i="16"/>
  <c r="M20" i="16"/>
  <c r="M44" i="16"/>
  <c r="M72" i="16"/>
  <c r="M30" i="16"/>
  <c r="L49" i="16"/>
  <c r="M73" i="16"/>
  <c r="L18" i="16"/>
  <c r="N18" i="18" s="1"/>
  <c r="O18" i="18" s="1"/>
  <c r="P18" i="18" s="1"/>
  <c r="L29" i="16"/>
  <c r="L23" i="16"/>
  <c r="L13" i="16"/>
  <c r="L21" i="16"/>
  <c r="L63" i="16"/>
  <c r="L27" i="16"/>
  <c r="L26" i="16"/>
  <c r="L19" i="16"/>
  <c r="L17" i="16"/>
  <c r="N17" i="18" s="1"/>
  <c r="O17" i="18" s="1"/>
  <c r="P17" i="18" s="1"/>
  <c r="L71" i="16"/>
  <c r="L44" i="16"/>
  <c r="L33" i="16"/>
  <c r="L60" i="16"/>
  <c r="L40" i="16"/>
  <c r="P80" i="16"/>
  <c r="AM80" i="16" s="1"/>
  <c r="P79" i="16"/>
  <c r="AM79" i="16" s="1"/>
  <c r="P13" i="16"/>
  <c r="AM13" i="16" s="1"/>
  <c r="M15" i="16"/>
  <c r="M13" i="16"/>
  <c r="M18" i="16"/>
  <c r="AL18" i="16" s="1"/>
  <c r="M51" i="16"/>
  <c r="M25" i="16"/>
  <c r="M66" i="16"/>
  <c r="O30" i="16"/>
  <c r="M36" i="16"/>
  <c r="M24" i="16"/>
  <c r="M17" i="16"/>
  <c r="AL17" i="16" s="1"/>
  <c r="M16" i="16"/>
  <c r="M37" i="16"/>
  <c r="M14" i="16"/>
  <c r="K13" i="16"/>
  <c r="K75" i="16"/>
  <c r="K73" i="16"/>
  <c r="N86" i="18" s="1"/>
  <c r="K74" i="16"/>
  <c r="K78" i="16"/>
  <c r="K77" i="16"/>
  <c r="K29" i="16"/>
  <c r="K30" i="16"/>
  <c r="L62" i="16"/>
  <c r="K35" i="16"/>
  <c r="K36" i="16"/>
  <c r="K32" i="16"/>
  <c r="K33" i="16"/>
  <c r="K31" i="16"/>
  <c r="K42" i="16"/>
  <c r="K40" i="16"/>
  <c r="K52" i="16"/>
  <c r="K27" i="16"/>
  <c r="K25" i="16"/>
  <c r="K26" i="16"/>
  <c r="K20" i="16"/>
  <c r="K24" i="16"/>
  <c r="K51" i="16"/>
  <c r="K54" i="16"/>
  <c r="K50" i="16"/>
  <c r="K49" i="16"/>
  <c r="K53" i="16"/>
  <c r="K14" i="16"/>
  <c r="M21" i="16"/>
  <c r="M22" i="16"/>
  <c r="K22" i="16"/>
  <c r="K21" i="16"/>
  <c r="K72" i="16"/>
  <c r="K70" i="16"/>
  <c r="K68" i="16"/>
  <c r="K71" i="16"/>
  <c r="K69" i="16"/>
  <c r="K67" i="16"/>
  <c r="K48" i="16"/>
  <c r="K46" i="16"/>
  <c r="K44" i="16"/>
  <c r="K47" i="16"/>
  <c r="K45" i="16"/>
  <c r="K43" i="16"/>
  <c r="K38" i="16"/>
  <c r="K41" i="16"/>
  <c r="K39" i="16"/>
  <c r="K60" i="16"/>
  <c r="K58" i="16"/>
  <c r="K56" i="16"/>
  <c r="K59" i="16"/>
  <c r="K57" i="16"/>
  <c r="K55" i="16"/>
  <c r="K66" i="16"/>
  <c r="K64" i="16"/>
  <c r="K62" i="16"/>
  <c r="K65" i="16"/>
  <c r="K63" i="16"/>
  <c r="K61" i="16"/>
  <c r="AU52" i="18" l="1"/>
  <c r="N52" i="18"/>
  <c r="O92" i="18"/>
  <c r="P92" i="18" s="1"/>
  <c r="AU37" i="18"/>
  <c r="N88" i="18"/>
  <c r="AU87" i="18"/>
  <c r="AU73" i="18"/>
  <c r="AU54" i="18"/>
  <c r="N54" i="18"/>
  <c r="AU13" i="18"/>
  <c r="AV13" i="18" s="1"/>
  <c r="AW13" i="18" s="1"/>
  <c r="N13" i="18"/>
  <c r="O13" i="18" s="1"/>
  <c r="P13" i="18" s="1"/>
  <c r="AU18" i="18"/>
  <c r="AV18" i="18" s="1"/>
  <c r="AW18" i="18" s="1"/>
  <c r="AU90" i="18"/>
  <c r="N91" i="18"/>
  <c r="N15" i="18"/>
  <c r="O15" i="18" s="1"/>
  <c r="P15" i="18" s="1"/>
  <c r="AU86" i="18"/>
  <c r="AV92" i="18" s="1"/>
  <c r="AW92" i="18" s="1"/>
  <c r="N87" i="18"/>
  <c r="N77" i="18"/>
  <c r="AU89" i="18"/>
  <c r="N90" i="18"/>
  <c r="N59" i="18"/>
  <c r="AU17" i="18"/>
  <c r="AV17" i="18" s="1"/>
  <c r="AW17" i="18" s="1"/>
  <c r="L25" i="16"/>
  <c r="AU28" i="18" s="1"/>
  <c r="AV30" i="18" s="1"/>
  <c r="AW30" i="18" s="1"/>
  <c r="N58" i="18"/>
  <c r="AU22" i="18"/>
  <c r="N22" i="18"/>
  <c r="AU35" i="18"/>
  <c r="N70" i="18"/>
  <c r="AU72" i="18"/>
  <c r="AV78" i="18" s="1"/>
  <c r="AW78" i="18" s="1"/>
  <c r="N72" i="18"/>
  <c r="AL73" i="16"/>
  <c r="AL75" i="16"/>
  <c r="M19" i="16"/>
  <c r="AL25" i="16"/>
  <c r="AL13" i="16"/>
  <c r="AL74" i="16"/>
  <c r="P16" i="16"/>
  <c r="AM16" i="16" s="1"/>
  <c r="M59" i="16"/>
  <c r="AU69" i="18" s="1"/>
  <c r="L16" i="16"/>
  <c r="N16" i="18" s="1"/>
  <c r="O16" i="18" s="1"/>
  <c r="P16" i="18" s="1"/>
  <c r="AL44" i="16"/>
  <c r="N79" i="16"/>
  <c r="Q93" i="18" s="1"/>
  <c r="R93" i="18" s="1"/>
  <c r="S93" i="18" s="1"/>
  <c r="M79" i="16"/>
  <c r="L80" i="16"/>
  <c r="N94" i="18" s="1"/>
  <c r="O94" i="18" s="1"/>
  <c r="P94" i="18" s="1"/>
  <c r="P15" i="16"/>
  <c r="AM15" i="16" s="1"/>
  <c r="P18" i="16"/>
  <c r="AM18" i="16" s="1"/>
  <c r="AL21" i="16"/>
  <c r="AL77" i="16"/>
  <c r="P17" i="16"/>
  <c r="AM17" i="16" s="1"/>
  <c r="L14" i="16"/>
  <c r="AL14" i="16" s="1"/>
  <c r="P14" i="16"/>
  <c r="AM14" i="16" s="1"/>
  <c r="AL78" i="16"/>
  <c r="O80" i="16"/>
  <c r="AU30" i="16"/>
  <c r="L15" i="16"/>
  <c r="AU15" i="18" s="1"/>
  <c r="AV15" i="18" s="1"/>
  <c r="AW15" i="18" s="1"/>
  <c r="L28" i="16"/>
  <c r="L20" i="16"/>
  <c r="AU20" i="18" s="1"/>
  <c r="L65" i="16"/>
  <c r="N76" i="18" s="1"/>
  <c r="L66" i="16"/>
  <c r="AU77" i="18" s="1"/>
  <c r="L64" i="16"/>
  <c r="N75" i="18" s="1"/>
  <c r="L61" i="16"/>
  <c r="L72" i="16"/>
  <c r="AL72" i="16" s="1"/>
  <c r="L56" i="16"/>
  <c r="N66" i="18" s="1"/>
  <c r="L39" i="16"/>
  <c r="AL39" i="16" s="1"/>
  <c r="O29" i="16"/>
  <c r="L57" i="16"/>
  <c r="L42" i="16"/>
  <c r="N49" i="18" s="1"/>
  <c r="L55" i="16"/>
  <c r="N65" i="18" s="1"/>
  <c r="L59" i="16"/>
  <c r="N69" i="18" s="1"/>
  <c r="L37" i="16"/>
  <c r="AU44" i="18" s="1"/>
  <c r="L58" i="16"/>
  <c r="N68" i="18" s="1"/>
  <c r="L35" i="16"/>
  <c r="N41" i="18" s="1"/>
  <c r="L34" i="16"/>
  <c r="L36" i="16"/>
  <c r="AL36" i="16" s="1"/>
  <c r="L31" i="16"/>
  <c r="N37" i="18" s="1"/>
  <c r="L38" i="16"/>
  <c r="N45" i="18" s="1"/>
  <c r="L50" i="16"/>
  <c r="L47" i="16"/>
  <c r="N55" i="18" s="1"/>
  <c r="P74" i="16"/>
  <c r="AM74" i="16" s="1"/>
  <c r="P73" i="16"/>
  <c r="AM73" i="16" s="1"/>
  <c r="P76" i="16"/>
  <c r="AM76" i="16" s="1"/>
  <c r="P78" i="16"/>
  <c r="AM78" i="16" s="1"/>
  <c r="P75" i="16"/>
  <c r="AM75" i="16" s="1"/>
  <c r="P77" i="16"/>
  <c r="AM77" i="16" s="1"/>
  <c r="L48" i="16"/>
  <c r="N56" i="18" s="1"/>
  <c r="L46" i="16"/>
  <c r="L43" i="16"/>
  <c r="N51" i="18" s="1"/>
  <c r="P29" i="16"/>
  <c r="AM29" i="16" s="1"/>
  <c r="P30" i="16"/>
  <c r="AM30" i="16" s="1"/>
  <c r="L70" i="16"/>
  <c r="M29" i="16"/>
  <c r="AL29" i="16" s="1"/>
  <c r="AF80" i="16"/>
  <c r="AF20" i="16"/>
  <c r="M52" i="16"/>
  <c r="M50" i="16"/>
  <c r="AL50" i="16" s="1"/>
  <c r="M54" i="16"/>
  <c r="M53" i="16"/>
  <c r="M49" i="16"/>
  <c r="AU58" i="18" s="1"/>
  <c r="M27" i="16"/>
  <c r="AL27" i="16" s="1"/>
  <c r="M26" i="16"/>
  <c r="AL26" i="16" s="1"/>
  <c r="M38" i="16"/>
  <c r="AL38" i="16" s="1"/>
  <c r="M61" i="16"/>
  <c r="M63" i="16"/>
  <c r="AU74" i="18" s="1"/>
  <c r="M39" i="16"/>
  <c r="M65" i="16"/>
  <c r="AL65" i="16" s="1"/>
  <c r="M40" i="16"/>
  <c r="AL40" i="16" s="1"/>
  <c r="M62" i="16"/>
  <c r="AL62" i="16" s="1"/>
  <c r="M41" i="16"/>
  <c r="M46" i="16"/>
  <c r="AL46" i="16" s="1"/>
  <c r="M64" i="16"/>
  <c r="AU75" i="18" s="1"/>
  <c r="M42" i="16"/>
  <c r="AL42" i="16" s="1"/>
  <c r="M34" i="16"/>
  <c r="M57" i="16"/>
  <c r="AU67" i="18" s="1"/>
  <c r="M45" i="16"/>
  <c r="M31" i="16"/>
  <c r="AL31" i="16" s="1"/>
  <c r="M35" i="16"/>
  <c r="AL35" i="16" s="1"/>
  <c r="M43" i="16"/>
  <c r="AU51" i="18" s="1"/>
  <c r="M60" i="16"/>
  <c r="AU70" i="18" s="1"/>
  <c r="M48" i="16"/>
  <c r="AL48" i="16" s="1"/>
  <c r="M32" i="16"/>
  <c r="M47" i="16"/>
  <c r="AU55" i="18" s="1"/>
  <c r="M33" i="16"/>
  <c r="AL33" i="16" s="1"/>
  <c r="M58" i="16"/>
  <c r="AL58" i="16" s="1"/>
  <c r="M55" i="16"/>
  <c r="AL55" i="16" s="1"/>
  <c r="M56" i="16"/>
  <c r="AU66" i="18" s="1"/>
  <c r="O43" i="18" l="1"/>
  <c r="P43" i="18" s="1"/>
  <c r="Z34" i="18"/>
  <c r="AA36" i="18" s="1"/>
  <c r="AB36" i="18" s="1"/>
  <c r="AK29" i="17"/>
  <c r="AL19" i="16"/>
  <c r="AU19" i="18"/>
  <c r="AV21" i="18" s="1"/>
  <c r="AW21" i="18" s="1"/>
  <c r="AU29" i="18"/>
  <c r="Z63" i="18"/>
  <c r="AK54" i="17"/>
  <c r="Z14" i="18"/>
  <c r="AA14" i="18" s="1"/>
  <c r="AB14" i="18" s="1"/>
  <c r="AK14" i="17"/>
  <c r="Z83" i="18"/>
  <c r="AK71" i="17"/>
  <c r="AL63" i="16"/>
  <c r="AU14" i="18"/>
  <c r="AV14" i="18" s="1"/>
  <c r="AW14" i="18" s="1"/>
  <c r="N29" i="18"/>
  <c r="N73" i="18"/>
  <c r="O78" i="18" s="1"/>
  <c r="P78" i="18" s="1"/>
  <c r="Z76" i="18"/>
  <c r="AK65" i="17"/>
  <c r="N40" i="18"/>
  <c r="Z17" i="18"/>
  <c r="AA17" i="18" s="1"/>
  <c r="AB17" i="18" s="1"/>
  <c r="AK17" i="17"/>
  <c r="AK66" i="17"/>
  <c r="Z77" i="18"/>
  <c r="Z68" i="18"/>
  <c r="AK58" i="17"/>
  <c r="AU59" i="18"/>
  <c r="Z28" i="18"/>
  <c r="AA30" i="18" s="1"/>
  <c r="AB30" i="18" s="1"/>
  <c r="AK25" i="17"/>
  <c r="N32" i="18"/>
  <c r="Z15" i="18"/>
  <c r="AA15" i="18" s="1"/>
  <c r="AB15" i="18" s="1"/>
  <c r="AK15" i="17"/>
  <c r="Z72" i="18"/>
  <c r="AK61" i="17"/>
  <c r="N42" i="18"/>
  <c r="N74" i="18"/>
  <c r="AU49" i="18"/>
  <c r="N39" i="18"/>
  <c r="N67" i="18"/>
  <c r="O71" i="18" s="1"/>
  <c r="P71" i="18" s="1"/>
  <c r="Z23" i="18"/>
  <c r="AK22" i="17"/>
  <c r="AU42" i="18"/>
  <c r="AU41" i="18"/>
  <c r="AU39" i="18"/>
  <c r="AU47" i="18"/>
  <c r="AL47" i="16"/>
  <c r="AK46" i="17"/>
  <c r="Z54" i="18"/>
  <c r="Z31" i="18"/>
  <c r="AK27" i="17"/>
  <c r="N31" i="18"/>
  <c r="N20" i="18"/>
  <c r="N47" i="18"/>
  <c r="AK38" i="17"/>
  <c r="Z45" i="18"/>
  <c r="AU46" i="18"/>
  <c r="Z25" i="18"/>
  <c r="AA27" i="18" s="1"/>
  <c r="AB27" i="18" s="1"/>
  <c r="AK23" i="17"/>
  <c r="AL20" i="16"/>
  <c r="AU31" i="18"/>
  <c r="N34" i="18"/>
  <c r="O36" i="18" s="1"/>
  <c r="P36" i="18" s="1"/>
  <c r="AU56" i="18"/>
  <c r="AU76" i="18"/>
  <c r="N46" i="18"/>
  <c r="Z75" i="18"/>
  <c r="AK64" i="17"/>
  <c r="N14" i="18"/>
  <c r="O14" i="18" s="1"/>
  <c r="P14" i="18" s="1"/>
  <c r="Z87" i="18"/>
  <c r="AK74" i="17"/>
  <c r="AO16" i="16"/>
  <c r="Z16" i="18"/>
  <c r="AA16" i="18" s="1"/>
  <c r="AB16" i="18" s="1"/>
  <c r="AK16" i="17"/>
  <c r="N28" i="18"/>
  <c r="O30" i="18" s="1"/>
  <c r="P30" i="18" s="1"/>
  <c r="AU16" i="18"/>
  <c r="AV16" i="18" s="1"/>
  <c r="AW16" i="18" s="1"/>
  <c r="AU65" i="18"/>
  <c r="AV71" i="18" s="1"/>
  <c r="AW71" i="18" s="1"/>
  <c r="AL43" i="16"/>
  <c r="AK63" i="17"/>
  <c r="Z74" i="18"/>
  <c r="Z40" i="18"/>
  <c r="AK34" i="17"/>
  <c r="AL34" i="16"/>
  <c r="AU40" i="18"/>
  <c r="N93" i="18"/>
  <c r="O93" i="18" s="1"/>
  <c r="P93" i="18" s="1"/>
  <c r="AU93" i="18"/>
  <c r="AV93" i="18" s="1"/>
  <c r="AU91" i="18"/>
  <c r="AL37" i="16"/>
  <c r="N44" i="18"/>
  <c r="O50" i="18" s="1"/>
  <c r="P50" i="18" s="1"/>
  <c r="AO80" i="16"/>
  <c r="AK80" i="17"/>
  <c r="Z94" i="18"/>
  <c r="AA94" i="18" s="1"/>
  <c r="AB94" i="18" s="1"/>
  <c r="N84" i="18"/>
  <c r="AU94" i="18"/>
  <c r="AV94" i="18" s="1"/>
  <c r="Z73" i="18"/>
  <c r="AK62" i="17"/>
  <c r="Z20" i="18"/>
  <c r="AK20" i="17"/>
  <c r="AK79" i="17"/>
  <c r="Z93" i="18"/>
  <c r="AA93" i="18" s="1"/>
  <c r="AB93" i="18" s="1"/>
  <c r="AU45" i="18"/>
  <c r="AV50" i="18" s="1"/>
  <c r="AW50" i="18" s="1"/>
  <c r="AU84" i="18"/>
  <c r="AU68" i="18"/>
  <c r="N19" i="18"/>
  <c r="O21" i="18" s="1"/>
  <c r="P21" i="18" s="1"/>
  <c r="AL32" i="16"/>
  <c r="AL52" i="16"/>
  <c r="P70" i="16"/>
  <c r="AM70" i="16" s="1"/>
  <c r="AO17" i="16"/>
  <c r="M67" i="16"/>
  <c r="AL15" i="16"/>
  <c r="AO22" i="16"/>
  <c r="P52" i="16"/>
  <c r="AM52" i="16" s="1"/>
  <c r="AO46" i="16"/>
  <c r="AL57" i="16"/>
  <c r="N76" i="16"/>
  <c r="Q89" i="18" s="1"/>
  <c r="P51" i="16"/>
  <c r="AM51" i="16" s="1"/>
  <c r="N78" i="16"/>
  <c r="Q91" i="18" s="1"/>
  <c r="L22" i="16"/>
  <c r="AU80" i="16"/>
  <c r="AL79" i="16"/>
  <c r="P20" i="16"/>
  <c r="AM20" i="16" s="1"/>
  <c r="P47" i="16"/>
  <c r="AM47" i="16" s="1"/>
  <c r="P50" i="16"/>
  <c r="AM50" i="16" s="1"/>
  <c r="AO74" i="16"/>
  <c r="AL59" i="16"/>
  <c r="AL60" i="16"/>
  <c r="AT79" i="16"/>
  <c r="AV79" i="16" s="1"/>
  <c r="P34" i="16"/>
  <c r="AM34" i="16" s="1"/>
  <c r="P69" i="16"/>
  <c r="AM69" i="16" s="1"/>
  <c r="P64" i="16"/>
  <c r="AM64" i="16" s="1"/>
  <c r="P42" i="16"/>
  <c r="AM42" i="16" s="1"/>
  <c r="N73" i="16"/>
  <c r="Q86" i="18" s="1"/>
  <c r="N75" i="16"/>
  <c r="Q88" i="18" s="1"/>
  <c r="P63" i="16"/>
  <c r="AM63" i="16" s="1"/>
  <c r="P54" i="16"/>
  <c r="AM54" i="16" s="1"/>
  <c r="P41" i="16"/>
  <c r="AM41" i="16" s="1"/>
  <c r="L69" i="16"/>
  <c r="M23" i="16"/>
  <c r="AL61" i="16"/>
  <c r="P27" i="16"/>
  <c r="AM27" i="16" s="1"/>
  <c r="AO23" i="16"/>
  <c r="P19" i="16"/>
  <c r="AM19" i="16" s="1"/>
  <c r="N74" i="16"/>
  <c r="Q87" i="18" s="1"/>
  <c r="P46" i="16"/>
  <c r="AM46" i="16" s="1"/>
  <c r="P49" i="16"/>
  <c r="AM49" i="16" s="1"/>
  <c r="L45" i="16"/>
  <c r="N53" i="18" s="1"/>
  <c r="O57" i="18" s="1"/>
  <c r="P57" i="18" s="1"/>
  <c r="L52" i="16"/>
  <c r="N61" i="18" s="1"/>
  <c r="AU29" i="16"/>
  <c r="AO63" i="16"/>
  <c r="AO34" i="16"/>
  <c r="AO27" i="16"/>
  <c r="P45" i="16"/>
  <c r="AM45" i="16" s="1"/>
  <c r="P26" i="16"/>
  <c r="AM26" i="16" s="1"/>
  <c r="P60" i="16"/>
  <c r="AM60" i="16" s="1"/>
  <c r="L54" i="16"/>
  <c r="N63" i="18" s="1"/>
  <c r="AO61" i="16"/>
  <c r="P62" i="16"/>
  <c r="AM62" i="16" s="1"/>
  <c r="P39" i="16"/>
  <c r="AM39" i="16" s="1"/>
  <c r="AL56" i="16"/>
  <c r="P44" i="16"/>
  <c r="AM44" i="16" s="1"/>
  <c r="P25" i="16"/>
  <c r="AM25" i="16" s="1"/>
  <c r="N77" i="16"/>
  <c r="Q90" i="18" s="1"/>
  <c r="P57" i="16"/>
  <c r="AM57" i="16" s="1"/>
  <c r="M71" i="16"/>
  <c r="AO62" i="16"/>
  <c r="AO20" i="16"/>
  <c r="AO79" i="16"/>
  <c r="AL66" i="16"/>
  <c r="M70" i="16"/>
  <c r="P31" i="16"/>
  <c r="AM31" i="16" s="1"/>
  <c r="AO58" i="16"/>
  <c r="L53" i="16"/>
  <c r="N62" i="18" s="1"/>
  <c r="AO15" i="16"/>
  <c r="AL64" i="16"/>
  <c r="L32" i="16"/>
  <c r="N38" i="18" s="1"/>
  <c r="P48" i="16"/>
  <c r="AM48" i="16" s="1"/>
  <c r="P24" i="16"/>
  <c r="AM24" i="16" s="1"/>
  <c r="P36" i="16"/>
  <c r="AM36" i="16" s="1"/>
  <c r="P72" i="16"/>
  <c r="AM72" i="16" s="1"/>
  <c r="P43" i="16"/>
  <c r="AM43" i="16" s="1"/>
  <c r="P59" i="16"/>
  <c r="AM59" i="16" s="1"/>
  <c r="M68" i="16"/>
  <c r="L24" i="16"/>
  <c r="L41" i="16"/>
  <c r="AF38" i="16"/>
  <c r="AO38" i="16"/>
  <c r="P53" i="16"/>
  <c r="AM53" i="16" s="1"/>
  <c r="P37" i="16"/>
  <c r="AM37" i="16" s="1"/>
  <c r="P23" i="16"/>
  <c r="AM23" i="16" s="1"/>
  <c r="P33" i="16"/>
  <c r="AM33" i="16" s="1"/>
  <c r="P67" i="16"/>
  <c r="AM67" i="16" s="1"/>
  <c r="P22" i="16"/>
  <c r="AM22" i="16" s="1"/>
  <c r="P56" i="16"/>
  <c r="AM56" i="16" s="1"/>
  <c r="AO64" i="16"/>
  <c r="AO25" i="16"/>
  <c r="AO65" i="16"/>
  <c r="AL49" i="16"/>
  <c r="AL16" i="16"/>
  <c r="P61" i="16"/>
  <c r="AM61" i="16" s="1"/>
  <c r="L51" i="16"/>
  <c r="M69" i="16"/>
  <c r="L68" i="16"/>
  <c r="N80" i="18" s="1"/>
  <c r="P32" i="16"/>
  <c r="AM32" i="16" s="1"/>
  <c r="P68" i="16"/>
  <c r="AM68" i="16" s="1"/>
  <c r="P21" i="16"/>
  <c r="AM21" i="16" s="1"/>
  <c r="P58" i="16"/>
  <c r="AM58" i="16" s="1"/>
  <c r="L30" i="16"/>
  <c r="AO29" i="16"/>
  <c r="AL80" i="16"/>
  <c r="P65" i="16"/>
  <c r="AM65" i="16" s="1"/>
  <c r="P38" i="16"/>
  <c r="AM38" i="16" s="1"/>
  <c r="L67" i="16"/>
  <c r="N79" i="18" s="1"/>
  <c r="O85" i="18" s="1"/>
  <c r="P85" i="18" s="1"/>
  <c r="AO66" i="16"/>
  <c r="M28" i="16"/>
  <c r="P28" i="16"/>
  <c r="AM28" i="16" s="1"/>
  <c r="P35" i="16"/>
  <c r="AM35" i="16" s="1"/>
  <c r="P71" i="16"/>
  <c r="AM71" i="16" s="1"/>
  <c r="P66" i="16"/>
  <c r="AM66" i="16" s="1"/>
  <c r="P40" i="16"/>
  <c r="AM40" i="16" s="1"/>
  <c r="P55" i="16"/>
  <c r="AM55" i="16" s="1"/>
  <c r="AO54" i="16"/>
  <c r="AO14" i="16"/>
  <c r="AO71" i="16"/>
  <c r="AF23" i="16"/>
  <c r="AF62" i="16"/>
  <c r="AF63" i="16"/>
  <c r="AF46" i="16"/>
  <c r="AF66" i="16"/>
  <c r="AF34" i="16"/>
  <c r="AF71" i="16"/>
  <c r="AF58" i="16"/>
  <c r="AF14" i="16"/>
  <c r="AF22" i="16"/>
  <c r="AF54" i="16"/>
  <c r="AF27" i="16"/>
  <c r="AF29" i="16"/>
  <c r="AF17" i="16"/>
  <c r="AF64" i="16"/>
  <c r="AF25" i="16"/>
  <c r="AF65" i="16"/>
  <c r="AF61" i="16"/>
  <c r="AF79" i="16"/>
  <c r="AF16" i="16"/>
  <c r="AF15" i="16"/>
  <c r="AO48" i="16" l="1"/>
  <c r="AK48" i="17"/>
  <c r="Z56" i="18"/>
  <c r="AK13" i="17"/>
  <c r="Z13" i="18"/>
  <c r="AA13" i="18" s="1"/>
  <c r="AB13" i="18" s="1"/>
  <c r="Z32" i="18"/>
  <c r="AK28" i="17"/>
  <c r="AO57" i="16"/>
  <c r="Z67" i="18"/>
  <c r="AK57" i="17"/>
  <c r="AK47" i="17"/>
  <c r="Z55" i="18"/>
  <c r="AK75" i="17"/>
  <c r="Z88" i="18"/>
  <c r="AL41" i="16"/>
  <c r="N48" i="18"/>
  <c r="AU48" i="18"/>
  <c r="AL69" i="16"/>
  <c r="AU81" i="18"/>
  <c r="AO69" i="16"/>
  <c r="Z81" i="18"/>
  <c r="AK69" i="17"/>
  <c r="AO37" i="16"/>
  <c r="Z44" i="18"/>
  <c r="AA50" i="18" s="1"/>
  <c r="AB50" i="18" s="1"/>
  <c r="AK37" i="17"/>
  <c r="AK76" i="17"/>
  <c r="Z89" i="18"/>
  <c r="Z19" i="18"/>
  <c r="AA21" i="18" s="1"/>
  <c r="AB21" i="18" s="1"/>
  <c r="AK19" i="17"/>
  <c r="AK40" i="17"/>
  <c r="Z47" i="18"/>
  <c r="N35" i="18"/>
  <c r="AU34" i="18"/>
  <c r="AV36" i="18" s="1"/>
  <c r="AW36" i="18" s="1"/>
  <c r="N60" i="18"/>
  <c r="O64" i="18" s="1"/>
  <c r="P64" i="18" s="1"/>
  <c r="AU60" i="18"/>
  <c r="AV64" i="18" s="1"/>
  <c r="AW64" i="18" s="1"/>
  <c r="R92" i="18"/>
  <c r="S92" i="18" s="1"/>
  <c r="AL54" i="16"/>
  <c r="AU61" i="18"/>
  <c r="AO56" i="16"/>
  <c r="Z66" i="18"/>
  <c r="AK56" i="17"/>
  <c r="AK24" i="17"/>
  <c r="Z26" i="18"/>
  <c r="AK21" i="17"/>
  <c r="Z22" i="18"/>
  <c r="AA24" i="18" s="1"/>
  <c r="AB24" i="18" s="1"/>
  <c r="Z53" i="18"/>
  <c r="AK45" i="17"/>
  <c r="Z49" i="18"/>
  <c r="AK42" i="17"/>
  <c r="Z52" i="18"/>
  <c r="AK44" i="17"/>
  <c r="AL68" i="16"/>
  <c r="AU80" i="18"/>
  <c r="Z58" i="18"/>
  <c r="AK49" i="17"/>
  <c r="AK50" i="17"/>
  <c r="Z59" i="18"/>
  <c r="AU26" i="18"/>
  <c r="N26" i="18"/>
  <c r="AL28" i="16"/>
  <c r="AU32" i="18"/>
  <c r="AV33" i="18" s="1"/>
  <c r="AW33" i="18" s="1"/>
  <c r="AU83" i="18"/>
  <c r="N83" i="18"/>
  <c r="O33" i="18"/>
  <c r="P33" i="18" s="1"/>
  <c r="AU38" i="18"/>
  <c r="AV43" i="18" s="1"/>
  <c r="AW43" i="18" s="1"/>
  <c r="AU63" i="18"/>
  <c r="AK43" i="17"/>
  <c r="Z51" i="18"/>
  <c r="AK39" i="17"/>
  <c r="Z46" i="18"/>
  <c r="Z62" i="18"/>
  <c r="AK53" i="17"/>
  <c r="AO33" i="16"/>
  <c r="Z39" i="18"/>
  <c r="AK33" i="17"/>
  <c r="AK73" i="17"/>
  <c r="Z86" i="18"/>
  <c r="AA92" i="18" s="1"/>
  <c r="AB92" i="18" s="1"/>
  <c r="AU25" i="18"/>
  <c r="AV27" i="18" s="1"/>
  <c r="AW27" i="18" s="1"/>
  <c r="N25" i="18"/>
  <c r="O27" i="18" s="1"/>
  <c r="P27" i="18" s="1"/>
  <c r="AA33" i="18"/>
  <c r="AB33" i="18" s="1"/>
  <c r="AU62" i="18"/>
  <c r="Z80" i="18"/>
  <c r="AK68" i="17"/>
  <c r="Z65" i="18"/>
  <c r="AA71" i="18" s="1"/>
  <c r="AB71" i="18" s="1"/>
  <c r="AK55" i="17"/>
  <c r="Z79" i="18"/>
  <c r="AA85" i="18" s="1"/>
  <c r="AB85" i="18" s="1"/>
  <c r="AK67" i="17"/>
  <c r="AO52" i="16"/>
  <c r="Z61" i="18"/>
  <c r="AK52" i="17"/>
  <c r="AK36" i="17"/>
  <c r="Z42" i="18"/>
  <c r="Z69" i="18"/>
  <c r="AK59" i="17"/>
  <c r="Z35" i="18"/>
  <c r="AK30" i="17"/>
  <c r="AK35" i="17"/>
  <c r="Z41" i="18"/>
  <c r="AK18" i="17"/>
  <c r="Z18" i="18"/>
  <c r="AA18" i="18" s="1"/>
  <c r="AB18" i="18" s="1"/>
  <c r="N81" i="18"/>
  <c r="Z38" i="18"/>
  <c r="AK32" i="17"/>
  <c r="AK78" i="17"/>
  <c r="Z91" i="18"/>
  <c r="Z48" i="18"/>
  <c r="AK41" i="17"/>
  <c r="AU82" i="18"/>
  <c r="N82" i="18"/>
  <c r="AK31" i="17"/>
  <c r="Z37" i="18"/>
  <c r="AK77" i="17"/>
  <c r="Z90" i="18"/>
  <c r="AA78" i="18"/>
  <c r="AB78" i="18" s="1"/>
  <c r="Z84" i="18"/>
  <c r="AK72" i="17"/>
  <c r="AK51" i="17"/>
  <c r="Z60" i="18"/>
  <c r="Z70" i="18"/>
  <c r="AK60" i="17"/>
  <c r="Z29" i="18"/>
  <c r="AK26" i="17"/>
  <c r="Z82" i="18"/>
  <c r="AK70" i="17"/>
  <c r="N23" i="18"/>
  <c r="O24" i="18" s="1"/>
  <c r="P24" i="18" s="1"/>
  <c r="P102" i="18" s="1"/>
  <c r="AU23" i="18"/>
  <c r="AV24" i="18" s="1"/>
  <c r="AW24" i="18" s="1"/>
  <c r="AU79" i="18"/>
  <c r="AV85" i="18" s="1"/>
  <c r="AW85" i="18" s="1"/>
  <c r="AU53" i="18"/>
  <c r="AV57" i="18" s="1"/>
  <c r="AW57" i="18" s="1"/>
  <c r="AL24" i="16"/>
  <c r="AO24" i="16"/>
  <c r="AO21" i="16"/>
  <c r="AF45" i="16"/>
  <c r="AO45" i="16"/>
  <c r="AO44" i="16"/>
  <c r="AL51" i="16"/>
  <c r="AL23" i="16"/>
  <c r="AO55" i="16"/>
  <c r="AT74" i="16"/>
  <c r="AV74" i="16" s="1"/>
  <c r="AL22" i="16"/>
  <c r="AL71" i="16"/>
  <c r="AF32" i="16"/>
  <c r="AO32" i="16"/>
  <c r="AT77" i="16"/>
  <c r="AV77" i="16" s="1"/>
  <c r="AO67" i="16"/>
  <c r="AO36" i="16"/>
  <c r="AF59" i="16"/>
  <c r="AO59" i="16"/>
  <c r="AO30" i="16"/>
  <c r="AO35" i="16"/>
  <c r="AO18" i="16"/>
  <c r="AT78" i="16"/>
  <c r="AV78" i="16" s="1"/>
  <c r="AL45" i="16"/>
  <c r="AL30" i="16"/>
  <c r="AO42" i="16"/>
  <c r="AO72" i="16"/>
  <c r="AO51" i="16"/>
  <c r="AF60" i="16"/>
  <c r="AO60" i="16"/>
  <c r="AF26" i="16"/>
  <c r="AO26" i="16"/>
  <c r="AO77" i="16"/>
  <c r="AO70" i="16"/>
  <c r="AL67" i="16"/>
  <c r="AF19" i="16"/>
  <c r="AO19" i="16"/>
  <c r="AO78" i="16"/>
  <c r="AO73" i="16"/>
  <c r="AL53" i="16"/>
  <c r="AL70" i="16"/>
  <c r="AF41" i="16"/>
  <c r="AO41" i="16"/>
  <c r="AO13" i="16"/>
  <c r="AO28" i="16"/>
  <c r="AO47" i="16"/>
  <c r="AF75" i="16"/>
  <c r="AO75" i="16"/>
  <c r="AF50" i="16"/>
  <c r="AO50" i="16"/>
  <c r="AO53" i="16"/>
  <c r="AF74" i="16"/>
  <c r="AT76" i="16"/>
  <c r="AV76" i="16" s="1"/>
  <c r="AO76" i="16"/>
  <c r="AO40" i="16"/>
  <c r="AT73" i="16"/>
  <c r="AV73" i="16" s="1"/>
  <c r="AO31" i="16"/>
  <c r="AO43" i="16"/>
  <c r="AO68" i="16"/>
  <c r="AO39" i="16"/>
  <c r="AO49" i="16"/>
  <c r="AT75" i="16"/>
  <c r="AV75" i="16" s="1"/>
  <c r="AF57" i="16"/>
  <c r="AF24" i="16"/>
  <c r="AF40" i="16"/>
  <c r="AF44" i="16"/>
  <c r="AF43" i="16"/>
  <c r="AF37" i="16"/>
  <c r="AF68" i="16"/>
  <c r="AF39" i="16"/>
  <c r="AF53" i="16"/>
  <c r="AF49" i="16"/>
  <c r="AF21" i="16"/>
  <c r="AF42" i="16"/>
  <c r="AF55" i="16"/>
  <c r="AF35" i="16"/>
  <c r="AF77" i="16"/>
  <c r="AF36" i="16"/>
  <c r="AF67" i="16"/>
  <c r="AF30" i="16"/>
  <c r="AF51" i="16"/>
  <c r="AF31" i="16"/>
  <c r="AF47" i="16"/>
  <c r="AF18" i="16"/>
  <c r="AF33" i="16"/>
  <c r="AF70" i="16"/>
  <c r="AF52" i="16"/>
  <c r="AF78" i="16"/>
  <c r="AF72" i="16"/>
  <c r="AF56" i="16"/>
  <c r="AF13" i="16"/>
  <c r="AF69" i="16"/>
  <c r="AF28" i="16"/>
  <c r="AF48" i="16"/>
  <c r="AF76" i="16"/>
  <c r="O16" i="16"/>
  <c r="O15" i="16"/>
  <c r="AA43" i="18" l="1"/>
  <c r="AB43" i="18" s="1"/>
  <c r="AB102" i="18" s="1"/>
  <c r="AA57" i="18"/>
  <c r="AB57" i="18" s="1"/>
  <c r="AA64" i="18"/>
  <c r="AB64" i="18" s="1"/>
  <c r="AF73" i="16"/>
  <c r="AU15" i="16"/>
  <c r="AU16" i="16"/>
  <c r="O41" i="16"/>
  <c r="O37" i="16"/>
  <c r="O40" i="16"/>
  <c r="O42" i="16"/>
  <c r="O38" i="16"/>
  <c r="O39" i="16"/>
  <c r="O70" i="16"/>
  <c r="O69" i="16"/>
  <c r="O71" i="16"/>
  <c r="O72" i="16"/>
  <c r="O68" i="16"/>
  <c r="O67" i="16"/>
  <c r="O25" i="16"/>
  <c r="O26" i="16"/>
  <c r="O17" i="16"/>
  <c r="O63" i="16"/>
  <c r="O64" i="16"/>
  <c r="O66" i="16"/>
  <c r="O65" i="16"/>
  <c r="O61" i="16"/>
  <c r="O62" i="16"/>
  <c r="O23" i="16"/>
  <c r="O24" i="16"/>
  <c r="O21" i="16"/>
  <c r="O22" i="16"/>
  <c r="O32" i="16"/>
  <c r="O35" i="16"/>
  <c r="O33" i="16"/>
  <c r="O31" i="16"/>
  <c r="O36" i="16"/>
  <c r="O34" i="16"/>
  <c r="O20" i="16"/>
  <c r="O19" i="16"/>
  <c r="O13" i="16"/>
  <c r="O27" i="16"/>
  <c r="O28" i="16"/>
  <c r="O56" i="16"/>
  <c r="O59" i="16"/>
  <c r="O57" i="16"/>
  <c r="O55" i="16"/>
  <c r="O60" i="16"/>
  <c r="O58" i="16"/>
  <c r="O18" i="16"/>
  <c r="O46" i="16"/>
  <c r="O48" i="16"/>
  <c r="O44" i="16"/>
  <c r="O47" i="16"/>
  <c r="O43" i="16"/>
  <c r="O45" i="16"/>
  <c r="O14" i="16"/>
  <c r="O50" i="16"/>
  <c r="O51" i="16"/>
  <c r="O53" i="16"/>
  <c r="O49" i="16"/>
  <c r="O52" i="16"/>
  <c r="O54" i="16"/>
  <c r="AU71" i="16" l="1"/>
  <c r="AU20" i="16"/>
  <c r="AU64" i="16"/>
  <c r="AU47" i="16"/>
  <c r="AU13" i="16"/>
  <c r="AU23" i="16"/>
  <c r="AU68" i="16"/>
  <c r="AU48" i="16"/>
  <c r="AU53" i="16"/>
  <c r="AU60" i="16"/>
  <c r="AU33" i="16"/>
  <c r="AU42" i="16"/>
  <c r="AU62" i="16"/>
  <c r="AU46" i="16"/>
  <c r="AU34" i="16"/>
  <c r="AU39" i="16"/>
  <c r="AU31" i="16"/>
  <c r="AU35" i="16"/>
  <c r="AU72" i="16"/>
  <c r="AU61" i="16"/>
  <c r="AU66" i="16"/>
  <c r="AU58" i="16"/>
  <c r="AU55" i="16"/>
  <c r="AU70" i="16"/>
  <c r="AU52" i="16"/>
  <c r="AU38" i="16"/>
  <c r="AU40" i="16"/>
  <c r="AU50" i="16"/>
  <c r="AU22" i="16"/>
  <c r="AU25" i="16"/>
  <c r="AU41" i="16"/>
  <c r="AU56" i="16"/>
  <c r="AU21" i="16"/>
  <c r="AU65" i="16"/>
  <c r="AU54" i="16"/>
  <c r="AU18" i="16"/>
  <c r="AU49" i="16"/>
  <c r="AU63" i="16"/>
  <c r="AU51" i="16"/>
  <c r="AU37" i="16"/>
  <c r="AU59" i="16"/>
  <c r="AU14" i="16"/>
  <c r="AU45" i="16"/>
  <c r="AU28" i="16"/>
  <c r="AU44" i="16"/>
  <c r="AU19" i="16"/>
  <c r="AU69" i="16"/>
  <c r="AU36" i="16"/>
  <c r="AU17" i="16"/>
  <c r="AU57" i="16"/>
  <c r="AU32" i="16"/>
  <c r="AU26" i="16"/>
  <c r="AU43" i="16"/>
  <c r="AU27" i="16"/>
  <c r="AU24" i="16"/>
  <c r="AU67" i="16"/>
  <c r="T16" i="16" l="1"/>
  <c r="T14" i="16"/>
  <c r="T79" i="16"/>
  <c r="T93" i="18" s="1"/>
  <c r="U93" i="18" s="1"/>
  <c r="T18" i="16"/>
  <c r="T17" i="16"/>
  <c r="T80" i="16"/>
  <c r="T13" i="16"/>
  <c r="T15" i="16"/>
  <c r="AN13" i="16" l="1"/>
  <c r="T13" i="18"/>
  <c r="U13" i="18" s="1"/>
  <c r="AN18" i="16"/>
  <c r="T18" i="18"/>
  <c r="U18" i="18" s="1"/>
  <c r="BC30" i="18"/>
  <c r="V93" i="18"/>
  <c r="AN14" i="16"/>
  <c r="T14" i="18"/>
  <c r="U14" i="18" s="1"/>
  <c r="AN80" i="16"/>
  <c r="T94" i="18"/>
  <c r="U94" i="18" s="1"/>
  <c r="AN17" i="16"/>
  <c r="T17" i="18"/>
  <c r="U17" i="18" s="1"/>
  <c r="AN15" i="16"/>
  <c r="T15" i="18"/>
  <c r="U15" i="18" s="1"/>
  <c r="AN16" i="16"/>
  <c r="T16" i="18"/>
  <c r="U16" i="18" s="1"/>
  <c r="T29" i="16"/>
  <c r="T43" i="16"/>
  <c r="T22" i="16"/>
  <c r="T55" i="16"/>
  <c r="AN79" i="16"/>
  <c r="AA79" i="16"/>
  <c r="AD79" i="16"/>
  <c r="W79" i="16"/>
  <c r="T27" i="16"/>
  <c r="T49" i="16"/>
  <c r="T30" i="16"/>
  <c r="T73" i="16"/>
  <c r="T86" i="18" s="1"/>
  <c r="T31" i="16"/>
  <c r="T19" i="16"/>
  <c r="T20" i="16"/>
  <c r="T61" i="16"/>
  <c r="T67" i="16"/>
  <c r="T23" i="16"/>
  <c r="T28" i="16"/>
  <c r="T24" i="16"/>
  <c r="T37" i="16"/>
  <c r="T21" i="16"/>
  <c r="T25" i="16"/>
  <c r="T26" i="16"/>
  <c r="BC15" i="18" l="1"/>
  <c r="V15" i="18"/>
  <c r="AN37" i="16"/>
  <c r="T44" i="18"/>
  <c r="AN24" i="16"/>
  <c r="T26" i="18"/>
  <c r="AN31" i="16"/>
  <c r="T37" i="18"/>
  <c r="AN55" i="16"/>
  <c r="T65" i="18"/>
  <c r="BC14" i="18"/>
  <c r="V14" i="18"/>
  <c r="AN28" i="16"/>
  <c r="T32" i="18"/>
  <c r="AN22" i="16"/>
  <c r="T23" i="18"/>
  <c r="AN21" i="16"/>
  <c r="T22" i="18"/>
  <c r="U24" i="18" s="1"/>
  <c r="AN23" i="16"/>
  <c r="T25" i="18"/>
  <c r="U27" i="18" s="1"/>
  <c r="AN30" i="16"/>
  <c r="T35" i="18"/>
  <c r="AN43" i="16"/>
  <c r="T51" i="18"/>
  <c r="BD30" i="18"/>
  <c r="BE30" i="18"/>
  <c r="V17" i="18"/>
  <c r="BC17" i="18"/>
  <c r="BC18" i="18"/>
  <c r="V18" i="18"/>
  <c r="AN26" i="16"/>
  <c r="T29" i="18"/>
  <c r="AN67" i="16"/>
  <c r="T79" i="18"/>
  <c r="U85" i="18" s="1"/>
  <c r="AN49" i="16"/>
  <c r="T58" i="18"/>
  <c r="AN29" i="16"/>
  <c r="T34" i="18"/>
  <c r="U36" i="18" s="1"/>
  <c r="AN20" i="16"/>
  <c r="T20" i="18"/>
  <c r="BC13" i="18"/>
  <c r="V13" i="18"/>
  <c r="AN19" i="16"/>
  <c r="T19" i="18"/>
  <c r="BC34" i="18"/>
  <c r="V94" i="18"/>
  <c r="BC16" i="18"/>
  <c r="V16" i="18"/>
  <c r="AN25" i="16"/>
  <c r="T28" i="18"/>
  <c r="U30" i="18" s="1"/>
  <c r="AN61" i="16"/>
  <c r="T72" i="18"/>
  <c r="AN27" i="16"/>
  <c r="T31" i="18"/>
  <c r="BI79" i="16"/>
  <c r="AG79" i="16"/>
  <c r="AE79" i="16"/>
  <c r="BJ79" i="16" s="1"/>
  <c r="T62" i="16"/>
  <c r="AJ79" i="17"/>
  <c r="X79" i="16"/>
  <c r="Z79" i="16"/>
  <c r="AN73" i="16"/>
  <c r="W73" i="16"/>
  <c r="AA73" i="16"/>
  <c r="AD73" i="16"/>
  <c r="T44" i="16"/>
  <c r="T68" i="16"/>
  <c r="T56" i="16"/>
  <c r="T38" i="16"/>
  <c r="T74" i="16"/>
  <c r="T87" i="18" s="1"/>
  <c r="T32" i="16"/>
  <c r="T50" i="16"/>
  <c r="BC25" i="18" l="1"/>
  <c r="V36" i="18"/>
  <c r="BD14" i="18"/>
  <c r="BE14" i="18"/>
  <c r="V30" i="18"/>
  <c r="BC27" i="18"/>
  <c r="U43" i="18"/>
  <c r="BC28" i="18"/>
  <c r="V85" i="18"/>
  <c r="V27" i="18"/>
  <c r="BC20" i="18"/>
  <c r="BD16" i="18"/>
  <c r="BE16" i="18"/>
  <c r="V24" i="18"/>
  <c r="BC26" i="18"/>
  <c r="AN44" i="16"/>
  <c r="T52" i="18"/>
  <c r="AN50" i="16"/>
  <c r="T59" i="18"/>
  <c r="BD13" i="18"/>
  <c r="BE13" i="18"/>
  <c r="U33" i="18"/>
  <c r="AN32" i="16"/>
  <c r="T38" i="18"/>
  <c r="BE34" i="18"/>
  <c r="BD34" i="18"/>
  <c r="AN62" i="16"/>
  <c r="T73" i="18"/>
  <c r="U78" i="18" s="1"/>
  <c r="U21" i="18"/>
  <c r="AN68" i="16"/>
  <c r="T80" i="18"/>
  <c r="AN38" i="16"/>
  <c r="T45" i="18"/>
  <c r="U50" i="18" s="1"/>
  <c r="AN56" i="16"/>
  <c r="T66" i="18"/>
  <c r="BD18" i="18"/>
  <c r="BE18" i="18"/>
  <c r="BD17" i="18"/>
  <c r="BE17" i="18"/>
  <c r="BD15" i="18"/>
  <c r="BE15" i="18"/>
  <c r="AG73" i="16"/>
  <c r="BI73" i="16"/>
  <c r="AE73" i="16"/>
  <c r="BJ73" i="16" s="1"/>
  <c r="T57" i="16"/>
  <c r="T69" i="16"/>
  <c r="T39" i="16"/>
  <c r="AN74" i="16"/>
  <c r="AD74" i="16"/>
  <c r="W74" i="16"/>
  <c r="AA74" i="16"/>
  <c r="T75" i="16"/>
  <c r="T88" i="18" s="1"/>
  <c r="T51" i="16"/>
  <c r="T63" i="16"/>
  <c r="AJ73" i="17"/>
  <c r="Z73" i="16"/>
  <c r="X73" i="16"/>
  <c r="T33" i="16"/>
  <c r="T45" i="16"/>
  <c r="BC24" i="18" l="1"/>
  <c r="V78" i="18"/>
  <c r="U71" i="18"/>
  <c r="V50" i="18"/>
  <c r="BC32" i="18"/>
  <c r="AN63" i="16"/>
  <c r="T74" i="18"/>
  <c r="BC31" i="18"/>
  <c r="V43" i="18"/>
  <c r="AN51" i="16"/>
  <c r="T60" i="18"/>
  <c r="BD27" i="18"/>
  <c r="BE27" i="18"/>
  <c r="AN69" i="16"/>
  <c r="T81" i="18"/>
  <c r="BD28" i="18"/>
  <c r="BE28" i="18"/>
  <c r="V21" i="18"/>
  <c r="BC19" i="18"/>
  <c r="BE26" i="18"/>
  <c r="BD26" i="18"/>
  <c r="AN45" i="16"/>
  <c r="T53" i="18"/>
  <c r="BD25" i="18"/>
  <c r="BE25" i="18"/>
  <c r="AN57" i="16"/>
  <c r="T67" i="18"/>
  <c r="AN33" i="16"/>
  <c r="T39" i="18"/>
  <c r="AN39" i="16"/>
  <c r="T46" i="18"/>
  <c r="V33" i="18"/>
  <c r="BC21" i="18"/>
  <c r="BE20" i="18"/>
  <c r="BD20" i="18"/>
  <c r="T46" i="16"/>
  <c r="AN75" i="16"/>
  <c r="AA75" i="16"/>
  <c r="AD75" i="16"/>
  <c r="W75" i="16"/>
  <c r="T76" i="16"/>
  <c r="T89" i="18" s="1"/>
  <c r="U92" i="18" s="1"/>
  <c r="T64" i="16"/>
  <c r="AJ74" i="17"/>
  <c r="X74" i="16"/>
  <c r="Z74" i="16"/>
  <c r="T58" i="16"/>
  <c r="BI74" i="16"/>
  <c r="AG74" i="16"/>
  <c r="AE74" i="16"/>
  <c r="BJ74" i="16" s="1"/>
  <c r="T52" i="16"/>
  <c r="T70" i="16"/>
  <c r="T40" i="16"/>
  <c r="T34" i="16"/>
  <c r="BC29" i="18" l="1"/>
  <c r="V92" i="18"/>
  <c r="U57" i="18"/>
  <c r="AN46" i="16"/>
  <c r="T54" i="18"/>
  <c r="U64" i="18"/>
  <c r="AN34" i="16"/>
  <c r="T40" i="18"/>
  <c r="BD19" i="18"/>
  <c r="BE19" i="18"/>
  <c r="BD32" i="18"/>
  <c r="BE32" i="18"/>
  <c r="AN64" i="16"/>
  <c r="T75" i="18"/>
  <c r="AN58" i="16"/>
  <c r="T68" i="18"/>
  <c r="V71" i="18"/>
  <c r="BC23" i="18"/>
  <c r="BD31" i="18"/>
  <c r="BE31" i="18"/>
  <c r="AN40" i="16"/>
  <c r="T47" i="18"/>
  <c r="BE21" i="18"/>
  <c r="BD21" i="18"/>
  <c r="AN70" i="16"/>
  <c r="T82" i="18"/>
  <c r="AN52" i="16"/>
  <c r="T61" i="18"/>
  <c r="BD24" i="18"/>
  <c r="BE24" i="18"/>
  <c r="T77" i="16"/>
  <c r="T90" i="18" s="1"/>
  <c r="T59" i="16"/>
  <c r="T35" i="16"/>
  <c r="AJ75" i="17"/>
  <c r="Z75" i="16"/>
  <c r="X75" i="16"/>
  <c r="T78" i="16"/>
  <c r="T91" i="18" s="1"/>
  <c r="T54" i="16"/>
  <c r="AG75" i="16"/>
  <c r="AE75" i="16"/>
  <c r="BJ75" i="16" s="1"/>
  <c r="BI75" i="16"/>
  <c r="T65" i="16"/>
  <c r="T42" i="16"/>
  <c r="T66" i="16"/>
  <c r="AN76" i="16"/>
  <c r="AD76" i="16"/>
  <c r="AA76" i="16"/>
  <c r="W76" i="16"/>
  <c r="T36" i="16"/>
  <c r="T41" i="16"/>
  <c r="T71" i="16"/>
  <c r="T48" i="16"/>
  <c r="T60" i="16"/>
  <c r="T53" i="16"/>
  <c r="T72" i="16"/>
  <c r="T47" i="16"/>
  <c r="AN60" i="16" l="1"/>
  <c r="T70" i="18"/>
  <c r="AN66" i="16"/>
  <c r="T77" i="18"/>
  <c r="AN48" i="16"/>
  <c r="T56" i="18"/>
  <c r="AN42" i="16"/>
  <c r="T49" i="18"/>
  <c r="AN35" i="16"/>
  <c r="T41" i="18"/>
  <c r="AN65" i="16"/>
  <c r="T76" i="18"/>
  <c r="BD23" i="18"/>
  <c r="BE23" i="18"/>
  <c r="BC22" i="18"/>
  <c r="V64" i="18"/>
  <c r="AN53" i="16"/>
  <c r="T62" i="18"/>
  <c r="AN71" i="16"/>
  <c r="T83" i="18"/>
  <c r="AN41" i="16"/>
  <c r="T48" i="18"/>
  <c r="AN59" i="16"/>
  <c r="T69" i="18"/>
  <c r="V57" i="18"/>
  <c r="V102" i="18" s="1"/>
  <c r="BC33" i="18"/>
  <c r="AN47" i="16"/>
  <c r="T55" i="18"/>
  <c r="AN36" i="16"/>
  <c r="T42" i="18"/>
  <c r="AN54" i="16"/>
  <c r="T63" i="18"/>
  <c r="AN72" i="16"/>
  <c r="T84" i="18"/>
  <c r="BD29" i="18"/>
  <c r="BE29" i="18"/>
  <c r="AN78" i="16"/>
  <c r="AA78" i="16"/>
  <c r="W78" i="16"/>
  <c r="AD78" i="16"/>
  <c r="AJ76" i="17"/>
  <c r="Z76" i="16"/>
  <c r="X76" i="16"/>
  <c r="AG76" i="16"/>
  <c r="BI76" i="16"/>
  <c r="AE76" i="16"/>
  <c r="BJ76" i="16" s="1"/>
  <c r="AN77" i="16"/>
  <c r="AD77" i="16"/>
  <c r="AA77" i="16"/>
  <c r="W77" i="16"/>
  <c r="BD33" i="18" l="1"/>
  <c r="BE33" i="18"/>
  <c r="BD22" i="18"/>
  <c r="BE22" i="18"/>
  <c r="AE78" i="16"/>
  <c r="BJ78" i="16" s="1"/>
  <c r="AG78" i="16"/>
  <c r="BI78" i="16"/>
  <c r="AJ78" i="17"/>
  <c r="Z78" i="16"/>
  <c r="X78" i="16"/>
  <c r="AJ77" i="17"/>
  <c r="X77" i="16"/>
  <c r="Z77" i="16"/>
  <c r="AG77" i="16"/>
  <c r="BI77" i="16"/>
  <c r="AE77" i="16"/>
  <c r="BJ77" i="16" s="1"/>
  <c r="AI15" i="17" l="1"/>
  <c r="N16" i="16" l="1"/>
  <c r="Q16" i="18" s="1"/>
  <c r="R16" i="18" s="1"/>
  <c r="S16" i="18" s="1"/>
  <c r="AI16" i="17"/>
  <c r="N80" i="16"/>
  <c r="Q94" i="18" s="1"/>
  <c r="R94" i="18" s="1"/>
  <c r="S94" i="18" s="1"/>
  <c r="AI80" i="17"/>
  <c r="AI79" i="17"/>
  <c r="AL79" i="17" s="1"/>
  <c r="AT16" i="16"/>
  <c r="AV16" i="16" s="1"/>
  <c r="W16" i="16"/>
  <c r="AJ16" i="17" s="1"/>
  <c r="AL16" i="17" s="1"/>
  <c r="AD16" i="16"/>
  <c r="AA16" i="16"/>
  <c r="AT80" i="16"/>
  <c r="AV80" i="16" s="1"/>
  <c r="AA80" i="16"/>
  <c r="W80" i="16"/>
  <c r="AJ80" i="17" s="1"/>
  <c r="AL80" i="17" s="1"/>
  <c r="AD80" i="16"/>
  <c r="N15" i="16"/>
  <c r="Q15" i="18" s="1"/>
  <c r="R15" i="18" s="1"/>
  <c r="S15" i="18" s="1"/>
  <c r="N57" i="16" l="1"/>
  <c r="Q67" i="18" s="1"/>
  <c r="AI57" i="17"/>
  <c r="N56" i="16"/>
  <c r="Q66" i="18" s="1"/>
  <c r="AI56" i="17"/>
  <c r="N26" i="16"/>
  <c r="Q29" i="18" s="1"/>
  <c r="AI26" i="17"/>
  <c r="N68" i="16"/>
  <c r="Q80" i="18" s="1"/>
  <c r="AI68" i="17"/>
  <c r="N65" i="16"/>
  <c r="Q76" i="18" s="1"/>
  <c r="AI65" i="17"/>
  <c r="N28" i="16"/>
  <c r="Q32" i="18" s="1"/>
  <c r="AI28" i="17"/>
  <c r="N20" i="16"/>
  <c r="Q20" i="18" s="1"/>
  <c r="AI20" i="17"/>
  <c r="N59" i="16"/>
  <c r="Q69" i="18" s="1"/>
  <c r="AI59" i="17"/>
  <c r="N13" i="16"/>
  <c r="Q13" i="18" s="1"/>
  <c r="R13" i="18" s="1"/>
  <c r="S13" i="18" s="1"/>
  <c r="AI13" i="17"/>
  <c r="N52" i="16"/>
  <c r="Q61" i="18" s="1"/>
  <c r="AI52" i="17"/>
  <c r="N29" i="16"/>
  <c r="Q34" i="18" s="1"/>
  <c r="R36" i="18" s="1"/>
  <c r="S36" i="18" s="1"/>
  <c r="AI29" i="17"/>
  <c r="N54" i="16"/>
  <c r="Q63" i="18" s="1"/>
  <c r="AI54" i="17"/>
  <c r="N30" i="16"/>
  <c r="Q35" i="18" s="1"/>
  <c r="AI30" i="17"/>
  <c r="N67" i="16"/>
  <c r="Q79" i="18" s="1"/>
  <c r="R85" i="18" s="1"/>
  <c r="S85" i="18" s="1"/>
  <c r="AI67" i="17"/>
  <c r="N70" i="16"/>
  <c r="Q82" i="18" s="1"/>
  <c r="AI70" i="17"/>
  <c r="N44" i="16"/>
  <c r="Q52" i="18" s="1"/>
  <c r="AI44" i="17"/>
  <c r="N71" i="16"/>
  <c r="Q83" i="18" s="1"/>
  <c r="AI71" i="17"/>
  <c r="N31" i="16"/>
  <c r="Q37" i="18" s="1"/>
  <c r="AI31" i="17"/>
  <c r="N38" i="16"/>
  <c r="Q45" i="18" s="1"/>
  <c r="AI38" i="17"/>
  <c r="AI74" i="17"/>
  <c r="AL74" i="17" s="1"/>
  <c r="N35" i="16"/>
  <c r="Q41" i="18" s="1"/>
  <c r="AI35" i="17"/>
  <c r="N64" i="16"/>
  <c r="Q75" i="18" s="1"/>
  <c r="AI64" i="17"/>
  <c r="N40" i="16"/>
  <c r="Q47" i="18" s="1"/>
  <c r="AI40" i="17"/>
  <c r="N50" i="16"/>
  <c r="Q59" i="18" s="1"/>
  <c r="AI50" i="17"/>
  <c r="N58" i="16"/>
  <c r="Q68" i="18" s="1"/>
  <c r="AI58" i="17"/>
  <c r="N19" i="16"/>
  <c r="Q19" i="18" s="1"/>
  <c r="AI19" i="17"/>
  <c r="AI73" i="17"/>
  <c r="AL73" i="17" s="1"/>
  <c r="N37" i="16"/>
  <c r="Q44" i="18" s="1"/>
  <c r="R50" i="18" s="1"/>
  <c r="S50" i="18" s="1"/>
  <c r="AI37" i="17"/>
  <c r="N53" i="16"/>
  <c r="Q62" i="18" s="1"/>
  <c r="AI53" i="17"/>
  <c r="N17" i="16"/>
  <c r="Q17" i="18" s="1"/>
  <c r="R17" i="18" s="1"/>
  <c r="S17" i="18" s="1"/>
  <c r="AI17" i="17"/>
  <c r="N63" i="16"/>
  <c r="Q74" i="18" s="1"/>
  <c r="AI63" i="17"/>
  <c r="N61" i="16"/>
  <c r="Q72" i="18" s="1"/>
  <c r="AI61" i="17"/>
  <c r="N41" i="16"/>
  <c r="Q48" i="18" s="1"/>
  <c r="AI41" i="17"/>
  <c r="N25" i="16"/>
  <c r="Q28" i="18" s="1"/>
  <c r="R30" i="18" s="1"/>
  <c r="S30" i="18" s="1"/>
  <c r="AI25" i="17"/>
  <c r="N21" i="16"/>
  <c r="Q22" i="18" s="1"/>
  <c r="R24" i="18" s="1"/>
  <c r="S24" i="18" s="1"/>
  <c r="AI21" i="17"/>
  <c r="N22" i="16"/>
  <c r="Q23" i="18" s="1"/>
  <c r="AI22" i="17"/>
  <c r="N66" i="16"/>
  <c r="Q77" i="18" s="1"/>
  <c r="AI66" i="17"/>
  <c r="N43" i="16"/>
  <c r="Q51" i="18" s="1"/>
  <c r="AI43" i="17"/>
  <c r="N51" i="16"/>
  <c r="Q60" i="18" s="1"/>
  <c r="AI51" i="17"/>
  <c r="N45" i="16"/>
  <c r="Q53" i="18" s="1"/>
  <c r="AI45" i="17"/>
  <c r="AI75" i="17"/>
  <c r="AL75" i="17" s="1"/>
  <c r="N47" i="16"/>
  <c r="Q55" i="18" s="1"/>
  <c r="AI47" i="17"/>
  <c r="N55" i="16"/>
  <c r="Q65" i="18" s="1"/>
  <c r="R71" i="18" s="1"/>
  <c r="S71" i="18" s="1"/>
  <c r="AI55" i="17"/>
  <c r="N46" i="16"/>
  <c r="Q54" i="18" s="1"/>
  <c r="AI46" i="17"/>
  <c r="N69" i="16"/>
  <c r="Q81" i="18" s="1"/>
  <c r="AI69" i="17"/>
  <c r="N14" i="16"/>
  <c r="Q14" i="18" s="1"/>
  <c r="R14" i="18" s="1"/>
  <c r="S14" i="18" s="1"/>
  <c r="AI14" i="17"/>
  <c r="N27" i="16"/>
  <c r="Q31" i="18" s="1"/>
  <c r="AI27" i="17"/>
  <c r="N72" i="16"/>
  <c r="Q84" i="18" s="1"/>
  <c r="AI72" i="17"/>
  <c r="N18" i="16"/>
  <c r="Q18" i="18" s="1"/>
  <c r="R18" i="18" s="1"/>
  <c r="S18" i="18" s="1"/>
  <c r="AI18" i="17"/>
  <c r="N36" i="16"/>
  <c r="Q42" i="18" s="1"/>
  <c r="AI36" i="17"/>
  <c r="N62" i="16"/>
  <c r="Q73" i="18" s="1"/>
  <c r="AI62" i="17"/>
  <c r="N33" i="16"/>
  <c r="Q39" i="18" s="1"/>
  <c r="AI33" i="17"/>
  <c r="AI78" i="17"/>
  <c r="AL78" i="17" s="1"/>
  <c r="N32" i="16"/>
  <c r="Q38" i="18" s="1"/>
  <c r="AI32" i="17"/>
  <c r="N23" i="16"/>
  <c r="Q25" i="18" s="1"/>
  <c r="R27" i="18" s="1"/>
  <c r="S27" i="18" s="1"/>
  <c r="AI23" i="17"/>
  <c r="N49" i="16"/>
  <c r="Q58" i="18" s="1"/>
  <c r="R64" i="18" s="1"/>
  <c r="S64" i="18" s="1"/>
  <c r="AI49" i="17"/>
  <c r="AI77" i="17"/>
  <c r="AL77" i="17" s="1"/>
  <c r="N34" i="16"/>
  <c r="Q40" i="18" s="1"/>
  <c r="AI34" i="17"/>
  <c r="N24" i="16"/>
  <c r="Q26" i="18" s="1"/>
  <c r="AI24" i="17"/>
  <c r="N39" i="16"/>
  <c r="Q46" i="18" s="1"/>
  <c r="AI39" i="17"/>
  <c r="N48" i="16"/>
  <c r="Q56" i="18" s="1"/>
  <c r="AI48" i="17"/>
  <c r="AI76" i="17"/>
  <c r="AL76" i="17" s="1"/>
  <c r="N60" i="16"/>
  <c r="Q70" i="18" s="1"/>
  <c r="AI60" i="17"/>
  <c r="N42" i="16"/>
  <c r="Q49" i="18" s="1"/>
  <c r="AI42" i="17"/>
  <c r="AT64" i="16"/>
  <c r="AV64" i="16" s="1"/>
  <c r="W64" i="16"/>
  <c r="AJ64" i="17" s="1"/>
  <c r="AL64" i="17" s="1"/>
  <c r="AD64" i="16"/>
  <c r="AA64" i="16"/>
  <c r="AT40" i="16"/>
  <c r="AV40" i="16" s="1"/>
  <c r="AD40" i="16"/>
  <c r="W40" i="16"/>
  <c r="AJ40" i="17" s="1"/>
  <c r="AL40" i="17" s="1"/>
  <c r="AA40" i="16"/>
  <c r="AT50" i="16"/>
  <c r="AV50" i="16" s="1"/>
  <c r="AD50" i="16"/>
  <c r="W50" i="16"/>
  <c r="AJ50" i="17" s="1"/>
  <c r="AL50" i="17" s="1"/>
  <c r="AA50" i="16"/>
  <c r="AT44" i="16"/>
  <c r="AV44" i="16" s="1"/>
  <c r="AD44" i="16"/>
  <c r="W44" i="16"/>
  <c r="AJ44" i="17" s="1"/>
  <c r="AL44" i="17" s="1"/>
  <c r="AA44" i="16"/>
  <c r="AT70" i="16"/>
  <c r="AV70" i="16" s="1"/>
  <c r="AD70" i="16"/>
  <c r="W70" i="16"/>
  <c r="AJ70" i="17" s="1"/>
  <c r="AL70" i="17" s="1"/>
  <c r="AA70" i="16"/>
  <c r="AT59" i="16"/>
  <c r="AV59" i="16" s="1"/>
  <c r="W59" i="16"/>
  <c r="AJ59" i="17" s="1"/>
  <c r="AL59" i="17" s="1"/>
  <c r="AD59" i="16"/>
  <c r="AA59" i="16"/>
  <c r="X80" i="16"/>
  <c r="Z80" i="16"/>
  <c r="AT13" i="16"/>
  <c r="AV13" i="16" s="1"/>
  <c r="W13" i="16"/>
  <c r="AJ13" i="17" s="1"/>
  <c r="AL13" i="17" s="1"/>
  <c r="AD13" i="16"/>
  <c r="AA13" i="16"/>
  <c r="AD23" i="16"/>
  <c r="AT24" i="16"/>
  <c r="AV24" i="16" s="1"/>
  <c r="AD24" i="16"/>
  <c r="W24" i="16"/>
  <c r="AJ24" i="17" s="1"/>
  <c r="AL24" i="17" s="1"/>
  <c r="AT55" i="16"/>
  <c r="AV55" i="16" s="1"/>
  <c r="AD55" i="16"/>
  <c r="W55" i="16"/>
  <c r="AJ55" i="17" s="1"/>
  <c r="AL55" i="17" s="1"/>
  <c r="AA55" i="16"/>
  <c r="AG80" i="16"/>
  <c r="BI80" i="16"/>
  <c r="AE80" i="16"/>
  <c r="BJ80" i="16" s="1"/>
  <c r="AT56" i="16"/>
  <c r="AV56" i="16" s="1"/>
  <c r="W56" i="16"/>
  <c r="AJ56" i="17" s="1"/>
  <c r="AL56" i="17" s="1"/>
  <c r="AD56" i="16"/>
  <c r="AA56" i="16"/>
  <c r="AD14" i="16"/>
  <c r="W14" i="16"/>
  <c r="AJ14" i="17" s="1"/>
  <c r="AL14" i="17" s="1"/>
  <c r="AA14" i="16"/>
  <c r="AT26" i="16"/>
  <c r="AV26" i="16" s="1"/>
  <c r="W26" i="16"/>
  <c r="AJ26" i="17" s="1"/>
  <c r="AL26" i="17" s="1"/>
  <c r="AD26" i="16"/>
  <c r="AA26" i="16"/>
  <c r="AT71" i="16"/>
  <c r="AV71" i="16" s="1"/>
  <c r="AD71" i="16"/>
  <c r="W71" i="16"/>
  <c r="AJ71" i="17" s="1"/>
  <c r="AL71" i="17" s="1"/>
  <c r="AA71" i="16"/>
  <c r="AT58" i="16"/>
  <c r="AV58" i="16" s="1"/>
  <c r="W58" i="16"/>
  <c r="AJ58" i="17" s="1"/>
  <c r="AL58" i="17" s="1"/>
  <c r="AD58" i="16"/>
  <c r="AA58" i="16"/>
  <c r="AT27" i="16"/>
  <c r="AV27" i="16" s="1"/>
  <c r="W27" i="16"/>
  <c r="AJ27" i="17" s="1"/>
  <c r="AL27" i="17" s="1"/>
  <c r="AD27" i="16"/>
  <c r="AA27" i="16"/>
  <c r="AT37" i="16"/>
  <c r="AV37" i="16" s="1"/>
  <c r="AT41" i="16"/>
  <c r="AV41" i="16" s="1"/>
  <c r="AD41" i="16"/>
  <c r="W41" i="16"/>
  <c r="AJ41" i="17" s="1"/>
  <c r="AL41" i="17" s="1"/>
  <c r="AA41" i="16"/>
  <c r="AT57" i="16"/>
  <c r="AV57" i="16" s="1"/>
  <c r="AD57" i="16"/>
  <c r="W57" i="16"/>
  <c r="AJ57" i="17" s="1"/>
  <c r="AL57" i="17" s="1"/>
  <c r="AA57" i="16"/>
  <c r="AT46" i="16"/>
  <c r="AV46" i="16" s="1"/>
  <c r="AD46" i="16"/>
  <c r="W46" i="16"/>
  <c r="AJ46" i="17" s="1"/>
  <c r="AL46" i="17" s="1"/>
  <c r="AA46" i="16"/>
  <c r="AT65" i="16"/>
  <c r="AV65" i="16" s="1"/>
  <c r="W65" i="16"/>
  <c r="AJ65" i="17" s="1"/>
  <c r="AD65" i="16"/>
  <c r="AA65" i="16"/>
  <c r="AT20" i="16"/>
  <c r="AV20" i="16" s="1"/>
  <c r="AT43" i="16"/>
  <c r="AV43" i="16" s="1"/>
  <c r="AD43" i="16"/>
  <c r="W43" i="16"/>
  <c r="AJ43" i="17" s="1"/>
  <c r="AL43" i="17" s="1"/>
  <c r="AA43" i="16"/>
  <c r="AD32" i="16"/>
  <c r="W32" i="16"/>
  <c r="AJ32" i="17" s="1"/>
  <c r="AL32" i="17" s="1"/>
  <c r="AA32" i="16"/>
  <c r="AT45" i="16"/>
  <c r="AV45" i="16" s="1"/>
  <c r="W45" i="16"/>
  <c r="AJ45" i="17" s="1"/>
  <c r="AL45" i="17" s="1"/>
  <c r="AD45" i="16"/>
  <c r="AA45" i="16"/>
  <c r="AT42" i="16"/>
  <c r="AV42" i="16" s="1"/>
  <c r="AD42" i="16"/>
  <c r="W42" i="16"/>
  <c r="AJ42" i="17" s="1"/>
  <c r="AL42" i="17" s="1"/>
  <c r="AA42" i="16"/>
  <c r="AT29" i="16"/>
  <c r="AV29" i="16" s="1"/>
  <c r="AA29" i="16"/>
  <c r="AD29" i="16"/>
  <c r="W29" i="16"/>
  <c r="AJ29" i="17" s="1"/>
  <c r="AL29" i="17" s="1"/>
  <c r="AT21" i="16"/>
  <c r="AV21" i="16" s="1"/>
  <c r="AT68" i="16"/>
  <c r="AV68" i="16" s="1"/>
  <c r="W68" i="16"/>
  <c r="AJ68" i="17" s="1"/>
  <c r="AL68" i="17" s="1"/>
  <c r="AD68" i="16"/>
  <c r="AA68" i="16"/>
  <c r="AT63" i="16"/>
  <c r="AV63" i="16" s="1"/>
  <c r="AD63" i="16"/>
  <c r="W63" i="16"/>
  <c r="AJ63" i="17" s="1"/>
  <c r="AL63" i="17" s="1"/>
  <c r="AA63" i="16"/>
  <c r="AT19" i="16"/>
  <c r="AV19" i="16" s="1"/>
  <c r="W19" i="16"/>
  <c r="AJ19" i="17" s="1"/>
  <c r="AD19" i="16"/>
  <c r="AA19" i="16"/>
  <c r="AE16" i="16"/>
  <c r="BJ16" i="16" s="1"/>
  <c r="AG16" i="16"/>
  <c r="BI16" i="16"/>
  <c r="AD35" i="16"/>
  <c r="AT33" i="16"/>
  <c r="AV33" i="16" s="1"/>
  <c r="AD33" i="16"/>
  <c r="W33" i="16"/>
  <c r="AJ33" i="17" s="1"/>
  <c r="AL33" i="17" s="1"/>
  <c r="AA33" i="16"/>
  <c r="AT48" i="16"/>
  <c r="AV48" i="16" s="1"/>
  <c r="AD48" i="16"/>
  <c r="W48" i="16"/>
  <c r="AJ48" i="17" s="1"/>
  <c r="AA48" i="16"/>
  <c r="AT34" i="16"/>
  <c r="AV34" i="16" s="1"/>
  <c r="AD34" i="16"/>
  <c r="AA34" i="16"/>
  <c r="AT51" i="16"/>
  <c r="AV51" i="16" s="1"/>
  <c r="W51" i="16"/>
  <c r="AJ51" i="17" s="1"/>
  <c r="AL51" i="17" s="1"/>
  <c r="AD51" i="16"/>
  <c r="AA51" i="16"/>
  <c r="AT15" i="16"/>
  <c r="AV15" i="16" s="1"/>
  <c r="AD15" i="16"/>
  <c r="W15" i="16"/>
  <c r="AJ15" i="17" s="1"/>
  <c r="AL15" i="17" s="1"/>
  <c r="AA15" i="16"/>
  <c r="AT69" i="16"/>
  <c r="AV69" i="16" s="1"/>
  <c r="AD69" i="16"/>
  <c r="W69" i="16"/>
  <c r="AJ69" i="17" s="1"/>
  <c r="AL69" i="17" s="1"/>
  <c r="AA69" i="16"/>
  <c r="AT22" i="16"/>
  <c r="AV22" i="16" s="1"/>
  <c r="AD22" i="16"/>
  <c r="W22" i="16"/>
  <c r="AJ22" i="17" s="1"/>
  <c r="AL22" i="17" s="1"/>
  <c r="AA22" i="16"/>
  <c r="AT31" i="16"/>
  <c r="AV31" i="16" s="1"/>
  <c r="AD31" i="16"/>
  <c r="W31" i="16"/>
  <c r="AJ31" i="17" s="1"/>
  <c r="AL31" i="17" s="1"/>
  <c r="AA31" i="16"/>
  <c r="AT61" i="16"/>
  <c r="AV61" i="16" s="1"/>
  <c r="AD61" i="16"/>
  <c r="W61" i="16"/>
  <c r="AJ61" i="17" s="1"/>
  <c r="AL61" i="17" s="1"/>
  <c r="AA61" i="16"/>
  <c r="AT52" i="16"/>
  <c r="AV52" i="16" s="1"/>
  <c r="AD52" i="16"/>
  <c r="W52" i="16"/>
  <c r="AJ52" i="17" s="1"/>
  <c r="AL52" i="17" s="1"/>
  <c r="AA52" i="16"/>
  <c r="Z16" i="16"/>
  <c r="X16" i="16"/>
  <c r="AT66" i="16"/>
  <c r="AV66" i="16" s="1"/>
  <c r="AD66" i="16"/>
  <c r="W66" i="16"/>
  <c r="AJ66" i="17" s="1"/>
  <c r="AL66" i="17" s="1"/>
  <c r="AA66" i="16"/>
  <c r="AT53" i="16"/>
  <c r="AV53" i="16" s="1"/>
  <c r="W53" i="16"/>
  <c r="AJ53" i="17" s="1"/>
  <c r="AL53" i="17" s="1"/>
  <c r="AD53" i="16"/>
  <c r="AA53" i="16"/>
  <c r="AT39" i="16"/>
  <c r="AV39" i="16" s="1"/>
  <c r="AD39" i="16"/>
  <c r="W39" i="16"/>
  <c r="AJ39" i="17" s="1"/>
  <c r="AL39" i="17" s="1"/>
  <c r="AA39" i="16"/>
  <c r="AT17" i="16"/>
  <c r="AV17" i="16" s="1"/>
  <c r="AD17" i="16"/>
  <c r="W17" i="16"/>
  <c r="AJ17" i="17" s="1"/>
  <c r="AL17" i="17" s="1"/>
  <c r="AA17" i="16"/>
  <c r="AT36" i="16"/>
  <c r="AV36" i="16" s="1"/>
  <c r="AD36" i="16"/>
  <c r="W36" i="16"/>
  <c r="AJ36" i="17" s="1"/>
  <c r="AL36" i="17" s="1"/>
  <c r="AA36" i="16"/>
  <c r="AT62" i="16"/>
  <c r="AV62" i="16" s="1"/>
  <c r="W62" i="16"/>
  <c r="AJ62" i="17" s="1"/>
  <c r="AL62" i="17" s="1"/>
  <c r="AD62" i="16"/>
  <c r="AT38" i="16"/>
  <c r="AV38" i="16" s="1"/>
  <c r="W38" i="16"/>
  <c r="AJ38" i="17" s="1"/>
  <c r="AD38" i="16"/>
  <c r="AA38" i="16"/>
  <c r="AT54" i="16"/>
  <c r="AV54" i="16" s="1"/>
  <c r="AD54" i="16"/>
  <c r="W54" i="16"/>
  <c r="AJ54" i="17" s="1"/>
  <c r="AA54" i="16"/>
  <c r="AA35" i="16" l="1"/>
  <c r="W28" i="16"/>
  <c r="AJ28" i="17" s="1"/>
  <c r="AL28" i="17" s="1"/>
  <c r="AA23" i="16"/>
  <c r="W35" i="16"/>
  <c r="AJ35" i="17" s="1"/>
  <c r="AL35" i="17" s="1"/>
  <c r="AT28" i="16"/>
  <c r="AV28" i="16" s="1"/>
  <c r="AD72" i="16"/>
  <c r="AG72" i="16" s="1"/>
  <c r="AD47" i="16"/>
  <c r="BI47" i="16" s="1"/>
  <c r="R33" i="18"/>
  <c r="S33" i="18" s="1"/>
  <c r="R21" i="18"/>
  <c r="S21" i="18" s="1"/>
  <c r="AL54" i="17"/>
  <c r="W18" i="16"/>
  <c r="AJ18" i="17" s="1"/>
  <c r="AL18" i="17" s="1"/>
  <c r="AT35" i="16"/>
  <c r="AV35" i="16" s="1"/>
  <c r="AG35" i="16" s="1"/>
  <c r="AD30" i="16"/>
  <c r="AG30" i="16" s="1"/>
  <c r="AT23" i="16"/>
  <c r="AV23" i="16" s="1"/>
  <c r="AA67" i="16"/>
  <c r="AD18" i="16"/>
  <c r="W34" i="16"/>
  <c r="AJ34" i="17" s="1"/>
  <c r="AL34" i="17" s="1"/>
  <c r="AT72" i="16"/>
  <c r="AV72" i="16" s="1"/>
  <c r="W30" i="16"/>
  <c r="AJ30" i="17" s="1"/>
  <c r="AL30" i="17" s="1"/>
  <c r="AT32" i="16"/>
  <c r="AV32" i="16" s="1"/>
  <c r="AT14" i="16"/>
  <c r="AV14" i="16" s="1"/>
  <c r="W47" i="16"/>
  <c r="AJ47" i="17" s="1"/>
  <c r="AL47" i="17" s="1"/>
  <c r="W67" i="16"/>
  <c r="AJ67" i="17" s="1"/>
  <c r="AL67" i="17" s="1"/>
  <c r="AT18" i="16"/>
  <c r="AV18" i="16" s="1"/>
  <c r="AG18" i="16" s="1"/>
  <c r="AA30" i="16"/>
  <c r="AL65" i="17"/>
  <c r="AT47" i="16"/>
  <c r="AV47" i="16" s="1"/>
  <c r="AG47" i="16" s="1"/>
  <c r="R78" i="18"/>
  <c r="S78" i="18" s="1"/>
  <c r="R43" i="18"/>
  <c r="S43" i="18" s="1"/>
  <c r="AA60" i="16"/>
  <c r="W72" i="16"/>
  <c r="AJ72" i="17" s="1"/>
  <c r="AL72" i="17" s="1"/>
  <c r="AA47" i="16"/>
  <c r="AT30" i="16"/>
  <c r="AV30" i="16" s="1"/>
  <c r="AL48" i="17"/>
  <c r="AA25" i="16"/>
  <c r="AD60" i="16"/>
  <c r="R57" i="18"/>
  <c r="S57" i="18" s="1"/>
  <c r="AA28" i="16"/>
  <c r="AA72" i="16"/>
  <c r="AD28" i="16"/>
  <c r="BI28" i="16" s="1"/>
  <c r="AA18" i="16"/>
  <c r="AD67" i="16"/>
  <c r="BI67" i="16" s="1"/>
  <c r="AT67" i="16"/>
  <c r="AV67" i="16" s="1"/>
  <c r="AL38" i="17"/>
  <c r="W25" i="16"/>
  <c r="AJ25" i="17" s="1"/>
  <c r="AL25" i="17" s="1"/>
  <c r="W60" i="16"/>
  <c r="AJ60" i="17" s="1"/>
  <c r="AL60" i="17" s="1"/>
  <c r="AA49" i="16"/>
  <c r="W23" i="16"/>
  <c r="AJ23" i="17" s="1"/>
  <c r="AL23" i="17" s="1"/>
  <c r="AL19" i="17"/>
  <c r="AA20" i="16"/>
  <c r="AD25" i="16"/>
  <c r="AE25" i="16" s="1"/>
  <c r="BJ25" i="16" s="1"/>
  <c r="AA37" i="16"/>
  <c r="AT60" i="16"/>
  <c r="AV60" i="16" s="1"/>
  <c r="S102" i="18"/>
  <c r="AA21" i="16"/>
  <c r="W49" i="16"/>
  <c r="AJ49" i="17" s="1"/>
  <c r="AL49" i="17" s="1"/>
  <c r="AA62" i="16"/>
  <c r="W21" i="16"/>
  <c r="AJ21" i="17" s="1"/>
  <c r="AL21" i="17" s="1"/>
  <c r="W20" i="16"/>
  <c r="AJ20" i="17" s="1"/>
  <c r="AL20" i="17" s="1"/>
  <c r="AT25" i="16"/>
  <c r="AV25" i="16" s="1"/>
  <c r="W37" i="16"/>
  <c r="AJ37" i="17" s="1"/>
  <c r="AL37" i="17" s="1"/>
  <c r="AA24" i="16"/>
  <c r="AD49" i="16"/>
  <c r="AD21" i="16"/>
  <c r="BI21" i="16" s="1"/>
  <c r="AD20" i="16"/>
  <c r="BI20" i="16" s="1"/>
  <c r="AD37" i="16"/>
  <c r="BI37" i="16" s="1"/>
  <c r="AT49" i="16"/>
  <c r="AV49" i="16" s="1"/>
  <c r="X33" i="16"/>
  <c r="Z33" i="16"/>
  <c r="AG20" i="16"/>
  <c r="BI59" i="16"/>
  <c r="AG59" i="16"/>
  <c r="AE59" i="16"/>
  <c r="BJ59" i="16" s="1"/>
  <c r="AG24" i="16"/>
  <c r="BI24" i="16"/>
  <c r="AE24" i="16"/>
  <c r="BJ24" i="16" s="1"/>
  <c r="BI17" i="16"/>
  <c r="AG17" i="16"/>
  <c r="AE17" i="16"/>
  <c r="BJ17" i="16" s="1"/>
  <c r="AG15" i="16"/>
  <c r="BI15" i="16"/>
  <c r="AE15" i="16"/>
  <c r="BJ15" i="16" s="1"/>
  <c r="Z21" i="16"/>
  <c r="Z20" i="16"/>
  <c r="X37" i="16"/>
  <c r="Z37" i="16"/>
  <c r="BI49" i="16"/>
  <c r="AG49" i="16"/>
  <c r="AE49" i="16"/>
  <c r="BJ49" i="16" s="1"/>
  <c r="BI31" i="16"/>
  <c r="AG31" i="16"/>
  <c r="AE31" i="16"/>
  <c r="BJ31" i="16" s="1"/>
  <c r="AG52" i="16"/>
  <c r="BI52" i="16"/>
  <c r="AE52" i="16"/>
  <c r="BJ52" i="16" s="1"/>
  <c r="AG22" i="16"/>
  <c r="BI22" i="16"/>
  <c r="AE22" i="16"/>
  <c r="BJ22" i="16" s="1"/>
  <c r="X57" i="16"/>
  <c r="Z57" i="16"/>
  <c r="BI53" i="16"/>
  <c r="AG53" i="16"/>
  <c r="AE53" i="16"/>
  <c r="BJ53" i="16" s="1"/>
  <c r="Z18" i="16"/>
  <c r="X18" i="16"/>
  <c r="AG34" i="16"/>
  <c r="BI34" i="16"/>
  <c r="AE34" i="16"/>
  <c r="BJ34" i="16" s="1"/>
  <c r="AE72" i="16"/>
  <c r="BJ72" i="16" s="1"/>
  <c r="BI32" i="16"/>
  <c r="AG32" i="16"/>
  <c r="AE32" i="16"/>
  <c r="BJ32" i="16" s="1"/>
  <c r="AG57" i="16"/>
  <c r="BI57" i="16"/>
  <c r="AE57" i="16"/>
  <c r="BJ57" i="16" s="1"/>
  <c r="BI14" i="16"/>
  <c r="AG14" i="16"/>
  <c r="AE14" i="16"/>
  <c r="BJ14" i="16" s="1"/>
  <c r="AE47" i="16"/>
  <c r="BJ47" i="16" s="1"/>
  <c r="X40" i="16"/>
  <c r="Z40" i="16"/>
  <c r="BI62" i="16"/>
  <c r="AG62" i="16"/>
  <c r="AE62" i="16"/>
  <c r="BJ62" i="16" s="1"/>
  <c r="Z46" i="16"/>
  <c r="X46" i="16"/>
  <c r="X39" i="16"/>
  <c r="Z39" i="16"/>
  <c r="BI63" i="16"/>
  <c r="AG63" i="16"/>
  <c r="AE63" i="16"/>
  <c r="BJ63" i="16" s="1"/>
  <c r="X45" i="16"/>
  <c r="Z45" i="16"/>
  <c r="X26" i="16"/>
  <c r="Z26" i="16"/>
  <c r="Z55" i="16"/>
  <c r="X55" i="16"/>
  <c r="X50" i="16"/>
  <c r="Z50" i="16"/>
  <c r="AG29" i="16"/>
  <c r="BI29" i="16"/>
  <c r="AE29" i="16"/>
  <c r="BJ29" i="16" s="1"/>
  <c r="X28" i="16"/>
  <c r="Z28" i="16"/>
  <c r="AG50" i="16"/>
  <c r="BI50" i="16"/>
  <c r="AE50" i="16"/>
  <c r="BJ50" i="16" s="1"/>
  <c r="X36" i="16"/>
  <c r="Z36" i="16"/>
  <c r="X22" i="16"/>
  <c r="Z22" i="16"/>
  <c r="X27" i="16"/>
  <c r="Z27" i="16"/>
  <c r="BI23" i="16"/>
  <c r="AG23" i="16"/>
  <c r="AE23" i="16"/>
  <c r="BJ23" i="16" s="1"/>
  <c r="BI54" i="16"/>
  <c r="AG54" i="16"/>
  <c r="AE54" i="16"/>
  <c r="BJ54" i="16" s="1"/>
  <c r="X53" i="16"/>
  <c r="Z53" i="16"/>
  <c r="BI18" i="16"/>
  <c r="AE18" i="16"/>
  <c r="BJ18" i="16" s="1"/>
  <c r="X34" i="16"/>
  <c r="Z34" i="16"/>
  <c r="Z30" i="16"/>
  <c r="X30" i="16"/>
  <c r="BI65" i="16"/>
  <c r="AG65" i="16"/>
  <c r="AE65" i="16"/>
  <c r="BJ65" i="16" s="1"/>
  <c r="BI58" i="16"/>
  <c r="AG58" i="16"/>
  <c r="AE58" i="16"/>
  <c r="BJ58" i="16" s="1"/>
  <c r="Z47" i="16"/>
  <c r="BI40" i="16"/>
  <c r="AG40" i="16"/>
  <c r="AE40" i="16"/>
  <c r="BJ40" i="16" s="1"/>
  <c r="X24" i="16"/>
  <c r="Z24" i="16"/>
  <c r="X35" i="16"/>
  <c r="Z35" i="16"/>
  <c r="Z23" i="16"/>
  <c r="X23" i="16"/>
  <c r="X69" i="16"/>
  <c r="Z69" i="16"/>
  <c r="Z65" i="16"/>
  <c r="X65" i="16"/>
  <c r="Z58" i="16"/>
  <c r="X58" i="16"/>
  <c r="BI13" i="16"/>
  <c r="AG13" i="16"/>
  <c r="AE13" i="16"/>
  <c r="BJ13" i="16" s="1"/>
  <c r="Z44" i="16"/>
  <c r="X44" i="16"/>
  <c r="X31" i="16"/>
  <c r="Z31" i="16"/>
  <c r="BI33" i="16"/>
  <c r="AG33" i="16"/>
  <c r="AE33" i="16"/>
  <c r="BJ33" i="16" s="1"/>
  <c r="BI26" i="16"/>
  <c r="AG26" i="16"/>
  <c r="AE26" i="16"/>
  <c r="BJ26" i="16" s="1"/>
  <c r="X52" i="16"/>
  <c r="Z52" i="16"/>
  <c r="AG51" i="16"/>
  <c r="BI51" i="16"/>
  <c r="AE51" i="16"/>
  <c r="BJ51" i="16" s="1"/>
  <c r="X29" i="16"/>
  <c r="Z29" i="16"/>
  <c r="AG46" i="16"/>
  <c r="BI46" i="16"/>
  <c r="AE46" i="16"/>
  <c r="BJ46" i="16" s="1"/>
  <c r="BI35" i="16"/>
  <c r="AE35" i="16"/>
  <c r="BJ35" i="16" s="1"/>
  <c r="Z32" i="16"/>
  <c r="X32" i="16"/>
  <c r="X54" i="16"/>
  <c r="Z54" i="16"/>
  <c r="BI69" i="16"/>
  <c r="AG69" i="16"/>
  <c r="AE69" i="16"/>
  <c r="BJ69" i="16" s="1"/>
  <c r="BI68" i="16"/>
  <c r="AG68" i="16"/>
  <c r="AE68" i="16"/>
  <c r="BJ68" i="16" s="1"/>
  <c r="X43" i="16"/>
  <c r="Z43" i="16"/>
  <c r="X41" i="16"/>
  <c r="Z41" i="16"/>
  <c r="AE56" i="16"/>
  <c r="BJ56" i="16" s="1"/>
  <c r="AG56" i="16"/>
  <c r="BI56" i="16"/>
  <c r="X13" i="16"/>
  <c r="Z13" i="16"/>
  <c r="BI44" i="16"/>
  <c r="AG44" i="16"/>
  <c r="AE44" i="16"/>
  <c r="BJ44" i="16" s="1"/>
  <c r="X59" i="16"/>
  <c r="Z59" i="16"/>
  <c r="AG39" i="16"/>
  <c r="BI39" i="16"/>
  <c r="AE39" i="16"/>
  <c r="BJ39" i="16" s="1"/>
  <c r="X51" i="16"/>
  <c r="Z51" i="16"/>
  <c r="BI27" i="16"/>
  <c r="AG27" i="16"/>
  <c r="AE27" i="16"/>
  <c r="BJ27" i="16" s="1"/>
  <c r="BI70" i="16"/>
  <c r="AG70" i="16"/>
  <c r="AE70" i="16"/>
  <c r="BJ70" i="16" s="1"/>
  <c r="AG38" i="16"/>
  <c r="BI38" i="16"/>
  <c r="AE38" i="16"/>
  <c r="BJ38" i="16" s="1"/>
  <c r="X66" i="16"/>
  <c r="Z66" i="16"/>
  <c r="X61" i="16"/>
  <c r="Z61" i="16"/>
  <c r="X48" i="16"/>
  <c r="Z48" i="16"/>
  <c r="X68" i="16"/>
  <c r="Z68" i="16"/>
  <c r="AG43" i="16"/>
  <c r="BI43" i="16"/>
  <c r="AE43" i="16"/>
  <c r="BJ43" i="16" s="1"/>
  <c r="BI41" i="16"/>
  <c r="AG41" i="16"/>
  <c r="AE41" i="16"/>
  <c r="BJ41" i="16" s="1"/>
  <c r="X56" i="16"/>
  <c r="Z56" i="16"/>
  <c r="AG60" i="16"/>
  <c r="BI60" i="16"/>
  <c r="AE60" i="16"/>
  <c r="BJ60" i="16" s="1"/>
  <c r="AG64" i="16"/>
  <c r="BI64" i="16"/>
  <c r="AE64" i="16"/>
  <c r="BJ64" i="16" s="1"/>
  <c r="AG21" i="16"/>
  <c r="AG55" i="16"/>
  <c r="BI55" i="16"/>
  <c r="AE55" i="16"/>
  <c r="BJ55" i="16" s="1"/>
  <c r="AG36" i="16"/>
  <c r="BI36" i="16"/>
  <c r="AE36" i="16"/>
  <c r="BJ36" i="16" s="1"/>
  <c r="X38" i="16"/>
  <c r="Z38" i="16"/>
  <c r="BI66" i="16"/>
  <c r="AG66" i="16"/>
  <c r="AE66" i="16"/>
  <c r="BJ66" i="16" s="1"/>
  <c r="AG61" i="16"/>
  <c r="BI61" i="16"/>
  <c r="AE61" i="16"/>
  <c r="BJ61" i="16" s="1"/>
  <c r="BI48" i="16"/>
  <c r="AG48" i="16"/>
  <c r="AE48" i="16"/>
  <c r="BJ48" i="16" s="1"/>
  <c r="BI19" i="16"/>
  <c r="AG19" i="16"/>
  <c r="AE19" i="16"/>
  <c r="BJ19" i="16" s="1"/>
  <c r="X42" i="16"/>
  <c r="Z42" i="16"/>
  <c r="X25" i="16"/>
  <c r="Z25" i="16"/>
  <c r="X71" i="16"/>
  <c r="Z71" i="16"/>
  <c r="Z60" i="16"/>
  <c r="X64" i="16"/>
  <c r="Z64" i="16"/>
  <c r="X62" i="16"/>
  <c r="Z62" i="16"/>
  <c r="X63" i="16"/>
  <c r="Z63" i="16"/>
  <c r="BI45" i="16"/>
  <c r="AG45" i="16"/>
  <c r="AE45" i="16"/>
  <c r="BJ45" i="16" s="1"/>
  <c r="X70" i="16"/>
  <c r="Z70" i="16"/>
  <c r="X72" i="16"/>
  <c r="Z72" i="16"/>
  <c r="Z14" i="16"/>
  <c r="X14" i="16"/>
  <c r="X17" i="16"/>
  <c r="Z17" i="16"/>
  <c r="X15" i="16"/>
  <c r="Z15" i="16"/>
  <c r="W9" i="16"/>
  <c r="X19" i="16"/>
  <c r="Z19" i="16"/>
  <c r="BI42" i="16"/>
  <c r="AG42" i="16"/>
  <c r="AE42" i="16"/>
  <c r="BJ42" i="16" s="1"/>
  <c r="AG71" i="16"/>
  <c r="BI71" i="16"/>
  <c r="AE71" i="16"/>
  <c r="BJ71" i="16" s="1"/>
  <c r="AG67" i="16" l="1"/>
  <c r="AE67" i="16"/>
  <c r="BJ67" i="16" s="1"/>
  <c r="BI25" i="16"/>
  <c r="AE37" i="16"/>
  <c r="BJ37" i="16" s="1"/>
  <c r="AG25" i="16"/>
  <c r="AG37" i="16"/>
  <c r="AE30" i="16"/>
  <c r="BJ30" i="16" s="1"/>
  <c r="BI30" i="16"/>
  <c r="X49" i="16"/>
  <c r="X47" i="16"/>
  <c r="X20" i="16"/>
  <c r="Z49" i="16"/>
  <c r="AE28" i="16"/>
  <c r="BJ28" i="16" s="1"/>
  <c r="AG28" i="16"/>
  <c r="AE21" i="16"/>
  <c r="BJ21" i="16" s="1"/>
  <c r="Z67" i="16"/>
  <c r="BI72" i="16"/>
  <c r="AE20" i="16"/>
  <c r="BJ20" i="16" s="1"/>
  <c r="X60" i="16"/>
  <c r="X67" i="16"/>
  <c r="X21" i="16"/>
  <c r="AL14" i="18" l="1"/>
  <c r="AL20" i="18"/>
  <c r="AS20" i="18" s="1"/>
  <c r="AT20" i="18" s="1"/>
  <c r="AL45" i="18"/>
  <c r="AS45" i="18" s="1"/>
  <c r="AT45" i="18" s="1"/>
  <c r="AL23" i="18"/>
  <c r="AS23" i="18" s="1"/>
  <c r="AT23" i="18" s="1"/>
  <c r="AL48" i="18"/>
  <c r="AS48" i="18" s="1"/>
  <c r="AT48" i="18" s="1"/>
  <c r="AL47" i="18"/>
  <c r="AS47" i="18" s="1"/>
  <c r="AT47" i="18" s="1"/>
  <c r="AL70" i="18"/>
  <c r="AS70" i="18" s="1"/>
  <c r="AT70" i="18" s="1"/>
  <c r="AL56" i="18"/>
  <c r="AS56" i="18" s="1"/>
  <c r="AT56" i="18" s="1"/>
  <c r="AL13" i="18"/>
  <c r="AL94" i="18"/>
  <c r="AL66" i="18"/>
  <c r="AS66" i="18" s="1"/>
  <c r="AT66" i="18" s="1"/>
  <c r="AL40" i="18"/>
  <c r="AS40" i="18" s="1"/>
  <c r="AT40" i="18" s="1"/>
  <c r="AL29" i="18"/>
  <c r="AS29" i="18" s="1"/>
  <c r="AT29" i="18" s="1"/>
  <c r="AL81" i="18"/>
  <c r="AS81" i="18" s="1"/>
  <c r="AT81" i="18" s="1"/>
  <c r="AL35" i="18"/>
  <c r="AS35" i="18" s="1"/>
  <c r="AT35" i="18" s="1"/>
  <c r="AL86" i="18"/>
  <c r="AL17" i="18"/>
  <c r="AL67" i="18"/>
  <c r="AS67" i="18" s="1"/>
  <c r="AT67" i="18" s="1"/>
  <c r="AL69" i="18"/>
  <c r="AS69" i="18" s="1"/>
  <c r="AT69" i="18" s="1"/>
  <c r="AL52" i="18"/>
  <c r="AS52" i="18" s="1"/>
  <c r="AT52" i="18" s="1"/>
  <c r="AL54" i="18"/>
  <c r="AS54" i="18" s="1"/>
  <c r="AT54" i="18" s="1"/>
  <c r="AL74" i="18"/>
  <c r="AS74" i="18" s="1"/>
  <c r="AT74" i="18" s="1"/>
  <c r="AL31" i="18"/>
  <c r="AL18" i="18"/>
  <c r="AL32" i="18"/>
  <c r="AS32" i="18" s="1"/>
  <c r="AT32" i="18" s="1"/>
  <c r="AL28" i="18"/>
  <c r="AL37" i="18"/>
  <c r="AL75" i="18"/>
  <c r="AS75" i="18" s="1"/>
  <c r="AT75" i="18" s="1"/>
  <c r="AL53" i="18"/>
  <c r="AS53" i="18" s="1"/>
  <c r="AT53" i="18" s="1"/>
  <c r="AL62" i="18"/>
  <c r="AS62" i="18" s="1"/>
  <c r="AT62" i="18" s="1"/>
  <c r="AL79" i="18"/>
  <c r="AL77" i="18"/>
  <c r="AS77" i="18" s="1"/>
  <c r="AT77" i="18" s="1"/>
  <c r="AL26" i="18"/>
  <c r="AS26" i="18" s="1"/>
  <c r="AT26" i="18" s="1"/>
  <c r="AL16" i="18"/>
  <c r="AL38" i="18"/>
  <c r="AS38" i="18" s="1"/>
  <c r="AT38" i="18" s="1"/>
  <c r="AL60" i="18"/>
  <c r="AS60" i="18" s="1"/>
  <c r="AT60" i="18" s="1"/>
  <c r="AL19" i="18"/>
  <c r="AL88" i="18"/>
  <c r="AS88" i="18" s="1"/>
  <c r="AT88" i="18" s="1"/>
  <c r="AL44" i="18"/>
  <c r="AL84" i="18"/>
  <c r="AS84" i="18" s="1"/>
  <c r="AT84" i="18" s="1"/>
  <c r="AL90" i="18"/>
  <c r="AS90" i="18" s="1"/>
  <c r="AT90" i="18" s="1"/>
  <c r="AL91" i="18"/>
  <c r="AS91" i="18" s="1"/>
  <c r="AT91" i="18" s="1"/>
  <c r="AL93" i="18"/>
  <c r="AL22" i="18"/>
  <c r="AL73" i="18"/>
  <c r="AS73" i="18" s="1"/>
  <c r="AT73" i="18" s="1"/>
  <c r="AL59" i="18"/>
  <c r="AS59" i="18" s="1"/>
  <c r="AT59" i="18" s="1"/>
  <c r="AL25" i="18"/>
  <c r="AL89" i="18"/>
  <c r="AS89" i="18" s="1"/>
  <c r="AT89" i="18" s="1"/>
  <c r="AL63" i="18"/>
  <c r="AS63" i="18" s="1"/>
  <c r="AT63" i="18" s="1"/>
  <c r="AL55" i="18"/>
  <c r="AS55" i="18" s="1"/>
  <c r="AT55" i="18" s="1"/>
  <c r="AL76" i="18"/>
  <c r="AS76" i="18" s="1"/>
  <c r="AT76" i="18" s="1"/>
  <c r="AL41" i="18"/>
  <c r="AS41" i="18" s="1"/>
  <c r="AT41" i="18" s="1"/>
  <c r="AL72" i="18"/>
  <c r="AL34" i="18"/>
  <c r="AL61" i="18"/>
  <c r="AS61" i="18" s="1"/>
  <c r="AT61" i="18" s="1"/>
  <c r="AL82" i="18"/>
  <c r="AS82" i="18" s="1"/>
  <c r="AT82" i="18" s="1"/>
  <c r="AL42" i="18"/>
  <c r="AS42" i="18" s="1"/>
  <c r="AT42" i="18" s="1"/>
  <c r="AL51" i="18"/>
  <c r="AL65" i="18"/>
  <c r="AL46" i="18"/>
  <c r="AS46" i="18" s="1"/>
  <c r="AT46" i="18" s="1"/>
  <c r="AL80" i="18"/>
  <c r="AS80" i="18" s="1"/>
  <c r="AT80" i="18" s="1"/>
  <c r="AL87" i="18"/>
  <c r="AS87" i="18" s="1"/>
  <c r="AT87" i="18" s="1"/>
  <c r="AL83" i="18"/>
  <c r="AS83" i="18" s="1"/>
  <c r="AT83" i="18" s="1"/>
  <c r="AL58" i="18"/>
  <c r="AL68" i="18"/>
  <c r="AS68" i="18" s="1"/>
  <c r="AT68" i="18" s="1"/>
  <c r="AL39" i="18"/>
  <c r="AS39" i="18" s="1"/>
  <c r="AT39" i="18" s="1"/>
  <c r="AL49" i="18"/>
  <c r="AS49" i="18" s="1"/>
  <c r="AT49" i="18" s="1"/>
  <c r="AS34" i="18" l="1"/>
  <c r="AT34" i="18" s="1"/>
  <c r="AM36" i="18"/>
  <c r="AN36" i="18" s="1"/>
  <c r="AS79" i="18"/>
  <c r="AT79" i="18" s="1"/>
  <c r="AM85" i="18"/>
  <c r="AN85" i="18" s="1"/>
  <c r="AS17" i="18"/>
  <c r="AT17" i="18" s="1"/>
  <c r="AM17" i="18"/>
  <c r="AN17" i="18" s="1"/>
  <c r="AM13" i="18"/>
  <c r="AN13" i="18" s="1"/>
  <c r="AS13" i="18"/>
  <c r="AT13" i="18" s="1"/>
  <c r="AS28" i="18"/>
  <c r="AT28" i="18" s="1"/>
  <c r="AM30" i="18"/>
  <c r="AN30" i="18" s="1"/>
  <c r="AS65" i="18"/>
  <c r="AT65" i="18" s="1"/>
  <c r="AM71" i="18"/>
  <c r="AN71" i="18" s="1"/>
  <c r="AS51" i="18"/>
  <c r="AT51" i="18" s="1"/>
  <c r="AM57" i="18"/>
  <c r="AN57" i="18" s="1"/>
  <c r="AS72" i="18"/>
  <c r="AT72" i="18" s="1"/>
  <c r="AM78" i="18"/>
  <c r="AN78" i="18" s="1"/>
  <c r="AS86" i="18"/>
  <c r="AT86" i="18" s="1"/>
  <c r="AM92" i="18"/>
  <c r="AN92" i="18" s="1"/>
  <c r="AS22" i="18"/>
  <c r="AT22" i="18" s="1"/>
  <c r="AM24" i="18"/>
  <c r="AN24" i="18" s="1"/>
  <c r="AS44" i="18"/>
  <c r="AT44" i="18" s="1"/>
  <c r="AM50" i="18"/>
  <c r="AN50" i="18" s="1"/>
  <c r="AS25" i="18"/>
  <c r="AT25" i="18" s="1"/>
  <c r="AM27" i="18"/>
  <c r="AN27" i="18" s="1"/>
  <c r="AS58" i="18"/>
  <c r="AT58" i="18" s="1"/>
  <c r="AM64" i="18"/>
  <c r="AN64" i="18" s="1"/>
  <c r="AS16" i="18"/>
  <c r="AT16" i="18" s="1"/>
  <c r="AM16" i="18"/>
  <c r="AN16" i="18" s="1"/>
  <c r="AM18" i="18"/>
  <c r="AN18" i="18" s="1"/>
  <c r="AS18" i="18"/>
  <c r="AT18" i="18" s="1"/>
  <c r="AS93" i="18"/>
  <c r="AT93" i="18" s="1"/>
  <c r="AM93" i="18"/>
  <c r="AS31" i="18"/>
  <c r="AT31" i="18" s="1"/>
  <c r="AM33" i="18"/>
  <c r="AN33" i="18" s="1"/>
  <c r="AM94" i="18"/>
  <c r="AS94" i="18"/>
  <c r="AT94" i="18" s="1"/>
  <c r="AS14" i="18"/>
  <c r="AT14" i="18" s="1"/>
  <c r="AM14" i="18"/>
  <c r="AN14" i="18" s="1"/>
  <c r="AS19" i="18"/>
  <c r="AT19" i="18" s="1"/>
  <c r="AM21" i="18"/>
  <c r="AN21" i="18" s="1"/>
  <c r="AS37" i="18"/>
  <c r="AT37" i="18" s="1"/>
  <c r="AM43" i="18"/>
  <c r="AN43" i="18" s="1"/>
  <c r="AL15" i="18"/>
  <c r="AS15" i="18" l="1"/>
  <c r="AT15" i="18" s="1"/>
  <c r="AM15" i="18"/>
  <c r="AN15" i="18" s="1"/>
  <c r="AN3" i="18" s="1"/>
  <c r="AN102" i="18" l="1"/>
  <c r="F18" i="15" l="1"/>
  <c r="J18" i="15" l="1"/>
  <c r="F22" i="15"/>
  <c r="J22" i="15" l="1"/>
  <c r="F24" i="15"/>
  <c r="F2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Stevens, Maddie</author>
  </authors>
  <commentList>
    <comment ref="W9" authorId="0" shapeId="0" xr:uid="{A5AB3B24-7760-41BF-B155-D017FA29AE96}">
      <text>
        <r>
          <rPr>
            <b/>
            <sz val="9"/>
            <color indexed="81"/>
            <rFont val="Tahoma"/>
            <family val="2"/>
          </rPr>
          <t>Stevens, Maddie:</t>
        </r>
        <r>
          <rPr>
            <sz val="9"/>
            <color indexed="81"/>
            <rFont val="Tahoma"/>
            <family val="2"/>
          </rPr>
          <t xml:space="preserve">
Does not include Mist in this check as it’s a Perm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C453C0E1-E6AE-4359-B223-53513419D743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Walker, Kyle T.</author>
  </authors>
  <commentList>
    <comment ref="D3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Walker, Kyle T.:</t>
        </r>
        <r>
          <rPr>
            <sz val="9"/>
            <color indexed="81"/>
            <rFont val="Tahoma"/>
            <family val="2"/>
          </rPr>
          <t xml:space="preserve">
This factor was set using goal seek by forcing cell "F43" to zero by changing cell "D38".</t>
        </r>
      </text>
    </comment>
  </commentList>
</comments>
</file>

<file path=xl/sharedStrings.xml><?xml version="1.0" encoding="utf-8"?>
<sst xmlns="http://schemas.openxmlformats.org/spreadsheetml/2006/main" count="1255" uniqueCount="502">
  <si>
    <t>Calculation of Increments Allocated on the EQUAL CENT PER THERM BASIS</t>
  </si>
  <si>
    <t>Volumes and Increment are pasted as values from the CCA filing UG 230819</t>
  </si>
  <si>
    <t>Washington</t>
  </si>
  <si>
    <t>Industrial Energy Efficiency Audit</t>
  </si>
  <si>
    <t>CCA Recovery Mechanism</t>
  </si>
  <si>
    <t>Total Equal Cent Per Therm</t>
  </si>
  <si>
    <t>PGA</t>
  </si>
  <si>
    <t>Proposed Amount:</t>
  </si>
  <si>
    <t>Temporary Increment</t>
  </si>
  <si>
    <t>Volumes page,</t>
  </si>
  <si>
    <t>Revenue Sensitive Multiplier:</t>
  </si>
  <si>
    <t>add revenue sensitive factor</t>
  </si>
  <si>
    <t>Column F</t>
  </si>
  <si>
    <t>Amount to Amortize:</t>
  </si>
  <si>
    <t>Firm</t>
  </si>
  <si>
    <t>Interruptible</t>
  </si>
  <si>
    <t xml:space="preserve">Residential </t>
  </si>
  <si>
    <t>Industrial</t>
  </si>
  <si>
    <t>Multiplier</t>
  </si>
  <si>
    <t>Volumes</t>
  </si>
  <si>
    <t>Increment</t>
  </si>
  <si>
    <t>WACOG Def</t>
  </si>
  <si>
    <t>DEMAND Def</t>
  </si>
  <si>
    <t>DEMAND - Def</t>
  </si>
  <si>
    <t>Rate Mitigation</t>
  </si>
  <si>
    <t>EE Audit</t>
  </si>
  <si>
    <t>CCA</t>
  </si>
  <si>
    <t>TOTAL</t>
  </si>
  <si>
    <t>TOTAL Temporary Proof</t>
  </si>
  <si>
    <t>Schedule</t>
  </si>
  <si>
    <t>Block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</si>
  <si>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</si>
  <si>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</si>
  <si>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</si>
  <si>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</si>
  <si>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</si>
  <si>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</si>
  <si>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</si>
  <si>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</si>
  <si>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</si>
  <si>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</si>
  <si>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</si>
  <si>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</si>
  <si>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</si>
  <si>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</si>
  <si>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</si>
  <si>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</si>
  <si>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</si>
  <si>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</si>
  <si>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</si>
  <si>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PROOF</t>
  </si>
  <si>
    <t>Allocation</t>
  </si>
  <si>
    <t>Temps</t>
  </si>
  <si>
    <t>Perm</t>
  </si>
  <si>
    <t>Diff.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</si>
  <si>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</si>
  <si>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</si>
  <si>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</si>
  <si>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</si>
  <si>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</si>
  <si>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</si>
  <si>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</si>
  <si>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</si>
  <si>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</si>
  <si>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</si>
  <si>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</si>
  <si>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</si>
  <si>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 xml:space="preserve">41I Firm Trans 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</si>
  <si>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</si>
  <si>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</si>
  <si>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</si>
  <si>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</si>
  <si>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</si>
  <si>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</si>
  <si>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</si>
  <si>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</si>
  <si>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</si>
  <si>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</si>
  <si>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</si>
  <si>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</si>
  <si>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</si>
  <si>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</si>
  <si>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</si>
  <si>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</si>
  <si>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Diff &gt;</t>
  </si>
  <si>
    <t>Sources for line 2 above:</t>
  </si>
  <si>
    <t>Inputs page</t>
  </si>
  <si>
    <t>Line 31</t>
  </si>
  <si>
    <t>Line 33</t>
  </si>
  <si>
    <t>Line 35</t>
  </si>
  <si>
    <t>Line 34</t>
  </si>
  <si>
    <t>Line 36</t>
  </si>
  <si>
    <t>Tariff Schedules:</t>
  </si>
  <si>
    <t>Schedule #</t>
  </si>
  <si>
    <t>Sched 201</t>
  </si>
  <si>
    <t>Sch 308</t>
  </si>
  <si>
    <t>Summary of TEMPORARY Increments</t>
  </si>
  <si>
    <t xml:space="preserve">Temporary Adj. </t>
  </si>
  <si>
    <t>186 Adjustment</t>
  </si>
  <si>
    <t>Summaries for linking to the tariff sheets:</t>
  </si>
  <si>
    <t>CIS ENTRY Acct 191 Commodity adjustment only</t>
  </si>
  <si>
    <t>This is a perm</t>
  </si>
  <si>
    <t>2024-25 PGA</t>
  </si>
  <si>
    <t>2025 CCA &amp; BDP Filing</t>
  </si>
  <si>
    <t>Residential Check:</t>
  </si>
  <si>
    <t>For CIS Entry</t>
  </si>
  <si>
    <t>for CIS Entry</t>
  </si>
  <si>
    <t>not a temp</t>
  </si>
  <si>
    <t>Schedule 303</t>
  </si>
  <si>
    <t>Schedule 201 &amp; 203</t>
  </si>
  <si>
    <t>REMOVE</t>
  </si>
  <si>
    <t>ADD</t>
  </si>
  <si>
    <t>(w/o Sch. 215)</t>
  </si>
  <si>
    <t>Schedule 201</t>
  </si>
  <si>
    <t>Schedule 212</t>
  </si>
  <si>
    <t>NEW</t>
  </si>
  <si>
    <t>Schedule 215</t>
  </si>
  <si>
    <t>Schedule 230</t>
  </si>
  <si>
    <t>Schedule 201 - No EE</t>
  </si>
  <si>
    <t>Current Temporaries</t>
  </si>
  <si>
    <t>PGA Current Temporaries</t>
  </si>
  <si>
    <t>WACOG Deferral</t>
  </si>
  <si>
    <t>Demand Deferral FIRM</t>
  </si>
  <si>
    <t>Demand Deferral INTERR</t>
  </si>
  <si>
    <t>Total Proposed PGA Temporaries</t>
  </si>
  <si>
    <t>Net Effect of PGA Temps</t>
  </si>
  <si>
    <t>Residential Rate Mitigation</t>
  </si>
  <si>
    <t>Environmental  Cost Recovery Mechanism (ECRM)</t>
  </si>
  <si>
    <t>Industrial EE Audit</t>
  </si>
  <si>
    <t>WA Regulatory Fee</t>
  </si>
  <si>
    <t xml:space="preserve">CCA Recovery </t>
  </si>
  <si>
    <t>Total Proposed Temporaries</t>
  </si>
  <si>
    <t>Net Effect of Temps</t>
  </si>
  <si>
    <t>Total Temps less EE</t>
  </si>
  <si>
    <t>Non-Gas Cost less EE</t>
  </si>
  <si>
    <t>191 Commodity</t>
  </si>
  <si>
    <t>191 Pipeline</t>
  </si>
  <si>
    <t>186 NET - Combined</t>
  </si>
  <si>
    <t>Total Temps - Combined</t>
  </si>
  <si>
    <t>Total Perms</t>
  </si>
  <si>
    <t>Res Rate Mitigation</t>
  </si>
  <si>
    <t>R&amp;C Energy Efficiency</t>
  </si>
  <si>
    <t>Sched G: EE Gen</t>
  </si>
  <si>
    <t>Sched J: GREAT</t>
  </si>
  <si>
    <t>Sched I: WA-LIEE</t>
  </si>
  <si>
    <t>Total</t>
  </si>
  <si>
    <t>186 NET - No EE</t>
  </si>
  <si>
    <t>Total Temps - No EE</t>
  </si>
  <si>
    <t>F = C+D+E</t>
  </si>
  <si>
    <t>G = F-B</t>
  </si>
  <si>
    <t>P=sum C thru O</t>
  </si>
  <si>
    <t xml:space="preserve">Q = P - A </t>
  </si>
  <si>
    <t>check</t>
  </si>
  <si>
    <t>this is RS 215</t>
  </si>
  <si>
    <t>R&amp;C PGA</t>
  </si>
  <si>
    <t>WA-LIEE and GREAT</t>
  </si>
  <si>
    <t>ECRM</t>
  </si>
  <si>
    <t>Amortization of PGA and Deferred Gas Costs</t>
  </si>
  <si>
    <t>Residual - Astoria and Truck Lot Sale</t>
  </si>
  <si>
    <t>column</t>
  </si>
  <si>
    <t>R&amp;C EE</t>
  </si>
  <si>
    <t xml:space="preserve">Residental Bill Discount Program </t>
  </si>
  <si>
    <t>Check:</t>
  </si>
  <si>
    <t>41I Firm Trans</t>
  </si>
  <si>
    <t>Sources:</t>
  </si>
  <si>
    <t>Direct Inputs</t>
  </si>
  <si>
    <t>23-24 PGA</t>
  </si>
  <si>
    <t>Equal ¢ per therm</t>
  </si>
  <si>
    <t>Column H</t>
  </si>
  <si>
    <t>Column K</t>
  </si>
  <si>
    <t>Column N</t>
  </si>
  <si>
    <t>Equal % of margin</t>
  </si>
  <si>
    <t>Column P</t>
  </si>
  <si>
    <t>Column S</t>
  </si>
  <si>
    <t>Column V</t>
  </si>
  <si>
    <t>Column Y</t>
  </si>
  <si>
    <t>Column AB</t>
  </si>
  <si>
    <t>Column AE</t>
  </si>
  <si>
    <t>Equal % of Revenue</t>
  </si>
  <si>
    <t>N/A</t>
  </si>
  <si>
    <t>Sched 303</t>
  </si>
  <si>
    <t>Dollars</t>
  </si>
  <si>
    <t>CCA per therm</t>
  </si>
  <si>
    <t>Current</t>
  </si>
  <si>
    <t>Effects on Average Bill by Rate Schedule</t>
  </si>
  <si>
    <t>Proposed</t>
  </si>
  <si>
    <t>Calculation of Effect on Customer Average Bill by Rate Schedule [1] [3]</t>
  </si>
  <si>
    <t>For Tariff Advice 1X-X only</t>
  </si>
  <si>
    <t>Normal</t>
  </si>
  <si>
    <t>Net</t>
  </si>
  <si>
    <t>PGA Normalized</t>
  </si>
  <si>
    <t>Therms</t>
  </si>
  <si>
    <t>Minimum</t>
  </si>
  <si>
    <t>Therms in</t>
  </si>
  <si>
    <t>Monthly</t>
  </si>
  <si>
    <t xml:space="preserve">Monthly </t>
  </si>
  <si>
    <t>Billing</t>
  </si>
  <si>
    <t>R&amp;C Energy Eff.</t>
  </si>
  <si>
    <t>GREAT &amp; LIEE</t>
  </si>
  <si>
    <r>
      <rPr>
        <b/>
        <sz val="10.9"/>
        <rFont val="Calibri"/>
        <family val="2"/>
      </rPr>
      <t>Residual</t>
    </r>
    <r>
      <rPr>
        <sz val="11"/>
        <rFont val="Calibri"/>
        <family val="2"/>
        <scheme val="minor"/>
      </rPr>
      <t xml:space="preserve">
( Regulatory Fee, Rate Mitigation,  Industrial EE &amp; Property Sale )</t>
    </r>
  </si>
  <si>
    <t>Mist Recall</t>
  </si>
  <si>
    <t xml:space="preserve">CCA </t>
  </si>
  <si>
    <t>PGA Effects</t>
  </si>
  <si>
    <t>R&amp;C EE Total</t>
  </si>
  <si>
    <t>Column D</t>
  </si>
  <si>
    <t>Average use</t>
  </si>
  <si>
    <t>Charge</t>
  </si>
  <si>
    <t xml:space="preserve">Avg. Credit </t>
  </si>
  <si>
    <t>Rates</t>
  </si>
  <si>
    <t>Average Bill[2]</t>
  </si>
  <si>
    <t>Rates [3]</t>
  </si>
  <si>
    <t>Average Bill</t>
  </si>
  <si>
    <t>% Bill Change</t>
  </si>
  <si>
    <t>Rates [2]</t>
  </si>
  <si>
    <t xml:space="preserve">Average Bill </t>
  </si>
  <si>
    <t>F=D+(C * E)</t>
  </si>
  <si>
    <t>H=D+(C * G)</t>
  </si>
  <si>
    <t>K= D+(C*J)</t>
  </si>
  <si>
    <t>Q = D+(C*P)</t>
  </si>
  <si>
    <t>T = D+(C*S)</t>
  </si>
  <si>
    <t>Z=D+(C*Y)</t>
  </si>
  <si>
    <t>AA=D+(C * Z)</t>
  </si>
  <si>
    <t>AB=(AA - F)/F</t>
  </si>
  <si>
    <t>BDP</t>
  </si>
  <si>
    <t>Combined</t>
  </si>
  <si>
    <t>K=D+(C * J)</t>
  </si>
  <si>
    <t>L=(K - F)/F</t>
  </si>
  <si>
    <t xml:space="preserve">Avg </t>
  </si>
  <si>
    <t>Avg</t>
  </si>
  <si>
    <t>T</t>
  </si>
  <si>
    <t>U</t>
  </si>
  <si>
    <t>Y</t>
  </si>
  <si>
    <t>Z</t>
  </si>
  <si>
    <t>AA</t>
  </si>
  <si>
    <t>AB</t>
  </si>
  <si>
    <t>AC</t>
  </si>
  <si>
    <t>AD</t>
  </si>
  <si>
    <t>Rate Schedule</t>
  </si>
  <si>
    <t>PGA  Bill</t>
  </si>
  <si>
    <t>PGA Bill</t>
  </si>
  <si>
    <t>Bill Change</t>
  </si>
  <si>
    <t>% of Bill</t>
  </si>
  <si>
    <t>27 Dry Out</t>
  </si>
  <si>
    <t>all additional</t>
  </si>
  <si>
    <t>42C Interr Trans</t>
  </si>
  <si>
    <t>42I Interr Trans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</si>
  <si>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</si>
  <si>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</si>
  <si>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</si>
  <si>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Col A</t>
  </si>
  <si>
    <t>Add: Col E</t>
  </si>
  <si>
    <t>per Tariff</t>
  </si>
  <si>
    <t>Less: Col E</t>
  </si>
  <si>
    <t>Rates in summary</t>
  </si>
  <si>
    <t>Column A</t>
  </si>
  <si>
    <t>NW Natural</t>
  </si>
  <si>
    <t>Rates &amp; Regulatory Affairs</t>
  </si>
  <si>
    <t>2025-2026 PGA Filing - Washington: September Filing</t>
  </si>
  <si>
    <t>Summary of Deferred Accounts</t>
  </si>
  <si>
    <t>Refer to</t>
  </si>
  <si>
    <t>Estimated</t>
  </si>
  <si>
    <t>Rate Dev File</t>
  </si>
  <si>
    <t>Sep-Oct</t>
  </si>
  <si>
    <t>Interest</t>
  </si>
  <si>
    <t>Amount for</t>
  </si>
  <si>
    <t>Amounts</t>
  </si>
  <si>
    <t>"Allocation</t>
  </si>
  <si>
    <t>Balance</t>
  </si>
  <si>
    <t>During</t>
  </si>
  <si>
    <t>(Refund) or</t>
  </si>
  <si>
    <t>Excluded from</t>
  </si>
  <si>
    <t>Included in</t>
  </si>
  <si>
    <t>= % of</t>
  </si>
  <si>
    <t>Equal ¢ per</t>
  </si>
  <si>
    <t>Account</t>
  </si>
  <si>
    <t>Activity</t>
  </si>
  <si>
    <t>Amortization</t>
  </si>
  <si>
    <t>Collection</t>
  </si>
  <si>
    <t>PGA Filing</t>
  </si>
  <si>
    <t>margin" tab</t>
  </si>
  <si>
    <t>therm" tab</t>
  </si>
  <si>
    <t>E = sum B thru D</t>
  </si>
  <si>
    <t>G = E + F</t>
  </si>
  <si>
    <t>see note</t>
  </si>
  <si>
    <t>Excl. Rev Sens</t>
  </si>
  <si>
    <t>DSM &amp; LOW INCOME PROGRAMS</t>
  </si>
  <si>
    <t>151822  WA LOW INCOME BILL PAY ASSIST (GREAT)</t>
  </si>
  <si>
    <t>151824 WA GREAT AMORTIZATION</t>
  </si>
  <si>
    <t>Column P-R</t>
  </si>
  <si>
    <t>151890 WA WA-LIEE PROGRAM</t>
  </si>
  <si>
    <t>151892 AMORT WA-LIEE PROGRAM</t>
  </si>
  <si>
    <t>Column S-U</t>
  </si>
  <si>
    <t>151894  WA DSM AMORTIZATION</t>
  </si>
  <si>
    <t>151898  WA ENERGY EFFICIENCY</t>
  </si>
  <si>
    <t>Column M-O</t>
  </si>
  <si>
    <t>Gas Cost Deferrals and Amortizations</t>
  </si>
  <si>
    <t>151540 WACOG - ACCRUAL WA</t>
  </si>
  <si>
    <t>Includes tariffs paid to Tenaska in GL 151941</t>
  </si>
  <si>
    <t>151545 AMORT OF WACOG - WA</t>
  </si>
  <si>
    <t>FC Normal Therms</t>
  </si>
  <si>
    <t>Current Demand</t>
  </si>
  <si>
    <t>151550 DEMAND ACCRUAL -  WA</t>
  </si>
  <si>
    <t>FIRM</t>
  </si>
  <si>
    <t>151555 AMORT OF DEMAND WA</t>
  </si>
  <si>
    <t>INTERRUPTIBLE</t>
  </si>
  <si>
    <t>232035 MARGIN SHARING - WA</t>
  </si>
  <si>
    <t>Column G &amp; J</t>
  </si>
  <si>
    <t>MISC Deferrals and Amortizations</t>
  </si>
  <si>
    <t>232075 WA PROPERTY SALE DEFER</t>
  </si>
  <si>
    <t>232050 AMORT WA GAIN ON PROP SALES</t>
  </si>
  <si>
    <t>151827 DEFER WUTC FEE</t>
  </si>
  <si>
    <t>151829 AMORT WUTC FEE</t>
  </si>
  <si>
    <t>151887 DEFER WA EE AUDIT</t>
  </si>
  <si>
    <t>151889 AMORT WA EE AUDIT</t>
  </si>
  <si>
    <t>151914 AMORT WA RATE MITIGATION</t>
  </si>
  <si>
    <t>151884 DEFER PARTICIPATORY FUND</t>
  </si>
  <si>
    <t>151823 DEFER DEMAND RESPONSE</t>
  </si>
  <si>
    <t>GRAND TOTAL</t>
  </si>
  <si>
    <t>Notes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</si>
  <si>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Transferred authorized balance to account 191421 for amortization.</t>
    </r>
  </si>
  <si>
    <t>History truncated for ease of viewing</t>
  </si>
  <si>
    <t>1</t>
  </si>
  <si>
    <t>a</t>
  </si>
  <si>
    <t>Beginning Balance</t>
  </si>
  <si>
    <t>(g)</t>
  </si>
  <si>
    <t>(f)</t>
  </si>
  <si>
    <t>(e2)</t>
  </si>
  <si>
    <t>(e1)</t>
  </si>
  <si>
    <t>(d)</t>
  </si>
  <si>
    <t>(c)</t>
  </si>
  <si>
    <t>(b)</t>
  </si>
  <si>
    <t>(a)</t>
  </si>
  <si>
    <t>Interest Rate</t>
  </si>
  <si>
    <t>Transfers</t>
  </si>
  <si>
    <t>Accumulation</t>
  </si>
  <si>
    <t>Note</t>
  </si>
  <si>
    <t xml:space="preserve">Month/Year </t>
  </si>
  <si>
    <t>Debit    (Credit)</t>
  </si>
  <si>
    <t>Temp Increment under Schedule 203</t>
  </si>
  <si>
    <t>Program under Schedule P</t>
  </si>
  <si>
    <t>Account Number:</t>
  </si>
  <si>
    <t>Washington WACOG Deferral</t>
  </si>
  <si>
    <t>Description:</t>
  </si>
  <si>
    <t>State:</t>
  </si>
  <si>
    <t>Northwest Natural Gas Company</t>
  </si>
  <si>
    <t>Company: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</si>
  <si>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 191420 approved for amortization.</t>
    </r>
  </si>
  <si>
    <t>Forecasted</t>
  </si>
  <si>
    <t>OLD</t>
  </si>
  <si>
    <r>
      <t xml:space="preserve">NEW </t>
    </r>
    <r>
      <rPr>
        <b/>
        <sz val="10"/>
        <rFont val="Tahoma"/>
        <family val="2"/>
      </rPr>
      <t>(1)</t>
    </r>
  </si>
  <si>
    <r>
      <t xml:space="preserve">new </t>
    </r>
    <r>
      <rPr>
        <b/>
        <sz val="10"/>
        <rFont val="Tahoma"/>
        <family val="2"/>
      </rPr>
      <t>(1)</t>
    </r>
  </si>
  <si>
    <t>old</t>
  </si>
  <si>
    <t>old rate</t>
  </si>
  <si>
    <r>
      <t xml:space="preserve">new rate </t>
    </r>
    <r>
      <rPr>
        <b/>
        <sz val="10"/>
        <rFont val="Tahoma"/>
        <family val="2"/>
      </rPr>
      <t>(1)</t>
    </r>
  </si>
  <si>
    <t>new rates</t>
  </si>
  <si>
    <t>old rates \a</t>
  </si>
  <si>
    <t>Washington Amortization of WACOG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</si>
  <si>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Transferred authorized balance to account 191431 for amortization.</t>
    </r>
  </si>
  <si>
    <t>\b</t>
  </si>
  <si>
    <t>\a</t>
  </si>
  <si>
    <t>Washington Demand Accrual</t>
  </si>
  <si>
    <r>
      <rPr>
        <b/>
        <sz val="10"/>
        <rFont val="Tahoma"/>
        <family val="2"/>
      </rPr>
      <t>2</t>
    </r>
    <r>
      <rPr>
        <sz val="10"/>
        <rFont val="Tahoma"/>
        <family val="2"/>
      </rPr>
      <t xml:space="preserve"> - Transfer in from account 254302 (storage and optimization revenue sharing).</t>
    </r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</si>
  <si>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 191430 approved for amortization.</t>
    </r>
  </si>
  <si>
    <t>2</t>
  </si>
  <si>
    <t>(2)</t>
  </si>
  <si>
    <t>(h)</t>
  </si>
  <si>
    <t>(e)</t>
  </si>
  <si>
    <t>s</t>
  </si>
  <si>
    <t>Washington Amortization of Demand</t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</si>
  <si>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December balance for amortization.</t>
    </r>
  </si>
  <si>
    <t>Temp Increment under Schedule 220</t>
  </si>
  <si>
    <t>232035</t>
  </si>
  <si>
    <t>Washington Storage Sharing</t>
  </si>
  <si>
    <t>Summary of Total Commodity Cost</t>
  </si>
  <si>
    <t>ALL VOLUMES IN THERMS</t>
  </si>
  <si>
    <t>WASHINGTON COSTS</t>
  </si>
  <si>
    <t>(i)</t>
  </si>
  <si>
    <t>(j)</t>
  </si>
  <si>
    <t>(k)</t>
  </si>
  <si>
    <t>(l)</t>
  </si>
  <si>
    <t>(m)</t>
  </si>
  <si>
    <t>(n)</t>
  </si>
  <si>
    <t>(o)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</si>
  <si>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</si>
  <si>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</si>
  <si>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</si>
  <si>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</si>
  <si>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</si>
  <si>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</si>
  <si>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</si>
  <si>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</si>
  <si>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</si>
  <si>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</si>
  <si>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</si>
  <si>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</si>
  <si>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COSTS</t>
  </si>
  <si>
    <t>CHECK:</t>
  </si>
  <si>
    <t>Commodity Cost from Supply</t>
  </si>
  <si>
    <t>tab commodity cost from supply, column cd, lines 93-104 plus gen input line 80; and</t>
  </si>
  <si>
    <t>tab commodity cost from gas reserve, column q, lines 59-70</t>
  </si>
  <si>
    <t>Volumetric Pipeline Chgs</t>
  </si>
  <si>
    <t>tab commodity cost from vol pipe, column e, line 78-89</t>
  </si>
  <si>
    <t>Commodity Cost from Storage</t>
  </si>
  <si>
    <t>tab Commodity Cost from Storage, column k, line 61-72</t>
  </si>
  <si>
    <t>Commodity Cost from RNG RTCs</t>
  </si>
  <si>
    <t>tab RNG RTC Costs, column AE, line 1-12</t>
  </si>
  <si>
    <t>Commodity Cost from RNG</t>
  </si>
  <si>
    <t>tab Commodity Cost from RNG, column i, line 61-72</t>
  </si>
  <si>
    <t>Total Commodity Cost</t>
  </si>
  <si>
    <t>VOLUMES</t>
  </si>
  <si>
    <t>Commodity Volumes at Receipt Points</t>
  </si>
  <si>
    <t>Pipeline Fuel Use</t>
  </si>
  <si>
    <t>Gas Arriving at City Gate</t>
  </si>
  <si>
    <t>RNG and Storage Gas Withdrawals</t>
  </si>
  <si>
    <t>Pipeline Fuel Use for Off-site Storage</t>
  </si>
  <si>
    <t>Storage Gas Deliveries at City Gate</t>
  </si>
  <si>
    <t>Total Gas At City Gate (Storage and Commodity)</t>
  </si>
  <si>
    <t>Unaccounted for Gas</t>
  </si>
  <si>
    <t>Load Served</t>
  </si>
  <si>
    <t>WACOG Calculations</t>
  </si>
  <si>
    <t>Total Load Served</t>
  </si>
  <si>
    <t>Total (same as line 25 +/- rounding)</t>
  </si>
  <si>
    <t>Washington WACOG Calculation</t>
  </si>
  <si>
    <t>Total Washington commodity cost</t>
  </si>
  <si>
    <t>Total commodity cost for Washington</t>
  </si>
  <si>
    <t>WASHINGTON BILLING WACOG</t>
  </si>
  <si>
    <t>Current WACOG</t>
  </si>
  <si>
    <t>Change</t>
  </si>
  <si>
    <t>% Change</t>
  </si>
  <si>
    <t>WACOG Calcuation Proof (no need to print)</t>
  </si>
  <si>
    <t>Washington Load</t>
  </si>
  <si>
    <t>Washington Sales WACOG</t>
  </si>
  <si>
    <t>Total Gas Cost embedded for Washington</t>
  </si>
  <si>
    <t>Summary of Total Demand Charges</t>
  </si>
  <si>
    <t>Source:  Detail in file "Capacity Contract Monthly Summary for 2024-2025 PGA.xls"</t>
  </si>
  <si>
    <t>SYSTEM COSTS</t>
  </si>
  <si>
    <t>Transport charges by transporter (Washington):</t>
  </si>
  <si>
    <t>Northwest Pipeline</t>
  </si>
  <si>
    <t>Alberta: NOVA</t>
  </si>
  <si>
    <t>Alberta: Foothills</t>
  </si>
  <si>
    <t>Alberta: GTN</t>
  </si>
  <si>
    <t>BC: Southern Crossing</t>
  </si>
  <si>
    <t>BC: Spectra (Westcoast)</t>
  </si>
  <si>
    <t>KB Pipeline</t>
  </si>
  <si>
    <t>Shell Capacity Release Premium</t>
  </si>
  <si>
    <t>Total System Demand</t>
  </si>
  <si>
    <t>Derivation of Washington per therm Non-Commodity Charges</t>
  </si>
  <si>
    <t>Washington Derivation of Demand Increments</t>
  </si>
  <si>
    <t>Without</t>
  </si>
  <si>
    <t>WITH</t>
  </si>
  <si>
    <t>Revenue Sensitive</t>
  </si>
  <si>
    <t xml:space="preserve">System Demand  </t>
  </si>
  <si>
    <t>Washington Allocation Factor 1/</t>
  </si>
  <si>
    <t>Washington Demand</t>
  </si>
  <si>
    <t>Washington Firm Sales Forecasted Normal Volumes</t>
  </si>
  <si>
    <t>Washington Interruptible Sales Forecasted Normal Volumes</t>
  </si>
  <si>
    <t>Proposed Firm Demand Per Therm 2/</t>
  </si>
  <si>
    <t>Proposed Interruptible Demand 2/</t>
  </si>
  <si>
    <t>Proposed MDDV Demand Charge</t>
  </si>
  <si>
    <t>Current Firm Demand Per Therm</t>
  </si>
  <si>
    <t>Current Interruptible Demand</t>
  </si>
  <si>
    <t>Current MDDV Demand Charge</t>
  </si>
  <si>
    <t>Percent Change in Firm Demand</t>
  </si>
  <si>
    <t>1/Allocation Factor: 2024-25 PGA forecast firm sales volumes:</t>
  </si>
  <si>
    <t>Oregon</t>
  </si>
  <si>
    <t>System</t>
  </si>
  <si>
    <t>Firm Sales</t>
  </si>
  <si>
    <t>2/Calculation of Proposed Demand Rates:</t>
  </si>
  <si>
    <t>Demand change factor</t>
  </si>
  <si>
    <t>Firm Demand (line 16 * line 30)</t>
  </si>
  <si>
    <t>Interruptible Demand (line 17 * line 30)</t>
  </si>
  <si>
    <t>Calculation of Winter WACOG</t>
  </si>
  <si>
    <t>Prices are per therm</t>
  </si>
  <si>
    <t>Forecast price for AECO gas:</t>
  </si>
  <si>
    <t>AECO/NIT</t>
  </si>
  <si>
    <t>Average price, November-March</t>
  </si>
  <si>
    <t>average lines 5-9</t>
  </si>
  <si>
    <t>Annual average price, November-October</t>
  </si>
  <si>
    <t>average lines 5-16</t>
  </si>
  <si>
    <t>Ratio of winter to annual</t>
  </si>
  <si>
    <t>line 19 ÷ line 21</t>
  </si>
  <si>
    <t>Without Rev</t>
  </si>
  <si>
    <t>WITH Rev</t>
  </si>
  <si>
    <t>Sensitive</t>
  </si>
  <si>
    <t>WA</t>
  </si>
  <si>
    <t>Washington Annual WACOG</t>
  </si>
  <si>
    <t>Washington Winter WACOG</t>
  </si>
  <si>
    <t>Tariff Advice 25-08: PGA Effects on Revenue</t>
  </si>
  <si>
    <t>Amount</t>
  </si>
  <si>
    <t>Reference</t>
  </si>
  <si>
    <t>Original Filing</t>
  </si>
  <si>
    <t>Purchased Gas Cost Adjustment (PGA)</t>
  </si>
  <si>
    <t>Gas Cost Change</t>
  </si>
  <si>
    <t>Capacity Cost Change</t>
  </si>
  <si>
    <t>Total PGA Change</t>
  </si>
  <si>
    <t>Temporary Rate Adjustments</t>
  </si>
  <si>
    <t>Proposed PGA Temporary Increments</t>
  </si>
  <si>
    <t>Removal of PGA Current Temporary Increments</t>
  </si>
  <si>
    <t>Total Net Temporary Rate Adjustment</t>
  </si>
  <si>
    <t>TOTAL OF ALL COMPONENTS OF ALL RATE CHANGES</t>
  </si>
  <si>
    <t xml:space="preserve">Effect of this filing, as a percentage change </t>
  </si>
  <si>
    <t>2025 CCA Recovery Mechanism Filing -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</si>
</sst>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_(* #,##0.000000_);_(* \(#,##0.000000\);_(* &quot;-&quot;??_);_(@_)"/>
    <numFmt numFmtId="167" formatCode="#,##0.0_);\(#,##0.0\)"/>
    <numFmt numFmtId="168" formatCode="&quot;$&quot;#,##0.00000_);\(&quot;$&quot;#,##0.00000\)"/>
    <numFmt numFmtId="169" formatCode="#,##0.00000_);\(#,##0.00000\)"/>
    <numFmt numFmtId="170" formatCode="0.00000"/>
    <numFmt numFmtId="171" formatCode="0.00_);\(0.00\)"/>
    <numFmt numFmtId="172" formatCode="_(* #,##0_);_(* \(#,##0\);_(* &quot;-&quot;??_);_(@_)"/>
    <numFmt numFmtId="173" formatCode="_(* #,##0.00000_);_(* \(#,##0.00000\);_(* &quot;-&quot;??_);_(@_)"/>
    <numFmt numFmtId="174" formatCode="_(* #,##0.0000_);_(* \(#,##0.0000\);_(* &quot;-&quot;??_);_(@_)"/>
    <numFmt numFmtId="175" formatCode="0.0%"/>
    <numFmt numFmtId="176" formatCode="0.000000"/>
    <numFmt numFmtId="177" formatCode="[$-409]mmm\-yy;@"/>
    <numFmt numFmtId="178" formatCode="0_);\(0\)"/>
    <numFmt numFmtId="179" formatCode="General_)"/>
    <numFmt numFmtId="180" formatCode="0.0"/>
    <numFmt numFmtId="181" formatCode="0_)"/>
    <numFmt numFmtId="182" formatCode="&quot;$&quot;#,##0.000_);\(&quot;$&quot;#,##0.000\)"/>
    <numFmt numFmtId="183" formatCode="mm/dd/yy"/>
    <numFmt numFmtId="184" formatCode="&quot;$&quot;#,##0.00000"/>
    <numFmt numFmtId="185" formatCode="_(&quot;$&quot;* #,##0.00000_);_(&quot;$&quot;* \(#,##0.00000\);_(&quot;$&quot;* &quot;-&quot;??_);_(@_)"/>
    <numFmt numFmtId="186" formatCode="&quot;$&quot;#,##0.00"/>
    <numFmt numFmtId="187" formatCode="0.00000_)"/>
    <numFmt numFmtId="188" formatCode="0.000"/>
    <numFmt numFmtId="189" formatCode="0.000000000"/>
    <numFmt numFmtId="190" formatCode="&quot;$&quot;#,##0.00000;[Red]&quot;$&quot;#,##0.00000"/>
    <numFmt numFmtId="191" formatCode="&quot;$&quot;#,##0.00000_);[Red]\(&quot;$&quot;#,##0.00000\)"/>
    <numFmt numFmtId="192" formatCode="&quot;$&quot;#,##0.00;[Red]&quot;$&quot;#,##0.00"/>
  </numFmts>
  <fonts count="3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i/>
      <sz val="11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0.9"/>
      <name val="Calibri"/>
      <family val="2"/>
    </font>
    <font>
      <sz val="11"/>
      <color indexed="12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b/>
      <u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sz val="10"/>
      <name val="Helv"/>
    </font>
    <font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DE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2D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177" fontId="11" fillId="0" borderId="0"/>
    <xf numFmtId="177" fontId="11" fillId="0" borderId="0">
      <alignment vertical="top"/>
    </xf>
    <xf numFmtId="177" fontId="5" fillId="0" borderId="0"/>
    <xf numFmtId="177" fontId="11" fillId="0" borderId="0">
      <alignment vertical="top"/>
    </xf>
    <xf numFmtId="177" fontId="26" fillId="0" borderId="0"/>
    <xf numFmtId="177" fontId="26" fillId="0" borderId="0"/>
    <xf numFmtId="0" fontId="26" fillId="0" borderId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6" fillId="0" borderId="0"/>
    <xf numFmtId="177" fontId="11" fillId="0" borderId="0"/>
    <xf numFmtId="0" fontId="29" fillId="0" borderId="0"/>
    <xf numFmtId="9" fontId="20" fillId="0" borderId="0" applyFont="0" applyFill="0" applyBorder="0" applyAlignment="0" applyProtection="0"/>
    <xf numFmtId="179" fontId="3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</cellStyleXfs>
  <cellXfs count="647">
    <xf numFmtId="0" fontId="0" fillId="0" borderId="0" xfId="0"/>
    <xf numFmtId="0" fontId="7" fillId="0" borderId="4" xfId="4" applyFont="1" applyBorder="1"/>
    <xf numFmtId="177" fontId="18" fillId="4" borderId="0" xfId="5" applyFont="1" applyFill="1"/>
    <xf numFmtId="177" fontId="19" fillId="4" borderId="0" xfId="5" applyFont="1" applyFill="1"/>
    <xf numFmtId="177" fontId="20" fillId="4" borderId="0" xfId="5" applyFont="1" applyFill="1"/>
    <xf numFmtId="15" fontId="19" fillId="4" borderId="0" xfId="5" applyNumberFormat="1" applyFont="1" applyFill="1"/>
    <xf numFmtId="10" fontId="20" fillId="4" borderId="0" xfId="5" applyNumberFormat="1" applyFont="1" applyFill="1" applyAlignment="1">
      <alignment horizontal="center"/>
    </xf>
    <xf numFmtId="177" fontId="19" fillId="4" borderId="0" xfId="5" applyFont="1" applyFill="1" applyAlignment="1">
      <alignment horizontal="center"/>
    </xf>
    <xf numFmtId="15" fontId="19" fillId="4" borderId="0" xfId="5" quotePrefix="1" applyNumberFormat="1" applyFont="1" applyFill="1"/>
    <xf numFmtId="177" fontId="19" fillId="4" borderId="0" xfId="5" quotePrefix="1" applyFont="1" applyFill="1" applyAlignment="1">
      <alignment horizontal="center"/>
    </xf>
    <xf numFmtId="177" fontId="19" fillId="4" borderId="18" xfId="5" applyFont="1" applyFill="1" applyBorder="1" applyAlignment="1">
      <alignment horizontal="center"/>
    </xf>
    <xf numFmtId="14" fontId="19" fillId="4" borderId="18" xfId="5" quotePrefix="1" applyNumberFormat="1" applyFont="1" applyFill="1" applyBorder="1" applyAlignment="1">
      <alignment horizontal="center"/>
    </xf>
    <xf numFmtId="14" fontId="19" fillId="4" borderId="18" xfId="5" applyNumberFormat="1" applyFont="1" applyFill="1" applyBorder="1" applyAlignment="1">
      <alignment horizontal="center"/>
    </xf>
    <xf numFmtId="177" fontId="19" fillId="4" borderId="0" xfId="5" applyFont="1" applyFill="1" applyAlignment="1">
      <alignment horizontal="centerContinuous"/>
    </xf>
    <xf numFmtId="37" fontId="20" fillId="4" borderId="0" xfId="5" applyNumberFormat="1" applyFont="1" applyFill="1"/>
    <xf numFmtId="14" fontId="19" fillId="4" borderId="0" xfId="5" applyNumberFormat="1" applyFont="1" applyFill="1" applyAlignment="1">
      <alignment horizontal="center"/>
    </xf>
    <xf numFmtId="177" fontId="21" fillId="4" borderId="0" xfId="5" applyFont="1" applyFill="1" applyAlignment="1">
      <alignment horizontal="center"/>
    </xf>
    <xf numFmtId="10" fontId="22" fillId="4" borderId="36" xfId="3" applyNumberFormat="1" applyFont="1" applyFill="1" applyBorder="1" applyAlignment="1">
      <alignment horizontal="center"/>
    </xf>
    <xf numFmtId="37" fontId="21" fillId="4" borderId="0" xfId="5" applyNumberFormat="1" applyFont="1" applyFill="1" applyAlignment="1">
      <alignment horizontal="center"/>
    </xf>
    <xf numFmtId="178" fontId="20" fillId="4" borderId="0" xfId="5" applyNumberFormat="1" applyFont="1" applyFill="1"/>
    <xf numFmtId="39" fontId="20" fillId="4" borderId="0" xfId="5" applyNumberFormat="1" applyFont="1" applyFill="1"/>
    <xf numFmtId="177" fontId="19" fillId="4" borderId="23" xfId="5" applyFont="1" applyFill="1" applyBorder="1" applyAlignment="1">
      <alignment horizontal="left" indent="1"/>
    </xf>
    <xf numFmtId="43" fontId="20" fillId="4" borderId="0" xfId="1" quotePrefix="1" applyFont="1" applyFill="1"/>
    <xf numFmtId="37" fontId="20" fillId="4" borderId="0" xfId="6" applyNumberFormat="1" applyFont="1" applyFill="1">
      <alignment vertical="top"/>
    </xf>
    <xf numFmtId="37" fontId="20" fillId="4" borderId="0" xfId="5" applyNumberFormat="1" applyFont="1" applyFill="1" applyAlignment="1">
      <alignment horizontal="center"/>
    </xf>
    <xf numFmtId="37" fontId="20" fillId="4" borderId="18" xfId="5" applyNumberFormat="1" applyFont="1" applyFill="1" applyBorder="1"/>
    <xf numFmtId="37" fontId="20" fillId="4" borderId="0" xfId="5" quotePrefix="1" applyNumberFormat="1" applyFont="1" applyFill="1"/>
    <xf numFmtId="37" fontId="20" fillId="4" borderId="18" xfId="6" applyNumberFormat="1" applyFont="1" applyFill="1" applyBorder="1">
      <alignment vertical="top"/>
    </xf>
    <xf numFmtId="37" fontId="23" fillId="4" borderId="0" xfId="5" applyNumberFormat="1" applyFont="1" applyFill="1" applyAlignment="1">
      <alignment horizontal="left"/>
    </xf>
    <xf numFmtId="37" fontId="20" fillId="4" borderId="19" xfId="5" applyNumberFormat="1" applyFont="1" applyFill="1" applyBorder="1"/>
    <xf numFmtId="37" fontId="20" fillId="4" borderId="19" xfId="6" quotePrefix="1" applyNumberFormat="1" applyFont="1" applyFill="1" applyBorder="1">
      <alignment vertical="top"/>
    </xf>
    <xf numFmtId="37" fontId="23" fillId="4" borderId="0" xfId="5" applyNumberFormat="1" applyFont="1" applyFill="1"/>
    <xf numFmtId="37" fontId="19" fillId="4" borderId="0" xfId="5" applyNumberFormat="1" applyFont="1" applyFill="1"/>
    <xf numFmtId="37" fontId="20" fillId="4" borderId="18" xfId="5" quotePrefix="1" applyNumberFormat="1" applyFont="1" applyFill="1" applyBorder="1"/>
    <xf numFmtId="177" fontId="20" fillId="4" borderId="0" xfId="5" applyFont="1" applyFill="1" applyAlignment="1">
      <alignment horizontal="left" indent="1"/>
    </xf>
    <xf numFmtId="37" fontId="20" fillId="4" borderId="31" xfId="5" applyNumberFormat="1" applyFont="1" applyFill="1" applyBorder="1"/>
    <xf numFmtId="37" fontId="20" fillId="4" borderId="41" xfId="5" applyNumberFormat="1" applyFont="1" applyFill="1" applyBorder="1"/>
    <xf numFmtId="177" fontId="20" fillId="4" borderId="35" xfId="5" applyFont="1" applyFill="1" applyBorder="1"/>
    <xf numFmtId="37" fontId="20" fillId="4" borderId="0" xfId="6" applyNumberFormat="1" applyFont="1" applyFill="1" applyAlignment="1">
      <alignment horizontal="right" vertical="top"/>
    </xf>
    <xf numFmtId="37" fontId="20" fillId="4" borderId="0" xfId="5" applyNumberFormat="1" applyFont="1" applyFill="1" applyAlignment="1">
      <alignment horizontal="left"/>
    </xf>
    <xf numFmtId="167" fontId="7" fillId="4" borderId="0" xfId="7" applyNumberFormat="1" applyFont="1" applyFill="1"/>
    <xf numFmtId="37" fontId="20" fillId="4" borderId="33" xfId="8" applyNumberFormat="1" applyFont="1" applyFill="1" applyBorder="1">
      <alignment vertical="top"/>
    </xf>
    <xf numFmtId="37" fontId="20" fillId="4" borderId="0" xfId="8" applyNumberFormat="1" applyFont="1" applyFill="1">
      <alignment vertical="top"/>
    </xf>
    <xf numFmtId="168" fontId="20" fillId="4" borderId="42" xfId="5" applyNumberFormat="1" applyFont="1" applyFill="1" applyBorder="1"/>
    <xf numFmtId="37" fontId="20" fillId="4" borderId="34" xfId="8" applyNumberFormat="1" applyFont="1" applyFill="1" applyBorder="1">
      <alignment vertical="top"/>
    </xf>
    <xf numFmtId="37" fontId="20" fillId="4" borderId="10" xfId="8" applyNumberFormat="1" applyFont="1" applyFill="1" applyBorder="1">
      <alignment vertical="top"/>
    </xf>
    <xf numFmtId="168" fontId="20" fillId="4" borderId="43" xfId="5" applyNumberFormat="1" applyFont="1" applyFill="1" applyBorder="1"/>
    <xf numFmtId="43" fontId="20" fillId="4" borderId="18" xfId="1" applyFont="1" applyFill="1" applyBorder="1"/>
    <xf numFmtId="168" fontId="20" fillId="4" borderId="0" xfId="7" applyNumberFormat="1" applyFont="1" applyFill="1"/>
    <xf numFmtId="4" fontId="20" fillId="4" borderId="0" xfId="5" applyNumberFormat="1" applyFont="1" applyFill="1"/>
    <xf numFmtId="9" fontId="20" fillId="4" borderId="0" xfId="5" applyNumberFormat="1" applyFont="1" applyFill="1"/>
    <xf numFmtId="177" fontId="19" fillId="4" borderId="0" xfId="5" quotePrefix="1" applyFont="1" applyFill="1" applyAlignment="1">
      <alignment horizontal="left" indent="1"/>
    </xf>
    <xf numFmtId="43" fontId="20" fillId="4" borderId="0" xfId="1" applyFont="1" applyFill="1"/>
    <xf numFmtId="37" fontId="20" fillId="4" borderId="19" xfId="6" applyNumberFormat="1" applyFont="1" applyFill="1" applyBorder="1">
      <alignment vertical="top"/>
    </xf>
    <xf numFmtId="10" fontId="20" fillId="4" borderId="0" xfId="3" applyNumberFormat="1" applyFont="1" applyFill="1" applyAlignment="1">
      <alignment vertical="top"/>
    </xf>
    <xf numFmtId="37" fontId="24" fillId="4" borderId="0" xfId="5" applyNumberFormat="1" applyFont="1" applyFill="1"/>
    <xf numFmtId="10" fontId="20" fillId="4" borderId="18" xfId="3" applyNumberFormat="1" applyFont="1" applyFill="1" applyBorder="1" applyAlignment="1">
      <alignment vertical="top"/>
    </xf>
    <xf numFmtId="43" fontId="20" fillId="4" borderId="19" xfId="1" applyFont="1" applyFill="1" applyBorder="1"/>
    <xf numFmtId="43" fontId="20" fillId="4" borderId="0" xfId="1" applyFont="1" applyFill="1" applyAlignment="1">
      <alignment vertical="top"/>
    </xf>
    <xf numFmtId="37" fontId="19" fillId="4" borderId="44" xfId="5" applyNumberFormat="1" applyFont="1" applyFill="1" applyBorder="1"/>
    <xf numFmtId="177" fontId="25" fillId="4" borderId="0" xfId="5" applyFont="1" applyFill="1"/>
    <xf numFmtId="177" fontId="23" fillId="4" borderId="0" xfId="5" applyFont="1" applyFill="1"/>
    <xf numFmtId="4" fontId="19" fillId="4" borderId="0" xfId="5" applyNumberFormat="1" applyFont="1" applyFill="1"/>
    <xf numFmtId="0" fontId="19" fillId="4" borderId="0" xfId="5" applyNumberFormat="1" applyFont="1" applyFill="1"/>
    <xf numFmtId="0" fontId="20" fillId="4" borderId="0" xfId="5" applyNumberFormat="1" applyFont="1" applyFill="1"/>
    <xf numFmtId="0" fontId="20" fillId="4" borderId="0" xfId="5" applyNumberFormat="1" applyFont="1" applyFill="1" applyAlignment="1">
      <alignment horizontal="left" indent="1"/>
    </xf>
    <xf numFmtId="177" fontId="20" fillId="0" borderId="0" xfId="9" applyFont="1"/>
    <xf numFmtId="39" fontId="20" fillId="0" borderId="0" xfId="9" applyNumberFormat="1" applyFont="1"/>
    <xf numFmtId="37" fontId="21" fillId="0" borderId="0" xfId="9" applyNumberFormat="1" applyFont="1"/>
    <xf numFmtId="177" fontId="20" fillId="0" borderId="0" xfId="10" applyFont="1"/>
    <xf numFmtId="177" fontId="20" fillId="0" borderId="0" xfId="9" applyFont="1" applyAlignment="1">
      <alignment horizontal="left"/>
    </xf>
    <xf numFmtId="37" fontId="21" fillId="0" borderId="0" xfId="9" applyNumberFormat="1" applyFont="1" applyAlignment="1">
      <alignment horizontal="center"/>
    </xf>
    <xf numFmtId="177" fontId="27" fillId="0" borderId="0" xfId="9" applyFont="1"/>
    <xf numFmtId="177" fontId="25" fillId="0" borderId="0" xfId="9" applyFont="1"/>
    <xf numFmtId="177" fontId="19" fillId="0" borderId="0" xfId="9" applyFont="1"/>
    <xf numFmtId="39" fontId="20" fillId="0" borderId="0" xfId="1" applyNumberFormat="1" applyFont="1" applyFill="1"/>
    <xf numFmtId="39" fontId="20" fillId="0" borderId="0" xfId="1" applyNumberFormat="1" applyFont="1" applyFill="1" applyBorder="1"/>
    <xf numFmtId="10" fontId="20" fillId="0" borderId="0" xfId="9" applyNumberFormat="1" applyFont="1"/>
    <xf numFmtId="43" fontId="20" fillId="0" borderId="0" xfId="1" applyFont="1"/>
    <xf numFmtId="10" fontId="20" fillId="0" borderId="0" xfId="1" applyNumberFormat="1" applyFont="1" applyFill="1" applyBorder="1"/>
    <xf numFmtId="43" fontId="20" fillId="0" borderId="0" xfId="1" applyFont="1" applyFill="1" applyBorder="1"/>
    <xf numFmtId="177" fontId="19" fillId="0" borderId="0" xfId="9" quotePrefix="1" applyFont="1" applyAlignment="1">
      <alignment horizontal="center"/>
    </xf>
    <xf numFmtId="177" fontId="20" fillId="0" borderId="0" xfId="11" applyNumberFormat="1" applyFont="1"/>
    <xf numFmtId="10" fontId="20" fillId="8" borderId="0" xfId="1" applyNumberFormat="1" applyFont="1" applyFill="1" applyBorder="1"/>
    <xf numFmtId="39" fontId="20" fillId="8" borderId="0" xfId="9" applyNumberFormat="1" applyFont="1" applyFill="1"/>
    <xf numFmtId="43" fontId="20" fillId="0" borderId="0" xfId="12" applyFont="1" applyFill="1"/>
    <xf numFmtId="4" fontId="20" fillId="0" borderId="0" xfId="9" applyNumberFormat="1" applyFont="1"/>
    <xf numFmtId="3" fontId="19" fillId="0" borderId="0" xfId="9" applyNumberFormat="1" applyFont="1" applyAlignment="1">
      <alignment horizontal="center"/>
    </xf>
    <xf numFmtId="10" fontId="20" fillId="0" borderId="0" xfId="1" applyNumberFormat="1" applyFont="1" applyBorder="1"/>
    <xf numFmtId="0" fontId="28" fillId="0" borderId="0" xfId="11" applyFont="1"/>
    <xf numFmtId="3" fontId="20" fillId="0" borderId="0" xfId="9" applyNumberFormat="1" applyFont="1"/>
    <xf numFmtId="43" fontId="11" fillId="0" borderId="0" xfId="13" applyFont="1" applyFill="1" applyProtection="1">
      <protection locked="0"/>
    </xf>
    <xf numFmtId="39" fontId="20" fillId="0" borderId="0" xfId="9" applyNumberFormat="1" applyFont="1" applyAlignment="1">
      <alignment horizontal="center"/>
    </xf>
    <xf numFmtId="177" fontId="20" fillId="0" borderId="0" xfId="9" applyFont="1" applyAlignment="1">
      <alignment horizontal="center"/>
    </xf>
    <xf numFmtId="39" fontId="20" fillId="0" borderId="18" xfId="9" applyNumberFormat="1" applyFont="1" applyBorder="1" applyAlignment="1">
      <alignment horizontal="center"/>
    </xf>
    <xf numFmtId="177" fontId="20" fillId="0" borderId="18" xfId="9" applyFont="1" applyBorder="1" applyAlignment="1">
      <alignment horizontal="center"/>
    </xf>
    <xf numFmtId="0" fontId="20" fillId="0" borderId="0" xfId="9" applyNumberFormat="1" applyFont="1" applyAlignment="1">
      <alignment horizontal="left"/>
    </xf>
    <xf numFmtId="39" fontId="20" fillId="0" borderId="0" xfId="9" applyNumberFormat="1" applyFont="1" applyAlignment="1">
      <alignment horizontal="left"/>
    </xf>
    <xf numFmtId="39" fontId="20" fillId="0" borderId="0" xfId="7" applyNumberFormat="1" applyFont="1"/>
    <xf numFmtId="39" fontId="20" fillId="0" borderId="0" xfId="12" applyNumberFormat="1" applyFont="1" applyFill="1"/>
    <xf numFmtId="177" fontId="19" fillId="0" borderId="0" xfId="9" applyFont="1" applyAlignment="1">
      <alignment horizontal="left"/>
    </xf>
    <xf numFmtId="39" fontId="20" fillId="0" borderId="0" xfId="1" applyNumberFormat="1" applyFont="1" applyBorder="1"/>
    <xf numFmtId="39" fontId="20" fillId="0" borderId="0" xfId="11" applyNumberFormat="1" applyFont="1"/>
    <xf numFmtId="39" fontId="20" fillId="0" borderId="0" xfId="12" applyNumberFormat="1" applyFont="1" applyFill="1" applyBorder="1"/>
    <xf numFmtId="10" fontId="20" fillId="0" borderId="0" xfId="14" applyNumberFormat="1" applyFont="1" applyFill="1" applyBorder="1"/>
    <xf numFmtId="43" fontId="28" fillId="0" borderId="0" xfId="12" quotePrefix="1" applyFont="1" applyFill="1"/>
    <xf numFmtId="43" fontId="20" fillId="0" borderId="0" xfId="12" quotePrefix="1" applyFont="1" applyFill="1"/>
    <xf numFmtId="10" fontId="20" fillId="8" borderId="0" xfId="14" applyNumberFormat="1" applyFont="1" applyFill="1" applyBorder="1"/>
    <xf numFmtId="0" fontId="20" fillId="0" borderId="0" xfId="11" applyFont="1"/>
    <xf numFmtId="39" fontId="20" fillId="0" borderId="0" xfId="1" applyNumberFormat="1" applyFont="1"/>
    <xf numFmtId="177" fontId="20" fillId="0" borderId="0" xfId="15" applyFont="1" applyProtection="1">
      <protection locked="0"/>
    </xf>
    <xf numFmtId="177" fontId="20" fillId="0" borderId="0" xfId="15" applyFont="1"/>
    <xf numFmtId="43" fontId="20" fillId="0" borderId="0" xfId="16" applyFont="1" applyFill="1"/>
    <xf numFmtId="39" fontId="20" fillId="0" borderId="0" xfId="17" applyNumberFormat="1" applyFont="1" applyFill="1" applyBorder="1"/>
    <xf numFmtId="0" fontId="20" fillId="0" borderId="0" xfId="11" applyFont="1" applyAlignment="1">
      <alignment horizontal="left"/>
    </xf>
    <xf numFmtId="0" fontId="19" fillId="0" borderId="0" xfId="11" applyFont="1" applyAlignment="1">
      <alignment horizontal="center"/>
    </xf>
    <xf numFmtId="43" fontId="20" fillId="0" borderId="0" xfId="1" applyFont="1" applyFill="1"/>
    <xf numFmtId="177" fontId="20" fillId="0" borderId="0" xfId="7" applyFont="1"/>
    <xf numFmtId="39" fontId="28" fillId="0" borderId="0" xfId="9" applyNumberFormat="1" applyFont="1"/>
    <xf numFmtId="177" fontId="28" fillId="0" borderId="0" xfId="9" applyFont="1"/>
    <xf numFmtId="177" fontId="19" fillId="0" borderId="0" xfId="9" quotePrefix="1" applyFont="1"/>
    <xf numFmtId="39" fontId="20" fillId="0" borderId="0" xfId="18" applyNumberFormat="1" applyFont="1"/>
    <xf numFmtId="43" fontId="20" fillId="0" borderId="0" xfId="9" applyNumberFormat="1" applyFont="1"/>
    <xf numFmtId="39" fontId="20" fillId="0" borderId="0" xfId="9" quotePrefix="1" applyNumberFormat="1" applyFont="1"/>
    <xf numFmtId="37" fontId="20" fillId="0" borderId="0" xfId="7" applyNumberFormat="1" applyFont="1"/>
    <xf numFmtId="39" fontId="20" fillId="9" borderId="0" xfId="7" applyNumberFormat="1" applyFont="1" applyFill="1"/>
    <xf numFmtId="0" fontId="19" fillId="0" borderId="0" xfId="7" applyNumberFormat="1" applyFont="1" applyAlignment="1">
      <alignment horizontal="center"/>
    </xf>
    <xf numFmtId="177" fontId="19" fillId="0" borderId="0" xfId="7" quotePrefix="1" applyFont="1" applyAlignment="1">
      <alignment horizontal="center"/>
    </xf>
    <xf numFmtId="39" fontId="20" fillId="0" borderId="0" xfId="7" quotePrefix="1" applyNumberFormat="1" applyFont="1"/>
    <xf numFmtId="39" fontId="20" fillId="0" borderId="0" xfId="19" applyNumberFormat="1" applyFont="1" applyAlignment="1">
      <alignment horizontal="right"/>
    </xf>
    <xf numFmtId="9" fontId="7" fillId="0" borderId="0" xfId="21" applyFont="1" applyBorder="1"/>
    <xf numFmtId="179" fontId="7" fillId="0" borderId="0" xfId="22" applyFont="1"/>
    <xf numFmtId="179" fontId="12" fillId="0" borderId="0" xfId="22" applyFont="1"/>
    <xf numFmtId="179" fontId="6" fillId="0" borderId="0" xfId="22" applyFont="1"/>
    <xf numFmtId="164" fontId="7" fillId="0" borderId="0" xfId="23" applyNumberFormat="1" applyFont="1" applyFill="1" applyBorder="1" applyAlignment="1"/>
    <xf numFmtId="5" fontId="7" fillId="0" borderId="0" xfId="22" applyNumberFormat="1" applyFont="1"/>
    <xf numFmtId="164" fontId="7" fillId="0" borderId="32" xfId="22" applyNumberFormat="1" applyFont="1" applyBorder="1"/>
    <xf numFmtId="5" fontId="7" fillId="0" borderId="32" xfId="22" applyNumberFormat="1" applyFont="1" applyBorder="1"/>
    <xf numFmtId="179" fontId="6" fillId="0" borderId="45" xfId="22" applyFont="1" applyBorder="1"/>
    <xf numFmtId="179" fontId="7" fillId="0" borderId="45" xfId="22" applyFont="1" applyBorder="1"/>
    <xf numFmtId="164" fontId="7" fillId="0" borderId="45" xfId="22" applyNumberFormat="1" applyFont="1" applyBorder="1"/>
    <xf numFmtId="5" fontId="7" fillId="0" borderId="45" xfId="22" applyNumberFormat="1" applyFont="1" applyBorder="1"/>
    <xf numFmtId="164" fontId="7" fillId="0" borderId="46" xfId="22" applyNumberFormat="1" applyFont="1" applyBorder="1"/>
    <xf numFmtId="181" fontId="7" fillId="0" borderId="0" xfId="22" applyNumberFormat="1" applyFont="1"/>
    <xf numFmtId="37" fontId="7" fillId="0" borderId="32" xfId="22" applyNumberFormat="1" applyFont="1" applyBorder="1"/>
    <xf numFmtId="37" fontId="7" fillId="0" borderId="0" xfId="22" applyNumberFormat="1" applyFont="1"/>
    <xf numFmtId="175" fontId="7" fillId="0" borderId="0" xfId="21" applyNumberFormat="1" applyFont="1" applyBorder="1"/>
    <xf numFmtId="179" fontId="7" fillId="0" borderId="18" xfId="22" applyFont="1" applyBorder="1"/>
    <xf numFmtId="37" fontId="7" fillId="0" borderId="18" xfId="22" applyNumberFormat="1" applyFont="1" applyBorder="1"/>
    <xf numFmtId="37" fontId="7" fillId="0" borderId="37" xfId="22" applyNumberFormat="1" applyFont="1" applyBorder="1"/>
    <xf numFmtId="172" fontId="7" fillId="0" borderId="0" xfId="24" applyNumberFormat="1" applyFont="1" applyBorder="1" applyAlignment="1"/>
    <xf numFmtId="183" fontId="7" fillId="0" borderId="0" xfId="22" applyNumberFormat="1" applyFont="1"/>
    <xf numFmtId="165" fontId="7" fillId="0" borderId="0" xfId="21" applyNumberFormat="1" applyFont="1" applyBorder="1" applyAlignment="1"/>
    <xf numFmtId="165" fontId="7" fillId="0" borderId="32" xfId="21" applyNumberFormat="1" applyFont="1" applyFill="1" applyBorder="1" applyAlignment="1"/>
    <xf numFmtId="179" fontId="7" fillId="0" borderId="44" xfId="22" applyFont="1" applyBorder="1"/>
    <xf numFmtId="37" fontId="7" fillId="0" borderId="44" xfId="22" applyNumberFormat="1" applyFont="1" applyBorder="1"/>
    <xf numFmtId="37" fontId="7" fillId="0" borderId="47" xfId="22" applyNumberFormat="1" applyFont="1" applyBorder="1"/>
    <xf numFmtId="172" fontId="7" fillId="0" borderId="0" xfId="24" applyNumberFormat="1" applyFont="1" applyFill="1" applyBorder="1" applyAlignment="1" applyProtection="1">
      <alignment horizontal="center"/>
    </xf>
    <xf numFmtId="179" fontId="7" fillId="0" borderId="10" xfId="22" applyFont="1" applyBorder="1"/>
    <xf numFmtId="37" fontId="7" fillId="0" borderId="10" xfId="22" applyNumberFormat="1" applyFont="1" applyBorder="1"/>
    <xf numFmtId="37" fontId="4" fillId="0" borderId="48" xfId="22" applyNumberFormat="1" applyFont="1" applyBorder="1"/>
    <xf numFmtId="37" fontId="7" fillId="4" borderId="0" xfId="22" applyNumberFormat="1" applyFont="1" applyFill="1"/>
    <xf numFmtId="37" fontId="7" fillId="4" borderId="32" xfId="22" applyNumberFormat="1" applyFont="1" applyFill="1" applyBorder="1"/>
    <xf numFmtId="172" fontId="7" fillId="0" borderId="0" xfId="24" applyNumberFormat="1" applyFont="1" applyBorder="1" applyAlignment="1" applyProtection="1">
      <alignment horizontal="center"/>
    </xf>
    <xf numFmtId="5" fontId="7" fillId="4" borderId="0" xfId="22" applyNumberFormat="1" applyFont="1" applyFill="1"/>
    <xf numFmtId="5" fontId="7" fillId="4" borderId="32" xfId="22" applyNumberFormat="1" applyFont="1" applyFill="1" applyBorder="1"/>
    <xf numFmtId="179" fontId="7" fillId="4" borderId="0" xfId="22" applyFont="1" applyFill="1"/>
    <xf numFmtId="179" fontId="7" fillId="4" borderId="19" xfId="22" applyFont="1" applyFill="1" applyBorder="1"/>
    <xf numFmtId="37" fontId="7" fillId="4" borderId="19" xfId="22" applyNumberFormat="1" applyFont="1" applyFill="1" applyBorder="1"/>
    <xf numFmtId="37" fontId="7" fillId="4" borderId="49" xfId="22" applyNumberFormat="1" applyFont="1" applyFill="1" applyBorder="1"/>
    <xf numFmtId="179" fontId="6" fillId="4" borderId="27" xfId="22" applyFont="1" applyFill="1" applyBorder="1"/>
    <xf numFmtId="165" fontId="7" fillId="4" borderId="28" xfId="22" applyNumberFormat="1" applyFont="1" applyFill="1" applyBorder="1"/>
    <xf numFmtId="184" fontId="7" fillId="4" borderId="0" xfId="22" applyNumberFormat="1" applyFont="1" applyFill="1"/>
    <xf numFmtId="184" fontId="7" fillId="4" borderId="32" xfId="22" applyNumberFormat="1" applyFont="1" applyFill="1" applyBorder="1"/>
    <xf numFmtId="165" fontId="7" fillId="4" borderId="0" xfId="22" applyNumberFormat="1" applyFont="1" applyFill="1"/>
    <xf numFmtId="165" fontId="7" fillId="4" borderId="19" xfId="22" applyNumberFormat="1" applyFont="1" applyFill="1" applyBorder="1"/>
    <xf numFmtId="5" fontId="7" fillId="4" borderId="19" xfId="22" applyNumberFormat="1" applyFont="1" applyFill="1" applyBorder="1"/>
    <xf numFmtId="5" fontId="7" fillId="4" borderId="49" xfId="22" applyNumberFormat="1" applyFont="1" applyFill="1" applyBorder="1"/>
    <xf numFmtId="173" fontId="7" fillId="0" borderId="0" xfId="24" applyNumberFormat="1" applyFont="1" applyBorder="1" applyAlignment="1">
      <alignment horizontal="center"/>
    </xf>
    <xf numFmtId="165" fontId="7" fillId="0" borderId="0" xfId="21" applyNumberFormat="1" applyFont="1"/>
    <xf numFmtId="184" fontId="7" fillId="4" borderId="44" xfId="22" applyNumberFormat="1" applyFont="1" applyFill="1" applyBorder="1"/>
    <xf numFmtId="184" fontId="7" fillId="4" borderId="47" xfId="22" applyNumberFormat="1" applyFont="1" applyFill="1" applyBorder="1"/>
    <xf numFmtId="185" fontId="7" fillId="0" borderId="0" xfId="23" applyNumberFormat="1" applyFont="1" applyBorder="1" applyAlignment="1">
      <alignment horizontal="center"/>
    </xf>
    <xf numFmtId="184" fontId="7" fillId="0" borderId="0" xfId="22" applyNumberFormat="1" applyFont="1"/>
    <xf numFmtId="184" fontId="7" fillId="0" borderId="32" xfId="22" applyNumberFormat="1" applyFont="1" applyBorder="1"/>
    <xf numFmtId="165" fontId="3" fillId="0" borderId="0" xfId="21" applyNumberFormat="1" applyFont="1" applyBorder="1" applyAlignment="1">
      <alignment horizontal="center"/>
    </xf>
    <xf numFmtId="10" fontId="3" fillId="0" borderId="0" xfId="21" applyNumberFormat="1" applyFont="1" applyBorder="1"/>
    <xf numFmtId="186" fontId="7" fillId="0" borderId="32" xfId="22" applyNumberFormat="1" applyFont="1" applyBorder="1"/>
    <xf numFmtId="10" fontId="7" fillId="0" borderId="32" xfId="21" applyNumberFormat="1" applyFont="1" applyBorder="1" applyAlignment="1" applyProtection="1"/>
    <xf numFmtId="181" fontId="7" fillId="0" borderId="0" xfId="22" applyNumberFormat="1" applyFont="1" applyAlignment="1">
      <alignment horizontal="left"/>
    </xf>
    <xf numFmtId="165" fontId="7" fillId="0" borderId="32" xfId="21" applyNumberFormat="1" applyFont="1" applyBorder="1" applyAlignment="1"/>
    <xf numFmtId="187" fontId="7" fillId="11" borderId="0" xfId="22" applyNumberFormat="1" applyFont="1" applyFill="1"/>
    <xf numFmtId="184" fontId="7" fillId="11" borderId="32" xfId="22" applyNumberFormat="1" applyFont="1" applyFill="1" applyBorder="1"/>
    <xf numFmtId="37" fontId="7" fillId="11" borderId="0" xfId="22" applyNumberFormat="1" applyFont="1" applyFill="1"/>
    <xf numFmtId="184" fontId="7" fillId="11" borderId="18" xfId="22" applyNumberFormat="1" applyFont="1" applyFill="1" applyBorder="1"/>
    <xf numFmtId="5" fontId="7" fillId="11" borderId="0" xfId="22" applyNumberFormat="1" applyFont="1" applyFill="1"/>
    <xf numFmtId="5" fontId="7" fillId="11" borderId="32" xfId="22" applyNumberFormat="1" applyFont="1" applyFill="1" applyBorder="1"/>
    <xf numFmtId="37" fontId="7" fillId="11" borderId="10" xfId="22" applyNumberFormat="1" applyFont="1" applyFill="1" applyBorder="1"/>
    <xf numFmtId="172" fontId="7" fillId="0" borderId="0" xfId="24" applyNumberFormat="1" applyFont="1" applyFill="1" applyBorder="1" applyAlignment="1"/>
    <xf numFmtId="10" fontId="7" fillId="0" borderId="0" xfId="21" applyNumberFormat="1" applyFont="1" applyBorder="1" applyAlignment="1" applyProtection="1"/>
    <xf numFmtId="165" fontId="7" fillId="0" borderId="0" xfId="22" applyNumberFormat="1" applyFont="1"/>
    <xf numFmtId="172" fontId="7" fillId="0" borderId="0" xfId="24" applyNumberFormat="1" applyFont="1" applyFill="1" applyBorder="1"/>
    <xf numFmtId="10" fontId="7" fillId="0" borderId="0" xfId="21" applyNumberFormat="1" applyFont="1" applyBorder="1" applyAlignment="1"/>
    <xf numFmtId="10" fontId="7" fillId="4" borderId="0" xfId="21" applyNumberFormat="1" applyFont="1" applyFill="1" applyBorder="1"/>
    <xf numFmtId="0" fontId="18" fillId="4" borderId="0" xfId="0" applyFont="1" applyFill="1"/>
    <xf numFmtId="0" fontId="20" fillId="4" borderId="0" xfId="0" applyFont="1" applyFill="1"/>
    <xf numFmtId="0" fontId="18" fillId="0" borderId="0" xfId="0" applyFont="1"/>
    <xf numFmtId="0" fontId="20" fillId="0" borderId="0" xfId="0" applyFont="1"/>
    <xf numFmtId="0" fontId="2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0" xfId="0" applyFont="1" applyFill="1"/>
    <xf numFmtId="0" fontId="21" fillId="4" borderId="0" xfId="0" applyFont="1" applyFill="1"/>
    <xf numFmtId="5" fontId="20" fillId="4" borderId="0" xfId="0" applyNumberFormat="1" applyFont="1" applyFill="1"/>
    <xf numFmtId="37" fontId="20" fillId="4" borderId="0" xfId="0" applyNumberFormat="1" applyFont="1" applyFill="1"/>
    <xf numFmtId="37" fontId="20" fillId="4" borderId="18" xfId="0" applyNumberFormat="1" applyFont="1" applyFill="1" applyBorder="1"/>
    <xf numFmtId="0" fontId="19" fillId="4" borderId="0" xfId="0" applyFont="1" applyFill="1" applyAlignment="1">
      <alignment horizontal="left" indent="2"/>
    </xf>
    <xf numFmtId="37" fontId="20" fillId="0" borderId="18" xfId="0" applyNumberFormat="1" applyFont="1" applyBorder="1"/>
    <xf numFmtId="0" fontId="19" fillId="4" borderId="0" xfId="0" applyFont="1" applyFill="1"/>
    <xf numFmtId="5" fontId="19" fillId="4" borderId="44" xfId="0" applyNumberFormat="1" applyFont="1" applyFill="1" applyBorder="1"/>
    <xf numFmtId="37" fontId="19" fillId="4" borderId="0" xfId="0" applyNumberFormat="1" applyFont="1" applyFill="1"/>
    <xf numFmtId="0" fontId="19" fillId="4" borderId="0" xfId="0" quotePrefix="1" applyFont="1" applyFill="1"/>
    <xf numFmtId="0" fontId="20" fillId="4" borderId="0" xfId="0" quotePrefix="1" applyFont="1" applyFill="1"/>
    <xf numFmtId="5" fontId="19" fillId="4" borderId="0" xfId="2" applyNumberFormat="1" applyFont="1" applyFill="1"/>
    <xf numFmtId="10" fontId="19" fillId="4" borderId="0" xfId="3" applyNumberFormat="1" applyFont="1" applyFill="1"/>
    <xf numFmtId="0" fontId="7" fillId="0" borderId="0" xfId="27" applyFont="1"/>
    <xf numFmtId="0" fontId="17" fillId="0" borderId="0" xfId="27" applyFont="1"/>
    <xf numFmtId="0" fontId="7" fillId="2" borderId="30" xfId="27" applyFont="1" applyFill="1" applyBorder="1"/>
    <xf numFmtId="0" fontId="7" fillId="2" borderId="7" xfId="27" applyFont="1" applyFill="1" applyBorder="1"/>
    <xf numFmtId="0" fontId="7" fillId="3" borderId="7" xfId="27" applyFont="1" applyFill="1" applyBorder="1"/>
    <xf numFmtId="0" fontId="7" fillId="0" borderId="7" xfId="27" applyFont="1" applyBorder="1" applyAlignment="1">
      <alignment horizontal="center"/>
    </xf>
    <xf numFmtId="0" fontId="7" fillId="4" borderId="7" xfId="27" applyFont="1" applyFill="1" applyBorder="1" applyAlignment="1">
      <alignment horizontal="center"/>
    </xf>
    <xf numFmtId="0" fontId="7" fillId="4" borderId="7" xfId="27" applyFont="1" applyFill="1" applyBorder="1"/>
    <xf numFmtId="0" fontId="6" fillId="4" borderId="29" xfId="27" applyFont="1" applyFill="1" applyBorder="1"/>
    <xf numFmtId="0" fontId="7" fillId="4" borderId="0" xfId="27" applyFont="1" applyFill="1" applyAlignment="1">
      <alignment horizontal="center"/>
    </xf>
    <xf numFmtId="0" fontId="7" fillId="0" borderId="0" xfId="27" applyFont="1" applyAlignment="1">
      <alignment horizontal="center"/>
    </xf>
    <xf numFmtId="0" fontId="7" fillId="4" borderId="0" xfId="27" applyFont="1" applyFill="1"/>
    <xf numFmtId="0" fontId="12" fillId="4" borderId="0" xfId="27" applyFont="1" applyFill="1"/>
    <xf numFmtId="0" fontId="7" fillId="7" borderId="7" xfId="27" applyFont="1" applyFill="1" applyBorder="1"/>
    <xf numFmtId="0" fontId="7" fillId="7" borderId="30" xfId="27" applyFont="1" applyFill="1" applyBorder="1"/>
    <xf numFmtId="0" fontId="7" fillId="7" borderId="7" xfId="27" applyFont="1" applyFill="1" applyBorder="1" applyAlignment="1">
      <alignment horizontal="center"/>
    </xf>
    <xf numFmtId="0" fontId="7" fillId="0" borderId="30" xfId="27" applyFont="1" applyBorder="1"/>
    <xf numFmtId="0" fontId="7" fillId="0" borderId="7" xfId="27" applyFont="1" applyBorder="1"/>
    <xf numFmtId="0" fontId="7" fillId="4" borderId="7" xfId="27" applyFont="1" applyFill="1" applyBorder="1" applyAlignment="1">
      <alignment horizontal="left"/>
    </xf>
    <xf numFmtId="169" fontId="7" fillId="0" borderId="0" xfId="27" applyNumberFormat="1" applyFont="1"/>
    <xf numFmtId="170" fontId="7" fillId="0" borderId="0" xfId="27" applyNumberFormat="1" applyFont="1"/>
    <xf numFmtId="170" fontId="31" fillId="12" borderId="0" xfId="27" applyNumberFormat="1" applyFont="1" applyFill="1" applyAlignment="1">
      <alignment horizontal="center"/>
    </xf>
    <xf numFmtId="170" fontId="31" fillId="12" borderId="0" xfId="27" applyNumberFormat="1" applyFont="1" applyFill="1"/>
    <xf numFmtId="169" fontId="33" fillId="0" borderId="0" xfId="27" applyNumberFormat="1" applyFont="1"/>
    <xf numFmtId="169" fontId="7" fillId="0" borderId="0" xfId="27" applyNumberFormat="1" applyFont="1" applyAlignment="1">
      <alignment horizontal="center"/>
    </xf>
    <xf numFmtId="169" fontId="7" fillId="0" borderId="18" xfId="27" applyNumberFormat="1" applyFont="1" applyBorder="1"/>
    <xf numFmtId="168" fontId="7" fillId="0" borderId="18" xfId="27" applyNumberFormat="1" applyFont="1" applyBorder="1"/>
    <xf numFmtId="169" fontId="7" fillId="4" borderId="18" xfId="27" applyNumberFormat="1" applyFont="1" applyFill="1" applyBorder="1"/>
    <xf numFmtId="168" fontId="7" fillId="4" borderId="18" xfId="27" applyNumberFormat="1" applyFont="1" applyFill="1" applyBorder="1"/>
    <xf numFmtId="169" fontId="7" fillId="4" borderId="23" xfId="27" applyNumberFormat="1" applyFont="1" applyFill="1" applyBorder="1"/>
    <xf numFmtId="0" fontId="7" fillId="4" borderId="23" xfId="27" applyFont="1" applyFill="1" applyBorder="1" applyAlignment="1">
      <alignment horizontal="center"/>
    </xf>
    <xf numFmtId="0" fontId="31" fillId="12" borderId="0" xfId="27" applyFont="1" applyFill="1" applyAlignment="1">
      <alignment horizontal="center"/>
    </xf>
    <xf numFmtId="169" fontId="7" fillId="4" borderId="19" xfId="27" applyNumberFormat="1" applyFont="1" applyFill="1" applyBorder="1"/>
    <xf numFmtId="169" fontId="7" fillId="0" borderId="23" xfId="27" applyNumberFormat="1" applyFont="1" applyBorder="1"/>
    <xf numFmtId="0" fontId="7" fillId="4" borderId="18" xfId="27" applyFont="1" applyFill="1" applyBorder="1" applyAlignment="1">
      <alignment horizontal="center"/>
    </xf>
    <xf numFmtId="169" fontId="7" fillId="4" borderId="0" xfId="27" applyNumberFormat="1" applyFont="1" applyFill="1"/>
    <xf numFmtId="171" fontId="7" fillId="4" borderId="18" xfId="27" applyNumberFormat="1" applyFont="1" applyFill="1" applyBorder="1" applyAlignment="1">
      <alignment horizontal="center"/>
    </xf>
    <xf numFmtId="171" fontId="7" fillId="4" borderId="0" xfId="27" applyNumberFormat="1" applyFont="1" applyFill="1" applyAlignment="1">
      <alignment horizontal="center"/>
    </xf>
    <xf numFmtId="169" fontId="7" fillId="0" borderId="19" xfId="27" applyNumberFormat="1" applyFont="1" applyBorder="1"/>
    <xf numFmtId="0" fontId="7" fillId="4" borderId="19" xfId="27" applyFont="1" applyFill="1" applyBorder="1" applyAlignment="1">
      <alignment horizontal="center"/>
    </xf>
    <xf numFmtId="170" fontId="31" fillId="13" borderId="0" xfId="27" applyNumberFormat="1" applyFont="1" applyFill="1" applyAlignment="1">
      <alignment horizontal="center"/>
    </xf>
    <xf numFmtId="0" fontId="6" fillId="0" borderId="0" xfId="27" applyFont="1" applyAlignment="1">
      <alignment horizontal="right"/>
    </xf>
    <xf numFmtId="0" fontId="6" fillId="12" borderId="0" xfId="27" applyFont="1" applyFill="1" applyAlignment="1">
      <alignment horizontal="center"/>
    </xf>
    <xf numFmtId="37" fontId="6" fillId="12" borderId="10" xfId="27" applyNumberFormat="1" applyFont="1" applyFill="1" applyBorder="1" applyAlignment="1">
      <alignment horizontal="center"/>
    </xf>
    <xf numFmtId="0" fontId="6" fillId="12" borderId="10" xfId="27" applyFont="1" applyFill="1" applyBorder="1" applyAlignment="1">
      <alignment horizontal="center"/>
    </xf>
    <xf numFmtId="0" fontId="6" fillId="0" borderId="0" xfId="27" applyFont="1" applyAlignment="1">
      <alignment horizontal="center"/>
    </xf>
    <xf numFmtId="0" fontId="33" fillId="0" borderId="0" xfId="27" applyFont="1" applyAlignment="1">
      <alignment horizontal="center"/>
    </xf>
    <xf numFmtId="0" fontId="6" fillId="0" borderId="18" xfId="27" applyFont="1" applyBorder="1" applyAlignment="1">
      <alignment horizontal="center"/>
    </xf>
    <xf numFmtId="0" fontId="6" fillId="4" borderId="18" xfId="27" applyFont="1" applyFill="1" applyBorder="1" applyAlignment="1">
      <alignment horizontal="center"/>
    </xf>
    <xf numFmtId="0" fontId="6" fillId="12" borderId="0" xfId="27" applyFont="1" applyFill="1" applyAlignment="1">
      <alignment horizontal="center" wrapText="1"/>
    </xf>
    <xf numFmtId="0" fontId="6" fillId="0" borderId="0" xfId="27" applyFont="1" applyAlignment="1">
      <alignment horizontal="center" wrapText="1"/>
    </xf>
    <xf numFmtId="0" fontId="6" fillId="4" borderId="0" xfId="27" applyFont="1" applyFill="1" applyAlignment="1">
      <alignment horizontal="center"/>
    </xf>
    <xf numFmtId="0" fontId="6" fillId="4" borderId="0" xfId="27" applyFont="1" applyFill="1" applyAlignment="1">
      <alignment horizontal="right"/>
    </xf>
    <xf numFmtId="0" fontId="6" fillId="12" borderId="0" xfId="27" applyFont="1" applyFill="1" applyAlignment="1">
      <alignment horizontal="right"/>
    </xf>
    <xf numFmtId="0" fontId="7" fillId="12" borderId="0" xfId="27" applyFont="1" applyFill="1" applyAlignment="1">
      <alignment horizontal="right"/>
    </xf>
    <xf numFmtId="0" fontId="7" fillId="0" borderId="0" xfId="27" applyFont="1" applyAlignment="1">
      <alignment horizontal="right"/>
    </xf>
    <xf numFmtId="37" fontId="7" fillId="3" borderId="0" xfId="27" applyNumberFormat="1" applyFont="1" applyFill="1" applyAlignment="1">
      <alignment horizontal="center" wrapText="1"/>
    </xf>
    <xf numFmtId="0" fontId="7" fillId="0" borderId="0" xfId="27" applyFont="1" applyAlignment="1">
      <alignment horizontal="center" wrapText="1"/>
    </xf>
    <xf numFmtId="0" fontId="7" fillId="0" borderId="0" xfId="27" applyFont="1" applyAlignment="1">
      <alignment horizontal="right" wrapText="1"/>
    </xf>
    <xf numFmtId="37" fontId="7" fillId="0" borderId="0" xfId="27" applyNumberFormat="1" applyFont="1" applyAlignment="1">
      <alignment horizontal="center" wrapText="1"/>
    </xf>
    <xf numFmtId="0" fontId="6" fillId="0" borderId="10" xfId="27" applyFont="1" applyBorder="1" applyAlignment="1">
      <alignment horizontal="center" wrapText="1"/>
    </xf>
    <xf numFmtId="37" fontId="6" fillId="14" borderId="10" xfId="27" applyNumberFormat="1" applyFont="1" applyFill="1" applyBorder="1" applyAlignment="1">
      <alignment horizontal="center" wrapText="1"/>
    </xf>
    <xf numFmtId="0" fontId="6" fillId="10" borderId="10" xfId="27" applyFont="1" applyFill="1" applyBorder="1" applyAlignment="1">
      <alignment horizontal="center" wrapText="1"/>
    </xf>
    <xf numFmtId="37" fontId="6" fillId="10" borderId="10" xfId="27" applyNumberFormat="1" applyFont="1" applyFill="1" applyBorder="1" applyAlignment="1">
      <alignment horizontal="center" wrapText="1"/>
    </xf>
    <xf numFmtId="0" fontId="6" fillId="4" borderId="10" xfId="27" applyFont="1" applyFill="1" applyBorder="1" applyAlignment="1">
      <alignment horizontal="center" wrapText="1"/>
    </xf>
    <xf numFmtId="0" fontId="7" fillId="11" borderId="23" xfId="27" applyFont="1" applyFill="1" applyBorder="1" applyAlignment="1">
      <alignment horizontal="centerContinuous"/>
    </xf>
    <xf numFmtId="0" fontId="6" fillId="11" borderId="23" xfId="27" applyFont="1" applyFill="1" applyBorder="1" applyAlignment="1">
      <alignment horizontal="centerContinuous"/>
    </xf>
    <xf numFmtId="0" fontId="7" fillId="12" borderId="0" xfId="27" applyFont="1" applyFill="1" applyAlignment="1">
      <alignment horizontal="center"/>
    </xf>
    <xf numFmtId="0" fontId="7" fillId="12" borderId="0" xfId="27" applyFont="1" applyFill="1"/>
    <xf numFmtId="0" fontId="7" fillId="15" borderId="23" xfId="27" applyFont="1" applyFill="1" applyBorder="1" applyAlignment="1">
      <alignment horizontal="centerContinuous"/>
    </xf>
    <xf numFmtId="0" fontId="6" fillId="15" borderId="23" xfId="27" applyFont="1" applyFill="1" applyBorder="1" applyAlignment="1">
      <alignment horizontal="centerContinuous"/>
    </xf>
    <xf numFmtId="0" fontId="6" fillId="15" borderId="0" xfId="27" applyFont="1" applyFill="1" applyAlignment="1">
      <alignment horizontal="center"/>
    </xf>
    <xf numFmtId="0" fontId="6" fillId="11" borderId="0" xfId="27" applyFont="1" applyFill="1" applyAlignment="1">
      <alignment horizontal="center"/>
    </xf>
    <xf numFmtId="0" fontId="6" fillId="11" borderId="23" xfId="27" applyFont="1" applyFill="1" applyBorder="1" applyAlignment="1">
      <alignment horizontal="center"/>
    </xf>
    <xf numFmtId="0" fontId="6" fillId="15" borderId="23" xfId="27" applyFont="1" applyFill="1" applyBorder="1" applyAlignment="1">
      <alignment horizontal="center"/>
    </xf>
    <xf numFmtId="0" fontId="7" fillId="15" borderId="0" xfId="27" applyFont="1" applyFill="1"/>
    <xf numFmtId="0" fontId="6" fillId="15" borderId="0" xfId="27" applyFont="1" applyFill="1" applyAlignment="1">
      <alignment horizontal="centerContinuous"/>
    </xf>
    <xf numFmtId="0" fontId="7" fillId="16" borderId="0" xfId="27" applyFont="1" applyFill="1"/>
    <xf numFmtId="0" fontId="7" fillId="13" borderId="0" xfId="27" applyFont="1" applyFill="1"/>
    <xf numFmtId="0" fontId="34" fillId="4" borderId="0" xfId="27" applyFont="1" applyFill="1" applyAlignment="1">
      <alignment horizontal="center"/>
    </xf>
    <xf numFmtId="0" fontId="7" fillId="11" borderId="0" xfId="27" applyFont="1" applyFill="1"/>
    <xf numFmtId="0" fontId="7" fillId="11" borderId="0" xfId="27" applyFont="1" applyFill="1" applyAlignment="1">
      <alignment horizontal="center"/>
    </xf>
    <xf numFmtId="0" fontId="35" fillId="0" borderId="0" xfId="27" applyFont="1"/>
    <xf numFmtId="169" fontId="6" fillId="0" borderId="0" xfId="27" applyNumberFormat="1" applyFont="1"/>
    <xf numFmtId="14" fontId="6" fillId="0" borderId="0" xfId="27" applyNumberFormat="1" applyFont="1" applyAlignment="1">
      <alignment horizontal="center"/>
    </xf>
    <xf numFmtId="173" fontId="6" fillId="0" borderId="0" xfId="28" applyNumberFormat="1" applyFont="1" applyFill="1" applyAlignment="1">
      <alignment horizontal="center"/>
    </xf>
    <xf numFmtId="14" fontId="36" fillId="0" borderId="0" xfId="27" applyNumberFormat="1" applyFont="1" applyAlignment="1">
      <alignment horizontal="center"/>
    </xf>
    <xf numFmtId="14" fontId="6" fillId="4" borderId="0" xfId="27" applyNumberFormat="1" applyFont="1" applyFill="1" applyAlignment="1">
      <alignment horizontal="center" wrapText="1"/>
    </xf>
    <xf numFmtId="15" fontId="7" fillId="12" borderId="0" xfId="27" applyNumberFormat="1" applyFont="1" applyFill="1" applyAlignment="1">
      <alignment horizontal="center"/>
    </xf>
    <xf numFmtId="170" fontId="6" fillId="0" borderId="0" xfId="27" applyNumberFormat="1" applyFont="1" applyAlignment="1">
      <alignment horizontal="center"/>
    </xf>
    <xf numFmtId="0" fontId="3" fillId="0" borderId="0" xfId="27" applyFont="1"/>
    <xf numFmtId="0" fontId="6" fillId="4" borderId="0" xfId="27" applyFont="1" applyFill="1"/>
    <xf numFmtId="0" fontId="5" fillId="0" borderId="0" xfId="27"/>
    <xf numFmtId="167" fontId="7" fillId="0" borderId="0" xfId="27" applyNumberFormat="1" applyFont="1" applyAlignment="1">
      <alignment horizontal="center"/>
    </xf>
    <xf numFmtId="167" fontId="7" fillId="3" borderId="7" xfId="27" applyNumberFormat="1" applyFont="1" applyFill="1" applyBorder="1" applyAlignment="1">
      <alignment horizontal="center"/>
    </xf>
    <xf numFmtId="167" fontId="7" fillId="0" borderId="7" xfId="27" applyNumberFormat="1" applyFont="1" applyBorder="1" applyAlignment="1">
      <alignment horizontal="center"/>
    </xf>
    <xf numFmtId="0" fontId="6" fillId="0" borderId="29" xfId="27" applyFont="1" applyBorder="1"/>
    <xf numFmtId="0" fontId="12" fillId="0" borderId="0" xfId="27" applyFont="1"/>
    <xf numFmtId="5" fontId="7" fillId="0" borderId="0" xfId="27" applyNumberFormat="1" applyFont="1"/>
    <xf numFmtId="37" fontId="7" fillId="0" borderId="0" xfId="27" applyNumberFormat="1" applyFont="1"/>
    <xf numFmtId="5" fontId="6" fillId="0" borderId="0" xfId="27" applyNumberFormat="1" applyFont="1"/>
    <xf numFmtId="168" fontId="7" fillId="0" borderId="0" xfId="27" applyNumberFormat="1" applyFont="1"/>
    <xf numFmtId="172" fontId="7" fillId="0" borderId="0" xfId="28" applyNumberFormat="1" applyFont="1"/>
    <xf numFmtId="5" fontId="7" fillId="0" borderId="19" xfId="27" applyNumberFormat="1" applyFont="1" applyBorder="1"/>
    <xf numFmtId="5" fontId="7" fillId="0" borderId="18" xfId="27" applyNumberFormat="1" applyFont="1" applyBorder="1"/>
    <xf numFmtId="37" fontId="7" fillId="0" borderId="28" xfId="27" applyNumberFormat="1" applyFont="1" applyBorder="1"/>
    <xf numFmtId="37" fontId="7" fillId="0" borderId="23" xfId="27" applyNumberFormat="1" applyFont="1" applyBorder="1"/>
    <xf numFmtId="167" fontId="7" fillId="0" borderId="27" xfId="27" applyNumberFormat="1" applyFont="1" applyBorder="1" applyAlignment="1">
      <alignment horizontal="center"/>
    </xf>
    <xf numFmtId="169" fontId="7" fillId="0" borderId="22" xfId="27" applyNumberFormat="1" applyFont="1" applyBorder="1"/>
    <xf numFmtId="37" fontId="7" fillId="0" borderId="18" xfId="27" applyNumberFormat="1" applyFont="1" applyBorder="1"/>
    <xf numFmtId="167" fontId="7" fillId="0" borderId="21" xfId="27" applyNumberFormat="1" applyFont="1" applyBorder="1" applyAlignment="1">
      <alignment horizontal="center"/>
    </xf>
    <xf numFmtId="168" fontId="7" fillId="0" borderId="22" xfId="27" applyNumberFormat="1" applyFont="1" applyBorder="1"/>
    <xf numFmtId="37" fontId="7" fillId="2" borderId="20" xfId="27" applyNumberFormat="1" applyFont="1" applyFill="1" applyBorder="1"/>
    <xf numFmtId="0" fontId="7" fillId="0" borderId="23" xfId="27" applyFont="1" applyBorder="1" applyAlignment="1">
      <alignment horizontal="center"/>
    </xf>
    <xf numFmtId="0" fontId="7" fillId="0" borderId="18" xfId="27" applyFont="1" applyBorder="1" applyAlignment="1">
      <alignment horizontal="center"/>
    </xf>
    <xf numFmtId="171" fontId="7" fillId="0" borderId="18" xfId="27" applyNumberFormat="1" applyFont="1" applyBorder="1" applyAlignment="1">
      <alignment horizontal="center"/>
    </xf>
    <xf numFmtId="169" fontId="7" fillId="0" borderId="17" xfId="27" applyNumberFormat="1" applyFont="1" applyBorder="1"/>
    <xf numFmtId="167" fontId="7" fillId="0" borderId="16" xfId="27" applyNumberFormat="1" applyFont="1" applyBorder="1" applyAlignment="1">
      <alignment horizontal="center"/>
    </xf>
    <xf numFmtId="168" fontId="7" fillId="0" borderId="17" xfId="27" applyNumberFormat="1" applyFont="1" applyBorder="1"/>
    <xf numFmtId="37" fontId="7" fillId="2" borderId="15" xfId="27" applyNumberFormat="1" applyFont="1" applyFill="1" applyBorder="1"/>
    <xf numFmtId="171" fontId="7" fillId="0" borderId="0" xfId="27" applyNumberFormat="1" applyFont="1" applyAlignment="1">
      <alignment horizontal="center"/>
    </xf>
    <xf numFmtId="169" fontId="7" fillId="0" borderId="26" xfId="27" applyNumberFormat="1" applyFont="1" applyBorder="1"/>
    <xf numFmtId="37" fontId="7" fillId="0" borderId="19" xfId="27" applyNumberFormat="1" applyFont="1" applyBorder="1"/>
    <xf numFmtId="167" fontId="7" fillId="0" borderId="25" xfId="27" applyNumberFormat="1" applyFont="1" applyBorder="1" applyAlignment="1">
      <alignment horizontal="center"/>
    </xf>
    <xf numFmtId="168" fontId="7" fillId="0" borderId="26" xfId="27" applyNumberFormat="1" applyFont="1" applyBorder="1"/>
    <xf numFmtId="37" fontId="7" fillId="2" borderId="24" xfId="27" applyNumberFormat="1" applyFont="1" applyFill="1" applyBorder="1"/>
    <xf numFmtId="0" fontId="6" fillId="0" borderId="22" xfId="27" applyFont="1" applyBorder="1" applyAlignment="1">
      <alignment horizontal="center"/>
    </xf>
    <xf numFmtId="0" fontId="6" fillId="0" borderId="21" xfId="27" applyFont="1" applyBorder="1" applyAlignment="1">
      <alignment horizontal="center"/>
    </xf>
    <xf numFmtId="0" fontId="6" fillId="2" borderId="20" xfId="27" applyFont="1" applyFill="1" applyBorder="1" applyAlignment="1">
      <alignment horizontal="center"/>
    </xf>
    <xf numFmtId="0" fontId="7" fillId="0" borderId="19" xfId="27" applyFont="1" applyBorder="1" applyAlignment="1">
      <alignment horizontal="center"/>
    </xf>
    <xf numFmtId="0" fontId="6" fillId="0" borderId="17" xfId="27" applyFont="1" applyBorder="1" applyAlignment="1">
      <alignment horizontal="center"/>
    </xf>
    <xf numFmtId="0" fontId="6" fillId="0" borderId="16" xfId="27" applyFont="1" applyBorder="1" applyAlignment="1">
      <alignment horizontal="center"/>
    </xf>
    <xf numFmtId="0" fontId="6" fillId="2" borderId="15" xfId="27" applyFont="1" applyFill="1" applyBorder="1" applyAlignment="1">
      <alignment horizontal="right"/>
    </xf>
    <xf numFmtId="37" fontId="6" fillId="0" borderId="0" xfId="27" applyNumberFormat="1" applyFont="1" applyAlignment="1">
      <alignment horizontal="right"/>
    </xf>
    <xf numFmtId="166" fontId="6" fillId="0" borderId="0" xfId="28" applyNumberFormat="1" applyFont="1" applyBorder="1" applyAlignment="1">
      <alignment horizontal="right"/>
    </xf>
    <xf numFmtId="164" fontId="6" fillId="0" borderId="0" xfId="29" applyNumberFormat="1" applyFont="1" applyFill="1" applyAlignment="1">
      <alignment horizontal="right"/>
    </xf>
    <xf numFmtId="37" fontId="7" fillId="0" borderId="14" xfId="27" applyNumberFormat="1" applyFont="1" applyBorder="1"/>
    <xf numFmtId="37" fontId="7" fillId="0" borderId="13" xfId="27" applyNumberFormat="1" applyFont="1" applyBorder="1"/>
    <xf numFmtId="37" fontId="7" fillId="0" borderId="12" xfId="27" applyNumberFormat="1" applyFont="1" applyBorder="1"/>
    <xf numFmtId="37" fontId="7" fillId="0" borderId="8" xfId="27" applyNumberFormat="1" applyFont="1" applyBorder="1"/>
    <xf numFmtId="37" fontId="7" fillId="0" borderId="7" xfId="27" applyNumberFormat="1" applyFont="1" applyBorder="1"/>
    <xf numFmtId="37" fontId="7" fillId="0" borderId="6" xfId="27" applyNumberFormat="1" applyFont="1" applyBorder="1"/>
    <xf numFmtId="0" fontId="7" fillId="0" borderId="11" xfId="27" applyFont="1" applyBorder="1"/>
    <xf numFmtId="0" fontId="7" fillId="0" borderId="10" xfId="27" applyFont="1" applyBorder="1" applyAlignment="1">
      <alignment horizontal="center"/>
    </xf>
    <xf numFmtId="43" fontId="7" fillId="0" borderId="0" xfId="28" applyFont="1" applyFill="1"/>
    <xf numFmtId="0" fontId="7" fillId="0" borderId="8" xfId="27" applyFont="1" applyBorder="1"/>
    <xf numFmtId="165" fontId="7" fillId="0" borderId="6" xfId="30" applyNumberFormat="1" applyFont="1" applyBorder="1"/>
    <xf numFmtId="0" fontId="7" fillId="0" borderId="5" xfId="27" applyFont="1" applyBorder="1"/>
    <xf numFmtId="164" fontId="7" fillId="0" borderId="9" xfId="29" applyNumberFormat="1" applyFont="1" applyFill="1" applyBorder="1"/>
    <xf numFmtId="37" fontId="7" fillId="0" borderId="6" xfId="27" applyNumberFormat="1" applyFont="1" applyBorder="1" applyAlignment="1">
      <alignment horizontal="center"/>
    </xf>
    <xf numFmtId="0" fontId="7" fillId="0" borderId="3" xfId="27" applyFont="1" applyBorder="1" applyAlignment="1">
      <alignment horizontal="centerContinuous"/>
    </xf>
    <xf numFmtId="0" fontId="6" fillId="0" borderId="2" xfId="27" applyFont="1" applyBorder="1" applyAlignment="1">
      <alignment horizontal="centerContinuous"/>
    </xf>
    <xf numFmtId="37" fontId="6" fillId="0" borderId="1" xfId="27" applyNumberFormat="1" applyFont="1" applyBorder="1" applyAlignment="1">
      <alignment horizontal="centerContinuous"/>
    </xf>
    <xf numFmtId="0" fontId="6" fillId="0" borderId="0" xfId="27" applyFont="1"/>
    <xf numFmtId="0" fontId="9" fillId="0" borderId="0" xfId="27" applyFont="1"/>
    <xf numFmtId="174" fontId="7" fillId="0" borderId="0" xfId="28" applyNumberFormat="1" applyFont="1" applyBorder="1"/>
    <xf numFmtId="43" fontId="7" fillId="0" borderId="0" xfId="28" applyFont="1" applyBorder="1"/>
    <xf numFmtId="173" fontId="7" fillId="0" borderId="0" xfId="28" applyNumberFormat="1" applyFont="1" applyBorder="1"/>
    <xf numFmtId="0" fontId="7" fillId="3" borderId="0" xfId="27" applyFont="1" applyFill="1"/>
    <xf numFmtId="7" fontId="7" fillId="0" borderId="0" xfId="28" applyNumberFormat="1" applyFont="1" applyBorder="1"/>
    <xf numFmtId="0" fontId="7" fillId="2" borderId="7" xfId="27" applyFont="1" applyFill="1" applyBorder="1" applyAlignment="1">
      <alignment horizontal="center"/>
    </xf>
    <xf numFmtId="0" fontId="7" fillId="0" borderId="29" xfId="27" applyFont="1" applyBorder="1"/>
    <xf numFmtId="37" fontId="7" fillId="0" borderId="29" xfId="27" applyNumberFormat="1" applyFont="1" applyBorder="1"/>
    <xf numFmtId="0" fontId="7" fillId="3" borderId="7" xfId="27" applyFont="1" applyFill="1" applyBorder="1" applyAlignment="1">
      <alignment horizontal="center"/>
    </xf>
    <xf numFmtId="0" fontId="7" fillId="2" borderId="10" xfId="27" applyFont="1" applyFill="1" applyBorder="1" applyAlignment="1">
      <alignment horizontal="center"/>
    </xf>
    <xf numFmtId="37" fontId="7" fillId="0" borderId="10" xfId="27" applyNumberFormat="1" applyFont="1" applyBorder="1"/>
    <xf numFmtId="37" fontId="7" fillId="0" borderId="34" xfId="27" applyNumberFormat="1" applyFont="1" applyBorder="1"/>
    <xf numFmtId="175" fontId="7" fillId="0" borderId="0" xfId="27" applyNumberFormat="1" applyFont="1"/>
    <xf numFmtId="175" fontId="7" fillId="3" borderId="0" xfId="27" applyNumberFormat="1" applyFont="1" applyFill="1"/>
    <xf numFmtId="175" fontId="7" fillId="4" borderId="0" xfId="27" applyNumberFormat="1" applyFont="1" applyFill="1"/>
    <xf numFmtId="175" fontId="6" fillId="0" borderId="0" xfId="30" applyNumberFormat="1" applyFont="1" applyBorder="1"/>
    <xf numFmtId="39" fontId="7" fillId="0" borderId="0" xfId="27" applyNumberFormat="1" applyFont="1"/>
    <xf numFmtId="39" fontId="7" fillId="3" borderId="0" xfId="27" applyNumberFormat="1" applyFont="1" applyFill="1"/>
    <xf numFmtId="39" fontId="7" fillId="4" borderId="0" xfId="27" applyNumberFormat="1" applyFont="1" applyFill="1"/>
    <xf numFmtId="175" fontId="7" fillId="0" borderId="34" xfId="30" applyNumberFormat="1" applyFont="1" applyBorder="1" applyAlignment="1">
      <alignment horizontal="center"/>
    </xf>
    <xf numFmtId="39" fontId="7" fillId="0" borderId="18" xfId="27" applyNumberFormat="1" applyFont="1" applyBorder="1"/>
    <xf numFmtId="175" fontId="7" fillId="0" borderId="9" xfId="30" applyNumberFormat="1" applyFont="1" applyBorder="1" applyAlignment="1">
      <alignment horizontal="center"/>
    </xf>
    <xf numFmtId="39" fontId="7" fillId="0" borderId="9" xfId="27" applyNumberFormat="1" applyFont="1" applyBorder="1"/>
    <xf numFmtId="175" fontId="6" fillId="0" borderId="9" xfId="30" applyNumberFormat="1" applyFont="1" applyFill="1" applyBorder="1"/>
    <xf numFmtId="7" fontId="7" fillId="0" borderId="18" xfId="27" applyNumberFormat="1" applyFont="1" applyBorder="1"/>
    <xf numFmtId="168" fontId="7" fillId="0" borderId="23" xfId="27" applyNumberFormat="1" applyFont="1" applyBorder="1"/>
    <xf numFmtId="39" fontId="7" fillId="3" borderId="9" xfId="27" applyNumberFormat="1" applyFont="1" applyFill="1" applyBorder="1"/>
    <xf numFmtId="39" fontId="7" fillId="3" borderId="18" xfId="27" applyNumberFormat="1" applyFont="1" applyFill="1" applyBorder="1"/>
    <xf numFmtId="39" fontId="7" fillId="3" borderId="23" xfId="27" applyNumberFormat="1" applyFont="1" applyFill="1" applyBorder="1"/>
    <xf numFmtId="39" fontId="7" fillId="0" borderId="23" xfId="27" applyNumberFormat="1" applyFont="1" applyBorder="1"/>
    <xf numFmtId="39" fontId="7" fillId="4" borderId="9" xfId="27" applyNumberFormat="1" applyFont="1" applyFill="1" applyBorder="1"/>
    <xf numFmtId="39" fontId="7" fillId="4" borderId="18" xfId="27" applyNumberFormat="1" applyFont="1" applyFill="1" applyBorder="1"/>
    <xf numFmtId="39" fontId="7" fillId="4" borderId="23" xfId="27" applyNumberFormat="1" applyFont="1" applyFill="1" applyBorder="1"/>
    <xf numFmtId="167" fontId="7" fillId="0" borderId="18" xfId="27" applyNumberFormat="1" applyFont="1" applyBorder="1"/>
    <xf numFmtId="169" fontId="7" fillId="0" borderId="23" xfId="27" applyNumberFormat="1" applyFont="1" applyBorder="1" applyAlignment="1">
      <alignment horizontal="center"/>
    </xf>
    <xf numFmtId="175" fontId="7" fillId="0" borderId="38" xfId="30" applyNumberFormat="1" applyFont="1" applyBorder="1" applyAlignment="1">
      <alignment horizontal="center"/>
    </xf>
    <xf numFmtId="175" fontId="7" fillId="0" borderId="37" xfId="30" applyNumberFormat="1" applyFont="1" applyBorder="1" applyAlignment="1">
      <alignment horizontal="center"/>
    </xf>
    <xf numFmtId="175" fontId="7" fillId="0" borderId="37" xfId="30" applyNumberFormat="1" applyFont="1" applyBorder="1"/>
    <xf numFmtId="175" fontId="6" fillId="0" borderId="37" xfId="30" applyNumberFormat="1" applyFont="1" applyFill="1" applyBorder="1"/>
    <xf numFmtId="175" fontId="6" fillId="3" borderId="37" xfId="30" applyNumberFormat="1" applyFont="1" applyFill="1" applyBorder="1"/>
    <xf numFmtId="7" fontId="7" fillId="3" borderId="18" xfId="27" applyNumberFormat="1" applyFont="1" applyFill="1" applyBorder="1"/>
    <xf numFmtId="168" fontId="7" fillId="3" borderId="23" xfId="27" applyNumberFormat="1" applyFont="1" applyFill="1" applyBorder="1"/>
    <xf numFmtId="175" fontId="7" fillId="0" borderId="37" xfId="30" applyNumberFormat="1" applyFont="1" applyFill="1" applyBorder="1"/>
    <xf numFmtId="175" fontId="7" fillId="4" borderId="37" xfId="30" applyNumberFormat="1" applyFont="1" applyFill="1" applyBorder="1"/>
    <xf numFmtId="7" fontId="7" fillId="4" borderId="18" xfId="27" applyNumberFormat="1" applyFont="1" applyFill="1" applyBorder="1"/>
    <xf numFmtId="168" fontId="7" fillId="4" borderId="23" xfId="27" applyNumberFormat="1" applyFont="1" applyFill="1" applyBorder="1"/>
    <xf numFmtId="7" fontId="7" fillId="0" borderId="23" xfId="27" applyNumberFormat="1" applyFont="1" applyBorder="1"/>
    <xf numFmtId="175" fontId="7" fillId="0" borderId="40" xfId="30" applyNumberFormat="1" applyFont="1" applyBorder="1"/>
    <xf numFmtId="175" fontId="7" fillId="0" borderId="40" xfId="30" applyNumberFormat="1" applyFont="1" applyFill="1" applyBorder="1"/>
    <xf numFmtId="167" fontId="7" fillId="0" borderId="23" xfId="27" applyNumberFormat="1" applyFont="1" applyBorder="1"/>
    <xf numFmtId="175" fontId="6" fillId="0" borderId="38" xfId="30" applyNumberFormat="1" applyFont="1" applyBorder="1"/>
    <xf numFmtId="39" fontId="6" fillId="0" borderId="18" xfId="27" applyNumberFormat="1" applyFont="1" applyBorder="1"/>
    <xf numFmtId="169" fontId="6" fillId="0" borderId="18" xfId="27" applyNumberFormat="1" applyFont="1" applyBorder="1"/>
    <xf numFmtId="175" fontId="6" fillId="0" borderId="37" xfId="30" applyNumberFormat="1" applyFont="1" applyBorder="1"/>
    <xf numFmtId="7" fontId="6" fillId="0" borderId="18" xfId="27" applyNumberFormat="1" applyFont="1" applyBorder="1"/>
    <xf numFmtId="175" fontId="6" fillId="0" borderId="32" xfId="30" applyNumberFormat="1" applyFont="1" applyBorder="1"/>
    <xf numFmtId="168" fontId="6" fillId="0" borderId="0" xfId="27" applyNumberFormat="1" applyFont="1"/>
    <xf numFmtId="7" fontId="6" fillId="3" borderId="18" xfId="27" applyNumberFormat="1" applyFont="1" applyFill="1" applyBorder="1"/>
    <xf numFmtId="168" fontId="6" fillId="3" borderId="0" xfId="27" applyNumberFormat="1" applyFont="1" applyFill="1"/>
    <xf numFmtId="175" fontId="6" fillId="0" borderId="32" xfId="30" applyNumberFormat="1" applyFont="1" applyFill="1" applyBorder="1"/>
    <xf numFmtId="175" fontId="6" fillId="4" borderId="37" xfId="30" applyNumberFormat="1" applyFont="1" applyFill="1" applyBorder="1"/>
    <xf numFmtId="7" fontId="6" fillId="4" borderId="18" xfId="27" applyNumberFormat="1" applyFont="1" applyFill="1" applyBorder="1"/>
    <xf numFmtId="168" fontId="6" fillId="4" borderId="0" xfId="27" applyNumberFormat="1" applyFont="1" applyFill="1"/>
    <xf numFmtId="168" fontId="6" fillId="0" borderId="18" xfId="27" applyNumberFormat="1" applyFont="1" applyBorder="1"/>
    <xf numFmtId="167" fontId="6" fillId="0" borderId="18" xfId="27" applyNumberFormat="1" applyFont="1" applyBorder="1"/>
    <xf numFmtId="37" fontId="6" fillId="0" borderId="18" xfId="27" applyNumberFormat="1" applyFont="1" applyBorder="1" applyAlignment="1">
      <alignment horizontal="center"/>
    </xf>
    <xf numFmtId="37" fontId="6" fillId="0" borderId="18" xfId="27" applyNumberFormat="1" applyFont="1" applyBorder="1"/>
    <xf numFmtId="171" fontId="6" fillId="0" borderId="18" xfId="27" applyNumberFormat="1" applyFont="1" applyBorder="1" applyAlignment="1">
      <alignment horizontal="center"/>
    </xf>
    <xf numFmtId="169" fontId="7" fillId="0" borderId="33" xfId="27" applyNumberFormat="1" applyFont="1" applyBorder="1"/>
    <xf numFmtId="169" fontId="7" fillId="0" borderId="32" xfId="27" applyNumberFormat="1" applyFont="1" applyBorder="1"/>
    <xf numFmtId="7" fontId="7" fillId="0" borderId="0" xfId="27" applyNumberFormat="1" applyFont="1"/>
    <xf numFmtId="175" fontId="7" fillId="0" borderId="32" xfId="30" applyNumberFormat="1" applyFont="1" applyBorder="1"/>
    <xf numFmtId="175" fontId="7" fillId="0" borderId="32" xfId="30" applyNumberFormat="1" applyFont="1" applyFill="1" applyBorder="1"/>
    <xf numFmtId="175" fontId="7" fillId="3" borderId="32" xfId="30" applyNumberFormat="1" applyFont="1" applyFill="1" applyBorder="1"/>
    <xf numFmtId="7" fontId="7" fillId="3" borderId="0" xfId="27" applyNumberFormat="1" applyFont="1" applyFill="1"/>
    <xf numFmtId="168" fontId="7" fillId="3" borderId="0" xfId="27" applyNumberFormat="1" applyFont="1" applyFill="1"/>
    <xf numFmtId="175" fontId="7" fillId="4" borderId="32" xfId="30" applyNumberFormat="1" applyFont="1" applyFill="1" applyBorder="1"/>
    <xf numFmtId="7" fontId="7" fillId="4" borderId="0" xfId="27" applyNumberFormat="1" applyFont="1" applyFill="1"/>
    <xf numFmtId="168" fontId="7" fillId="4" borderId="33" xfId="27" applyNumberFormat="1" applyFont="1" applyFill="1" applyBorder="1"/>
    <xf numFmtId="167" fontId="7" fillId="0" borderId="0" xfId="27" applyNumberFormat="1" applyFont="1"/>
    <xf numFmtId="37" fontId="7" fillId="0" borderId="0" xfId="27" applyNumberFormat="1" applyFont="1" applyAlignment="1">
      <alignment horizontal="center"/>
    </xf>
    <xf numFmtId="168" fontId="6" fillId="3" borderId="18" xfId="27" applyNumberFormat="1" applyFont="1" applyFill="1" applyBorder="1"/>
    <xf numFmtId="175" fontId="6" fillId="4" borderId="18" xfId="30" applyNumberFormat="1" applyFont="1" applyFill="1" applyBorder="1"/>
    <xf numFmtId="168" fontId="6" fillId="4" borderId="18" xfId="27" applyNumberFormat="1" applyFont="1" applyFill="1" applyBorder="1"/>
    <xf numFmtId="175" fontId="6" fillId="0" borderId="33" xfId="30" applyNumberFormat="1" applyFont="1" applyBorder="1"/>
    <xf numFmtId="7" fontId="6" fillId="0" borderId="0" xfId="27" applyNumberFormat="1" applyFont="1"/>
    <xf numFmtId="167" fontId="6" fillId="0" borderId="0" xfId="27" applyNumberFormat="1" applyFont="1"/>
    <xf numFmtId="175" fontId="6" fillId="0" borderId="38" xfId="30" applyNumberFormat="1" applyFont="1" applyFill="1" applyBorder="1"/>
    <xf numFmtId="174" fontId="7" fillId="0" borderId="0" xfId="28" applyNumberFormat="1" applyFont="1" applyFill="1" applyBorder="1"/>
    <xf numFmtId="43" fontId="7" fillId="0" borderId="0" xfId="28" applyFont="1" applyFill="1" applyBorder="1"/>
    <xf numFmtId="0" fontId="7" fillId="0" borderId="18" xfId="27" applyFont="1" applyBorder="1"/>
    <xf numFmtId="175" fontId="7" fillId="0" borderId="36" xfId="30" applyNumberFormat="1" applyFont="1" applyBorder="1"/>
    <xf numFmtId="44" fontId="7" fillId="0" borderId="36" xfId="29" applyFont="1" applyBorder="1"/>
    <xf numFmtId="7" fontId="7" fillId="0" borderId="36" xfId="29" applyNumberFormat="1" applyFont="1" applyFill="1" applyBorder="1"/>
    <xf numFmtId="7" fontId="7" fillId="0" borderId="36" xfId="29" applyNumberFormat="1" applyFont="1" applyBorder="1"/>
    <xf numFmtId="168" fontId="7" fillId="0" borderId="36" xfId="27" applyNumberFormat="1" applyFont="1" applyBorder="1"/>
    <xf numFmtId="168" fontId="7" fillId="4" borderId="39" xfId="27" applyNumberFormat="1" applyFont="1" applyFill="1" applyBorder="1"/>
    <xf numFmtId="175" fontId="7" fillId="0" borderId="20" xfId="30" applyNumberFormat="1" applyFont="1" applyBorder="1"/>
    <xf numFmtId="44" fontId="7" fillId="0" borderId="20" xfId="29" applyFont="1" applyBorder="1"/>
    <xf numFmtId="7" fontId="7" fillId="0" borderId="20" xfId="29" applyNumberFormat="1" applyFont="1" applyFill="1" applyBorder="1"/>
    <xf numFmtId="7" fontId="7" fillId="0" borderId="20" xfId="29" applyNumberFormat="1" applyFont="1" applyBorder="1"/>
    <xf numFmtId="168" fontId="7" fillId="0" borderId="20" xfId="27" applyNumberFormat="1" applyFont="1" applyBorder="1"/>
    <xf numFmtId="168" fontId="7" fillId="4" borderId="0" xfId="27" applyNumberFormat="1" applyFont="1" applyFill="1"/>
    <xf numFmtId="175" fontId="7" fillId="0" borderId="38" xfId="30" applyNumberFormat="1" applyFont="1" applyBorder="1"/>
    <xf numFmtId="175" fontId="7" fillId="3" borderId="37" xfId="30" applyNumberFormat="1" applyFont="1" applyFill="1" applyBorder="1"/>
    <xf numFmtId="168" fontId="7" fillId="3" borderId="18" xfId="27" applyNumberFormat="1" applyFont="1" applyFill="1" applyBorder="1"/>
    <xf numFmtId="169" fontId="7" fillId="0" borderId="18" xfId="27" applyNumberFormat="1" applyFont="1" applyBorder="1" applyAlignment="1">
      <alignment horizontal="center"/>
    </xf>
    <xf numFmtId="175" fontId="7" fillId="0" borderId="36" xfId="30" applyNumberFormat="1" applyFont="1" applyFill="1" applyBorder="1"/>
    <xf numFmtId="44" fontId="7" fillId="0" borderId="36" xfId="29" applyFont="1" applyFill="1" applyBorder="1"/>
    <xf numFmtId="175" fontId="7" fillId="0" borderId="38" xfId="30" applyNumberFormat="1" applyFont="1" applyFill="1" applyBorder="1"/>
    <xf numFmtId="174" fontId="6" fillId="6" borderId="36" xfId="28" applyNumberFormat="1" applyFont="1" applyFill="1" applyBorder="1" applyAlignment="1">
      <alignment horizontal="center"/>
    </xf>
    <xf numFmtId="43" fontId="6" fillId="6" borderId="36" xfId="28" applyFont="1" applyFill="1" applyBorder="1" applyAlignment="1">
      <alignment horizontal="center"/>
    </xf>
    <xf numFmtId="173" fontId="6" fillId="6" borderId="36" xfId="28" applyNumberFormat="1" applyFont="1" applyFill="1" applyBorder="1" applyAlignment="1">
      <alignment horizontal="right"/>
    </xf>
    <xf numFmtId="0" fontId="6" fillId="0" borderId="38" xfId="27" applyFont="1" applyBorder="1" applyAlignment="1">
      <alignment horizontal="center"/>
    </xf>
    <xf numFmtId="0" fontId="6" fillId="0" borderId="37" xfId="27" applyFont="1" applyBorder="1" applyAlignment="1">
      <alignment horizontal="center"/>
    </xf>
    <xf numFmtId="0" fontId="6" fillId="3" borderId="37" xfId="27" applyFont="1" applyFill="1" applyBorder="1" applyAlignment="1">
      <alignment horizontal="center"/>
    </xf>
    <xf numFmtId="0" fontId="6" fillId="3" borderId="18" xfId="27" applyFont="1" applyFill="1" applyBorder="1" applyAlignment="1">
      <alignment horizontal="center"/>
    </xf>
    <xf numFmtId="0" fontId="6" fillId="4" borderId="37" xfId="27" applyFont="1" applyFill="1" applyBorder="1" applyAlignment="1">
      <alignment horizontal="center"/>
    </xf>
    <xf numFmtId="174" fontId="6" fillId="6" borderId="36" xfId="28" applyNumberFormat="1" applyFont="1" applyFill="1" applyBorder="1" applyAlignment="1">
      <alignment horizontal="right"/>
    </xf>
    <xf numFmtId="0" fontId="6" fillId="0" borderId="33" xfId="27" applyFont="1" applyBorder="1" applyAlignment="1">
      <alignment horizontal="center"/>
    </xf>
    <xf numFmtId="0" fontId="6" fillId="0" borderId="32" xfId="27" applyFont="1" applyBorder="1" applyAlignment="1">
      <alignment horizontal="center"/>
    </xf>
    <xf numFmtId="0" fontId="6" fillId="0" borderId="32" xfId="27" applyFont="1" applyBorder="1" applyAlignment="1">
      <alignment horizontal="right"/>
    </xf>
    <xf numFmtId="0" fontId="6" fillId="0" borderId="35" xfId="27" applyFont="1" applyBorder="1" applyAlignment="1">
      <alignment horizontal="center"/>
    </xf>
    <xf numFmtId="0" fontId="6" fillId="0" borderId="4" xfId="27" applyFont="1" applyBorder="1" applyAlignment="1">
      <alignment horizontal="right"/>
    </xf>
    <xf numFmtId="0" fontId="6" fillId="3" borderId="4" xfId="27" applyFont="1" applyFill="1" applyBorder="1" applyAlignment="1">
      <alignment horizontal="right"/>
    </xf>
    <xf numFmtId="0" fontId="6" fillId="3" borderId="0" xfId="27" applyFont="1" applyFill="1" applyAlignment="1">
      <alignment horizontal="center"/>
    </xf>
    <xf numFmtId="0" fontId="6" fillId="4" borderId="4" xfId="27" applyFont="1" applyFill="1" applyBorder="1" applyAlignment="1">
      <alignment horizontal="right"/>
    </xf>
    <xf numFmtId="0" fontId="6" fillId="0" borderId="4" xfId="27" applyFont="1" applyBorder="1" applyAlignment="1">
      <alignment horizontal="center"/>
    </xf>
    <xf numFmtId="174" fontId="6" fillId="0" borderId="0" xfId="28" applyNumberFormat="1" applyFont="1" applyBorder="1" applyAlignment="1">
      <alignment horizontal="right"/>
    </xf>
    <xf numFmtId="43" fontId="6" fillId="0" borderId="0" xfId="28" applyFont="1" applyBorder="1" applyAlignment="1">
      <alignment horizontal="right"/>
    </xf>
    <xf numFmtId="173" fontId="6" fillId="0" borderId="0" xfId="28" applyNumberFormat="1" applyFont="1" applyBorder="1" applyAlignment="1">
      <alignment horizontal="right"/>
    </xf>
    <xf numFmtId="0" fontId="6" fillId="0" borderId="34" xfId="27" applyFont="1" applyBorder="1" applyAlignment="1">
      <alignment horizontal="center"/>
    </xf>
    <xf numFmtId="0" fontId="6" fillId="0" borderId="10" xfId="27" applyFont="1" applyBorder="1" applyAlignment="1">
      <alignment horizontal="center"/>
    </xf>
    <xf numFmtId="0" fontId="6" fillId="0" borderId="9" xfId="27" applyFont="1" applyBorder="1" applyAlignment="1">
      <alignment horizontal="center"/>
    </xf>
    <xf numFmtId="0" fontId="6" fillId="3" borderId="9" xfId="27" applyFont="1" applyFill="1" applyBorder="1" applyAlignment="1">
      <alignment horizontal="center"/>
    </xf>
    <xf numFmtId="0" fontId="7" fillId="3" borderId="10" xfId="27" applyFont="1" applyFill="1" applyBorder="1" applyAlignment="1">
      <alignment horizontal="center"/>
    </xf>
    <xf numFmtId="0" fontId="6" fillId="3" borderId="10" xfId="27" applyFont="1" applyFill="1" applyBorder="1" applyAlignment="1">
      <alignment horizontal="center"/>
    </xf>
    <xf numFmtId="0" fontId="6" fillId="4" borderId="9" xfId="27" applyFont="1" applyFill="1" applyBorder="1" applyAlignment="1">
      <alignment horizontal="center"/>
    </xf>
    <xf numFmtId="0" fontId="7" fillId="4" borderId="10" xfId="27" applyFont="1" applyFill="1" applyBorder="1" applyAlignment="1">
      <alignment horizontal="center"/>
    </xf>
    <xf numFmtId="0" fontId="6" fillId="4" borderId="10" xfId="27" applyFont="1" applyFill="1" applyBorder="1" applyAlignment="1">
      <alignment horizontal="center"/>
    </xf>
    <xf numFmtId="37" fontId="7" fillId="0" borderId="32" xfId="27" applyNumberFormat="1" applyFont="1" applyBorder="1"/>
    <xf numFmtId="0" fontId="6" fillId="3" borderId="32" xfId="27" applyFont="1" applyFill="1" applyBorder="1" applyAlignment="1">
      <alignment horizontal="center"/>
    </xf>
    <xf numFmtId="0" fontId="7" fillId="3" borderId="0" xfId="27" applyFont="1" applyFill="1" applyAlignment="1">
      <alignment horizontal="center"/>
    </xf>
    <xf numFmtId="0" fontId="6" fillId="4" borderId="32" xfId="27" applyFont="1" applyFill="1" applyBorder="1" applyAlignment="1">
      <alignment horizontal="center"/>
    </xf>
    <xf numFmtId="0" fontId="7" fillId="4" borderId="0" xfId="27" applyFont="1" applyFill="1" applyAlignment="1">
      <alignment horizontal="center" wrapText="1"/>
    </xf>
    <xf numFmtId="14" fontId="7" fillId="0" borderId="33" xfId="27" applyNumberFormat="1" applyFont="1" applyBorder="1" applyAlignment="1">
      <alignment horizontal="center"/>
    </xf>
    <xf numFmtId="14" fontId="7" fillId="0" borderId="0" xfId="27" applyNumberFormat="1" applyFont="1" applyAlignment="1">
      <alignment horizontal="center"/>
    </xf>
    <xf numFmtId="14" fontId="7" fillId="0" borderId="32" xfId="27" applyNumberFormat="1" applyFont="1" applyBorder="1" applyAlignment="1">
      <alignment horizontal="center"/>
    </xf>
    <xf numFmtId="14" fontId="7" fillId="3" borderId="32" xfId="27" applyNumberFormat="1" applyFont="1" applyFill="1" applyBorder="1" applyAlignment="1">
      <alignment horizontal="center"/>
    </xf>
    <xf numFmtId="14" fontId="7" fillId="3" borderId="0" xfId="27" applyNumberFormat="1" applyFont="1" applyFill="1" applyAlignment="1">
      <alignment horizontal="center"/>
    </xf>
    <xf numFmtId="14" fontId="7" fillId="4" borderId="32" xfId="27" applyNumberFormat="1" applyFont="1" applyFill="1" applyBorder="1" applyAlignment="1">
      <alignment horizontal="center"/>
    </xf>
    <xf numFmtId="14" fontId="7" fillId="4" borderId="0" xfId="27" applyNumberFormat="1" applyFont="1" applyFill="1" applyAlignment="1">
      <alignment horizontal="center"/>
    </xf>
    <xf numFmtId="0" fontId="7" fillId="0" borderId="31" xfId="27" applyFont="1" applyBorder="1" applyAlignment="1">
      <alignment horizontal="center"/>
    </xf>
    <xf numFmtId="176" fontId="7" fillId="0" borderId="0" xfId="27" applyNumberFormat="1" applyFont="1"/>
    <xf numFmtId="0" fontId="7" fillId="0" borderId="4" xfId="27" applyFont="1" applyBorder="1" applyAlignment="1">
      <alignment horizontal="center"/>
    </xf>
    <xf numFmtId="14" fontId="7" fillId="0" borderId="4" xfId="27" applyNumberFormat="1" applyFont="1" applyBorder="1" applyAlignment="1">
      <alignment horizontal="center"/>
    </xf>
    <xf numFmtId="14" fontId="7" fillId="3" borderId="4" xfId="27" applyNumberFormat="1" applyFont="1" applyFill="1" applyBorder="1" applyAlignment="1">
      <alignment horizontal="center"/>
    </xf>
    <xf numFmtId="14" fontId="7" fillId="4" borderId="4" xfId="27" applyNumberFormat="1" applyFont="1" applyFill="1" applyBorder="1" applyAlignment="1">
      <alignment horizontal="center"/>
    </xf>
    <xf numFmtId="7" fontId="6" fillId="0" borderId="0" xfId="27" applyNumberFormat="1" applyFont="1" applyAlignment="1">
      <alignment horizontal="center"/>
    </xf>
    <xf numFmtId="7" fontId="6" fillId="0" borderId="0" xfId="29" applyNumberFormat="1" applyFont="1" applyFill="1" applyBorder="1" applyAlignment="1">
      <alignment horizontal="center"/>
    </xf>
    <xf numFmtId="7" fontId="6" fillId="3" borderId="0" xfId="27" applyNumberFormat="1" applyFont="1" applyFill="1" applyAlignment="1">
      <alignment horizontal="center"/>
    </xf>
    <xf numFmtId="7" fontId="6" fillId="4" borderId="0" xfId="27" applyNumberFormat="1" applyFont="1" applyFill="1" applyAlignment="1">
      <alignment horizontal="center"/>
    </xf>
    <xf numFmtId="0" fontId="6" fillId="5" borderId="23" xfId="27" applyFont="1" applyFill="1" applyBorder="1" applyAlignment="1">
      <alignment horizontal="centerContinuous"/>
    </xf>
    <xf numFmtId="7" fontId="6" fillId="0" borderId="0" xfId="27" applyNumberFormat="1" applyFont="1" applyAlignment="1">
      <alignment horizontal="centerContinuous"/>
    </xf>
    <xf numFmtId="7" fontId="15" fillId="4" borderId="0" xfId="27" applyNumberFormat="1" applyFont="1" applyFill="1"/>
    <xf numFmtId="0" fontId="6" fillId="0" borderId="0" xfId="27" applyFont="1" applyAlignment="1">
      <alignment horizontal="centerContinuous"/>
    </xf>
    <xf numFmtId="0" fontId="6" fillId="0" borderId="0" xfId="27" applyFont="1" applyAlignment="1">
      <alignment horizontal="left"/>
    </xf>
    <xf numFmtId="0" fontId="7" fillId="0" borderId="22" xfId="27" applyFont="1" applyBorder="1"/>
    <xf numFmtId="0" fontId="7" fillId="0" borderId="21" xfId="27" applyFont="1" applyBorder="1" applyAlignment="1">
      <alignment horizontal="center"/>
    </xf>
    <xf numFmtId="10" fontId="7" fillId="0" borderId="0" xfId="30" applyNumberFormat="1" applyFont="1" applyFill="1"/>
    <xf numFmtId="0" fontId="7" fillId="0" borderId="26" xfId="27" applyFont="1" applyBorder="1"/>
    <xf numFmtId="0" fontId="7" fillId="0" borderId="25" xfId="27" applyFont="1" applyBorder="1" applyAlignment="1">
      <alignment horizontal="center"/>
    </xf>
    <xf numFmtId="0" fontId="7" fillId="0" borderId="0" xfId="31" applyFont="1"/>
    <xf numFmtId="0" fontId="7" fillId="0" borderId="0" xfId="31" applyFont="1" applyAlignment="1">
      <alignment horizontal="center"/>
    </xf>
    <xf numFmtId="37" fontId="7" fillId="0" borderId="0" xfId="31" applyNumberFormat="1" applyFont="1" applyAlignment="1">
      <alignment horizontal="center"/>
    </xf>
    <xf numFmtId="37" fontId="7" fillId="0" borderId="0" xfId="31" applyNumberFormat="1" applyFont="1"/>
    <xf numFmtId="5" fontId="7" fillId="0" borderId="0" xfId="31" applyNumberFormat="1" applyFont="1" applyAlignment="1">
      <alignment horizontal="center"/>
    </xf>
    <xf numFmtId="5" fontId="7" fillId="0" borderId="0" xfId="31" applyNumberFormat="1" applyFont="1"/>
    <xf numFmtId="5" fontId="7" fillId="0" borderId="0" xfId="31" applyNumberFormat="1" applyFont="1" applyAlignment="1">
      <alignment horizontal="right"/>
    </xf>
    <xf numFmtId="37" fontId="17" fillId="0" borderId="0" xfId="31" applyNumberFormat="1" applyFont="1"/>
    <xf numFmtId="0" fontId="6" fillId="0" borderId="0" xfId="31" applyFont="1"/>
    <xf numFmtId="168" fontId="7" fillId="0" borderId="0" xfId="31" applyNumberFormat="1" applyFont="1" applyAlignment="1">
      <alignment horizontal="center"/>
    </xf>
    <xf numFmtId="168" fontId="7" fillId="0" borderId="0" xfId="31" applyNumberFormat="1" applyFont="1"/>
    <xf numFmtId="168" fontId="7" fillId="0" borderId="0" xfId="31" applyNumberFormat="1" applyFont="1" applyAlignment="1">
      <alignment horizontal="right"/>
    </xf>
    <xf numFmtId="37" fontId="7" fillId="0" borderId="0" xfId="31" applyNumberFormat="1" applyFont="1" applyAlignment="1">
      <alignment horizontal="right"/>
    </xf>
    <xf numFmtId="37" fontId="7" fillId="11" borderId="9" xfId="31" applyNumberFormat="1" applyFont="1" applyFill="1" applyBorder="1"/>
    <xf numFmtId="37" fontId="7" fillId="11" borderId="10" xfId="31" applyNumberFormat="1" applyFont="1" applyFill="1" applyBorder="1"/>
    <xf numFmtId="0" fontId="7" fillId="11" borderId="10" xfId="31" applyFont="1" applyFill="1" applyBorder="1"/>
    <xf numFmtId="0" fontId="7" fillId="11" borderId="0" xfId="31" applyFont="1" applyFill="1"/>
    <xf numFmtId="37" fontId="7" fillId="11" borderId="37" xfId="31" applyNumberFormat="1" applyFont="1" applyFill="1" applyBorder="1"/>
    <xf numFmtId="0" fontId="7" fillId="11" borderId="18" xfId="31" applyFont="1" applyFill="1" applyBorder="1"/>
    <xf numFmtId="37" fontId="7" fillId="11" borderId="32" xfId="31" applyNumberFormat="1" applyFont="1" applyFill="1" applyBorder="1"/>
    <xf numFmtId="37" fontId="7" fillId="11" borderId="0" xfId="31" applyNumberFormat="1" applyFont="1" applyFill="1"/>
    <xf numFmtId="0" fontId="32" fillId="11" borderId="0" xfId="31" applyFont="1" applyFill="1"/>
    <xf numFmtId="0" fontId="7" fillId="0" borderId="9" xfId="31" applyFont="1" applyBorder="1"/>
    <xf numFmtId="0" fontId="7" fillId="0" borderId="10" xfId="31" applyFont="1" applyBorder="1"/>
    <xf numFmtId="0" fontId="7" fillId="0" borderId="32" xfId="31" applyFont="1" applyBorder="1"/>
    <xf numFmtId="184" fontId="3" fillId="0" borderId="0" xfId="31" applyNumberFormat="1" applyFont="1"/>
    <xf numFmtId="37" fontId="3" fillId="0" borderId="0" xfId="31" applyNumberFormat="1" applyFont="1" applyAlignment="1">
      <alignment horizontal="center"/>
    </xf>
    <xf numFmtId="184" fontId="7" fillId="0" borderId="0" xfId="31" applyNumberFormat="1" applyFont="1"/>
    <xf numFmtId="0" fontId="7" fillId="4" borderId="44" xfId="31" applyFont="1" applyFill="1" applyBorder="1"/>
    <xf numFmtId="0" fontId="6" fillId="4" borderId="44" xfId="31" applyFont="1" applyFill="1" applyBorder="1"/>
    <xf numFmtId="0" fontId="7" fillId="4" borderId="0" xfId="31" applyFont="1" applyFill="1" applyAlignment="1">
      <alignment horizontal="center"/>
    </xf>
    <xf numFmtId="0" fontId="7" fillId="4" borderId="0" xfId="31" applyFont="1" applyFill="1"/>
    <xf numFmtId="0" fontId="6" fillId="4" borderId="0" xfId="31" applyFont="1" applyFill="1"/>
    <xf numFmtId="179" fontId="7" fillId="0" borderId="0" xfId="31" applyNumberFormat="1" applyFont="1" applyAlignment="1">
      <alignment horizontal="center"/>
    </xf>
    <xf numFmtId="0" fontId="7" fillId="4" borderId="32" xfId="31" applyFont="1" applyFill="1" applyBorder="1"/>
    <xf numFmtId="0" fontId="7" fillId="4" borderId="19" xfId="31" applyFont="1" applyFill="1" applyBorder="1"/>
    <xf numFmtId="3" fontId="1" fillId="0" borderId="0" xfId="32" applyNumberFormat="1"/>
    <xf numFmtId="3" fontId="1" fillId="0" borderId="0" xfId="33" applyNumberFormat="1"/>
    <xf numFmtId="3" fontId="7" fillId="0" borderId="0" xfId="31" applyNumberFormat="1" applyFont="1"/>
    <xf numFmtId="0" fontId="7" fillId="10" borderId="0" xfId="31" applyFont="1" applyFill="1" applyAlignment="1">
      <alignment horizontal="center"/>
    </xf>
    <xf numFmtId="0" fontId="12" fillId="4" borderId="0" xfId="31" applyFont="1" applyFill="1"/>
    <xf numFmtId="180" fontId="31" fillId="0" borderId="0" xfId="31" applyNumberFormat="1" applyFont="1" applyAlignment="1">
      <alignment horizontal="center"/>
    </xf>
    <xf numFmtId="37" fontId="6" fillId="0" borderId="0" xfId="31" applyNumberFormat="1" applyFont="1" applyAlignment="1">
      <alignment horizontal="center"/>
    </xf>
    <xf numFmtId="0" fontId="7" fillId="4" borderId="30" xfId="31" applyFont="1" applyFill="1" applyBorder="1"/>
    <xf numFmtId="0" fontId="7" fillId="4" borderId="7" xfId="31" applyFont="1" applyFill="1" applyBorder="1"/>
    <xf numFmtId="0" fontId="6" fillId="4" borderId="29" xfId="31" applyFont="1" applyFill="1" applyBorder="1"/>
    <xf numFmtId="43" fontId="7" fillId="0" borderId="0" xfId="31" applyNumberFormat="1" applyFont="1"/>
    <xf numFmtId="179" fontId="7" fillId="0" borderId="0" xfId="31" applyNumberFormat="1" applyFont="1"/>
    <xf numFmtId="182" fontId="7" fillId="0" borderId="0" xfId="31" applyNumberFormat="1" applyFont="1"/>
    <xf numFmtId="7" fontId="7" fillId="0" borderId="0" xfId="31" applyNumberFormat="1" applyFont="1"/>
    <xf numFmtId="37" fontId="7" fillId="0" borderId="32" xfId="31" applyNumberFormat="1" applyFont="1" applyBorder="1"/>
    <xf numFmtId="180" fontId="7" fillId="0" borderId="0" xfId="31" applyNumberFormat="1" applyFont="1" applyAlignment="1">
      <alignment horizontal="center"/>
    </xf>
    <xf numFmtId="5" fontId="7" fillId="0" borderId="32" xfId="31" applyNumberFormat="1" applyFont="1" applyBorder="1"/>
    <xf numFmtId="0" fontId="6" fillId="0" borderId="0" xfId="31" applyFont="1" applyAlignment="1">
      <alignment horizontal="center"/>
    </xf>
    <xf numFmtId="0" fontId="7" fillId="0" borderId="32" xfId="31" applyFont="1" applyBorder="1" applyAlignment="1">
      <alignment horizontal="center"/>
    </xf>
    <xf numFmtId="0" fontId="7" fillId="0" borderId="37" xfId="31" applyFont="1" applyBorder="1" applyAlignment="1">
      <alignment horizontal="center"/>
    </xf>
    <xf numFmtId="0" fontId="7" fillId="0" borderId="18" xfId="31" applyFont="1" applyBorder="1" applyAlignment="1">
      <alignment horizontal="center"/>
    </xf>
    <xf numFmtId="0" fontId="17" fillId="0" borderId="0" xfId="31" quotePrefix="1" applyFont="1" applyAlignment="1">
      <alignment horizontal="center"/>
    </xf>
    <xf numFmtId="0" fontId="7" fillId="0" borderId="4" xfId="31" quotePrefix="1" applyFont="1" applyBorder="1" applyAlignment="1">
      <alignment horizontal="center"/>
    </xf>
    <xf numFmtId="0" fontId="7" fillId="0" borderId="0" xfId="31" quotePrefix="1" applyFont="1" applyAlignment="1">
      <alignment horizontal="center"/>
    </xf>
    <xf numFmtId="0" fontId="7" fillId="0" borderId="30" xfId="31" applyFont="1" applyBorder="1"/>
    <xf numFmtId="0" fontId="7" fillId="0" borderId="7" xfId="31" applyFont="1" applyBorder="1"/>
    <xf numFmtId="0" fontId="6" fillId="0" borderId="29" xfId="31" applyFont="1" applyBorder="1"/>
    <xf numFmtId="0" fontId="7" fillId="0" borderId="0" xfId="31" quotePrefix="1" applyFont="1"/>
    <xf numFmtId="44" fontId="7" fillId="0" borderId="0" xfId="31" applyNumberFormat="1" applyFont="1"/>
    <xf numFmtId="37" fontId="6" fillId="0" borderId="0" xfId="31" applyNumberFormat="1" applyFont="1"/>
    <xf numFmtId="179" fontId="6" fillId="0" borderId="0" xfId="31" applyNumberFormat="1" applyFont="1" applyAlignment="1">
      <alignment horizontal="center"/>
    </xf>
    <xf numFmtId="189" fontId="7" fillId="4" borderId="0" xfId="31" applyNumberFormat="1" applyFont="1" applyFill="1"/>
    <xf numFmtId="5" fontId="7" fillId="4" borderId="0" xfId="31" applyNumberFormat="1" applyFont="1" applyFill="1"/>
    <xf numFmtId="5" fontId="7" fillId="4" borderId="18" xfId="31" applyNumberFormat="1" applyFont="1" applyFill="1" applyBorder="1"/>
    <xf numFmtId="168" fontId="7" fillId="4" borderId="0" xfId="31" applyNumberFormat="1" applyFont="1" applyFill="1"/>
    <xf numFmtId="188" fontId="7" fillId="4" borderId="0" xfId="31" applyNumberFormat="1" applyFont="1" applyFill="1"/>
    <xf numFmtId="10" fontId="7" fillId="4" borderId="0" xfId="31" applyNumberFormat="1" applyFont="1" applyFill="1"/>
    <xf numFmtId="37" fontId="7" fillId="4" borderId="0" xfId="31" applyNumberFormat="1" applyFont="1" applyFill="1"/>
    <xf numFmtId="0" fontId="32" fillId="4" borderId="0" xfId="31" applyFont="1" applyFill="1" applyAlignment="1">
      <alignment horizontal="center"/>
    </xf>
    <xf numFmtId="7" fontId="7" fillId="4" borderId="0" xfId="31" applyNumberFormat="1" applyFont="1" applyFill="1"/>
    <xf numFmtId="0" fontId="7" fillId="4" borderId="0" xfId="31" quotePrefix="1" applyFont="1" applyFill="1" applyAlignment="1">
      <alignment horizontal="center"/>
    </xf>
    <xf numFmtId="0" fontId="7" fillId="4" borderId="0" xfId="31" quotePrefix="1" applyFont="1" applyFill="1"/>
    <xf numFmtId="192" fontId="7" fillId="4" borderId="0" xfId="31" applyNumberFormat="1" applyFont="1" applyFill="1" applyAlignment="1">
      <alignment horizontal="center"/>
    </xf>
    <xf numFmtId="190" fontId="7" fillId="4" borderId="0" xfId="31" applyNumberFormat="1" applyFont="1" applyFill="1" applyAlignment="1">
      <alignment horizontal="center"/>
    </xf>
    <xf numFmtId="191" fontId="7" fillId="4" borderId="0" xfId="31" applyNumberFormat="1" applyFont="1" applyFill="1"/>
    <xf numFmtId="190" fontId="7" fillId="4" borderId="0" xfId="31" applyNumberFormat="1" applyFont="1" applyFill="1"/>
    <xf numFmtId="0" fontId="7" fillId="4" borderId="0" xfId="31" applyFont="1" applyFill="1" applyAlignment="1">
      <alignment horizontal="right"/>
    </xf>
    <xf numFmtId="0" fontId="7" fillId="4" borderId="18" xfId="31" applyFont="1" applyFill="1" applyBorder="1" applyAlignment="1">
      <alignment horizontal="center"/>
    </xf>
    <xf numFmtId="165" fontId="7" fillId="4" borderId="0" xfId="31" applyNumberFormat="1" applyFont="1" applyFill="1" applyAlignment="1">
      <alignment horizontal="center"/>
    </xf>
    <xf numFmtId="0" fontId="6" fillId="12" borderId="0" xfId="27" applyFont="1" applyFill="1" applyAlignment="1">
      <alignment horizontal="center" wrapText="1"/>
    </xf>
    <xf numFmtId="0" fontId="6" fillId="12" borderId="10" xfId="27" applyFont="1" applyFill="1" applyBorder="1" applyAlignment="1">
      <alignment horizontal="center" wrapText="1"/>
    </xf>
    <xf numFmtId="0" fontId="7" fillId="13" borderId="0" xfId="27" applyFont="1" applyFill="1" applyAlignment="1">
      <alignment horizontal="center" wrapText="1"/>
    </xf>
    <xf numFmtId="37" fontId="10" fillId="0" borderId="1" xfId="27" applyNumberFormat="1" applyFont="1" applyBorder="1" applyAlignment="1">
      <alignment horizontal="center"/>
    </xf>
    <xf numFmtId="37" fontId="10" fillId="0" borderId="2" xfId="27" applyNumberFormat="1" applyFont="1" applyBorder="1" applyAlignment="1">
      <alignment horizontal="center"/>
    </xf>
    <xf numFmtId="37" fontId="10" fillId="0" borderId="3" xfId="27" applyNumberFormat="1" applyFont="1" applyBorder="1" applyAlignment="1">
      <alignment horizontal="center"/>
    </xf>
    <xf numFmtId="0" fontId="6" fillId="0" borderId="18" xfId="27" applyFont="1" applyBorder="1" applyAlignment="1">
      <alignment horizontal="center"/>
    </xf>
    <xf numFmtId="0" fontId="6" fillId="0" borderId="0" xfId="27" applyFont="1" applyAlignment="1">
      <alignment wrapText="1"/>
    </xf>
    <xf numFmtId="0" fontId="7" fillId="0" borderId="0" xfId="27" applyFont="1" applyAlignment="1">
      <alignment wrapText="1"/>
    </xf>
    <xf numFmtId="37" fontId="6" fillId="0" borderId="0" xfId="27" applyNumberFormat="1" applyFont="1" applyAlignment="1">
      <alignment horizontal="left" wrapText="1"/>
    </xf>
    <xf numFmtId="0" fontId="6" fillId="0" borderId="0" xfId="27" applyFont="1" applyAlignment="1">
      <alignment horizontal="left" wrapText="1"/>
    </xf>
  </cellXfs>
  <cellStyles count="34">
    <cellStyle name="Comma" xfId="1" builtinId="3"/>
    <cellStyle name="Comma 10 2" xfId="12" xr:uid="{717AE19C-6875-4ADA-9BE1-55B3C3B835FE}"/>
    <cellStyle name="Comma 11" xfId="16" xr:uid="{94500F31-666A-433A-A0D8-CE5A5149A609}"/>
    <cellStyle name="Comma 2" xfId="24" xr:uid="{2BD25D85-E61D-4280-BFD6-428999969C87}"/>
    <cellStyle name="Comma 2 2" xfId="17" xr:uid="{9C34D806-0336-4085-BE8F-E72B1F62C2AD}"/>
    <cellStyle name="Comma 3" xfId="13" xr:uid="{EFA843E3-1E47-415A-B545-93150CDCF7B3}"/>
    <cellStyle name="Comma 4" xfId="28" xr:uid="{711C6E21-D329-4CBF-8A7F-55FAB4B68163}"/>
    <cellStyle name="Currency" xfId="2" builtinId="4"/>
    <cellStyle name="Currency 2" xfId="23" xr:uid="{7ABB6E8A-5C8A-4F12-A5EA-C31FA68E790A}"/>
    <cellStyle name="Currency 3" xfId="29" xr:uid="{353D42FC-733A-4789-9F9B-00F7547961FF}"/>
    <cellStyle name="Normal" xfId="0" builtinId="0"/>
    <cellStyle name="Normal 2" xfId="4" xr:uid="{3983B5E4-797F-4227-AF07-DF34B846169A}"/>
    <cellStyle name="Normal 3" xfId="7" xr:uid="{96669EA5-FE69-4FE1-9AAD-F35452E1CA3E}"/>
    <cellStyle name="Normal 32" xfId="25" xr:uid="{6F413D47-FBE0-4F96-A5B2-16963B2BE2FA}"/>
    <cellStyle name="Normal 32 2" xfId="33" xr:uid="{39BFD46D-E760-40E8-9115-7CFC3FD235F7}"/>
    <cellStyle name="Normal 33" xfId="26" xr:uid="{044232B6-B504-4722-8750-D1FBE9D0CF50}"/>
    <cellStyle name="Normal 33 2" xfId="32" xr:uid="{C554E699-13FB-4BAE-92CA-82B16A351EC3}"/>
    <cellStyle name="Normal 4" xfId="20" xr:uid="{16E476D8-AD03-4546-AC13-20CA1E4552AA}"/>
    <cellStyle name="Normal 5" xfId="27" xr:uid="{A9A88B9A-C83A-4D74-9709-84AD2C0AF844}"/>
    <cellStyle name="Normal 6" xfId="31" xr:uid="{DCDE9554-4C29-4185-A02D-347717E4C08D}"/>
    <cellStyle name="Normal_186302" xfId="19" xr:uid="{93BA6C02-7728-4517-9624-BB1DB6837426}"/>
    <cellStyle name="Normal_2007-08 Flowing dispatch" xfId="22" xr:uid="{A33E28C6-2F8A-4E2F-8107-CCEAD8D062B1}"/>
    <cellStyle name="Normal_4qtr e-workpapers Gas Cost Deferral section pgs1-6" xfId="10" xr:uid="{901FF57B-793E-4162-A058-D10F1700BC2E}"/>
    <cellStyle name="Normal_4th quarter corrections with staff expanded" xfId="9" xr:uid="{80D57850-5A82-4A28-B901-C87CA001A26A}"/>
    <cellStyle name="Normal_4th quarter corrections with staff expanded 2" xfId="15" xr:uid="{7C0A3F68-516E-4B0D-ADC9-F9A5611D9D60}"/>
    <cellStyle name="Normal_4th quarter corrections with staff expanded 2 3" xfId="11" xr:uid="{AB5CD67C-DED0-4B8C-A802-9501F362751C}"/>
    <cellStyle name="Normal_4th quarter corrections with staff expanded 3" xfId="18" xr:uid="{BD7EFA3D-F886-4530-82D4-9E2DB2DF6B17}"/>
    <cellStyle name="Normal_Deferred Accounts Summary 02qtr06" xfId="5" xr:uid="{3A5D3A44-FFF9-46BC-8900-0B149F15BF2C}"/>
    <cellStyle name="Normal_oregon technical incr for August 2002 filing" xfId="6" xr:uid="{8839EC47-AA4A-49D9-A845-7560D2CA1D2E}"/>
    <cellStyle name="Normal_oregon technical incr for August 2002 filing 2" xfId="8" xr:uid="{07FC92A1-EA89-4438-87B1-46871385BF60}"/>
    <cellStyle name="Percent" xfId="3" builtinId="5"/>
    <cellStyle name="Percent 2" xfId="21" xr:uid="{BEC3D3EA-73A3-45BF-B0A3-B051EE3715E2}"/>
    <cellStyle name="Percent 3" xfId="14" xr:uid="{7B63E8D8-8A5E-47C6-9A61-363AE3C31501}"/>
    <cellStyle name="Percent 4" xfId="30" xr:uid="{AE17A537-66FB-486B-8FFA-9EB55147F635}"/>
  </cellStyles>
  <dxfs count="32"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f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910590</xdr:colOff>
      <xdr:row>0</xdr:row>
      <xdr:rowOff>179070</xdr:rowOff>
    </xdr:from>
    <xdr:to>
      <xdr:col>52</xdr:col>
      <xdr:colOff>1283970</xdr:colOff>
      <xdr:row>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9F496-3B5B-4721-8650-4B0B0DF6AE6C}"/>
            </a:ext>
          </a:extLst>
        </xdr:cNvPr>
        <xdr:cNvSpPr txBox="1"/>
      </xdr:nvSpPr>
      <xdr:spPr>
        <a:xfrm>
          <a:off x="30711140" y="166370"/>
          <a:ext cx="589280" cy="74485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FF00"/>
              </a:solidFill>
            </a:rPr>
            <a:t>Mp:</a:t>
          </a:r>
          <a:r>
            <a:rPr lang="en-US" sz="1100" baseline="0">
              <a:solidFill>
                <a:srgbClr val="FFFF00"/>
              </a:solidFill>
            </a:rPr>
            <a:t> </a:t>
          </a:r>
          <a:r>
            <a:rPr lang="en-US" sz="1100">
              <a:solidFill>
                <a:srgbClr val="FFFF00"/>
              </a:solidFill>
            </a:rPr>
            <a:t>What goes here?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695325</xdr:colOff>
      <xdr:row>0</xdr:row>
      <xdr:rowOff>104774</xdr:rowOff>
    </xdr:from>
    <xdr:to>
      <xdr:col>22</xdr:col>
      <xdr:colOff>381000</xdr:colOff>
      <xdr:row>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5CD913-6B3E-4192-AA13-3A1F0D303AEC}"/>
            </a:ext>
          </a:extLst>
        </xdr:cNvPr>
        <xdr:cNvSpPr txBox="1"/>
      </xdr:nvSpPr>
      <xdr:spPr>
        <a:xfrm>
          <a:off x="12398375" y="104774"/>
          <a:ext cx="974725" cy="6985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Volumes and Increment are pasted as values from the CCA filing file, based on June</a:t>
          </a:r>
          <a:r>
            <a:rPr lang="en-US" sz="1100" baseline="0"/>
            <a:t> 30th Volumes, rate incorporates removing LI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K%20Attachment%204-C%20-%20Rates%20(rev4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Lewis\NWN%202025-26%20PGA%20WA%20Rate%20Development%20September%20Filing%20Exhibit%20A.xlsx" TargetMode="External"/><Relationship Id="rId1" Type="http://schemas.openxmlformats.org/officeDocument/2006/relationships/externalLinkPath" Target="/Regulatory_Affairs/Lewis/NWN%202025-26%20PGA%20WA%20Rate%20Development%20September%20Filing%20Exhibit%20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LeslieM/Documents/Datafile/Adient/RFS%20Documents/11-510-EN_Attachment%205.1%20(Charges)_2020-12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LMonthlyFiles/2007-09/Balance%20Sheet%20-%20Sept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uments\excel\2002%20Budget\Payroll%20Increases-Exempt-Mar%2002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September\NWN%202025-26%20PGA%20Gas%20Cost%20Development_September%20Filing_WA.xlsx" TargetMode="External"/><Relationship Id="rId1" Type="http://schemas.openxmlformats.org/officeDocument/2006/relationships/externalLinkPath" Target="/Regulatory_Affairs/PGA%20-%20WASHINGTON/2025/September/NWN%202025-26%20PGA%20Gas%20Cost%20Development_September%20Filing_W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BBG/Documents/TGG/Customers/Northwest%20Natural/Projects/Horizon%201/SOWs/Updated%20ImplementationPlanTaskSheet-10-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zb/Local%20Settings/Temporary%20Internet%20Files/OLKB8/Oregon%20accounts%2010-16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Bank%20Recons/2009/03.2009/Bank%2051%20Recon%2003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Regulatory%20Accounting\Deferred%20Accounts\OPUC%20Qtrly%20files\2012\Q3%202012\Deferred%20Accounts%20Summary%2003QTR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9%20Forecast\FCST%20Amortizations%2006-24-10%20for%20LS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JV'S/DEC_JV9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2004Oregon%20PGA\flowingdispatch_og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Payroll%20Overhead/proll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Margin\2008\Margin%20Analysis%202008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kba/Local%20Settings/Temporary%20Internet%20Files/OLKB8/PTO%20accrual%20rat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Corp_Taxation\My_Documents\1120_98\101plant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ac/Local%20Settings/Temporary%20Internet%20Files/OLK12/SEC%20Balance%20Sheet%20-%20Final%20Year%202004%20(022105_lsd)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2004%20PGA\2004%20Oregon\ot2004al%20%20sept14%20versi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fd\Local%20Settings\Temporary%20Internet%20Files\OLK176\Margin%20Analysis%20Report%20Form%20200803%20(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data\Documents%20and%20Settings\blv\Desktop\in%20progress\2006PurLo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orecast\2007%20Budget\proposed%20temps%202006-2007%20masterforecast%20update%20w19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%20Shwd%20BC%20Buildout%20Execution%20Budget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5%20Forecast\Margin\FCST%20Amortizations%2003-23-10%20for%20LSD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Current%20Rates\2_Washington\NWN%202024-25%20PGA%20WA%20Rate%20Development_CCA+BDP%20Filing_Compliance%20Filing.xlsx" TargetMode="External"/><Relationship Id="rId1" Type="http://schemas.openxmlformats.org/officeDocument/2006/relationships/externalLinkPath" Target="/Regulatory_Affairs/Current%20Rates/2_Washington/NWN%202024-25%20PGA%20WA%20Rate%20Development_CCA+BDP%20Filing_Compliance%20Filing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/Regulatory_Affairs/PGA%20-%20WASHINGTON/2025/Rate%20Development/Support/Proposed_Temps_2025-2026_Washington_updated_thru_08.31.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_CCA+BDP%20Filing_Compliance%20Filing.xlsx" TargetMode="External"/><Relationship Id="rId1" Type="http://schemas.openxmlformats.org/officeDocument/2006/relationships/externalLinkPath" Target="/Regulatory_Affairs/PGA%20-%20WASHINGTON/2025/Rate%20Development/NWN%202025-26%20PGA%20WA%20Rate%20Development_CCA+BDP%20Filing_Compliance%20Filing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sites/gasreg/PUCandUTCAccounting/JE_29/JE_29_2019_11_Amortization_NOV_2019_OLD_RAT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Gas%20Accounting\1%20-%20SHAREPOINT\PUC%20and%20UTC%20Accounting\JE%2029\JE_29_2022_05_Amortization_NEW_RATES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7_Amortization_NEW_RATES.xlsx" TargetMode="External"/><Relationship Id="rId1" Type="http://schemas.openxmlformats.org/officeDocument/2006/relationships/externalLinkPath" Target="file:///\\gasco.com\share\Gas%20Accounting\1%20-%20SHAREPOINT\PUC%20and%20UTC%20Accounting\JE%2029\JE_29_2023_07_Amortization_NEW_RATES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OREGON\2025\4_September\Gas%20Cost%20Development\NWN%202025-2026%20PGA%20Gas%20Cost%20Development_September%20Filing_OR_Highly%20Confidential.xlsx" TargetMode="External"/><Relationship Id="rId1" Type="http://schemas.openxmlformats.org/officeDocument/2006/relationships/externalLinkPath" Target="file:///\\gasco.com\share\GROUPS\Regulatory_Affairs\PGA%20-%20OREGON\2025\4_September\Gas%20Cost%20Development\NWN%202025-2026%20PGA%20Gas%20Cost%20Development_September%20Filing_OR_Highly%20Confidential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5.%20Plant%20Accounting/Journal%20Entries/M2P/2022/04-2022/Possible%20Adjustments%2004-2022%20H1%20Financial%20Worksheet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4\2_Rate%20Development\NWN%202024-25%20PGA%20Summary%20Effects%20September%20filing_WA.xlsx" TargetMode="External"/><Relationship Id="rId1" Type="http://schemas.openxmlformats.org/officeDocument/2006/relationships/externalLinkPath" Target="file:///\\gasco.com\share\GROUPS\Regulatory_Affairs\PGA%20-%20WASHINGTON\2024\2_Rate%20Development\NWN%202024-25%20PGA%20Summary%20Effects%20September%20filing_W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Temps%20&amp;%20Perms/Proposed%20Temps%20Oregon%202011-12%20PGA%20August%20fil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m.tpi.net/Documents%20and%20Settings/belpedioj/Local%20Settings/Temporary%20Internet%20Files/Content.Outlook/ZV9XMAGK/Infra%20Sample%20Invoice%20vF3%20(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2p\Desktop\FINAL_ACN_RFS%20004D%20Attachment%20Form%20of%20Invoice%20(Revised)_2021_12_31_M7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bemarle%20-%20Attachment%204-A%20Provider%20Pricing%20Forms%2001_25_17%20v1.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/Regulatory_Affairs/PGA%20-%20WASHINGTON/2025/Rate%20Development/NWN%202025-26%20PGA%20WA%20Rate%20Development%20September%20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Comp(No Cont)"/>
      <sheetName val="OTC 10 Case"/>
      <sheetName val="Rev Oct25"/>
      <sheetName val="GM Pricing (Local Curr)"/>
      <sheetName val="Assumptions"/>
      <sheetName val="Summary"/>
      <sheetName val="Summary (Avg)"/>
      <sheetName val="Jan06Cost"/>
      <sheetName val="Unit Cost"/>
      <sheetName val="GM Pricing"/>
      <sheetName val="Legacy Station"/>
      <sheetName val="IPT Station"/>
      <sheetName val="PhoneSet"/>
      <sheetName val="Legacy VM"/>
      <sheetName val="IPT VM"/>
      <sheetName val="UM"/>
      <sheetName val="Phone Set"/>
      <sheetName val="T&amp;M-Project"/>
      <sheetName val="StationVolume"/>
      <sheetName val="StationVolume (Basic)"/>
      <sheetName val="StationVolume (Std)"/>
      <sheetName val="StationVolume (Prem)"/>
      <sheetName val="VMVolume"/>
      <sheetName val="VMVolume (Std)"/>
      <sheetName val="VMVolume (Prem)"/>
      <sheetName val="Supply Annual Recurr"/>
      <sheetName val="UMVolume"/>
      <sheetName val="T&amp;M-Project Backup"/>
      <sheetName val="FX Rate"/>
      <sheetName val="Country List"/>
      <sheetName val="UnitComp(No_Cont)"/>
      <sheetName val="OTC_10_Case"/>
      <sheetName val="Rev_Oct25"/>
      <sheetName val="GM_Pricing_(Local_Curr)"/>
      <sheetName val="Summary_(Avg)"/>
      <sheetName val="Unit_Cost"/>
      <sheetName val="GM_Pricing"/>
      <sheetName val="Legacy_Station"/>
      <sheetName val="IPT_Station"/>
      <sheetName val="Legacy_VM"/>
      <sheetName val="IPT_VM"/>
      <sheetName val="Phone_Set"/>
      <sheetName val="StationVolume_(Basic)"/>
      <sheetName val="StationVolume_(Std)"/>
      <sheetName val="StationVolume_(Prem)"/>
      <sheetName val="VMVolume_(Std)"/>
      <sheetName val="VMVolume_(Prem)"/>
      <sheetName val="Supply_Annual_Recurr"/>
      <sheetName val="T&amp;M-Project_Backup"/>
      <sheetName val="FX_Rate"/>
      <sheetName val="Country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">
          <cell r="A3" t="str">
            <v>2025-2026 PGA Filing - Washington: September Filing</v>
          </cell>
        </row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</sheetData>
      <sheetData sheetId="3">
        <row r="7">
          <cell r="W7" t="str">
            <v>Low Income Bill Pay Assistance (GREAT)</v>
          </cell>
        </row>
      </sheetData>
      <sheetData sheetId="4"/>
      <sheetData sheetId="5">
        <row r="13">
          <cell r="M13">
            <v>3.0000000000000001E-5</v>
          </cell>
        </row>
      </sheetData>
      <sheetData sheetId="6">
        <row r="13">
          <cell r="D13">
            <v>1.6683000000000003</v>
          </cell>
        </row>
      </sheetData>
      <sheetData sheetId="7"/>
      <sheetData sheetId="8"/>
      <sheetData sheetId="9">
        <row r="10">
          <cell r="F10" t="str">
            <v>Mist Recall</v>
          </cell>
        </row>
      </sheetData>
      <sheetData sheetId="10">
        <row r="13">
          <cell r="D13">
            <v>1.6683000000000003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Provider Instructions"/>
      <sheetName val="Input"/>
      <sheetName val="Pricing Submission Changes"/>
      <sheetName val="ARC RRC Summary_Service Group"/>
      <sheetName val="ARC RRC Monthly Charges"/>
      <sheetName val="Unit Rates - ARC RRC"/>
      <sheetName val="ARC RRC Resource Baselines"/>
      <sheetName val="Fixed Vrb Summary_Service Gro "/>
      <sheetName val="Fixed Variable Monthly Charges"/>
      <sheetName val="Unit Rates - Fixed Variable"/>
      <sheetName val="Fixed Variable Volumes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Termination Charges Overall"/>
      <sheetName val="Termination Charges"/>
      <sheetName val="Role Descriptions"/>
      <sheetName val="Daily Rates"/>
      <sheetName val="Skill Set Descriptions"/>
      <sheetName val="Rate Card"/>
      <sheetName val="Rate Card #2"/>
      <sheetName val="Configure Pricing EvalDashboard"/>
      <sheetName val="Pricing Eval RU Summary"/>
    </sheetNames>
    <sheetDataSet>
      <sheetData sheetId="0"/>
      <sheetData sheetId="1" refreshError="1"/>
      <sheetData sheetId="2">
        <row r="8">
          <cell r="B8">
            <v>44287</v>
          </cell>
        </row>
        <row r="12">
          <cell r="B12">
            <v>44287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 2007 Balance Sheet"/>
      <sheetName val="123104 vs 93004"/>
      <sheetName val="Sept07vsJune07"/>
      <sheetName val="Essbase"/>
      <sheetName val="Def'd Debits"/>
      <sheetName val="Recon to Lawson"/>
      <sheetName val="Recon to 2006"/>
      <sheetName val="ALL ACCOUNTS"/>
      <sheetName val="Util Plant"/>
      <sheetName val="Accum Depr"/>
      <sheetName val="Gas Stored"/>
      <sheetName val="Non Util Prop"/>
      <sheetName val="Inv in Subs"/>
      <sheetName val="Other Inv"/>
      <sheetName val="Cash"/>
      <sheetName val="Acct Rec"/>
      <sheetName val="Allow Uncoll Acct"/>
      <sheetName val="Accrued Rev"/>
      <sheetName val="Inv of Gas"/>
      <sheetName val="Prepaid Prop"/>
      <sheetName val="Unamt Debt Disc"/>
      <sheetName val="Def Reg and Other"/>
      <sheetName val="Comm Stock"/>
      <sheetName val="Prem on Stock"/>
      <sheetName val="Retain Earn"/>
      <sheetName val="Pref Stock"/>
      <sheetName val="Long Term Debt"/>
      <sheetName val="Acct Pay"/>
      <sheetName val="Note Pay"/>
      <sheetName val="Curr Por LT Debt"/>
      <sheetName val="Cust Depos"/>
      <sheetName val="Taxes Accrued"/>
      <sheetName val="Interest Accrued"/>
      <sheetName val="Oth Current Liab"/>
      <sheetName val="Def Taxes Inv Credit"/>
      <sheetName val="Other Liabilities"/>
    </sheetNames>
    <sheetDataSet>
      <sheetData sheetId="0" refreshError="1"/>
      <sheetData sheetId="1" refreshError="1"/>
      <sheetData sheetId="2" refreshError="1"/>
      <sheetData sheetId="3">
        <row r="6">
          <cell r="D6" t="str">
            <v>Y-T-D(Sep)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y"/>
      <sheetName val="Excluded"/>
      <sheetName val="upload"/>
      <sheetName val="upload (2)"/>
      <sheetName val="upload (3)"/>
      <sheetName val="Combined"/>
      <sheetName val="month check"/>
      <sheetName val="Tweak"/>
      <sheetName val="Chenoweth"/>
      <sheetName val="Admin transfer effect"/>
      <sheetName val="month check-Dehning"/>
      <sheetName val="scratch pa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</sheetNames>
    <sheetDataSet>
      <sheetData sheetId="0" refreshError="1"/>
      <sheetData sheetId="1">
        <row r="4">
          <cell r="AE4">
            <v>151557.16119633711</v>
          </cell>
        </row>
        <row r="5">
          <cell r="AE5">
            <v>198235.85188900406</v>
          </cell>
        </row>
        <row r="6">
          <cell r="AE6">
            <v>229659.22400215484</v>
          </cell>
        </row>
        <row r="7">
          <cell r="AE7">
            <v>258785.71829180667</v>
          </cell>
        </row>
        <row r="8">
          <cell r="AE8">
            <v>39800.193823629801</v>
          </cell>
        </row>
        <row r="9">
          <cell r="AE9">
            <v>40307.046968527655</v>
          </cell>
        </row>
        <row r="10">
          <cell r="AE10">
            <v>41713.292378944294</v>
          </cell>
        </row>
        <row r="11">
          <cell r="AE11">
            <v>40101.819247916879</v>
          </cell>
        </row>
        <row r="12">
          <cell r="AE12">
            <v>41077.100669665582</v>
          </cell>
        </row>
        <row r="13">
          <cell r="AE13">
            <v>40971.068718119132</v>
          </cell>
        </row>
        <row r="14">
          <cell r="AE14">
            <v>39752.932122878548</v>
          </cell>
        </row>
        <row r="15">
          <cell r="AE15">
            <v>39629.795490512071</v>
          </cell>
        </row>
      </sheetData>
      <sheetData sheetId="2">
        <row r="30">
          <cell r="F30">
            <v>87590</v>
          </cell>
        </row>
        <row r="48">
          <cell r="F48">
            <v>0</v>
          </cell>
        </row>
        <row r="66">
          <cell r="F66">
            <v>1027</v>
          </cell>
        </row>
        <row r="85">
          <cell r="F85">
            <v>83563</v>
          </cell>
        </row>
        <row r="89">
          <cell r="F89">
            <v>21567</v>
          </cell>
        </row>
        <row r="90">
          <cell r="F90">
            <v>25055</v>
          </cell>
        </row>
        <row r="91">
          <cell r="F91">
            <v>24121</v>
          </cell>
        </row>
        <row r="92">
          <cell r="F92">
            <v>20589</v>
          </cell>
        </row>
        <row r="93">
          <cell r="F93">
            <v>20062</v>
          </cell>
        </row>
        <row r="94">
          <cell r="F94">
            <v>14400</v>
          </cell>
        </row>
        <row r="95">
          <cell r="F95">
            <v>10366</v>
          </cell>
        </row>
        <row r="96">
          <cell r="F96">
            <v>7175</v>
          </cell>
        </row>
        <row r="97">
          <cell r="F97">
            <v>5130</v>
          </cell>
        </row>
        <row r="98">
          <cell r="F98">
            <v>5019</v>
          </cell>
        </row>
        <row r="99">
          <cell r="F99">
            <v>5925</v>
          </cell>
        </row>
        <row r="100">
          <cell r="F100">
            <v>12771</v>
          </cell>
        </row>
      </sheetData>
      <sheetData sheetId="3">
        <row r="20">
          <cell r="D20">
            <v>30</v>
          </cell>
        </row>
        <row r="21">
          <cell r="D21">
            <v>31</v>
          </cell>
        </row>
        <row r="22">
          <cell r="D22">
            <v>31</v>
          </cell>
        </row>
        <row r="23">
          <cell r="D23">
            <v>28</v>
          </cell>
        </row>
        <row r="24">
          <cell r="D24">
            <v>31</v>
          </cell>
        </row>
        <row r="25">
          <cell r="D25">
            <v>30</v>
          </cell>
        </row>
        <row r="26">
          <cell r="D26">
            <v>31</v>
          </cell>
        </row>
        <row r="27">
          <cell r="D27">
            <v>30</v>
          </cell>
        </row>
        <row r="28">
          <cell r="D28">
            <v>31</v>
          </cell>
        </row>
        <row r="29">
          <cell r="D29">
            <v>31</v>
          </cell>
        </row>
        <row r="30">
          <cell r="D30">
            <v>30</v>
          </cell>
        </row>
        <row r="31">
          <cell r="D31">
            <v>31</v>
          </cell>
        </row>
      </sheetData>
      <sheetData sheetId="4">
        <row r="17">
          <cell r="CG17">
            <v>10104560.629507305</v>
          </cell>
        </row>
        <row r="18">
          <cell r="CG18">
            <v>11912338.146434449</v>
          </cell>
        </row>
        <row r="19">
          <cell r="CG19">
            <v>11458686.612636192</v>
          </cell>
        </row>
        <row r="20">
          <cell r="CG20">
            <v>9204071.1505306493</v>
          </cell>
        </row>
        <row r="21">
          <cell r="CG21">
            <v>8740026.2139814664</v>
          </cell>
        </row>
        <row r="22">
          <cell r="CG22">
            <v>7298548.6203391477</v>
          </cell>
        </row>
        <row r="23">
          <cell r="CG23">
            <v>4840469.7152079977</v>
          </cell>
        </row>
        <row r="24">
          <cell r="CG24">
            <v>3354519.5525397588</v>
          </cell>
        </row>
        <row r="25">
          <cell r="CG25">
            <v>2708042.6580105075</v>
          </cell>
        </row>
        <row r="26">
          <cell r="CG26">
            <v>2605652.4706753041</v>
          </cell>
        </row>
        <row r="27">
          <cell r="CG27">
            <v>2854091.4309035009</v>
          </cell>
        </row>
        <row r="28">
          <cell r="CG28">
            <v>5646595.5803987794</v>
          </cell>
        </row>
        <row r="35">
          <cell r="CG35">
            <v>10252415.068275878</v>
          </cell>
        </row>
        <row r="36">
          <cell r="CG36">
            <v>12065869.070551742</v>
          </cell>
        </row>
        <row r="37">
          <cell r="CG37">
            <v>11606447.070551742</v>
          </cell>
        </row>
        <row r="38">
          <cell r="CG38">
            <v>9322962.0637241527</v>
          </cell>
        </row>
        <row r="39">
          <cell r="CG39">
            <v>8853792.4628379531</v>
          </cell>
        </row>
        <row r="40">
          <cell r="CG40">
            <v>7387941.0682758782</v>
          </cell>
        </row>
        <row r="41">
          <cell r="CG41">
            <v>4904656.0648153592</v>
          </cell>
        </row>
        <row r="42">
          <cell r="CG42">
            <v>3395348.0682758782</v>
          </cell>
        </row>
        <row r="43">
          <cell r="CG43">
            <v>2735217.0705517409</v>
          </cell>
        </row>
        <row r="44">
          <cell r="CG44">
            <v>2631524.7045345586</v>
          </cell>
        </row>
        <row r="45">
          <cell r="CG45">
            <v>2885971.1769485474</v>
          </cell>
        </row>
        <row r="46">
          <cell r="CG46">
            <v>5722846.0467689494</v>
          </cell>
        </row>
        <row r="79">
          <cell r="CG79">
            <v>31814728.04212882</v>
          </cell>
        </row>
        <row r="96">
          <cell r="CG96">
            <v>0</v>
          </cell>
        </row>
        <row r="101">
          <cell r="CG101">
            <v>3984941.9274634356</v>
          </cell>
        </row>
        <row r="102">
          <cell r="CG102">
            <v>5836651.9969347436</v>
          </cell>
        </row>
        <row r="103">
          <cell r="CG103">
            <v>5856907.1783979246</v>
          </cell>
        </row>
        <row r="104">
          <cell r="CG104">
            <v>4460308.8642100515</v>
          </cell>
        </row>
        <row r="105">
          <cell r="CG105">
            <v>3590065.695087892</v>
          </cell>
        </row>
        <row r="106">
          <cell r="CG106">
            <v>1887791.7101132344</v>
          </cell>
        </row>
        <row r="107">
          <cell r="CG107">
            <v>1089180.6004630269</v>
          </cell>
        </row>
        <row r="108">
          <cell r="CG108">
            <v>834008.94888009853</v>
          </cell>
        </row>
        <row r="109">
          <cell r="CG109">
            <v>862582.78150758054</v>
          </cell>
        </row>
        <row r="110">
          <cell r="CG110">
            <v>854603.82876242604</v>
          </cell>
        </row>
        <row r="111">
          <cell r="CG111">
            <v>892529.69939175283</v>
          </cell>
        </row>
        <row r="112">
          <cell r="CG112">
            <v>1665154.8109166562</v>
          </cell>
        </row>
      </sheetData>
      <sheetData sheetId="5" refreshError="1"/>
      <sheetData sheetId="6" refreshError="1"/>
      <sheetData sheetId="7">
        <row r="111">
          <cell r="U111">
            <v>80727602.781165048</v>
          </cell>
        </row>
      </sheetData>
      <sheetData sheetId="8"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9"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</sheetData>
      <sheetData sheetId="10">
        <row r="34">
          <cell r="D34">
            <v>0</v>
          </cell>
          <cell r="E34">
            <v>0</v>
          </cell>
          <cell r="F34">
            <v>1417</v>
          </cell>
          <cell r="G34">
            <v>6441</v>
          </cell>
          <cell r="H34">
            <v>0</v>
          </cell>
          <cell r="I34">
            <v>0</v>
          </cell>
        </row>
        <row r="35">
          <cell r="D35">
            <v>455644</v>
          </cell>
          <cell r="E35">
            <v>89904</v>
          </cell>
          <cell r="F35">
            <v>1627</v>
          </cell>
          <cell r="G35">
            <v>7395</v>
          </cell>
          <cell r="H35">
            <v>0</v>
          </cell>
          <cell r="I35">
            <v>0</v>
          </cell>
        </row>
        <row r="36">
          <cell r="D36">
            <v>704017</v>
          </cell>
          <cell r="E36">
            <v>0</v>
          </cell>
          <cell r="F36">
            <v>1627</v>
          </cell>
          <cell r="G36">
            <v>7395</v>
          </cell>
          <cell r="H36">
            <v>0</v>
          </cell>
          <cell r="I36">
            <v>0</v>
          </cell>
        </row>
        <row r="37">
          <cell r="D37">
            <v>650969</v>
          </cell>
          <cell r="E37">
            <v>9334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380121</v>
          </cell>
          <cell r="E38">
            <v>71726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28590</v>
          </cell>
          <cell r="E39">
            <v>24067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0</v>
          </cell>
          <cell r="E45">
            <v>14047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53">
          <cell r="D53">
            <v>0</v>
          </cell>
          <cell r="E53">
            <v>0</v>
          </cell>
          <cell r="F53">
            <v>8</v>
          </cell>
          <cell r="G53">
            <v>51</v>
          </cell>
          <cell r="H53">
            <v>0</v>
          </cell>
          <cell r="I53">
            <v>0</v>
          </cell>
        </row>
        <row r="54">
          <cell r="D54">
            <v>9256</v>
          </cell>
          <cell r="E54">
            <v>0</v>
          </cell>
          <cell r="F54">
            <v>10</v>
          </cell>
          <cell r="G54">
            <v>59</v>
          </cell>
          <cell r="H54">
            <v>0</v>
          </cell>
          <cell r="I54">
            <v>0</v>
          </cell>
        </row>
        <row r="55">
          <cell r="D55">
            <v>14302</v>
          </cell>
          <cell r="E55">
            <v>0</v>
          </cell>
          <cell r="F55">
            <v>10</v>
          </cell>
          <cell r="G55">
            <v>59</v>
          </cell>
          <cell r="H55">
            <v>0</v>
          </cell>
          <cell r="I55">
            <v>0</v>
          </cell>
        </row>
        <row r="56">
          <cell r="D56">
            <v>13224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7722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581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9">
          <cell r="J69">
            <v>7917</v>
          </cell>
        </row>
        <row r="70">
          <cell r="J70">
            <v>563895</v>
          </cell>
        </row>
        <row r="71">
          <cell r="J71">
            <v>727410</v>
          </cell>
        </row>
        <row r="72">
          <cell r="J72">
            <v>673527</v>
          </cell>
        </row>
        <row r="73">
          <cell r="J73">
            <v>459569</v>
          </cell>
        </row>
        <row r="74">
          <cell r="J74">
            <v>53238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14047</v>
          </cell>
        </row>
      </sheetData>
      <sheetData sheetId="11">
        <row r="16">
          <cell r="F16">
            <v>0</v>
          </cell>
          <cell r="I16">
            <v>0</v>
          </cell>
          <cell r="J16">
            <v>0</v>
          </cell>
          <cell r="L16">
            <v>10013509.712435426</v>
          </cell>
          <cell r="M16">
            <v>10104560.629507301</v>
          </cell>
        </row>
        <row r="17">
          <cell r="F17">
            <v>472447.48995716573</v>
          </cell>
          <cell r="I17">
            <v>0</v>
          </cell>
          <cell r="J17">
            <v>0</v>
          </cell>
          <cell r="L17">
            <v>11804997.574936878</v>
          </cell>
          <cell r="M17">
            <v>11912338.146434445</v>
          </cell>
        </row>
        <row r="18">
          <cell r="F18">
            <v>0</v>
          </cell>
          <cell r="I18">
            <v>0</v>
          </cell>
          <cell r="J18">
            <v>0</v>
          </cell>
          <cell r="L18">
            <v>11355433.837698799</v>
          </cell>
          <cell r="M18">
            <v>11458686.61263619</v>
          </cell>
        </row>
        <row r="19">
          <cell r="F19">
            <v>49048.756349856827</v>
          </cell>
          <cell r="I19">
            <v>0</v>
          </cell>
          <cell r="J19">
            <v>0</v>
          </cell>
          <cell r="L19">
            <v>9121134.4301943518</v>
          </cell>
          <cell r="M19">
            <v>9204071.1505306493</v>
          </cell>
        </row>
        <row r="20">
          <cell r="F20">
            <v>376922.61194132222</v>
          </cell>
          <cell r="I20">
            <v>0</v>
          </cell>
          <cell r="J20">
            <v>0</v>
          </cell>
          <cell r="L20">
            <v>8661270.9438422192</v>
          </cell>
          <cell r="M20">
            <v>8740026.2139814645</v>
          </cell>
        </row>
        <row r="21">
          <cell r="F21">
            <v>126470.29931567766</v>
          </cell>
          <cell r="I21">
            <v>0</v>
          </cell>
          <cell r="J21">
            <v>0</v>
          </cell>
          <cell r="L21">
            <v>7232782.322373163</v>
          </cell>
          <cell r="M21">
            <v>7298548.6203391487</v>
          </cell>
        </row>
        <row r="22">
          <cell r="F22">
            <v>0</v>
          </cell>
          <cell r="I22">
            <v>0</v>
          </cell>
          <cell r="J22">
            <v>0</v>
          </cell>
          <cell r="L22">
            <v>4796852.8551793396</v>
          </cell>
          <cell r="M22">
            <v>4840469.7152079996</v>
          </cell>
        </row>
        <row r="23">
          <cell r="F23">
            <v>0</v>
          </cell>
          <cell r="I23">
            <v>0</v>
          </cell>
          <cell r="J23">
            <v>0</v>
          </cell>
          <cell r="L23">
            <v>3324292.401375724</v>
          </cell>
          <cell r="M23">
            <v>3354519.5525397598</v>
          </cell>
        </row>
        <row r="24">
          <cell r="F24">
            <v>0</v>
          </cell>
          <cell r="I24">
            <v>0</v>
          </cell>
          <cell r="J24">
            <v>0</v>
          </cell>
          <cell r="L24">
            <v>2683640.8283296032</v>
          </cell>
          <cell r="M24">
            <v>2708042.6580105079</v>
          </cell>
        </row>
        <row r="25">
          <cell r="F25">
            <v>0</v>
          </cell>
          <cell r="I25">
            <v>0</v>
          </cell>
          <cell r="J25">
            <v>0</v>
          </cell>
          <cell r="L25">
            <v>2582173.266014711</v>
          </cell>
          <cell r="M25">
            <v>2605652.470675305</v>
          </cell>
        </row>
        <row r="26">
          <cell r="F26">
            <v>0</v>
          </cell>
          <cell r="I26">
            <v>0</v>
          </cell>
          <cell r="J26">
            <v>0</v>
          </cell>
          <cell r="L26">
            <v>2828373.5742129413</v>
          </cell>
          <cell r="M26">
            <v>2854091.4309035013</v>
          </cell>
        </row>
        <row r="27">
          <cell r="F27">
            <v>73815.636974494322</v>
          </cell>
          <cell r="I27">
            <v>0</v>
          </cell>
          <cell r="J27">
            <v>0</v>
          </cell>
          <cell r="L27">
            <v>5595714.8222163869</v>
          </cell>
          <cell r="M27">
            <v>5646595.5803987812</v>
          </cell>
        </row>
        <row r="28">
          <cell r="K28">
            <v>12056352.876426265</v>
          </cell>
          <cell r="L28">
            <v>80000176.568809554</v>
          </cell>
          <cell r="M28">
            <v>80727602.781165048</v>
          </cell>
        </row>
        <row r="34">
          <cell r="F34">
            <v>0</v>
          </cell>
          <cell r="I34">
            <v>0</v>
          </cell>
          <cell r="J34">
            <v>0</v>
          </cell>
          <cell r="K34">
            <v>28507.304031497479</v>
          </cell>
        </row>
        <row r="35">
          <cell r="F35">
            <v>473105.10605458159</v>
          </cell>
          <cell r="I35">
            <v>0</v>
          </cell>
          <cell r="J35">
            <v>0</v>
          </cell>
          <cell r="K35">
            <v>2736215.5070291455</v>
          </cell>
        </row>
        <row r="36">
          <cell r="F36">
            <v>0</v>
          </cell>
          <cell r="I36">
            <v>0</v>
          </cell>
          <cell r="J36">
            <v>0</v>
          </cell>
          <cell r="K36">
            <v>3478894.1266141692</v>
          </cell>
        </row>
        <row r="37">
          <cell r="F37">
            <v>49117.029020194896</v>
          </cell>
          <cell r="I37">
            <v>0</v>
          </cell>
          <cell r="J37">
            <v>0</v>
          </cell>
          <cell r="K37">
            <v>3235610.682357219</v>
          </cell>
        </row>
        <row r="38">
          <cell r="F38">
            <v>377447.26363777876</v>
          </cell>
          <cell r="I38">
            <v>0</v>
          </cell>
          <cell r="J38">
            <v>0</v>
          </cell>
          <cell r="K38">
            <v>2238140.1142951227</v>
          </cell>
        </row>
        <row r="39">
          <cell r="F39">
            <v>126646.33772511558</v>
          </cell>
          <cell r="I39">
            <v>0</v>
          </cell>
          <cell r="J39">
            <v>0</v>
          </cell>
          <cell r="K39">
            <v>266596.08399826329</v>
          </cell>
        </row>
        <row r="40">
          <cell r="F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73918.383527597689</v>
          </cell>
          <cell r="I45">
            <v>0</v>
          </cell>
          <cell r="J45">
            <v>0</v>
          </cell>
          <cell r="K45">
            <v>73918.383527597689</v>
          </cell>
        </row>
        <row r="418">
          <cell r="D418">
            <v>92056529</v>
          </cell>
        </row>
      </sheetData>
      <sheetData sheetId="12">
        <row r="13">
          <cell r="E13">
            <v>0.19319999999999998</v>
          </cell>
        </row>
        <row r="14">
          <cell r="E14">
            <v>0.23380113636363645</v>
          </cell>
        </row>
        <row r="15">
          <cell r="E15">
            <v>0.24265340909090907</v>
          </cell>
        </row>
        <row r="16">
          <cell r="E16">
            <v>0.24413749999999995</v>
          </cell>
        </row>
        <row r="17">
          <cell r="E17">
            <v>0.2163352272727273</v>
          </cell>
        </row>
        <row r="18">
          <cell r="E18">
            <v>0.19808977272727271</v>
          </cell>
        </row>
        <row r="19">
          <cell r="E19">
            <v>0.1898806818181818</v>
          </cell>
        </row>
        <row r="20">
          <cell r="E20">
            <v>0.19474090909090908</v>
          </cell>
        </row>
        <row r="21">
          <cell r="E21">
            <v>0.19820113636363637</v>
          </cell>
        </row>
        <row r="22">
          <cell r="E22">
            <v>0.19978522727272732</v>
          </cell>
        </row>
        <row r="23">
          <cell r="E23">
            <v>0.2000079545454545</v>
          </cell>
        </row>
        <row r="24">
          <cell r="E24">
            <v>0.2192465909090909</v>
          </cell>
        </row>
      </sheetData>
      <sheetData sheetId="13" refreshError="1"/>
      <sheetData sheetId="14">
        <row r="12">
          <cell r="F12">
            <v>0.98613150000000005</v>
          </cell>
        </row>
        <row r="13">
          <cell r="F13">
            <v>0.98799999999999999</v>
          </cell>
        </row>
        <row r="14">
          <cell r="F14">
            <v>0.99861</v>
          </cell>
        </row>
        <row r="15">
          <cell r="F15">
            <v>1</v>
          </cell>
        </row>
        <row r="16">
          <cell r="F16">
            <v>0.97340000000000004</v>
          </cell>
        </row>
      </sheetData>
      <sheetData sheetId="15">
        <row r="10">
          <cell r="E10">
            <v>4.3568999999999997E-2</v>
          </cell>
        </row>
        <row r="68">
          <cell r="D68">
            <v>726491658.36307311</v>
          </cell>
          <cell r="E68">
            <v>90908754.469081819</v>
          </cell>
        </row>
        <row r="69">
          <cell r="E69">
            <v>1147774.976154</v>
          </cell>
        </row>
        <row r="77">
          <cell r="D77">
            <v>9.887E-2</v>
          </cell>
          <cell r="E77">
            <v>0.10337</v>
          </cell>
        </row>
        <row r="78">
          <cell r="D78">
            <v>3.4549999999999997E-2</v>
          </cell>
          <cell r="E78">
            <v>3.6119999999999999E-2</v>
          </cell>
        </row>
        <row r="79">
          <cell r="D79">
            <v>1.47</v>
          </cell>
          <cell r="E79">
            <v>1.54</v>
          </cell>
        </row>
        <row r="91">
          <cell r="E91">
            <v>15096.911999999997</v>
          </cell>
        </row>
        <row r="96">
          <cell r="D96">
            <v>-9348.4799999999977</v>
          </cell>
          <cell r="E96">
            <v>-9660.0960000000014</v>
          </cell>
          <cell r="F96">
            <v>-9660.0960000000014</v>
          </cell>
          <cell r="G96">
            <v>-8725.2479999999978</v>
          </cell>
          <cell r="H96">
            <v>-9660.0960000000032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</sheetData>
      <sheetData sheetId="16" refreshError="1"/>
      <sheetData sheetId="17">
        <row r="1">
          <cell r="A1" t="str">
            <v>NW Natural</v>
          </cell>
        </row>
        <row r="2">
          <cell r="A2" t="str">
            <v>2025-2026 PGA - SYSTEM: September Filing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 and Resources by Task"/>
      <sheetName val="Build Cycles"/>
      <sheetName val="TGG Resources - H1"/>
      <sheetName val="Integrations"/>
    </sheetNames>
    <sheetDataSet>
      <sheetData sheetId="0" refreshError="1"/>
      <sheetData sheetId="1" refreshError="1"/>
      <sheetData sheetId="2" refreshError="1">
        <row r="2">
          <cell r="B2">
            <v>150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Rec"/>
      <sheetName val="Bank Rec 0309"/>
      <sheetName val="Mar B. Statement"/>
      <sheetName val="Mar GL"/>
      <sheetName val="Checks not In BS"/>
      <sheetName val="Mar Check Register"/>
      <sheetName val="FEB GL"/>
      <sheetName val="FEB BK Statement"/>
      <sheetName val="Feb Check Register"/>
      <sheetName val="Recon pg2"/>
      <sheetName val="Recon pg1"/>
      <sheetName val="Bank Rec 02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"/>
      <sheetName val="OH DISTB"/>
      <sheetName val="JV 92"/>
      <sheetName val="ESTIMATE"/>
      <sheetName val="DEPR"/>
      <sheetName val="Journal Pag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/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2.32 ANALYSIS"/>
      <sheetName val="WORKSHEET"/>
      <sheetName val="MAIN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  <sheetName val="Exec Summ Data"/>
      <sheetName val="General Inputs"/>
      <sheetName val="Rev&amp;Vol Inputs"/>
      <sheetName val="CUSTOMER Data"/>
      <sheetName val="Allocations"/>
      <sheetName val="Margin Calc"/>
      <sheetName val="Output for BOD report"/>
      <sheetName val="Output for EPS vis"/>
      <sheetName val="2008 Budget"/>
      <sheetName val="07 MARGIN NET"/>
      <sheetName val="07 MARGIN Detail"/>
      <sheetName val="07 REV"/>
      <sheetName val="07 Delivered Volumes"/>
      <sheetName val="07 SOURCE VOL"/>
      <sheetName val="07 COG"/>
      <sheetName val="QTR TITLE"/>
      <sheetName val="QTR MARGIN NET"/>
      <sheetName val="QTR MARGIN"/>
      <sheetName val="QTR Delivered Volumes"/>
      <sheetName val="QTR REV"/>
      <sheetName val="QTR SOURCE VOL"/>
      <sheetName val="QTR C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2">
          <cell r="A5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Officers"/>
      <sheetName val="Exempt"/>
      <sheetName val="Office"/>
      <sheetName val="Field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</sheetNames>
    <sheetDataSet>
      <sheetData sheetId="0" refreshError="1">
        <row r="5">
          <cell r="B5" t="str">
            <v>March 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Prep Submittal Summary"/>
      <sheetName val="Cost Summary"/>
      <sheetName val="P1 Facilities Capital"/>
      <sheetName val="P1 Internal Labor"/>
      <sheetName val="Drop dn"/>
      <sheetName val="P1 External Labor "/>
      <sheetName val="P1 Material"/>
      <sheetName val="P1 Other"/>
      <sheetName val="P1 Hardware"/>
      <sheetName val="P1 Software "/>
      <sheetName val="BUDGET"/>
      <sheetName val="Details"/>
      <sheetName val="Sheet2 (2)"/>
      <sheetName val="BID COST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Allocation = % of margin"/>
      <sheetName val="Permanents"/>
      <sheetName val="Temporaries"/>
      <sheetName val="Rates in detail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K13">
            <v>0.10213</v>
          </cell>
          <cell r="L13">
            <v>8.3300000000000006E-3</v>
          </cell>
          <cell r="M13">
            <v>0</v>
          </cell>
          <cell r="N13">
            <v>1.771E-2</v>
          </cell>
          <cell r="O13">
            <v>2.3600000000000001E-3</v>
          </cell>
          <cell r="P13">
            <v>-1.1100000000000001E-3</v>
          </cell>
          <cell r="Q13">
            <v>0</v>
          </cell>
          <cell r="R13">
            <v>1.396E-2</v>
          </cell>
          <cell r="S13">
            <v>0</v>
          </cell>
          <cell r="T13">
            <v>4.2000000000000002E-4</v>
          </cell>
          <cell r="U13">
            <v>3.7949999999999998E-2</v>
          </cell>
        </row>
        <row r="14">
          <cell r="K14">
            <v>8.863E-2</v>
          </cell>
          <cell r="L14">
            <v>7.1999999999999998E-3</v>
          </cell>
          <cell r="M14">
            <v>0</v>
          </cell>
          <cell r="N14">
            <v>1.536E-2</v>
          </cell>
          <cell r="O14">
            <v>2.0400000000000001E-3</v>
          </cell>
          <cell r="P14">
            <v>-9.6000000000000002E-4</v>
          </cell>
          <cell r="Q14">
            <v>0</v>
          </cell>
          <cell r="R14">
            <v>1.2109999999999999E-2</v>
          </cell>
          <cell r="S14">
            <v>0</v>
          </cell>
          <cell r="T14">
            <v>3.8000000000000002E-4</v>
          </cell>
          <cell r="U14">
            <v>3.2939999999999997E-2</v>
          </cell>
        </row>
        <row r="15">
          <cell r="K15">
            <v>5.8880000000000002E-2</v>
          </cell>
          <cell r="L15">
            <v>4.7999999999999996E-3</v>
          </cell>
          <cell r="M15">
            <v>0</v>
          </cell>
          <cell r="N15">
            <v>1.021E-2</v>
          </cell>
          <cell r="O15">
            <v>1.3600000000000001E-3</v>
          </cell>
          <cell r="P15">
            <v>-6.4000000000000005E-4</v>
          </cell>
          <cell r="Q15">
            <v>3.6000000000000002E-4</v>
          </cell>
          <cell r="R15">
            <v>8.0499999999999999E-3</v>
          </cell>
          <cell r="S15">
            <v>0</v>
          </cell>
          <cell r="T15">
            <v>3.1E-4</v>
          </cell>
          <cell r="U15">
            <v>2.188E-2</v>
          </cell>
        </row>
        <row r="16">
          <cell r="K16">
            <v>5.2319999999999998E-2</v>
          </cell>
          <cell r="L16">
            <v>4.2700000000000004E-3</v>
          </cell>
          <cell r="M16">
            <v>0</v>
          </cell>
          <cell r="N16">
            <v>9.0699999999999999E-3</v>
          </cell>
          <cell r="O16">
            <v>1.2099999999999999E-3</v>
          </cell>
          <cell r="P16">
            <v>-5.6999999999999998E-4</v>
          </cell>
          <cell r="Q16">
            <v>0</v>
          </cell>
          <cell r="R16">
            <v>7.1500000000000001E-3</v>
          </cell>
          <cell r="S16">
            <v>0</v>
          </cell>
          <cell r="T16">
            <v>2.9E-4</v>
          </cell>
          <cell r="U16">
            <v>1.9439999999999999E-2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8.3300000000000006E-3</v>
          </cell>
          <cell r="O17">
            <v>1.1100000000000001E-3</v>
          </cell>
          <cell r="P17">
            <v>-5.1999999999999995E-4</v>
          </cell>
          <cell r="Q17">
            <v>0</v>
          </cell>
          <cell r="R17">
            <v>6.5599999999999999E-3</v>
          </cell>
          <cell r="S17">
            <v>1.0300000000000001E-3</v>
          </cell>
          <cell r="T17">
            <v>2.4000000000000001E-4</v>
          </cell>
          <cell r="U17">
            <v>1.7850000000000001E-2</v>
          </cell>
        </row>
        <row r="18">
          <cell r="K18">
            <v>8.5110000000000005E-2</v>
          </cell>
          <cell r="L18">
            <v>6.94E-3</v>
          </cell>
          <cell r="M18">
            <v>0</v>
          </cell>
          <cell r="N18">
            <v>1.4749999999999999E-2</v>
          </cell>
          <cell r="O18">
            <v>1.97E-3</v>
          </cell>
          <cell r="P18">
            <v>-9.3000000000000005E-4</v>
          </cell>
          <cell r="Q18">
            <v>0</v>
          </cell>
          <cell r="R18">
            <v>1.163E-2</v>
          </cell>
          <cell r="S18">
            <v>0</v>
          </cell>
          <cell r="T18">
            <v>4.2999999999999999E-4</v>
          </cell>
          <cell r="U18">
            <v>3.1620000000000002E-2</v>
          </cell>
        </row>
        <row r="19">
          <cell r="K19">
            <v>4.2070000000000003E-2</v>
          </cell>
          <cell r="L19">
            <v>3.4299999999999999E-3</v>
          </cell>
          <cell r="M19">
            <v>0</v>
          </cell>
          <cell r="N19">
            <v>7.3000000000000001E-3</v>
          </cell>
          <cell r="O19">
            <v>9.7000000000000005E-4</v>
          </cell>
          <cell r="P19">
            <v>-4.6000000000000001E-4</v>
          </cell>
          <cell r="Q19">
            <v>0</v>
          </cell>
          <cell r="R19">
            <v>5.7499999999999999E-3</v>
          </cell>
          <cell r="S19">
            <v>0</v>
          </cell>
          <cell r="T19">
            <v>2.3000000000000001E-4</v>
          </cell>
          <cell r="U19">
            <v>1.5630000000000002E-2</v>
          </cell>
        </row>
        <row r="20">
          <cell r="K20">
            <v>3.7069999999999999E-2</v>
          </cell>
          <cell r="L20">
            <v>3.0200000000000001E-3</v>
          </cell>
          <cell r="M20">
            <v>0</v>
          </cell>
          <cell r="N20">
            <v>6.43E-3</v>
          </cell>
          <cell r="O20">
            <v>8.5999999999999998E-4</v>
          </cell>
          <cell r="P20">
            <v>-4.0000000000000002E-4</v>
          </cell>
          <cell r="Q20">
            <v>0</v>
          </cell>
          <cell r="R20">
            <v>5.0699999999999999E-3</v>
          </cell>
          <cell r="S20">
            <v>0</v>
          </cell>
          <cell r="T20">
            <v>2.2000000000000001E-4</v>
          </cell>
          <cell r="U20">
            <v>1.3769999999999999E-2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6.2500000000000003E-3</v>
          </cell>
          <cell r="O21">
            <v>8.3000000000000001E-4</v>
          </cell>
          <cell r="P21">
            <v>-3.8999999999999999E-4</v>
          </cell>
          <cell r="Q21">
            <v>0</v>
          </cell>
          <cell r="R21">
            <v>4.9300000000000004E-3</v>
          </cell>
          <cell r="S21">
            <v>1.0300000000000001E-3</v>
          </cell>
          <cell r="T21">
            <v>2.1000000000000001E-4</v>
          </cell>
          <cell r="U21">
            <v>1.34E-2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5.5100000000000001E-3</v>
          </cell>
          <cell r="O22">
            <v>7.2999999999999996E-4</v>
          </cell>
          <cell r="P22">
            <v>-3.4000000000000002E-4</v>
          </cell>
          <cell r="Q22">
            <v>0</v>
          </cell>
          <cell r="R22">
            <v>4.3400000000000001E-3</v>
          </cell>
          <cell r="S22">
            <v>1.0300000000000001E-3</v>
          </cell>
          <cell r="T22">
            <v>2.1000000000000001E-4</v>
          </cell>
          <cell r="U22">
            <v>1.1809999999999999E-2</v>
          </cell>
        </row>
        <row r="23">
          <cell r="K23">
            <v>3.7560000000000003E-2</v>
          </cell>
          <cell r="L23">
            <v>3.0599999999999998E-3</v>
          </cell>
          <cell r="M23">
            <v>0</v>
          </cell>
          <cell r="N23">
            <v>6.6400000000000001E-3</v>
          </cell>
          <cell r="O23">
            <v>8.8000000000000003E-4</v>
          </cell>
          <cell r="P23">
            <v>-4.2999999999999999E-4</v>
          </cell>
          <cell r="Q23">
            <v>0</v>
          </cell>
          <cell r="R23">
            <v>5.4599999999999996E-3</v>
          </cell>
          <cell r="S23">
            <v>0</v>
          </cell>
          <cell r="T23">
            <v>0</v>
          </cell>
          <cell r="U23">
            <v>1.4829999999999999E-2</v>
          </cell>
        </row>
        <row r="24">
          <cell r="K24">
            <v>3.3099999999999997E-2</v>
          </cell>
          <cell r="L24">
            <v>2.7000000000000001E-3</v>
          </cell>
          <cell r="M24">
            <v>0</v>
          </cell>
          <cell r="N24">
            <v>5.8500000000000002E-3</v>
          </cell>
          <cell r="O24">
            <v>7.7999999999999999E-4</v>
          </cell>
          <cell r="P24">
            <v>-3.8000000000000002E-4</v>
          </cell>
          <cell r="Q24">
            <v>0</v>
          </cell>
          <cell r="R24">
            <v>4.81E-3</v>
          </cell>
          <cell r="S24">
            <v>0</v>
          </cell>
          <cell r="T24">
            <v>0</v>
          </cell>
          <cell r="U24">
            <v>1.307E-2</v>
          </cell>
        </row>
        <row r="25">
          <cell r="K25">
            <v>0</v>
          </cell>
          <cell r="L25">
            <v>0</v>
          </cell>
          <cell r="M25">
            <v>0</v>
          </cell>
          <cell r="N25">
            <v>6.28E-3</v>
          </cell>
          <cell r="O25">
            <v>8.4000000000000003E-4</v>
          </cell>
          <cell r="P25">
            <v>-4.0999999999999999E-4</v>
          </cell>
          <cell r="Q25">
            <v>0</v>
          </cell>
          <cell r="R25">
            <v>5.1599999999999997E-3</v>
          </cell>
          <cell r="S25">
            <v>1.0300000000000001E-3</v>
          </cell>
          <cell r="T25">
            <v>0</v>
          </cell>
          <cell r="U25">
            <v>1.4030000000000001E-2</v>
          </cell>
        </row>
        <row r="26">
          <cell r="K26">
            <v>0</v>
          </cell>
          <cell r="L26">
            <v>0</v>
          </cell>
          <cell r="M26">
            <v>0</v>
          </cell>
          <cell r="N26">
            <v>5.5300000000000002E-3</v>
          </cell>
          <cell r="O26">
            <v>7.3999999999999999E-4</v>
          </cell>
          <cell r="P26">
            <v>-3.6000000000000002E-4</v>
          </cell>
          <cell r="Q26">
            <v>0</v>
          </cell>
          <cell r="R26">
            <v>4.5500000000000002E-3</v>
          </cell>
          <cell r="S26">
            <v>1.0300000000000001E-3</v>
          </cell>
          <cell r="T26">
            <v>0</v>
          </cell>
          <cell r="U26">
            <v>1.2359999999999999E-2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-4.4999999999999999E-4</v>
          </cell>
          <cell r="Q27">
            <v>0</v>
          </cell>
          <cell r="R27">
            <v>5.6899999999999997E-3</v>
          </cell>
          <cell r="S27">
            <v>1.0300000000000001E-3</v>
          </cell>
          <cell r="T27">
            <v>1.4999999999999999E-4</v>
          </cell>
          <cell r="U27">
            <v>1.5440000000000001E-2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-4.0000000000000002E-4</v>
          </cell>
          <cell r="Q28">
            <v>0</v>
          </cell>
          <cell r="R28">
            <v>5.0099999999999997E-3</v>
          </cell>
          <cell r="S28">
            <v>1.0300000000000001E-3</v>
          </cell>
          <cell r="T28">
            <v>1.3999999999999999E-4</v>
          </cell>
          <cell r="U28">
            <v>1.3599999999999999E-2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-4.0999999999999999E-4</v>
          </cell>
          <cell r="Q29">
            <v>0</v>
          </cell>
          <cell r="R29">
            <v>5.2199999999999998E-3</v>
          </cell>
          <cell r="S29">
            <v>1.0300000000000001E-3</v>
          </cell>
          <cell r="T29">
            <v>0</v>
          </cell>
          <cell r="U29">
            <v>1.418E-2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-3.6000000000000002E-4</v>
          </cell>
          <cell r="Q30">
            <v>0</v>
          </cell>
          <cell r="R30">
            <v>4.5999999999999999E-3</v>
          </cell>
          <cell r="S30">
            <v>1.0300000000000001E-3</v>
          </cell>
          <cell r="T30">
            <v>0</v>
          </cell>
          <cell r="U30">
            <v>1.2500000000000001E-2</v>
          </cell>
        </row>
        <row r="31">
          <cell r="K31">
            <v>2.3380000000000001E-2</v>
          </cell>
          <cell r="L31">
            <v>1.91E-3</v>
          </cell>
          <cell r="M31">
            <v>0</v>
          </cell>
          <cell r="N31">
            <v>4.0499999999999998E-3</v>
          </cell>
          <cell r="O31">
            <v>5.4000000000000001E-4</v>
          </cell>
          <cell r="P31">
            <v>-2.5000000000000001E-4</v>
          </cell>
          <cell r="Q31">
            <v>0</v>
          </cell>
          <cell r="R31">
            <v>3.2000000000000002E-3</v>
          </cell>
          <cell r="S31">
            <v>0</v>
          </cell>
          <cell r="T31">
            <v>1.4999999999999999E-4</v>
          </cell>
          <cell r="U31">
            <v>8.6899999999999998E-3</v>
          </cell>
        </row>
        <row r="32">
          <cell r="K32">
            <v>2.0930000000000001E-2</v>
          </cell>
          <cell r="L32">
            <v>1.7099999999999999E-3</v>
          </cell>
          <cell r="M32">
            <v>0</v>
          </cell>
          <cell r="N32">
            <v>3.63E-3</v>
          </cell>
          <cell r="O32">
            <v>4.8000000000000001E-4</v>
          </cell>
          <cell r="P32">
            <v>-2.3000000000000001E-4</v>
          </cell>
          <cell r="Q32">
            <v>0</v>
          </cell>
          <cell r="R32">
            <v>2.8600000000000001E-3</v>
          </cell>
          <cell r="S32">
            <v>0</v>
          </cell>
          <cell r="T32">
            <v>1.3999999999999999E-4</v>
          </cell>
          <cell r="U32">
            <v>7.7799999999999996E-3</v>
          </cell>
        </row>
        <row r="33">
          <cell r="K33">
            <v>1.6049999999999998E-2</v>
          </cell>
          <cell r="L33">
            <v>1.31E-3</v>
          </cell>
          <cell r="M33">
            <v>0</v>
          </cell>
          <cell r="N33">
            <v>2.7799999999999999E-3</v>
          </cell>
          <cell r="O33">
            <v>3.6999999999999999E-4</v>
          </cell>
          <cell r="P33">
            <v>-1.7000000000000001E-4</v>
          </cell>
          <cell r="Q33">
            <v>0</v>
          </cell>
          <cell r="R33">
            <v>2.1900000000000001E-3</v>
          </cell>
          <cell r="S33">
            <v>0</v>
          </cell>
          <cell r="T33">
            <v>1.3999999999999999E-4</v>
          </cell>
          <cell r="U33">
            <v>5.9699999999999996E-3</v>
          </cell>
        </row>
        <row r="34">
          <cell r="K34">
            <v>1.2840000000000001E-2</v>
          </cell>
          <cell r="L34">
            <v>1.0499999999999999E-3</v>
          </cell>
          <cell r="M34">
            <v>0</v>
          </cell>
          <cell r="N34">
            <v>2.2300000000000002E-3</v>
          </cell>
          <cell r="O34">
            <v>2.9999999999999997E-4</v>
          </cell>
          <cell r="P34">
            <v>-1.3999999999999999E-4</v>
          </cell>
          <cell r="Q34">
            <v>0</v>
          </cell>
          <cell r="R34">
            <v>1.7600000000000001E-3</v>
          </cell>
          <cell r="S34">
            <v>0</v>
          </cell>
          <cell r="T34">
            <v>1.2999999999999999E-4</v>
          </cell>
          <cell r="U34">
            <v>4.7699999999999999E-3</v>
          </cell>
        </row>
        <row r="35">
          <cell r="K35">
            <v>8.5599999999999999E-3</v>
          </cell>
          <cell r="L35">
            <v>6.9999999999999999E-4</v>
          </cell>
          <cell r="M35">
            <v>0</v>
          </cell>
          <cell r="N35">
            <v>1.48E-3</v>
          </cell>
          <cell r="O35">
            <v>2.0000000000000001E-4</v>
          </cell>
          <cell r="P35">
            <v>-9.0000000000000006E-5</v>
          </cell>
          <cell r="Q35">
            <v>0</v>
          </cell>
          <cell r="R35">
            <v>1.17E-3</v>
          </cell>
          <cell r="S35">
            <v>0</v>
          </cell>
          <cell r="T35">
            <v>1.2999999999999999E-4</v>
          </cell>
          <cell r="U35">
            <v>3.1800000000000001E-3</v>
          </cell>
        </row>
        <row r="36">
          <cell r="K36">
            <v>3.2100000000000002E-3</v>
          </cell>
          <cell r="L36">
            <v>2.5999999999999998E-4</v>
          </cell>
          <cell r="M36">
            <v>0</v>
          </cell>
          <cell r="N36">
            <v>5.5999999999999995E-4</v>
          </cell>
          <cell r="O36">
            <v>6.9999999999999994E-5</v>
          </cell>
          <cell r="P36">
            <v>-3.0000000000000001E-5</v>
          </cell>
          <cell r="Q36">
            <v>0</v>
          </cell>
          <cell r="R36">
            <v>4.4000000000000002E-4</v>
          </cell>
          <cell r="S36">
            <v>0</v>
          </cell>
          <cell r="T36">
            <v>1.2E-4</v>
          </cell>
          <cell r="U36">
            <v>1.1900000000000001E-3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3.9300000000000003E-3</v>
          </cell>
          <cell r="O37">
            <v>5.1999999999999995E-4</v>
          </cell>
          <cell r="P37">
            <v>-2.5000000000000001E-4</v>
          </cell>
          <cell r="Q37">
            <v>0</v>
          </cell>
          <cell r="R37">
            <v>3.0999999999999999E-3</v>
          </cell>
          <cell r="S37">
            <v>1.0300000000000001E-3</v>
          </cell>
          <cell r="T37">
            <v>3.0000000000000001E-5</v>
          </cell>
          <cell r="U37">
            <v>8.43E-3</v>
          </cell>
        </row>
        <row r="38">
          <cell r="K38">
            <v>0</v>
          </cell>
          <cell r="L38">
            <v>0</v>
          </cell>
          <cell r="M38">
            <v>0</v>
          </cell>
          <cell r="N38">
            <v>3.5200000000000001E-3</v>
          </cell>
          <cell r="O38">
            <v>4.6999999999999999E-4</v>
          </cell>
          <cell r="P38">
            <v>-2.2000000000000001E-4</v>
          </cell>
          <cell r="Q38">
            <v>0</v>
          </cell>
          <cell r="R38">
            <v>2.7699999999999999E-3</v>
          </cell>
          <cell r="S38">
            <v>1.0300000000000001E-3</v>
          </cell>
          <cell r="T38">
            <v>3.0000000000000001E-5</v>
          </cell>
          <cell r="U38">
            <v>7.5399999999999998E-3</v>
          </cell>
        </row>
        <row r="39">
          <cell r="K39">
            <v>0</v>
          </cell>
          <cell r="L39">
            <v>0</v>
          </cell>
          <cell r="M39">
            <v>0</v>
          </cell>
          <cell r="N39">
            <v>2.7000000000000001E-3</v>
          </cell>
          <cell r="O39">
            <v>3.6000000000000002E-4</v>
          </cell>
          <cell r="P39">
            <v>-1.7000000000000001E-4</v>
          </cell>
          <cell r="Q39">
            <v>0</v>
          </cell>
          <cell r="R39">
            <v>2.1299999999999999E-3</v>
          </cell>
          <cell r="S39">
            <v>1.0300000000000001E-3</v>
          </cell>
          <cell r="T39">
            <v>3.0000000000000001E-5</v>
          </cell>
          <cell r="U39">
            <v>5.7800000000000004E-3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2.16E-3</v>
          </cell>
          <cell r="O40">
            <v>2.9E-4</v>
          </cell>
          <cell r="P40">
            <v>-1.3999999999999999E-4</v>
          </cell>
          <cell r="Q40">
            <v>0</v>
          </cell>
          <cell r="R40">
            <v>1.6999999999999999E-3</v>
          </cell>
          <cell r="S40">
            <v>1.0300000000000001E-3</v>
          </cell>
          <cell r="T40">
            <v>3.0000000000000001E-5</v>
          </cell>
          <cell r="U40">
            <v>4.6299999999999996E-3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1.4400000000000001E-3</v>
          </cell>
          <cell r="O41">
            <v>1.9000000000000001E-4</v>
          </cell>
          <cell r="P41">
            <v>-9.0000000000000006E-5</v>
          </cell>
          <cell r="Q41">
            <v>0</v>
          </cell>
          <cell r="R41">
            <v>1.14E-3</v>
          </cell>
          <cell r="S41">
            <v>1.0300000000000001E-3</v>
          </cell>
          <cell r="T41">
            <v>3.0000000000000001E-5</v>
          </cell>
          <cell r="U41">
            <v>3.0899999999999999E-3</v>
          </cell>
        </row>
        <row r="42">
          <cell r="K42">
            <v>0</v>
          </cell>
          <cell r="L42">
            <v>0</v>
          </cell>
          <cell r="M42">
            <v>0</v>
          </cell>
          <cell r="N42">
            <v>5.4000000000000001E-4</v>
          </cell>
          <cell r="O42">
            <v>6.9999999999999994E-5</v>
          </cell>
          <cell r="P42">
            <v>-3.0000000000000001E-5</v>
          </cell>
          <cell r="Q42">
            <v>0</v>
          </cell>
          <cell r="R42">
            <v>4.2999999999999999E-4</v>
          </cell>
          <cell r="S42">
            <v>1.0300000000000001E-3</v>
          </cell>
          <cell r="T42">
            <v>3.0000000000000001E-5</v>
          </cell>
          <cell r="U42">
            <v>1.16E-3</v>
          </cell>
        </row>
        <row r="43"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-1.4999999999999999E-4</v>
          </cell>
          <cell r="Q43">
            <v>0</v>
          </cell>
          <cell r="R43">
            <v>1.9300000000000001E-3</v>
          </cell>
          <cell r="S43">
            <v>1.0300000000000001E-3</v>
          </cell>
          <cell r="T43">
            <v>1.2E-4</v>
          </cell>
          <cell r="U43">
            <v>5.2399999999999999E-3</v>
          </cell>
        </row>
        <row r="44"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-1.3999999999999999E-4</v>
          </cell>
          <cell r="Q44">
            <v>0</v>
          </cell>
          <cell r="R44">
            <v>1.73E-3</v>
          </cell>
          <cell r="S44">
            <v>1.0300000000000001E-3</v>
          </cell>
          <cell r="T44">
            <v>1.2E-4</v>
          </cell>
          <cell r="U44">
            <v>4.6899999999999997E-3</v>
          </cell>
        </row>
        <row r="45"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-1.1E-4</v>
          </cell>
          <cell r="Q45">
            <v>0</v>
          </cell>
          <cell r="R45">
            <v>1.33E-3</v>
          </cell>
          <cell r="S45">
            <v>1.0300000000000001E-3</v>
          </cell>
          <cell r="T45">
            <v>1.1E-4</v>
          </cell>
          <cell r="U45">
            <v>3.5999999999999999E-3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-8.0000000000000007E-5</v>
          </cell>
          <cell r="Q46">
            <v>0</v>
          </cell>
          <cell r="R46">
            <v>1.06E-3</v>
          </cell>
          <cell r="S46">
            <v>1.0300000000000001E-3</v>
          </cell>
          <cell r="T46">
            <v>1.1E-4</v>
          </cell>
          <cell r="U46">
            <v>2.8800000000000002E-3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-6.0000000000000002E-5</v>
          </cell>
          <cell r="Q47">
            <v>0</v>
          </cell>
          <cell r="R47">
            <v>7.1000000000000002E-4</v>
          </cell>
          <cell r="S47">
            <v>1.0300000000000001E-3</v>
          </cell>
          <cell r="T47">
            <v>1E-4</v>
          </cell>
          <cell r="U47">
            <v>1.92E-3</v>
          </cell>
        </row>
        <row r="48"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-2.0000000000000002E-5</v>
          </cell>
          <cell r="Q48">
            <v>0</v>
          </cell>
          <cell r="R48">
            <v>2.7E-4</v>
          </cell>
          <cell r="S48">
            <v>1.0300000000000001E-3</v>
          </cell>
          <cell r="T48">
            <v>1E-4</v>
          </cell>
          <cell r="U48">
            <v>7.2000000000000005E-4</v>
          </cell>
        </row>
        <row r="49"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-1.6000000000000001E-4</v>
          </cell>
          <cell r="Q49">
            <v>0</v>
          </cell>
          <cell r="R49">
            <v>2.0600000000000002E-3</v>
          </cell>
          <cell r="S49">
            <v>1.0300000000000001E-3</v>
          </cell>
          <cell r="T49">
            <v>1E-4</v>
          </cell>
          <cell r="U49">
            <v>5.5900000000000004E-3</v>
          </cell>
        </row>
        <row r="50"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-1.4999999999999999E-4</v>
          </cell>
          <cell r="Q50">
            <v>0</v>
          </cell>
          <cell r="R50">
            <v>1.8400000000000001E-3</v>
          </cell>
          <cell r="S50">
            <v>1.0300000000000001E-3</v>
          </cell>
          <cell r="T50">
            <v>1E-4</v>
          </cell>
          <cell r="U50">
            <v>5.0099999999999997E-3</v>
          </cell>
        </row>
        <row r="51"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-1.1E-4</v>
          </cell>
          <cell r="Q51">
            <v>0</v>
          </cell>
          <cell r="R51">
            <v>1.41E-3</v>
          </cell>
          <cell r="S51">
            <v>1.0300000000000001E-3</v>
          </cell>
          <cell r="T51">
            <v>9.0000000000000006E-5</v>
          </cell>
          <cell r="U51">
            <v>3.8400000000000001E-3</v>
          </cell>
        </row>
        <row r="52"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-9.0000000000000006E-5</v>
          </cell>
          <cell r="Q52">
            <v>0</v>
          </cell>
          <cell r="R52">
            <v>1.1299999999999999E-3</v>
          </cell>
          <cell r="S52">
            <v>1.0300000000000001E-3</v>
          </cell>
          <cell r="T52">
            <v>9.0000000000000006E-5</v>
          </cell>
          <cell r="U52">
            <v>3.0699999999999998E-3</v>
          </cell>
        </row>
        <row r="53"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-6.0000000000000002E-5</v>
          </cell>
          <cell r="Q53">
            <v>0</v>
          </cell>
          <cell r="R53">
            <v>7.5000000000000002E-4</v>
          </cell>
          <cell r="S53">
            <v>1.0300000000000001E-3</v>
          </cell>
          <cell r="T53">
            <v>9.0000000000000006E-5</v>
          </cell>
          <cell r="U53">
            <v>2.0500000000000002E-3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-2.0000000000000002E-5</v>
          </cell>
          <cell r="Q54">
            <v>0</v>
          </cell>
          <cell r="R54">
            <v>2.7999999999999998E-4</v>
          </cell>
          <cell r="S54">
            <v>1.0300000000000001E-3</v>
          </cell>
          <cell r="T54">
            <v>8.0000000000000007E-5</v>
          </cell>
          <cell r="U54">
            <v>7.6999999999999996E-4</v>
          </cell>
        </row>
        <row r="55">
          <cell r="K55">
            <v>1.729E-2</v>
          </cell>
          <cell r="L55">
            <v>1.41E-3</v>
          </cell>
          <cell r="M55">
            <v>0</v>
          </cell>
          <cell r="N55">
            <v>3.0000000000000001E-3</v>
          </cell>
          <cell r="O55">
            <v>4.0000000000000002E-4</v>
          </cell>
          <cell r="P55">
            <v>-1.9000000000000001E-4</v>
          </cell>
          <cell r="Q55">
            <v>0</v>
          </cell>
          <cell r="R55">
            <v>2.3600000000000001E-3</v>
          </cell>
          <cell r="S55">
            <v>0</v>
          </cell>
          <cell r="T55">
            <v>1.8000000000000001E-4</v>
          </cell>
          <cell r="U55">
            <v>6.4200000000000004E-3</v>
          </cell>
        </row>
        <row r="56">
          <cell r="K56">
            <v>1.5480000000000001E-2</v>
          </cell>
          <cell r="L56">
            <v>1.2600000000000001E-3</v>
          </cell>
          <cell r="M56">
            <v>0</v>
          </cell>
          <cell r="N56">
            <v>2.6800000000000001E-3</v>
          </cell>
          <cell r="O56">
            <v>3.6000000000000002E-4</v>
          </cell>
          <cell r="P56">
            <v>-1.7000000000000001E-4</v>
          </cell>
          <cell r="Q56">
            <v>0</v>
          </cell>
          <cell r="R56">
            <v>2.1199999999999999E-3</v>
          </cell>
          <cell r="S56">
            <v>0</v>
          </cell>
          <cell r="T56">
            <v>1.8000000000000001E-4</v>
          </cell>
          <cell r="U56">
            <v>5.7499999999999999E-3</v>
          </cell>
        </row>
        <row r="57">
          <cell r="K57">
            <v>1.187E-2</v>
          </cell>
          <cell r="L57">
            <v>9.7000000000000005E-4</v>
          </cell>
          <cell r="M57">
            <v>0</v>
          </cell>
          <cell r="N57">
            <v>2.0600000000000002E-3</v>
          </cell>
          <cell r="O57">
            <v>2.7E-4</v>
          </cell>
          <cell r="P57">
            <v>-1.2999999999999999E-4</v>
          </cell>
          <cell r="Q57">
            <v>0</v>
          </cell>
          <cell r="R57">
            <v>1.6199999999999999E-3</v>
          </cell>
          <cell r="S57">
            <v>0</v>
          </cell>
          <cell r="T57">
            <v>1.7000000000000001E-4</v>
          </cell>
          <cell r="U57">
            <v>4.4099999999999999E-3</v>
          </cell>
        </row>
        <row r="58">
          <cell r="K58">
            <v>9.4900000000000002E-3</v>
          </cell>
          <cell r="L58">
            <v>7.6999999999999996E-4</v>
          </cell>
          <cell r="M58">
            <v>0</v>
          </cell>
          <cell r="N58">
            <v>1.65E-3</v>
          </cell>
          <cell r="O58">
            <v>2.2000000000000001E-4</v>
          </cell>
          <cell r="P58">
            <v>-1E-4</v>
          </cell>
          <cell r="Q58">
            <v>0</v>
          </cell>
          <cell r="R58">
            <v>1.2999999999999999E-3</v>
          </cell>
          <cell r="S58">
            <v>0</v>
          </cell>
          <cell r="T58">
            <v>1.7000000000000001E-4</v>
          </cell>
          <cell r="U58">
            <v>3.5300000000000002E-3</v>
          </cell>
        </row>
        <row r="59">
          <cell r="K59">
            <v>6.3299999999999997E-3</v>
          </cell>
          <cell r="L59">
            <v>5.1999999999999995E-4</v>
          </cell>
          <cell r="M59">
            <v>0</v>
          </cell>
          <cell r="N59">
            <v>1.1000000000000001E-3</v>
          </cell>
          <cell r="O59">
            <v>1.4999999999999999E-4</v>
          </cell>
          <cell r="P59">
            <v>-6.9999999999999994E-5</v>
          </cell>
          <cell r="Q59">
            <v>0</v>
          </cell>
          <cell r="R59">
            <v>8.7000000000000001E-4</v>
          </cell>
          <cell r="S59">
            <v>0</v>
          </cell>
          <cell r="T59">
            <v>1.6000000000000001E-4</v>
          </cell>
          <cell r="U59">
            <v>2.3500000000000001E-3</v>
          </cell>
        </row>
        <row r="60">
          <cell r="K60">
            <v>2.3700000000000001E-3</v>
          </cell>
          <cell r="L60">
            <v>1.9000000000000001E-4</v>
          </cell>
          <cell r="M60">
            <v>0</v>
          </cell>
          <cell r="N60">
            <v>4.0999999999999999E-4</v>
          </cell>
          <cell r="O60">
            <v>5.0000000000000002E-5</v>
          </cell>
          <cell r="P60">
            <v>-3.0000000000000001E-5</v>
          </cell>
          <cell r="Q60">
            <v>0</v>
          </cell>
          <cell r="R60">
            <v>3.2000000000000003E-4</v>
          </cell>
          <cell r="S60">
            <v>0</v>
          </cell>
          <cell r="T60">
            <v>1.4999999999999999E-4</v>
          </cell>
          <cell r="U60">
            <v>8.8000000000000003E-4</v>
          </cell>
        </row>
        <row r="61">
          <cell r="K61">
            <v>0</v>
          </cell>
          <cell r="L61">
            <v>0</v>
          </cell>
          <cell r="M61">
            <v>0</v>
          </cell>
          <cell r="N61">
            <v>3.5599999999999998E-3</v>
          </cell>
          <cell r="O61">
            <v>4.8000000000000001E-4</v>
          </cell>
          <cell r="P61">
            <v>-2.2000000000000001E-4</v>
          </cell>
          <cell r="Q61">
            <v>0</v>
          </cell>
          <cell r="R61">
            <v>2.81E-3</v>
          </cell>
          <cell r="S61">
            <v>1.0300000000000001E-3</v>
          </cell>
          <cell r="T61">
            <v>6.9999999999999994E-5</v>
          </cell>
          <cell r="U61">
            <v>7.6400000000000001E-3</v>
          </cell>
        </row>
        <row r="62">
          <cell r="K62">
            <v>0</v>
          </cell>
          <cell r="L62">
            <v>0</v>
          </cell>
          <cell r="M62">
            <v>0</v>
          </cell>
          <cell r="N62">
            <v>3.1900000000000001E-3</v>
          </cell>
          <cell r="O62">
            <v>4.2999999999999999E-4</v>
          </cell>
          <cell r="P62">
            <v>-2.0000000000000001E-4</v>
          </cell>
          <cell r="Q62">
            <v>0</v>
          </cell>
          <cell r="R62">
            <v>2.5200000000000001E-3</v>
          </cell>
          <cell r="S62">
            <v>1.0300000000000001E-3</v>
          </cell>
          <cell r="T62">
            <v>6.9999999999999994E-5</v>
          </cell>
          <cell r="U62">
            <v>6.8300000000000001E-3</v>
          </cell>
        </row>
        <row r="63">
          <cell r="K63">
            <v>0</v>
          </cell>
          <cell r="L63">
            <v>0</v>
          </cell>
          <cell r="M63">
            <v>0</v>
          </cell>
          <cell r="N63">
            <v>2.4499999999999999E-3</v>
          </cell>
          <cell r="O63">
            <v>3.3E-4</v>
          </cell>
          <cell r="P63">
            <v>-1.4999999999999999E-4</v>
          </cell>
          <cell r="Q63">
            <v>0</v>
          </cell>
          <cell r="R63">
            <v>1.9300000000000001E-3</v>
          </cell>
          <cell r="S63">
            <v>1.0300000000000001E-3</v>
          </cell>
          <cell r="T63">
            <v>6.9999999999999994E-5</v>
          </cell>
          <cell r="U63">
            <v>5.2399999999999999E-3</v>
          </cell>
        </row>
        <row r="64">
          <cell r="K64">
            <v>0</v>
          </cell>
          <cell r="L64">
            <v>0</v>
          </cell>
          <cell r="M64">
            <v>0</v>
          </cell>
          <cell r="N64">
            <v>1.9599999999999999E-3</v>
          </cell>
          <cell r="O64">
            <v>2.5999999999999998E-4</v>
          </cell>
          <cell r="P64">
            <v>-1.2E-4</v>
          </cell>
          <cell r="Q64">
            <v>0</v>
          </cell>
          <cell r="R64">
            <v>1.5399999999999999E-3</v>
          </cell>
          <cell r="S64">
            <v>1.0300000000000001E-3</v>
          </cell>
          <cell r="T64">
            <v>6.9999999999999994E-5</v>
          </cell>
          <cell r="U64">
            <v>4.1900000000000001E-3</v>
          </cell>
        </row>
        <row r="65">
          <cell r="K65">
            <v>0</v>
          </cell>
          <cell r="L65">
            <v>0</v>
          </cell>
          <cell r="M65">
            <v>0</v>
          </cell>
          <cell r="N65">
            <v>1.2999999999999999E-3</v>
          </cell>
          <cell r="O65">
            <v>1.7000000000000001E-4</v>
          </cell>
          <cell r="P65">
            <v>-8.0000000000000007E-5</v>
          </cell>
          <cell r="Q65">
            <v>0</v>
          </cell>
          <cell r="R65">
            <v>1.0300000000000001E-3</v>
          </cell>
          <cell r="S65">
            <v>1.0300000000000001E-3</v>
          </cell>
          <cell r="T65">
            <v>6.9999999999999994E-5</v>
          </cell>
          <cell r="U65">
            <v>2.7899999999999999E-3</v>
          </cell>
        </row>
        <row r="66">
          <cell r="K66">
            <v>0</v>
          </cell>
          <cell r="L66">
            <v>0</v>
          </cell>
          <cell r="M66">
            <v>0</v>
          </cell>
          <cell r="N66">
            <v>4.8999999999999998E-4</v>
          </cell>
          <cell r="O66">
            <v>6.9999999999999994E-5</v>
          </cell>
          <cell r="P66">
            <v>-3.0000000000000001E-5</v>
          </cell>
          <cell r="Q66">
            <v>0</v>
          </cell>
          <cell r="R66">
            <v>3.8999999999999999E-4</v>
          </cell>
          <cell r="S66">
            <v>1.0300000000000001E-3</v>
          </cell>
          <cell r="T66">
            <v>6.0000000000000002E-5</v>
          </cell>
          <cell r="U66">
            <v>1.0499999999999999E-3</v>
          </cell>
        </row>
        <row r="67"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-1.6000000000000001E-4</v>
          </cell>
          <cell r="Q67">
            <v>0</v>
          </cell>
          <cell r="R67">
            <v>2.0100000000000001E-3</v>
          </cell>
          <cell r="S67">
            <v>1.0300000000000001E-3</v>
          </cell>
          <cell r="T67">
            <v>0</v>
          </cell>
          <cell r="U67">
            <v>5.4599999999999996E-3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-1.3999999999999999E-4</v>
          </cell>
          <cell r="Q68">
            <v>0</v>
          </cell>
          <cell r="R68">
            <v>1.8E-3</v>
          </cell>
          <cell r="S68">
            <v>1.0300000000000001E-3</v>
          </cell>
          <cell r="T68">
            <v>0</v>
          </cell>
          <cell r="U68">
            <v>4.8900000000000002E-3</v>
          </cell>
        </row>
        <row r="69"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-1.1E-4</v>
          </cell>
          <cell r="Q69">
            <v>0</v>
          </cell>
          <cell r="R69">
            <v>1.3799999999999999E-3</v>
          </cell>
          <cell r="S69">
            <v>1.0300000000000001E-3</v>
          </cell>
          <cell r="T69">
            <v>0</v>
          </cell>
          <cell r="U69">
            <v>3.7499999999999999E-3</v>
          </cell>
        </row>
        <row r="70"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-9.0000000000000006E-5</v>
          </cell>
          <cell r="Q70">
            <v>0</v>
          </cell>
          <cell r="R70">
            <v>1.1100000000000001E-3</v>
          </cell>
          <cell r="S70">
            <v>1.0300000000000001E-3</v>
          </cell>
          <cell r="T70">
            <v>0</v>
          </cell>
          <cell r="U70">
            <v>3.0000000000000001E-3</v>
          </cell>
        </row>
        <row r="71"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-6.0000000000000002E-5</v>
          </cell>
          <cell r="Q71">
            <v>0</v>
          </cell>
          <cell r="R71">
            <v>7.3999999999999999E-4</v>
          </cell>
          <cell r="S71">
            <v>1.0300000000000001E-3</v>
          </cell>
          <cell r="T71">
            <v>0</v>
          </cell>
          <cell r="U71">
            <v>2E-3</v>
          </cell>
        </row>
        <row r="72"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-2.0000000000000002E-5</v>
          </cell>
          <cell r="Q72">
            <v>0</v>
          </cell>
          <cell r="R72">
            <v>2.7999999999999998E-4</v>
          </cell>
          <cell r="S72">
            <v>1.0300000000000001E-3</v>
          </cell>
          <cell r="T72">
            <v>0</v>
          </cell>
          <cell r="U72">
            <v>7.5000000000000002E-4</v>
          </cell>
        </row>
        <row r="73"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-1.6000000000000001E-4</v>
          </cell>
          <cell r="Q73">
            <v>0</v>
          </cell>
          <cell r="R73">
            <v>2.0100000000000001E-3</v>
          </cell>
          <cell r="S73">
            <v>1.0300000000000001E-3</v>
          </cell>
          <cell r="T73">
            <v>1E-4</v>
          </cell>
          <cell r="U73">
            <v>5.4599999999999996E-3</v>
          </cell>
        </row>
        <row r="74"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-1.3999999999999999E-4</v>
          </cell>
          <cell r="Q74">
            <v>0</v>
          </cell>
          <cell r="R74">
            <v>1.8E-3</v>
          </cell>
          <cell r="S74">
            <v>1.0300000000000001E-3</v>
          </cell>
          <cell r="T74">
            <v>1E-4</v>
          </cell>
          <cell r="U74">
            <v>4.8900000000000002E-3</v>
          </cell>
        </row>
        <row r="75"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-1.1E-4</v>
          </cell>
          <cell r="Q75">
            <v>0</v>
          </cell>
          <cell r="R75">
            <v>1.3799999999999999E-3</v>
          </cell>
          <cell r="S75">
            <v>1.0300000000000001E-3</v>
          </cell>
          <cell r="T75">
            <v>9.0000000000000006E-5</v>
          </cell>
          <cell r="U75">
            <v>3.7499999999999999E-3</v>
          </cell>
        </row>
        <row r="76"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-9.0000000000000006E-5</v>
          </cell>
          <cell r="Q76">
            <v>0</v>
          </cell>
          <cell r="R76">
            <v>1.1000000000000001E-3</v>
          </cell>
          <cell r="S76">
            <v>1.0300000000000001E-3</v>
          </cell>
          <cell r="T76">
            <v>9.0000000000000006E-5</v>
          </cell>
          <cell r="U76">
            <v>3.0000000000000001E-3</v>
          </cell>
        </row>
        <row r="77"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-6.0000000000000002E-5</v>
          </cell>
          <cell r="Q77">
            <v>0</v>
          </cell>
          <cell r="R77">
            <v>7.3999999999999999E-4</v>
          </cell>
          <cell r="S77">
            <v>1.0300000000000001E-3</v>
          </cell>
          <cell r="T77">
            <v>8.0000000000000007E-5</v>
          </cell>
          <cell r="U77">
            <v>2E-3</v>
          </cell>
        </row>
        <row r="78"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-2.0000000000000002E-5</v>
          </cell>
          <cell r="Q78">
            <v>0</v>
          </cell>
          <cell r="R78">
            <v>2.7999999999999998E-4</v>
          </cell>
          <cell r="S78">
            <v>1.0300000000000001E-3</v>
          </cell>
          <cell r="T78">
            <v>8.0000000000000007E-5</v>
          </cell>
          <cell r="U78">
            <v>7.5000000000000002E-4</v>
          </cell>
        </row>
        <row r="79"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-1.0000000000000001E-5</v>
          </cell>
          <cell r="Q79">
            <v>0</v>
          </cell>
          <cell r="R79">
            <v>0</v>
          </cell>
          <cell r="S79">
            <v>1.0300000000000001E-3</v>
          </cell>
          <cell r="T79">
            <v>0</v>
          </cell>
          <cell r="U79">
            <v>1.9000000000000001E-4</v>
          </cell>
        </row>
        <row r="80"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-1.0000000000000001E-5</v>
          </cell>
          <cell r="Q80">
            <v>0</v>
          </cell>
          <cell r="R80">
            <v>0</v>
          </cell>
          <cell r="S80">
            <v>1.0300000000000001E-3</v>
          </cell>
          <cell r="T80">
            <v>0</v>
          </cell>
          <cell r="U80">
            <v>1.9000000000000001E-4</v>
          </cell>
        </row>
        <row r="81"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X82">
            <v>290187.96999999997</v>
          </cell>
          <cell r="Y82">
            <v>43633.72</v>
          </cell>
          <cell r="Z82">
            <v>4082.08</v>
          </cell>
          <cell r="AJ82">
            <v>154325.26</v>
          </cell>
          <cell r="AK82">
            <v>23489.700000000004</v>
          </cell>
          <cell r="AL82">
            <v>1261.23</v>
          </cell>
        </row>
      </sheetData>
      <sheetData sheetId="2">
        <row r="16">
          <cell r="J16">
            <v>744450</v>
          </cell>
        </row>
      </sheetData>
      <sheetData sheetId="3">
        <row r="218">
          <cell r="I218">
            <v>585080.04999999981</v>
          </cell>
        </row>
        <row r="219">
          <cell r="G219">
            <v>3656.75</v>
          </cell>
        </row>
        <row r="220">
          <cell r="G220">
            <v>3679.61</v>
          </cell>
        </row>
      </sheetData>
      <sheetData sheetId="4">
        <row r="219">
          <cell r="I219">
            <v>159153.54643603571</v>
          </cell>
        </row>
        <row r="220">
          <cell r="D220">
            <v>-24624.870000000003</v>
          </cell>
          <cell r="G220">
            <v>917.76</v>
          </cell>
        </row>
        <row r="221">
          <cell r="D221">
            <v>-13597.850000000002</v>
          </cell>
          <cell r="G221">
            <v>804.05</v>
          </cell>
        </row>
      </sheetData>
      <sheetData sheetId="5">
        <row r="242">
          <cell r="X242">
            <v>97391.199999999924</v>
          </cell>
        </row>
        <row r="243">
          <cell r="G243">
            <v>608.69000000000005</v>
          </cell>
        </row>
        <row r="244">
          <cell r="G244">
            <v>612.5</v>
          </cell>
        </row>
      </sheetData>
      <sheetData sheetId="6">
        <row r="205">
          <cell r="I205">
            <v>21490.910100000096</v>
          </cell>
        </row>
        <row r="206">
          <cell r="D206">
            <v>-3281.6</v>
          </cell>
          <cell r="G206">
            <v>124.06</v>
          </cell>
        </row>
        <row r="207">
          <cell r="D207">
            <v>-1811.6200000000001</v>
          </cell>
          <cell r="G207">
            <v>108.92</v>
          </cell>
        </row>
      </sheetData>
      <sheetData sheetId="7">
        <row r="259">
          <cell r="I259">
            <v>59658.208188029967</v>
          </cell>
        </row>
        <row r="260">
          <cell r="D260">
            <v>-11175.609999999999</v>
          </cell>
          <cell r="G260">
            <v>337.94</v>
          </cell>
        </row>
        <row r="261">
          <cell r="D261">
            <v>-6263.579999999999</v>
          </cell>
          <cell r="G261">
            <v>285.55</v>
          </cell>
        </row>
      </sheetData>
      <sheetData sheetId="8">
        <row r="87">
          <cell r="G87">
            <v>108574.00305196176</v>
          </cell>
        </row>
        <row r="88">
          <cell r="D88">
            <v>-137088.38000000003</v>
          </cell>
        </row>
        <row r="89">
          <cell r="D89">
            <v>-76835.919999999984</v>
          </cell>
        </row>
      </sheetData>
      <sheetData sheetId="9"/>
      <sheetData sheetId="10">
        <row r="56">
          <cell r="D56">
            <v>4518.78</v>
          </cell>
        </row>
      </sheetData>
      <sheetData sheetId="11"/>
      <sheetData sheetId="12"/>
      <sheetData sheetId="13"/>
      <sheetData sheetId="14"/>
      <sheetData sheetId="15">
        <row r="76">
          <cell r="I76">
            <v>-11226.409123499925</v>
          </cell>
        </row>
        <row r="77">
          <cell r="D77">
            <v>1707.2200000000003</v>
          </cell>
          <cell r="G77">
            <v>-64.83</v>
          </cell>
        </row>
        <row r="78">
          <cell r="D78">
            <v>901.61</v>
          </cell>
          <cell r="G78">
            <v>-57.08</v>
          </cell>
        </row>
      </sheetData>
      <sheetData sheetId="16"/>
      <sheetData sheetId="17"/>
      <sheetData sheetId="18">
        <row r="223">
          <cell r="J223">
            <v>2782.7999999999683</v>
          </cell>
        </row>
        <row r="224">
          <cell r="D224">
            <v>-816.13</v>
          </cell>
          <cell r="G224">
            <v>14.84</v>
          </cell>
        </row>
        <row r="225">
          <cell r="D225">
            <v>-436.51</v>
          </cell>
          <cell r="G225">
            <v>11.02</v>
          </cell>
        </row>
      </sheetData>
      <sheetData sheetId="19">
        <row r="221">
          <cell r="I221">
            <v>-21556.77</v>
          </cell>
        </row>
        <row r="222">
          <cell r="G222">
            <v>-134.72999999999999</v>
          </cell>
        </row>
        <row r="223">
          <cell r="G223">
            <v>-135.57</v>
          </cell>
        </row>
      </sheetData>
      <sheetData sheetId="20">
        <row r="223">
          <cell r="J223">
            <v>30741.759999999998</v>
          </cell>
        </row>
        <row r="224">
          <cell r="D224">
            <v>-1750.6800000000003</v>
          </cell>
          <cell r="G224">
            <v>186.67</v>
          </cell>
        </row>
        <row r="225">
          <cell r="D225">
            <v>-546.44000000000005</v>
          </cell>
          <cell r="G225">
            <v>180.65</v>
          </cell>
        </row>
      </sheetData>
      <sheetData sheetId="21">
        <row r="223">
          <cell r="F223">
            <v>4.5699999999999998E-2</v>
          </cell>
          <cell r="I223">
            <v>5025.4758480155888</v>
          </cell>
        </row>
        <row r="224">
          <cell r="D224">
            <v>-576.28</v>
          </cell>
          <cell r="G224">
            <v>18.04</v>
          </cell>
        </row>
        <row r="225">
          <cell r="D225">
            <v>-350.21</v>
          </cell>
          <cell r="G225">
            <v>16.350000000000001</v>
          </cell>
        </row>
      </sheetData>
      <sheetData sheetId="22">
        <row r="222">
          <cell r="J222">
            <v>0</v>
          </cell>
        </row>
        <row r="223">
          <cell r="G223">
            <v>0</v>
          </cell>
        </row>
        <row r="224">
          <cell r="G224">
            <v>0</v>
          </cell>
        </row>
      </sheetData>
      <sheetData sheetId="23">
        <row r="221">
          <cell r="J221">
            <v>136996.75999999998</v>
          </cell>
        </row>
        <row r="222">
          <cell r="G222">
            <v>536.23</v>
          </cell>
        </row>
        <row r="223">
          <cell r="G223">
            <v>538.33000000000004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16">
          <cell r="E16">
            <v>80446.39</v>
          </cell>
        </row>
        <row r="28">
          <cell r="E28">
            <v>518825.06999999995</v>
          </cell>
        </row>
        <row r="40">
          <cell r="E40">
            <v>542317.63000000035</v>
          </cell>
        </row>
        <row r="45">
          <cell r="E45">
            <v>2012245.2499999998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Rates in detail"/>
      <sheetName val="Allocation = % of margin"/>
      <sheetName val="Permanents"/>
      <sheetName val="Temporaries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/>
      <sheetData sheetId="2">
        <row r="85">
          <cell r="M85">
            <v>90908754.476871997</v>
          </cell>
        </row>
        <row r="86">
          <cell r="M86">
            <v>11239544.658402635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Journal Page"/>
      <sheetName val="UNBILLED BLOCK MODEL"/>
      <sheetName val="Totals from Amort Schedules"/>
      <sheetName val="Old Journal Page"/>
      <sheetName val="CIS Data"/>
      <sheetName val="OR AMORT"/>
      <sheetName val="186231 Int Res"/>
      <sheetName val="186274 SEC Defer Int Amort"/>
      <sheetName val="186183"/>
      <sheetName val="186232"/>
      <sheetName val="186233"/>
      <sheetName val="186236"/>
      <sheetName val="186237"/>
      <sheetName val="186238"/>
      <sheetName val="186239"/>
      <sheetName val="186244"/>
      <sheetName val="186245"/>
      <sheetName val="186271"/>
      <sheetName val="186277"/>
      <sheetName val="186286"/>
      <sheetName val="186288"/>
      <sheetName val="186420"/>
      <sheetName val="191401"/>
      <sheetName val="191411"/>
      <sheetName val="186311"/>
      <sheetName val="186307"/>
      <sheetName val="191031"/>
      <sheetName val="254315"/>
      <sheetName val="254309"/>
      <sheetName val="191442"/>
      <sheetName val="254305"/>
      <sheetName val="191440"/>
      <sheetName val="191030"/>
      <sheetName val="184301"/>
      <sheetName val="186401"/>
      <sheetName val="254303"/>
      <sheetName val="186279"/>
      <sheetName val="WA AMORT"/>
      <sheetName val="186234"/>
      <sheetName val="186235"/>
      <sheetName val="186310"/>
      <sheetName val="186312"/>
      <sheetName val="186314"/>
      <sheetName val="186315"/>
      <sheetName val="186316"/>
      <sheetName val="191421"/>
      <sheetName val="254317"/>
      <sheetName val="254307"/>
      <sheetName val="186365"/>
      <sheetName val="SB 408 McBit"/>
      <sheetName val="OR WACOG Refd 201206"/>
      <sheetName val="WA WACOG Refd 201206"/>
      <sheetName val="191431"/>
      <sheetName val="254120"/>
      <sheetName val="Storage Credit "/>
      <sheetName val="Change Control Tab"/>
      <sheetName val="Documentation"/>
    </sheetNames>
    <sheetDataSet>
      <sheetData sheetId="0" refreshError="1"/>
      <sheetData sheetId="1">
        <row r="18">
          <cell r="G18">
            <v>312579.31</v>
          </cell>
        </row>
        <row r="95">
          <cell r="F95">
            <v>118864.15999999999</v>
          </cell>
        </row>
        <row r="99">
          <cell r="F99">
            <v>121370.06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UNBILLED BLOCK MODEL"/>
      <sheetName val="Totals from Amort Schedules"/>
      <sheetName val="Old Journal Page"/>
      <sheetName val="CIS Data"/>
      <sheetName val="Journal Page"/>
      <sheetName val="OR AMORT"/>
      <sheetName val="186231 Int Res"/>
      <sheetName val="186274 SEC Defer Int Amort"/>
      <sheetName val="186183"/>
      <sheetName val="186232"/>
      <sheetName val="186236"/>
      <sheetName val="186233"/>
      <sheetName val="186237"/>
      <sheetName val="186238"/>
      <sheetName val="186239"/>
      <sheetName val="186244"/>
      <sheetName val="186245"/>
      <sheetName val="186266"/>
      <sheetName val="186269"/>
      <sheetName val="186277"/>
      <sheetName val="186286"/>
      <sheetName val="186288"/>
      <sheetName val="186311"/>
      <sheetName val="186320"/>
      <sheetName val="186321"/>
      <sheetName val="186424"/>
      <sheetName val="191401"/>
      <sheetName val="191411"/>
      <sheetName val="254305"/>
      <sheetName val="254313"/>
      <sheetName val="186227"/>
      <sheetName val="186271"/>
      <sheetName val="254315"/>
      <sheetName val="254320"/>
      <sheetName val="254321"/>
      <sheetName val="WA AMORT"/>
      <sheetName val="186184"/>
      <sheetName val="186234"/>
      <sheetName val="186235"/>
      <sheetName val="186314"/>
      <sheetName val="186315"/>
      <sheetName val="186316"/>
      <sheetName val="186317"/>
      <sheetName val="186423"/>
      <sheetName val="191421"/>
      <sheetName val="191431"/>
      <sheetName val="254307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54317"/>
      <sheetName val="186027"/>
      <sheetName val="186422"/>
      <sheetName val="254121"/>
      <sheetName val="Storage Credit "/>
      <sheetName val="Change Control Tab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32">
          <cell r="AB132">
            <v>-88002.670000000027</v>
          </cell>
        </row>
        <row r="135">
          <cell r="AB135">
            <v>379874.56999999995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914"/>
      <sheetName val="151822"/>
      <sheetName val="151824"/>
      <sheetName val="151827"/>
      <sheetName val="151887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30">
          <cell r="AB130">
            <v>-25112.339999999989</v>
          </cell>
        </row>
        <row r="135">
          <cell r="AB135">
            <v>18863.93</v>
          </cell>
        </row>
      </sheetData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OR"/>
      <sheetName val="Winter WACOG OR"/>
      <sheetName val="Derivation of Demand rates OR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Gas Reserve"/>
      <sheetName val="Gas Reserves Dispatch"/>
      <sheetName val="Commodity Cost from RNG+BG"/>
      <sheetName val="RNG Dispatch+BG"/>
      <sheetName val="Commodity Cost from Storage"/>
      <sheetName val="Storage Dispatch"/>
      <sheetName val="Index Prices"/>
      <sheetName val="Line loss"/>
      <sheetName val="Fuel factors"/>
      <sheetName val="General Inputs"/>
      <sheetName val="Gas Reserve Data"/>
      <sheetName val="Supply Contracts"/>
      <sheetName val="Spot contracts"/>
      <sheetName val="NWN 2025-2026 PGA Gas Cost Deve"/>
    </sheetNames>
    <sheetDataSet>
      <sheetData sheetId="0">
        <row r="17">
          <cell r="E17">
            <v>0.43451000000000001</v>
          </cell>
        </row>
      </sheetData>
      <sheetData sheetId="1">
        <row r="35">
          <cell r="D35">
            <v>0.4214</v>
          </cell>
        </row>
      </sheetData>
      <sheetData sheetId="2">
        <row r="13">
          <cell r="D13">
            <v>0.88880000000000003</v>
          </cell>
        </row>
      </sheetData>
      <sheetData sheetId="3">
        <row r="14">
          <cell r="D14">
            <v>4018544.125</v>
          </cell>
          <cell r="E14">
            <v>4152495.9625000004</v>
          </cell>
          <cell r="F14">
            <v>4152495.9625000004</v>
          </cell>
          <cell r="G14">
            <v>3750641.45</v>
          </cell>
          <cell r="H14">
            <v>4152495.9625000004</v>
          </cell>
          <cell r="I14">
            <v>3927859</v>
          </cell>
          <cell r="J14">
            <v>4058788</v>
          </cell>
          <cell r="K14">
            <v>3927859</v>
          </cell>
          <cell r="L14">
            <v>4058788</v>
          </cell>
          <cell r="M14">
            <v>4058788</v>
          </cell>
          <cell r="N14">
            <v>3927859</v>
          </cell>
          <cell r="O14">
            <v>4058788</v>
          </cell>
        </row>
        <row r="16">
          <cell r="D16">
            <v>867774.20269877836</v>
          </cell>
          <cell r="E16">
            <v>867774.20269877836</v>
          </cell>
          <cell r="F16">
            <v>867774.20269877836</v>
          </cell>
          <cell r="G16">
            <v>867774.20269877836</v>
          </cell>
          <cell r="H16">
            <v>867774.20269877836</v>
          </cell>
          <cell r="I16">
            <v>867774.20269877836</v>
          </cell>
          <cell r="J16">
            <v>867774.20269877836</v>
          </cell>
          <cell r="K16">
            <v>867774.20269877836</v>
          </cell>
          <cell r="L16">
            <v>867774.20269877836</v>
          </cell>
          <cell r="M16">
            <v>867774.20269877836</v>
          </cell>
          <cell r="N16">
            <v>867774.20269877836</v>
          </cell>
          <cell r="O16">
            <v>867774.20269877836</v>
          </cell>
        </row>
        <row r="18">
          <cell r="D18">
            <v>504041.96560132736</v>
          </cell>
          <cell r="E18">
            <v>504041.96560132736</v>
          </cell>
          <cell r="F18">
            <v>504041.96560132736</v>
          </cell>
          <cell r="G18">
            <v>504041.96560132736</v>
          </cell>
          <cell r="H18">
            <v>504041.96560132736</v>
          </cell>
          <cell r="I18">
            <v>449898.96560132736</v>
          </cell>
          <cell r="J18">
            <v>449898.96560132736</v>
          </cell>
          <cell r="K18">
            <v>449898.96560132736</v>
          </cell>
          <cell r="L18">
            <v>449898.96560132736</v>
          </cell>
          <cell r="M18">
            <v>449898.96560132736</v>
          </cell>
          <cell r="N18">
            <v>449898.96560132736</v>
          </cell>
          <cell r="O18">
            <v>504041.96560132736</v>
          </cell>
        </row>
        <row r="20">
          <cell r="D20">
            <v>404282.20382340002</v>
          </cell>
          <cell r="E20">
            <v>417758.27728418005</v>
          </cell>
          <cell r="F20">
            <v>417758.27728418005</v>
          </cell>
          <cell r="G20">
            <v>377330.05690184003</v>
          </cell>
          <cell r="H20">
            <v>417758.27728418005</v>
          </cell>
          <cell r="I20">
            <v>340227.69407040003</v>
          </cell>
          <cell r="J20">
            <v>351568.61720608</v>
          </cell>
          <cell r="K20">
            <v>340227.69407040003</v>
          </cell>
          <cell r="L20">
            <v>351568.61720608</v>
          </cell>
          <cell r="M20">
            <v>351568.61720608</v>
          </cell>
          <cell r="N20">
            <v>340227.69407040003</v>
          </cell>
          <cell r="O20">
            <v>417758.27728418005</v>
          </cell>
        </row>
        <row r="24">
          <cell r="D24">
            <v>3191632</v>
          </cell>
          <cell r="E24">
            <v>702082</v>
          </cell>
          <cell r="F24">
            <v>702082</v>
          </cell>
          <cell r="G24">
            <v>670732</v>
          </cell>
          <cell r="H24">
            <v>702082</v>
          </cell>
          <cell r="I24">
            <v>1295877</v>
          </cell>
          <cell r="J24">
            <v>1314117</v>
          </cell>
          <cell r="K24">
            <v>1295877</v>
          </cell>
          <cell r="L24">
            <v>1314117</v>
          </cell>
          <cell r="M24">
            <v>1314117</v>
          </cell>
          <cell r="N24">
            <v>1295877</v>
          </cell>
          <cell r="O24">
            <v>1314117</v>
          </cell>
        </row>
        <row r="26">
          <cell r="D26">
            <v>18688.190000000002</v>
          </cell>
          <cell r="E26">
            <v>18688.190000000002</v>
          </cell>
          <cell r="F26">
            <v>18688.190000000002</v>
          </cell>
          <cell r="G26">
            <v>18688.190000000002</v>
          </cell>
          <cell r="H26">
            <v>18688.190000000002</v>
          </cell>
          <cell r="I26">
            <v>18688.190000000002</v>
          </cell>
          <cell r="J26">
            <v>18688.190000000002</v>
          </cell>
          <cell r="K26">
            <v>18688.190000000002</v>
          </cell>
          <cell r="L26">
            <v>18688.190000000002</v>
          </cell>
          <cell r="M26">
            <v>18688.190000000002</v>
          </cell>
          <cell r="N26">
            <v>18688.190000000002</v>
          </cell>
          <cell r="O26">
            <v>18688.190000000002</v>
          </cell>
        </row>
        <row r="28">
          <cell r="D28">
            <v>-424043.16830010578</v>
          </cell>
          <cell r="E28">
            <v>-424043.16830010578</v>
          </cell>
          <cell r="F28">
            <v>-424043.16830010578</v>
          </cell>
          <cell r="G28">
            <v>-424043.16830010578</v>
          </cell>
          <cell r="H28">
            <v>-424043.16830010578</v>
          </cell>
          <cell r="I28">
            <v>-424043.16830010578</v>
          </cell>
          <cell r="J28">
            <v>-424043.16830010578</v>
          </cell>
          <cell r="K28">
            <v>-424043.16830010578</v>
          </cell>
          <cell r="L28">
            <v>-424043.16830010578</v>
          </cell>
          <cell r="M28">
            <v>-424043.16830010578</v>
          </cell>
          <cell r="N28">
            <v>-424043.16830010578</v>
          </cell>
          <cell r="O28">
            <v>-424043.16830010578</v>
          </cell>
        </row>
      </sheetData>
      <sheetData sheetId="4">
        <row r="11">
          <cell r="P11">
            <v>257252679.07204965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C14">
            <v>0.35621704545454547</v>
          </cell>
        </row>
      </sheetData>
      <sheetData sheetId="19">
        <row r="15">
          <cell r="C15">
            <v>7.8399999999999997E-3</v>
          </cell>
        </row>
      </sheetData>
      <sheetData sheetId="20">
        <row r="27">
          <cell r="J27">
            <v>0.45148984431384681</v>
          </cell>
        </row>
      </sheetData>
      <sheetData sheetId="21">
        <row r="10">
          <cell r="D10">
            <v>3.0180101635908063E-2</v>
          </cell>
        </row>
      </sheetData>
      <sheetData sheetId="22"/>
      <sheetData sheetId="23"/>
      <sheetData sheetId="24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3">
          <cell r="A3" t="str">
            <v xml:space="preserve">2025-26 Washington: September Filing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-2424539</v>
          </cell>
          <cell r="H10" t="str">
            <v>NWN 2025-26 PGA gas cost development file September filing_WA.xls</v>
          </cell>
        </row>
        <row r="12">
          <cell r="F12">
            <v>-243514</v>
          </cell>
        </row>
        <row r="18">
          <cell r="H18" t="str">
            <v>NWN 2025-26 PGA WA Rate Development September Filing.xlsx</v>
          </cell>
        </row>
        <row r="20">
          <cell r="H20" t="str">
            <v>NWN 2024-25 PGA WA Rate Development_September Filing.xlsx</v>
          </cell>
        </row>
        <row r="36">
          <cell r="B36" t="str">
            <v>2024 Washington CBR Normalized Total Revenues</v>
          </cell>
          <cell r="F36">
            <v>109949934.64991099</v>
          </cell>
        </row>
      </sheetData>
      <sheetData sheetId="12">
        <row r="10">
          <cell r="D10">
            <v>-15655265</v>
          </cell>
        </row>
      </sheetData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Resources Summary"/>
      <sheetName val="External Resources"/>
      <sheetName val="Internal Resources"/>
      <sheetName val="Change Log"/>
      <sheetName val="Apr 2022"/>
      <sheetName val="Mar 2022"/>
      <sheetName val="Feb 2022"/>
      <sheetName val="Jan 2022"/>
      <sheetName val="Jan Actuals"/>
      <sheetName val="Licenses"/>
      <sheetName val="Vendors"/>
      <sheetName val="ACN Change Orders"/>
      <sheetName val="Change "/>
      <sheetName val="Field OT"/>
      <sheetName val="Hardware MISC"/>
      <sheetName val="IQGEO"/>
      <sheetName val="ACN - SLA"/>
      <sheetName val="SLA Calc"/>
      <sheetName val="SAP Download 01252022"/>
      <sheetName val="temp 1014"/>
      <sheetName val="InternalX"/>
      <sheetName val="Data Re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3">
          <cell r="B3">
            <v>150</v>
          </cell>
        </row>
        <row r="4">
          <cell r="B4">
            <v>150</v>
          </cell>
        </row>
        <row r="5">
          <cell r="B5"/>
        </row>
        <row r="6">
          <cell r="B6">
            <v>145</v>
          </cell>
        </row>
        <row r="7">
          <cell r="B7">
            <v>145</v>
          </cell>
        </row>
        <row r="8">
          <cell r="B8">
            <v>135</v>
          </cell>
        </row>
        <row r="9">
          <cell r="B9">
            <v>125</v>
          </cell>
        </row>
        <row r="10">
          <cell r="B10">
            <v>120</v>
          </cell>
        </row>
        <row r="11">
          <cell r="B11">
            <v>140</v>
          </cell>
        </row>
        <row r="12">
          <cell r="B12">
            <v>140</v>
          </cell>
        </row>
        <row r="13">
          <cell r="B13">
            <v>140</v>
          </cell>
        </row>
        <row r="14">
          <cell r="B14">
            <v>140</v>
          </cell>
        </row>
        <row r="15">
          <cell r="B15">
            <v>140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-XX ECRM"/>
      <sheetName val="24-07 R&amp;C Eng. Effic."/>
      <sheetName val="24-08 GREAT &amp; WA-LIEE"/>
      <sheetName val="20-8 Interim Tax Deferral"/>
      <sheetName val="24-09 Regulatory Fee"/>
      <sheetName val="24-10 Rate Mitigation"/>
      <sheetName val="24-11 Property Sales"/>
      <sheetName val="24-12 Industrial EE Audit"/>
      <sheetName val="24-13 Mist Recall"/>
      <sheetName val="CCA Recovery"/>
      <sheetName val="23-05 Res. Bill Discount"/>
      <sheetName val="24-14 PGA"/>
      <sheetName val="Revenue Senstive"/>
      <sheetName val="24-14 Combined"/>
    </sheetNames>
    <sheetDataSet>
      <sheetData sheetId="0">
        <row r="15">
          <cell r="F15">
            <v>712922</v>
          </cell>
        </row>
      </sheetData>
      <sheetData sheetId="1">
        <row r="15">
          <cell r="F15">
            <v>5308861</v>
          </cell>
        </row>
      </sheetData>
      <sheetData sheetId="2">
        <row r="15">
          <cell r="F15">
            <v>982815</v>
          </cell>
        </row>
      </sheetData>
      <sheetData sheetId="3"/>
      <sheetData sheetId="4">
        <row r="15">
          <cell r="F15">
            <v>28382</v>
          </cell>
        </row>
      </sheetData>
      <sheetData sheetId="5">
        <row r="15">
          <cell r="F15">
            <v>70974</v>
          </cell>
        </row>
      </sheetData>
      <sheetData sheetId="6">
        <row r="15">
          <cell r="F15">
            <v>-56576</v>
          </cell>
        </row>
      </sheetData>
      <sheetData sheetId="7">
        <row r="15">
          <cell r="F15">
            <v>24811</v>
          </cell>
        </row>
      </sheetData>
      <sheetData sheetId="8"/>
      <sheetData sheetId="9"/>
      <sheetData sheetId="10"/>
      <sheetData sheetId="11">
        <row r="18">
          <cell r="F18">
            <v>-11563573</v>
          </cell>
        </row>
      </sheetData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  <sheetName val="for PGA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24">
          <cell r="I24">
            <v>-206989.73999999996</v>
          </cell>
        </row>
      </sheetData>
      <sheetData sheetId="7">
        <row r="24">
          <cell r="I24">
            <v>-119490.93999999994</v>
          </cell>
        </row>
      </sheetData>
      <sheetData sheetId="8">
        <row r="24">
          <cell r="I24">
            <v>-119490.93999999994</v>
          </cell>
        </row>
      </sheetData>
      <sheetData sheetId="9">
        <row r="43">
          <cell r="O43">
            <v>564260.23999999976</v>
          </cell>
        </row>
      </sheetData>
      <sheetData sheetId="10">
        <row r="43">
          <cell r="O43">
            <v>564260.23999999976</v>
          </cell>
        </row>
      </sheetData>
      <sheetData sheetId="11"/>
      <sheetData sheetId="12"/>
      <sheetData sheetId="13"/>
      <sheetData sheetId="14"/>
      <sheetData sheetId="15">
        <row r="38">
          <cell r="J38">
            <v>201045.12000000005</v>
          </cell>
        </row>
      </sheetData>
      <sheetData sheetId="16">
        <row r="38">
          <cell r="J38">
            <v>201045.12000000005</v>
          </cell>
        </row>
      </sheetData>
      <sheetData sheetId="17">
        <row r="44">
          <cell r="E44">
            <v>-24540.430000000055</v>
          </cell>
        </row>
      </sheetData>
      <sheetData sheetId="18">
        <row r="38">
          <cell r="J38">
            <v>366524.7385253692</v>
          </cell>
        </row>
      </sheetData>
      <sheetData sheetId="19">
        <row r="38">
          <cell r="J38">
            <v>366524.7385253692</v>
          </cell>
        </row>
      </sheetData>
      <sheetData sheetId="20">
        <row r="73">
          <cell r="H73">
            <v>16992978.279999997</v>
          </cell>
        </row>
      </sheetData>
      <sheetData sheetId="21">
        <row r="73">
          <cell r="H73">
            <v>2129397.85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J73">
            <v>0</v>
          </cell>
        </row>
      </sheetData>
      <sheetData sheetId="24">
        <row r="62">
          <cell r="F62" t="str">
            <v>N/A</v>
          </cell>
        </row>
      </sheetData>
      <sheetData sheetId="25">
        <row r="62">
          <cell r="F62" t="str">
            <v>N/A</v>
          </cell>
        </row>
      </sheetData>
      <sheetData sheetId="26">
        <row r="73">
          <cell r="H73">
            <v>3112.06</v>
          </cell>
        </row>
      </sheetData>
      <sheetData sheetId="27">
        <row r="73">
          <cell r="H73">
            <v>3112.06</v>
          </cell>
        </row>
      </sheetData>
      <sheetData sheetId="28">
        <row r="76">
          <cell r="I76">
            <v>502.90000000000236</v>
          </cell>
        </row>
      </sheetData>
      <sheetData sheetId="29"/>
      <sheetData sheetId="30">
        <row r="76">
          <cell r="I76">
            <v>-4737440.5700000031</v>
          </cell>
        </row>
      </sheetData>
      <sheetData sheetId="31">
        <row r="76">
          <cell r="I76">
            <v>-4737440.5700000031</v>
          </cell>
        </row>
      </sheetData>
      <sheetData sheetId="32">
        <row r="76">
          <cell r="I76">
            <v>2242512.000958398</v>
          </cell>
        </row>
      </sheetData>
      <sheetData sheetId="33">
        <row r="42">
          <cell r="J42">
            <v>-12409909.449999997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H42">
            <v>1785706.1000000006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7780297</v>
          </cell>
        </row>
      </sheetData>
      <sheetData sheetId="38">
        <row r="42">
          <cell r="H42">
            <v>7780297</v>
          </cell>
        </row>
      </sheetData>
      <sheetData sheetId="39">
        <row r="33">
          <cell r="F33">
            <v>-1545358.5</v>
          </cell>
        </row>
      </sheetData>
      <sheetData sheetId="40">
        <row r="33">
          <cell r="F33">
            <v>-1545358.5</v>
          </cell>
        </row>
      </sheetData>
      <sheetData sheetId="41">
        <row r="42">
          <cell r="F42">
            <v>-321282.40000000002</v>
          </cell>
        </row>
      </sheetData>
      <sheetData sheetId="42">
        <row r="11">
          <cell r="I11">
            <v>2.01E-2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Summary"/>
      <sheetName val="Base Services"/>
      <sheetName val="Transition"/>
      <sheetName val="Change Control"/>
      <sheetName val="ARC RRC"/>
      <sheetName val="Optional Services"/>
      <sheetName val="Service Credits"/>
      <sheetName val="Passthrough"/>
      <sheetName val="Tax Summary"/>
      <sheetName val="Miscellaneou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7">
          <cell r="C7" t="b">
            <v>1</v>
          </cell>
        </row>
        <row r="8">
          <cell r="C8" t="b">
            <v>1</v>
          </cell>
        </row>
        <row r="9">
          <cell r="C9" t="b">
            <v>1</v>
          </cell>
        </row>
        <row r="10">
          <cell r="C10" t="b">
            <v>1</v>
          </cell>
        </row>
        <row r="11">
          <cell r="C11" t="b">
            <v>1</v>
          </cell>
        </row>
        <row r="12">
          <cell r="C12" t="b">
            <v>1</v>
          </cell>
        </row>
        <row r="13">
          <cell r="C13" t="b">
            <v>1</v>
          </cell>
        </row>
        <row r="14">
          <cell r="C14" t="b">
            <v>1</v>
          </cell>
        </row>
        <row r="15">
          <cell r="C15" t="b">
            <v>1</v>
          </cell>
        </row>
        <row r="16">
          <cell r="C16" t="b">
            <v>1</v>
          </cell>
        </row>
        <row r="17">
          <cell r="C17" t="b">
            <v>1</v>
          </cell>
        </row>
        <row r="18">
          <cell r="C18" t="b">
            <v>1</v>
          </cell>
        </row>
        <row r="19">
          <cell r="C19" t="b">
            <v>1</v>
          </cell>
        </row>
        <row r="20">
          <cell r="C20" t="b">
            <v>1</v>
          </cell>
        </row>
        <row r="21">
          <cell r="C21" t="b">
            <v>1</v>
          </cell>
        </row>
        <row r="22">
          <cell r="C22" t="b">
            <v>1</v>
          </cell>
        </row>
        <row r="23">
          <cell r="C23" t="b">
            <v>1</v>
          </cell>
        </row>
        <row r="24">
          <cell r="C24" t="b">
            <v>1</v>
          </cell>
        </row>
        <row r="25">
          <cell r="C25" t="b">
            <v>1</v>
          </cell>
        </row>
        <row r="26">
          <cell r="C26" t="b">
            <v>1</v>
          </cell>
        </row>
        <row r="27">
          <cell r="C27" t="b">
            <v>1</v>
          </cell>
        </row>
        <row r="28">
          <cell r="C28" t="b">
            <v>1</v>
          </cell>
        </row>
        <row r="29">
          <cell r="C29" t="b">
            <v>1</v>
          </cell>
        </row>
        <row r="30">
          <cell r="C30" t="b">
            <v>1</v>
          </cell>
        </row>
        <row r="31">
          <cell r="C31" t="b">
            <v>1</v>
          </cell>
        </row>
        <row r="32">
          <cell r="C32" t="b">
            <v>1</v>
          </cell>
        </row>
        <row r="33">
          <cell r="C33" t="b">
            <v>1</v>
          </cell>
        </row>
        <row r="34">
          <cell r="C34" t="b">
            <v>1</v>
          </cell>
        </row>
        <row r="35">
          <cell r="C35" t="b">
            <v>1</v>
          </cell>
        </row>
        <row r="36">
          <cell r="C36" t="b">
            <v>1</v>
          </cell>
        </row>
        <row r="37">
          <cell r="C37" t="b">
            <v>1</v>
          </cell>
        </row>
        <row r="38">
          <cell r="C38" t="b">
            <v>1</v>
          </cell>
        </row>
        <row r="39">
          <cell r="C39" t="b">
            <v>1</v>
          </cell>
        </row>
        <row r="40">
          <cell r="C40" t="b">
            <v>1</v>
          </cell>
        </row>
        <row r="41">
          <cell r="C41" t="b">
            <v>1</v>
          </cell>
        </row>
        <row r="42">
          <cell r="C42" t="b">
            <v>1</v>
          </cell>
        </row>
        <row r="43">
          <cell r="C43" t="b">
            <v>1</v>
          </cell>
        </row>
        <row r="44">
          <cell r="C44" t="b">
            <v>1</v>
          </cell>
        </row>
        <row r="45">
          <cell r="C45" t="b">
            <v>1</v>
          </cell>
        </row>
        <row r="46">
          <cell r="C46" t="b">
            <v>1</v>
          </cell>
        </row>
        <row r="47">
          <cell r="C47" t="b">
            <v>1</v>
          </cell>
        </row>
        <row r="48">
          <cell r="C48" t="b">
            <v>1</v>
          </cell>
        </row>
        <row r="49">
          <cell r="C49" t="b">
            <v>1</v>
          </cell>
        </row>
        <row r="50">
          <cell r="C50" t="b">
            <v>1</v>
          </cell>
        </row>
        <row r="51">
          <cell r="C51" t="b">
            <v>1</v>
          </cell>
        </row>
        <row r="52">
          <cell r="C52" t="b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Input Sheet"/>
      <sheetName val="Invoice Summary"/>
      <sheetName val="Base Charges"/>
      <sheetName val="RICEFW Tracker"/>
      <sheetName val="HW &amp; SW Charges "/>
      <sheetName val="Pass-Through Charges"/>
      <sheetName val="Change Controls"/>
      <sheetName val="Service Level Credits"/>
    </sheetNames>
    <sheetDataSet>
      <sheetData sheetId="0"/>
      <sheetData sheetId="1"/>
      <sheetData sheetId="2">
        <row r="4">
          <cell r="B4" t="str">
            <v>NW Natural</v>
          </cell>
        </row>
        <row r="33">
          <cell r="B33" t="str">
            <v>System Integration Services</v>
          </cell>
        </row>
        <row r="34">
          <cell r="B34" t="str">
            <v>Projects</v>
          </cell>
        </row>
        <row r="63">
          <cell r="B63" t="str">
            <v>Site 1</v>
          </cell>
          <cell r="C63" t="str">
            <v>001</v>
          </cell>
        </row>
        <row r="64">
          <cell r="B64" t="str">
            <v>Site 2</v>
          </cell>
          <cell r="C64" t="str">
            <v>002</v>
          </cell>
        </row>
        <row r="65">
          <cell r="B65" t="str">
            <v>Site 3</v>
          </cell>
          <cell r="C65" t="str">
            <v>003</v>
          </cell>
        </row>
        <row r="66">
          <cell r="B66" t="str">
            <v>Site 4</v>
          </cell>
          <cell r="C66" t="str">
            <v>004</v>
          </cell>
        </row>
        <row r="67">
          <cell r="B67" t="str">
            <v>Site 5</v>
          </cell>
          <cell r="C67" t="str">
            <v>005</v>
          </cell>
        </row>
        <row r="68">
          <cell r="B68" t="str">
            <v>Site 6</v>
          </cell>
          <cell r="C68" t="str">
            <v>006</v>
          </cell>
        </row>
        <row r="69">
          <cell r="B69" t="str">
            <v>Site 7</v>
          </cell>
          <cell r="C69" t="str">
            <v>007</v>
          </cell>
        </row>
        <row r="70">
          <cell r="B70" t="str">
            <v>Site 8</v>
          </cell>
          <cell r="C70" t="str">
            <v>008</v>
          </cell>
        </row>
        <row r="71">
          <cell r="B71" t="str">
            <v>Site 9</v>
          </cell>
          <cell r="C71" t="str">
            <v>009</v>
          </cell>
        </row>
        <row r="72">
          <cell r="B72" t="str">
            <v>Site 10</v>
          </cell>
          <cell r="C72" t="str">
            <v>010</v>
          </cell>
        </row>
        <row r="76">
          <cell r="B76" t="str">
            <v>City 1</v>
          </cell>
        </row>
        <row r="77">
          <cell r="B77" t="str">
            <v>City 2</v>
          </cell>
        </row>
        <row r="78">
          <cell r="B78" t="str">
            <v>City 3</v>
          </cell>
        </row>
        <row r="79">
          <cell r="B79" t="str">
            <v>City 4</v>
          </cell>
        </row>
        <row r="80">
          <cell r="B80" t="str">
            <v>City 5</v>
          </cell>
        </row>
        <row r="81">
          <cell r="B81" t="str">
            <v>City 6</v>
          </cell>
        </row>
        <row r="82">
          <cell r="B82" t="str">
            <v>City 7</v>
          </cell>
        </row>
        <row r="83">
          <cell r="B83" t="str">
            <v>City 8</v>
          </cell>
        </row>
        <row r="84">
          <cell r="B84" t="str">
            <v>City 9</v>
          </cell>
        </row>
        <row r="85">
          <cell r="B85" t="str">
            <v>City 10</v>
          </cell>
        </row>
        <row r="89">
          <cell r="B89" t="str">
            <v>State 1</v>
          </cell>
        </row>
        <row r="90">
          <cell r="B90" t="str">
            <v>State 2</v>
          </cell>
        </row>
        <row r="91">
          <cell r="B91" t="str">
            <v>State 3</v>
          </cell>
        </row>
        <row r="92">
          <cell r="B92" t="str">
            <v>State 4</v>
          </cell>
        </row>
        <row r="93">
          <cell r="B93" t="str">
            <v>State 5</v>
          </cell>
        </row>
        <row r="94">
          <cell r="B94" t="str">
            <v>State 6</v>
          </cell>
        </row>
        <row r="95">
          <cell r="B95" t="str">
            <v>State 7</v>
          </cell>
        </row>
        <row r="96">
          <cell r="B96" t="str">
            <v>State 8</v>
          </cell>
        </row>
        <row r="97">
          <cell r="B97" t="str">
            <v>State 9</v>
          </cell>
        </row>
        <row r="98">
          <cell r="B98" t="str">
            <v>State 10</v>
          </cell>
        </row>
        <row r="111">
          <cell r="B111" t="str">
            <v>Country 1</v>
          </cell>
        </row>
        <row r="112">
          <cell r="B112" t="str">
            <v>Country 2</v>
          </cell>
        </row>
        <row r="113">
          <cell r="B113" t="str">
            <v>Country 3</v>
          </cell>
        </row>
        <row r="114">
          <cell r="B114" t="str">
            <v>Country 4</v>
          </cell>
        </row>
        <row r="115">
          <cell r="B115" t="str">
            <v>Country 5</v>
          </cell>
        </row>
        <row r="116">
          <cell r="B116" t="str">
            <v>Country 6</v>
          </cell>
        </row>
        <row r="117">
          <cell r="B117" t="str">
            <v>Country 7</v>
          </cell>
        </row>
        <row r="118">
          <cell r="B118" t="str">
            <v>Country 8</v>
          </cell>
        </row>
        <row r="119">
          <cell r="B119" t="str">
            <v>Country 9</v>
          </cell>
        </row>
        <row r="120">
          <cell r="B120" t="str">
            <v>Country 10</v>
          </cell>
        </row>
      </sheetData>
      <sheetData sheetId="3">
        <row r="37">
          <cell r="B37" t="str">
            <v>Invoice Period: 11/01/2021 to 12/31/2021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SG Consultant Instructions"/>
      <sheetName val="Inputs Master"/>
      <sheetName val="Provider Instructions"/>
      <sheetName val="Provider Assumptions"/>
      <sheetName val="Summary_Service Category"/>
      <sheetName val="Summary_Tower"/>
      <sheetName val="Detailed Base Charges"/>
      <sheetName val="Resource Baselines"/>
      <sheetName val="Unit Rates (ARC &amp; RRC) Tier 1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Asset Purchase &amp; Value Add"/>
      <sheetName val="Inflation Sensitivity"/>
      <sheetName val="Termination Charges"/>
      <sheetName val="Rate Card"/>
    </sheetNames>
    <sheetDataSet>
      <sheetData sheetId="0" refreshError="1"/>
      <sheetData sheetId="1" refreshError="1"/>
      <sheetData sheetId="2">
        <row r="4">
          <cell r="E4" t="str">
            <v>Service Integration Services</v>
          </cell>
        </row>
        <row r="5">
          <cell r="E5" t="str">
            <v>Application Maintenance &amp; Support Services (AMS)</v>
          </cell>
        </row>
        <row r="6">
          <cell r="E6" t="str">
            <v>Application Development Services (ADS)</v>
          </cell>
        </row>
        <row r="7">
          <cell r="E7" t="str">
            <v>Major Development Projects (MDP)</v>
          </cell>
        </row>
        <row r="8">
          <cell r="E8" t="str">
            <v>Application Servers - UNIX</v>
          </cell>
        </row>
        <row r="9">
          <cell r="C9">
            <v>10</v>
          </cell>
          <cell r="E9" t="str">
            <v>Application Servers - Wintel</v>
          </cell>
        </row>
        <row r="10">
          <cell r="C10">
            <v>0</v>
          </cell>
          <cell r="E10" t="str">
            <v>Application Servers -  Linux</v>
          </cell>
        </row>
        <row r="11">
          <cell r="E11" t="str">
            <v>Application Servers - Other</v>
          </cell>
        </row>
        <row r="12">
          <cell r="C12">
            <v>40969</v>
          </cell>
          <cell r="E12" t="str">
            <v>Application Servers - Database Instance</v>
          </cell>
        </row>
        <row r="13">
          <cell r="E13" t="str">
            <v xml:space="preserve">Server Services: Alternative Pricing </v>
          </cell>
        </row>
        <row r="14">
          <cell r="E14" t="str">
            <v>Email and Collaboration Servers</v>
          </cell>
        </row>
        <row r="15">
          <cell r="E15" t="str">
            <v>Storage Services</v>
          </cell>
        </row>
        <row r="16">
          <cell r="E16" t="str">
            <v>Mainframe</v>
          </cell>
        </row>
        <row r="17">
          <cell r="E17" t="str">
            <v>Web Server Services</v>
          </cell>
        </row>
        <row r="18">
          <cell r="E18" t="str">
            <v>MNS - WAN</v>
          </cell>
        </row>
        <row r="19">
          <cell r="E19" t="str">
            <v>MNS - LAN</v>
          </cell>
        </row>
        <row r="20">
          <cell r="E20" t="str">
            <v>MNS - Voice</v>
          </cell>
        </row>
        <row r="21">
          <cell r="E21" t="str">
            <v xml:space="preserve">MNS - Conferencing </v>
          </cell>
        </row>
        <row r="22">
          <cell r="E22" t="str">
            <v>MNS - Trader Voice</v>
          </cell>
        </row>
        <row r="23">
          <cell r="E23" t="str">
            <v>MNS - Mobility</v>
          </cell>
        </row>
        <row r="24">
          <cell r="E24" t="str">
            <v>End-User Computing Services</v>
          </cell>
        </row>
        <row r="25">
          <cell r="E25" t="str">
            <v>Service Desk</v>
          </cell>
        </row>
        <row r="26">
          <cell r="E26" t="str">
            <v>Projects</v>
          </cell>
        </row>
        <row r="27">
          <cell r="E27" t="str">
            <v>Filler 1</v>
          </cell>
        </row>
        <row r="28">
          <cell r="E28" t="str">
            <v>Filler 2</v>
          </cell>
        </row>
        <row r="29">
          <cell r="E29" t="str">
            <v>Filler 3</v>
          </cell>
        </row>
        <row r="30">
          <cell r="E30" t="str">
            <v>Filler 4</v>
          </cell>
        </row>
        <row r="31">
          <cell r="E31" t="str">
            <v>Filler 5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= % of revenue"/>
      <sheetName val="Rates in detail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36">
          <cell r="B36">
            <v>-12589508</v>
          </cell>
          <cell r="C36" t="str">
            <v>WACOG Deferral</v>
          </cell>
          <cell r="F36" t="str">
            <v>All sales</v>
          </cell>
          <cell r="G36" t="str">
            <v>Yes</v>
          </cell>
        </row>
        <row r="38">
          <cell r="B38">
            <v>-2349123</v>
          </cell>
          <cell r="C38" t="str">
            <v>Demand Deferral - FIRM</v>
          </cell>
          <cell r="F38" t="str">
            <v>All firm sales</v>
          </cell>
          <cell r="G38" t="str">
            <v>Yes</v>
          </cell>
        </row>
        <row r="40">
          <cell r="B40">
            <v>-34550</v>
          </cell>
          <cell r="C40" t="str">
            <v>Demand Deferral - INTERRUPTIBLE</v>
          </cell>
          <cell r="F40" t="str">
            <v>All interruptible sales</v>
          </cell>
          <cell r="G40" t="str">
            <v>Yes</v>
          </cell>
        </row>
        <row r="42">
          <cell r="C42" t="str">
            <v>R&amp;C Energy Efficiency Programs - Forecast</v>
          </cell>
        </row>
        <row r="48">
          <cell r="B48">
            <v>18554</v>
          </cell>
          <cell r="C48" t="str">
            <v xml:space="preserve">Residential Rate Mitigation </v>
          </cell>
          <cell r="F48" t="str">
            <v xml:space="preserve">Residential Only </v>
          </cell>
          <cell r="G48" t="str">
            <v>Yes</v>
          </cell>
        </row>
        <row r="50">
          <cell r="C50" t="str">
            <v>R&amp;C Energy Efficiency Programs - Historical</v>
          </cell>
        </row>
        <row r="54">
          <cell r="B54">
            <v>7272</v>
          </cell>
          <cell r="F54" t="str">
            <v>All Industrial and Transport Customers</v>
          </cell>
          <cell r="G54" t="str">
            <v>Yes</v>
          </cell>
        </row>
        <row r="56">
          <cell r="C56" t="str">
            <v>R&amp;C Energy Efficiency Programs - Deferral</v>
          </cell>
        </row>
        <row r="60">
          <cell r="C60" t="str">
            <v>Lincoln City Sale</v>
          </cell>
        </row>
        <row r="64">
          <cell r="F64" t="str">
            <v>All Customers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  <cell r="M13">
            <v>8</v>
          </cell>
        </row>
        <row r="14">
          <cell r="J14">
            <v>18807.400000000001</v>
          </cell>
          <cell r="M14">
            <v>44</v>
          </cell>
        </row>
        <row r="15">
          <cell r="J15">
            <v>59991191.600000001</v>
          </cell>
          <cell r="M15">
            <v>56</v>
          </cell>
        </row>
        <row r="16">
          <cell r="J16">
            <v>21359578.800000001</v>
          </cell>
          <cell r="M16">
            <v>261</v>
          </cell>
        </row>
        <row r="17">
          <cell r="J17">
            <v>192102.2</v>
          </cell>
          <cell r="M17">
            <v>800</v>
          </cell>
        </row>
        <row r="18">
          <cell r="J18">
            <v>34823.1</v>
          </cell>
          <cell r="M18">
            <v>7</v>
          </cell>
        </row>
        <row r="19">
          <cell r="J19">
            <v>1665389.3</v>
          </cell>
          <cell r="M19">
            <v>3601</v>
          </cell>
        </row>
        <row r="20">
          <cell r="J20">
            <v>2698480.8</v>
          </cell>
        </row>
        <row r="21">
          <cell r="J21">
            <v>331379.44452066539</v>
          </cell>
          <cell r="M21">
            <v>3670</v>
          </cell>
        </row>
        <row r="22">
          <cell r="J22">
            <v>593486.75547933462</v>
          </cell>
        </row>
        <row r="23">
          <cell r="J23">
            <v>0</v>
          </cell>
          <cell r="M23">
            <v>0</v>
          </cell>
        </row>
        <row r="24">
          <cell r="J24">
            <v>0</v>
          </cell>
        </row>
        <row r="25">
          <cell r="J25">
            <v>0</v>
          </cell>
          <cell r="M25">
            <v>0</v>
          </cell>
        </row>
        <row r="26">
          <cell r="J26">
            <v>0</v>
          </cell>
        </row>
        <row r="27">
          <cell r="J27">
            <v>123242.73967014518</v>
          </cell>
          <cell r="M27">
            <v>4251</v>
          </cell>
        </row>
        <row r="28">
          <cell r="J28">
            <v>284875.42061605473</v>
          </cell>
        </row>
        <row r="29">
          <cell r="J29">
            <v>0</v>
          </cell>
          <cell r="M29">
            <v>0</v>
          </cell>
        </row>
        <row r="30">
          <cell r="J30">
            <v>0</v>
          </cell>
        </row>
        <row r="31">
          <cell r="J31">
            <v>820212.7</v>
          </cell>
          <cell r="M31">
            <v>22449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  <cell r="M37">
            <v>11726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  <cell r="M43">
            <v>84672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  <cell r="M49">
            <v>60372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  <cell r="M55">
            <v>39550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  <cell r="M61">
            <v>16547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  <cell r="M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  <cell r="M73">
            <v>84098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  <cell r="M79">
            <v>0</v>
          </cell>
        </row>
        <row r="80">
          <cell r="J80">
            <v>0</v>
          </cell>
          <cell r="M80">
            <v>0</v>
          </cell>
        </row>
      </sheetData>
      <sheetData sheetId="3">
        <row r="7">
          <cell r="W7" t="str">
            <v>Low Income Bill Pay Assistance (GREAT)</v>
          </cell>
          <cell r="Z7" t="str">
            <v>WA-LIEE</v>
          </cell>
          <cell r="AJ7" t="str">
            <v xml:space="preserve">Residental Bill Discount Program </v>
          </cell>
        </row>
        <row r="13">
          <cell r="P13">
            <v>0.14388999999999999</v>
          </cell>
          <cell r="S13">
            <v>-1.7799999999999999E-3</v>
          </cell>
          <cell r="V13">
            <v>0</v>
          </cell>
          <cell r="Y13">
            <v>2.0049999999999998E-2</v>
          </cell>
          <cell r="AB13">
            <v>3.2299999999999998E-3</v>
          </cell>
          <cell r="AE13">
            <v>-2.3000000000000001E-4</v>
          </cell>
          <cell r="AH13">
            <v>1.8579999999999999E-2</v>
          </cell>
          <cell r="AK13">
            <v>3.7949999999999998E-2</v>
          </cell>
          <cell r="AN13">
            <v>2.4000000000000001E-4</v>
          </cell>
        </row>
        <row r="14">
          <cell r="P14">
            <v>9.6509999999999999E-2</v>
          </cell>
          <cell r="S14">
            <v>-1.17E-3</v>
          </cell>
          <cell r="V14">
            <v>0</v>
          </cell>
          <cell r="Y14">
            <v>1.345E-2</v>
          </cell>
          <cell r="AB14">
            <v>2.1800000000000001E-3</v>
          </cell>
          <cell r="AE14">
            <v>-1.6000000000000001E-4</v>
          </cell>
          <cell r="AH14">
            <v>1.244E-2</v>
          </cell>
          <cell r="AK14">
            <v>3.2939999999999997E-2</v>
          </cell>
          <cell r="AN14">
            <v>1.6000000000000001E-4</v>
          </cell>
        </row>
        <row r="15">
          <cell r="P15">
            <v>6.6089999999999996E-2</v>
          </cell>
          <cell r="S15">
            <v>-8.1999999999999998E-4</v>
          </cell>
          <cell r="V15">
            <v>0</v>
          </cell>
          <cell r="Y15">
            <v>9.2099999999999994E-3</v>
          </cell>
          <cell r="AB15">
            <v>1.48E-3</v>
          </cell>
          <cell r="AE15">
            <v>-1.1E-4</v>
          </cell>
          <cell r="AH15">
            <v>8.5299999999999994E-3</v>
          </cell>
          <cell r="AK15">
            <v>2.188E-2</v>
          </cell>
          <cell r="AN15">
            <v>1.1E-4</v>
          </cell>
        </row>
        <row r="16">
          <cell r="P16">
            <v>5.8250000000000003E-2</v>
          </cell>
          <cell r="S16">
            <v>-7.2000000000000005E-4</v>
          </cell>
          <cell r="V16">
            <v>0</v>
          </cell>
          <cell r="Y16">
            <v>8.1200000000000005E-3</v>
          </cell>
          <cell r="AB16">
            <v>1.31E-3</v>
          </cell>
          <cell r="AE16">
            <v>-1E-4</v>
          </cell>
          <cell r="AH16">
            <v>7.5199999999999998E-3</v>
          </cell>
          <cell r="AK16">
            <v>1.9439999999999999E-2</v>
          </cell>
          <cell r="AN16">
            <v>1E-4</v>
          </cell>
        </row>
        <row r="17">
          <cell r="P17">
            <v>0</v>
          </cell>
          <cell r="S17">
            <v>0</v>
          </cell>
          <cell r="V17">
            <v>0</v>
          </cell>
          <cell r="Y17">
            <v>7.5100000000000002E-3</v>
          </cell>
          <cell r="AB17">
            <v>1.2099999999999999E-3</v>
          </cell>
          <cell r="AE17">
            <v>-9.0000000000000006E-5</v>
          </cell>
          <cell r="AH17">
            <v>6.9499999999999996E-3</v>
          </cell>
          <cell r="AK17">
            <v>1.7850000000000001E-2</v>
          </cell>
          <cell r="AN17">
            <v>9.0000000000000006E-5</v>
          </cell>
        </row>
        <row r="18">
          <cell r="P18">
            <v>0.14729</v>
          </cell>
          <cell r="S18">
            <v>-1.8400000000000001E-3</v>
          </cell>
          <cell r="V18">
            <v>0</v>
          </cell>
          <cell r="Y18">
            <v>2.053E-2</v>
          </cell>
          <cell r="AB18">
            <v>3.3E-3</v>
          </cell>
          <cell r="AE18">
            <v>-2.3000000000000001E-4</v>
          </cell>
          <cell r="AH18">
            <v>1.9009999999999999E-2</v>
          </cell>
          <cell r="AK18">
            <v>3.1620000000000002E-2</v>
          </cell>
          <cell r="AN18">
            <v>2.5999999999999998E-4</v>
          </cell>
        </row>
        <row r="19">
          <cell r="P19">
            <v>4.6289999999999998E-2</v>
          </cell>
          <cell r="S19">
            <v>-5.6999999999999998E-4</v>
          </cell>
          <cell r="V19">
            <v>0</v>
          </cell>
          <cell r="Y19">
            <v>6.45E-3</v>
          </cell>
          <cell r="AB19">
            <v>1.0399999999999999E-3</v>
          </cell>
          <cell r="AE19">
            <v>-8.0000000000000007E-5</v>
          </cell>
          <cell r="AH19">
            <v>5.9800000000000001E-3</v>
          </cell>
          <cell r="AK19">
            <v>1.5630000000000002E-2</v>
          </cell>
          <cell r="AN19">
            <v>8.0000000000000007E-5</v>
          </cell>
        </row>
        <row r="20">
          <cell r="P20">
            <v>4.079E-2</v>
          </cell>
          <cell r="S20">
            <v>-5.1000000000000004E-4</v>
          </cell>
          <cell r="V20">
            <v>0</v>
          </cell>
          <cell r="Y20">
            <v>5.6800000000000002E-3</v>
          </cell>
          <cell r="AB20">
            <v>9.2000000000000003E-4</v>
          </cell>
          <cell r="AE20">
            <v>-6.9999999999999994E-5</v>
          </cell>
          <cell r="AH20">
            <v>5.2700000000000004E-3</v>
          </cell>
          <cell r="AK20">
            <v>1.3769999999999999E-2</v>
          </cell>
          <cell r="AN20">
            <v>6.9999999999999994E-5</v>
          </cell>
        </row>
        <row r="21">
          <cell r="P21">
            <v>0</v>
          </cell>
          <cell r="S21">
            <v>0</v>
          </cell>
          <cell r="V21">
            <v>0</v>
          </cell>
          <cell r="Y21">
            <v>5.8500000000000002E-3</v>
          </cell>
          <cell r="AB21">
            <v>9.3999999999999997E-4</v>
          </cell>
          <cell r="AE21">
            <v>-6.9999999999999994E-5</v>
          </cell>
          <cell r="AH21">
            <v>5.4200000000000003E-3</v>
          </cell>
          <cell r="AK21">
            <v>1.34E-2</v>
          </cell>
          <cell r="AN21">
            <v>6.9999999999999994E-5</v>
          </cell>
        </row>
        <row r="22">
          <cell r="P22">
            <v>0</v>
          </cell>
          <cell r="S22">
            <v>0</v>
          </cell>
          <cell r="V22">
            <v>0</v>
          </cell>
          <cell r="Y22">
            <v>5.1500000000000001E-3</v>
          </cell>
          <cell r="AB22">
            <v>8.3000000000000001E-4</v>
          </cell>
          <cell r="AE22">
            <v>-6.0000000000000002E-5</v>
          </cell>
          <cell r="AH22">
            <v>4.7800000000000004E-3</v>
          </cell>
          <cell r="AK22">
            <v>1.1809999999999999E-2</v>
          </cell>
          <cell r="AN22">
            <v>6.0000000000000002E-5</v>
          </cell>
        </row>
        <row r="23">
          <cell r="P23">
            <v>4.233E-2</v>
          </cell>
          <cell r="S23">
            <v>-5.1999999999999995E-4</v>
          </cell>
          <cell r="V23">
            <v>0</v>
          </cell>
          <cell r="Y23">
            <v>6.0000000000000001E-3</v>
          </cell>
          <cell r="AB23">
            <v>9.7000000000000005E-4</v>
          </cell>
          <cell r="AE23">
            <v>-6.9999999999999994E-5</v>
          </cell>
          <cell r="AH23">
            <v>5.7800000000000004E-3</v>
          </cell>
          <cell r="AK23">
            <v>1.4829999999999999E-2</v>
          </cell>
          <cell r="AN23">
            <v>6.9999999999999994E-5</v>
          </cell>
        </row>
        <row r="24">
          <cell r="P24">
            <v>3.7289999999999997E-2</v>
          </cell>
          <cell r="S24">
            <v>-4.6000000000000001E-4</v>
          </cell>
          <cell r="V24">
            <v>0</v>
          </cell>
          <cell r="Y24">
            <v>5.28E-3</v>
          </cell>
          <cell r="AB24">
            <v>8.4999999999999995E-4</v>
          </cell>
          <cell r="AE24">
            <v>-6.0000000000000002E-5</v>
          </cell>
          <cell r="AH24">
            <v>5.0899999999999999E-3</v>
          </cell>
          <cell r="AK24">
            <v>1.307E-2</v>
          </cell>
          <cell r="AN24">
            <v>6.0000000000000002E-5</v>
          </cell>
        </row>
        <row r="25">
          <cell r="P25">
            <v>0</v>
          </cell>
          <cell r="S25">
            <v>0</v>
          </cell>
          <cell r="V25">
            <v>0</v>
          </cell>
          <cell r="Y25">
            <v>5.6699999999999997E-3</v>
          </cell>
          <cell r="AB25">
            <v>9.1E-4</v>
          </cell>
          <cell r="AE25">
            <v>-6.9999999999999994E-5</v>
          </cell>
          <cell r="AH25">
            <v>5.47E-3</v>
          </cell>
          <cell r="AK25">
            <v>1.4030000000000001E-2</v>
          </cell>
          <cell r="AN25">
            <v>6.9999999999999994E-5</v>
          </cell>
        </row>
        <row r="26">
          <cell r="P26">
            <v>0</v>
          </cell>
          <cell r="S26">
            <v>0</v>
          </cell>
          <cell r="V26">
            <v>0</v>
          </cell>
          <cell r="Y26">
            <v>5.0000000000000001E-3</v>
          </cell>
          <cell r="AB26">
            <v>8.0999999999999996E-4</v>
          </cell>
          <cell r="AE26">
            <v>-6.0000000000000002E-5</v>
          </cell>
          <cell r="AH26">
            <v>4.8199999999999996E-3</v>
          </cell>
          <cell r="AK26">
            <v>1.2359999999999999E-2</v>
          </cell>
          <cell r="AN26">
            <v>6.0000000000000002E-5</v>
          </cell>
        </row>
        <row r="27">
          <cell r="P27">
            <v>0</v>
          </cell>
          <cell r="S27">
            <v>0</v>
          </cell>
          <cell r="V27">
            <v>0</v>
          </cell>
          <cell r="Y27">
            <v>0</v>
          </cell>
          <cell r="AB27">
            <v>0</v>
          </cell>
          <cell r="AE27">
            <v>-8.0000000000000007E-5</v>
          </cell>
          <cell r="AH27">
            <v>6.1599999999999997E-3</v>
          </cell>
          <cell r="AK27">
            <v>1.5440000000000001E-2</v>
          </cell>
          <cell r="AN27">
            <v>0</v>
          </cell>
        </row>
        <row r="28">
          <cell r="P28">
            <v>0</v>
          </cell>
          <cell r="S28">
            <v>0</v>
          </cell>
          <cell r="V28">
            <v>0</v>
          </cell>
          <cell r="Y28">
            <v>0</v>
          </cell>
          <cell r="AB28">
            <v>0</v>
          </cell>
          <cell r="AE28">
            <v>-6.9999999999999994E-5</v>
          </cell>
          <cell r="AH28">
            <v>5.4299999999999999E-3</v>
          </cell>
          <cell r="AK28">
            <v>1.3599999999999999E-2</v>
          </cell>
          <cell r="AN28">
            <v>0</v>
          </cell>
        </row>
        <row r="29">
          <cell r="P29">
            <v>0</v>
          </cell>
          <cell r="S29">
            <v>0</v>
          </cell>
          <cell r="V29">
            <v>0</v>
          </cell>
          <cell r="Y29">
            <v>0</v>
          </cell>
          <cell r="AB29">
            <v>0</v>
          </cell>
          <cell r="AE29">
            <v>-6.9999999999999994E-5</v>
          </cell>
          <cell r="AH29">
            <v>5.5300000000000002E-3</v>
          </cell>
          <cell r="AK29">
            <v>1.418E-2</v>
          </cell>
          <cell r="AN29">
            <v>0</v>
          </cell>
        </row>
        <row r="30">
          <cell r="P30">
            <v>0</v>
          </cell>
          <cell r="S30">
            <v>0</v>
          </cell>
          <cell r="V30">
            <v>0</v>
          </cell>
          <cell r="Y30">
            <v>0</v>
          </cell>
          <cell r="AB30">
            <v>0</v>
          </cell>
          <cell r="AE30">
            <v>-6.0000000000000002E-5</v>
          </cell>
          <cell r="AH30">
            <v>4.8700000000000002E-3</v>
          </cell>
          <cell r="AK30">
            <v>1.2500000000000001E-2</v>
          </cell>
          <cell r="AN30">
            <v>0</v>
          </cell>
        </row>
        <row r="31">
          <cell r="P31">
            <v>2.5569999999999999E-2</v>
          </cell>
          <cell r="S31">
            <v>-3.2000000000000003E-4</v>
          </cell>
          <cell r="V31">
            <v>0</v>
          </cell>
          <cell r="Y31">
            <v>3.5599999999999998E-3</v>
          </cell>
          <cell r="AB31">
            <v>5.6999999999999998E-4</v>
          </cell>
          <cell r="AE31">
            <v>-4.0000000000000003E-5</v>
          </cell>
          <cell r="AH31">
            <v>3.3999999999999998E-3</v>
          </cell>
          <cell r="AK31">
            <v>8.6899999999999998E-3</v>
          </cell>
          <cell r="AN31">
            <v>4.0000000000000003E-5</v>
          </cell>
        </row>
        <row r="32">
          <cell r="P32">
            <v>2.2880000000000001E-2</v>
          </cell>
          <cell r="S32">
            <v>-2.7999999999999998E-4</v>
          </cell>
          <cell r="V32">
            <v>0</v>
          </cell>
          <cell r="Y32">
            <v>3.1900000000000001E-3</v>
          </cell>
          <cell r="AB32">
            <v>5.1000000000000004E-4</v>
          </cell>
          <cell r="AE32">
            <v>-4.0000000000000003E-5</v>
          </cell>
          <cell r="AH32">
            <v>3.0400000000000002E-3</v>
          </cell>
          <cell r="AK32">
            <v>7.7799999999999996E-3</v>
          </cell>
          <cell r="AN32">
            <v>4.0000000000000003E-5</v>
          </cell>
        </row>
        <row r="33">
          <cell r="P33">
            <v>1.755E-2</v>
          </cell>
          <cell r="S33">
            <v>-2.2000000000000001E-4</v>
          </cell>
          <cell r="V33">
            <v>0</v>
          </cell>
          <cell r="Y33">
            <v>2.4499999999999999E-3</v>
          </cell>
          <cell r="AB33">
            <v>3.8999999999999999E-4</v>
          </cell>
          <cell r="AE33">
            <v>-3.0000000000000001E-5</v>
          </cell>
          <cell r="AH33">
            <v>2.33E-3</v>
          </cell>
          <cell r="AK33">
            <v>5.9699999999999996E-3</v>
          </cell>
          <cell r="AN33">
            <v>3.0000000000000001E-5</v>
          </cell>
        </row>
        <row r="34">
          <cell r="P34">
            <v>1.404E-2</v>
          </cell>
          <cell r="S34">
            <v>-1.7000000000000001E-4</v>
          </cell>
          <cell r="V34">
            <v>0</v>
          </cell>
          <cell r="Y34">
            <v>1.9599999999999999E-3</v>
          </cell>
          <cell r="AB34">
            <v>3.2000000000000003E-4</v>
          </cell>
          <cell r="AE34">
            <v>-2.0000000000000002E-5</v>
          </cell>
          <cell r="AH34">
            <v>1.8699999999999999E-3</v>
          </cell>
          <cell r="AK34">
            <v>4.7699999999999999E-3</v>
          </cell>
          <cell r="AN34">
            <v>2.0000000000000002E-5</v>
          </cell>
        </row>
        <row r="35">
          <cell r="P35">
            <v>9.3600000000000003E-3</v>
          </cell>
          <cell r="S35">
            <v>-1.2E-4</v>
          </cell>
          <cell r="V35">
            <v>0</v>
          </cell>
          <cell r="Y35">
            <v>1.2999999999999999E-3</v>
          </cell>
          <cell r="AB35">
            <v>2.1000000000000001E-4</v>
          </cell>
          <cell r="AE35">
            <v>-2.0000000000000002E-5</v>
          </cell>
          <cell r="AH35">
            <v>1.24E-3</v>
          </cell>
          <cell r="AK35">
            <v>3.1800000000000001E-3</v>
          </cell>
          <cell r="AN35">
            <v>2.0000000000000002E-5</v>
          </cell>
        </row>
        <row r="36">
          <cell r="P36">
            <v>3.5100000000000001E-3</v>
          </cell>
          <cell r="S36">
            <v>-4.0000000000000003E-5</v>
          </cell>
          <cell r="V36">
            <v>0</v>
          </cell>
          <cell r="Y36">
            <v>4.8999999999999998E-4</v>
          </cell>
          <cell r="AB36">
            <v>8.0000000000000007E-5</v>
          </cell>
          <cell r="AE36">
            <v>-1.0000000000000001E-5</v>
          </cell>
          <cell r="AH36">
            <v>4.6999999999999999E-4</v>
          </cell>
          <cell r="AK36">
            <v>1.1900000000000001E-3</v>
          </cell>
          <cell r="AN36">
            <v>1.0000000000000001E-5</v>
          </cell>
        </row>
        <row r="37">
          <cell r="P37">
            <v>0</v>
          </cell>
          <cell r="S37">
            <v>0</v>
          </cell>
          <cell r="V37">
            <v>0</v>
          </cell>
          <cell r="Y37">
            <v>3.7499999999999999E-3</v>
          </cell>
          <cell r="AB37">
            <v>5.9999999999999995E-4</v>
          </cell>
          <cell r="AE37">
            <v>-4.0000000000000003E-5</v>
          </cell>
          <cell r="AH37">
            <v>3.47E-3</v>
          </cell>
          <cell r="AK37">
            <v>8.43E-3</v>
          </cell>
          <cell r="AN37">
            <v>5.0000000000000002E-5</v>
          </cell>
        </row>
        <row r="38">
          <cell r="P38">
            <v>0</v>
          </cell>
          <cell r="S38">
            <v>0</v>
          </cell>
          <cell r="V38">
            <v>0</v>
          </cell>
          <cell r="Y38">
            <v>3.3600000000000001E-3</v>
          </cell>
          <cell r="AB38">
            <v>5.4000000000000001E-4</v>
          </cell>
          <cell r="AE38">
            <v>-4.0000000000000003E-5</v>
          </cell>
          <cell r="AH38">
            <v>3.1099999999999999E-3</v>
          </cell>
          <cell r="AK38">
            <v>7.5399999999999998E-3</v>
          </cell>
          <cell r="AN38">
            <v>4.0000000000000003E-5</v>
          </cell>
        </row>
        <row r="39">
          <cell r="P39">
            <v>0</v>
          </cell>
          <cell r="S39">
            <v>0</v>
          </cell>
          <cell r="V39">
            <v>0</v>
          </cell>
          <cell r="Y39">
            <v>2.5699999999999998E-3</v>
          </cell>
          <cell r="AB39">
            <v>4.0999999999999999E-4</v>
          </cell>
          <cell r="AE39">
            <v>-3.0000000000000001E-5</v>
          </cell>
          <cell r="AH39">
            <v>2.3800000000000002E-3</v>
          </cell>
          <cell r="AK39">
            <v>5.7800000000000004E-3</v>
          </cell>
          <cell r="AN39">
            <v>3.0000000000000001E-5</v>
          </cell>
        </row>
        <row r="40">
          <cell r="P40">
            <v>0</v>
          </cell>
          <cell r="S40">
            <v>0</v>
          </cell>
          <cell r="V40">
            <v>0</v>
          </cell>
          <cell r="Y40">
            <v>2.0600000000000002E-3</v>
          </cell>
          <cell r="AB40">
            <v>3.3E-4</v>
          </cell>
          <cell r="AE40">
            <v>-2.0000000000000002E-5</v>
          </cell>
          <cell r="AH40">
            <v>1.91E-3</v>
          </cell>
          <cell r="AK40">
            <v>4.6299999999999996E-3</v>
          </cell>
          <cell r="AN40">
            <v>2.0000000000000002E-5</v>
          </cell>
        </row>
        <row r="41">
          <cell r="P41">
            <v>0</v>
          </cell>
          <cell r="S41">
            <v>0</v>
          </cell>
          <cell r="V41">
            <v>0</v>
          </cell>
          <cell r="Y41">
            <v>1.3699999999999999E-3</v>
          </cell>
          <cell r="AB41">
            <v>2.2000000000000001E-4</v>
          </cell>
          <cell r="AE41">
            <v>-2.0000000000000002E-5</v>
          </cell>
          <cell r="AH41">
            <v>1.2700000000000001E-3</v>
          </cell>
          <cell r="AK41">
            <v>3.0899999999999999E-3</v>
          </cell>
          <cell r="AN41">
            <v>2.0000000000000002E-5</v>
          </cell>
        </row>
        <row r="42">
          <cell r="P42">
            <v>0</v>
          </cell>
          <cell r="S42">
            <v>0</v>
          </cell>
          <cell r="V42">
            <v>0</v>
          </cell>
          <cell r="Y42">
            <v>5.1000000000000004E-4</v>
          </cell>
          <cell r="AB42">
            <v>8.0000000000000007E-5</v>
          </cell>
          <cell r="AE42">
            <v>-1.0000000000000001E-5</v>
          </cell>
          <cell r="AH42">
            <v>4.8000000000000001E-4</v>
          </cell>
          <cell r="AK42">
            <v>1.16E-3</v>
          </cell>
          <cell r="AN42">
            <v>1.0000000000000001E-5</v>
          </cell>
        </row>
        <row r="43">
          <cell r="P43">
            <v>0</v>
          </cell>
          <cell r="S43">
            <v>0</v>
          </cell>
          <cell r="V43">
            <v>0</v>
          </cell>
          <cell r="Y43">
            <v>0</v>
          </cell>
          <cell r="AB43">
            <v>0</v>
          </cell>
          <cell r="AE43">
            <v>-3.0000000000000001E-5</v>
          </cell>
          <cell r="AH43">
            <v>2.1900000000000001E-3</v>
          </cell>
          <cell r="AK43">
            <v>5.2399999999999999E-3</v>
          </cell>
          <cell r="AN43">
            <v>0</v>
          </cell>
        </row>
        <row r="44">
          <cell r="P44">
            <v>0</v>
          </cell>
          <cell r="S44">
            <v>0</v>
          </cell>
          <cell r="V44">
            <v>0</v>
          </cell>
          <cell r="Y44">
            <v>0</v>
          </cell>
          <cell r="AB44">
            <v>0</v>
          </cell>
          <cell r="AE44">
            <v>-2.0000000000000002E-5</v>
          </cell>
          <cell r="AH44">
            <v>1.9599999999999999E-3</v>
          </cell>
          <cell r="AK44">
            <v>4.6899999999999997E-3</v>
          </cell>
          <cell r="AN44">
            <v>0</v>
          </cell>
        </row>
        <row r="45">
          <cell r="P45">
            <v>0</v>
          </cell>
          <cell r="S45">
            <v>0</v>
          </cell>
          <cell r="V45">
            <v>0</v>
          </cell>
          <cell r="Y45">
            <v>0</v>
          </cell>
          <cell r="AB45">
            <v>0</v>
          </cell>
          <cell r="AE45">
            <v>-2.0000000000000002E-5</v>
          </cell>
          <cell r="AH45">
            <v>1.5E-3</v>
          </cell>
          <cell r="AK45">
            <v>3.5999999999999999E-3</v>
          </cell>
          <cell r="AN45">
            <v>0</v>
          </cell>
        </row>
        <row r="46">
          <cell r="P46">
            <v>0</v>
          </cell>
          <cell r="S46">
            <v>0</v>
          </cell>
          <cell r="V46">
            <v>0</v>
          </cell>
          <cell r="Y46">
            <v>0</v>
          </cell>
          <cell r="AB46">
            <v>0</v>
          </cell>
          <cell r="AE46">
            <v>-2.0000000000000002E-5</v>
          </cell>
          <cell r="AH46">
            <v>1.1999999999999999E-3</v>
          </cell>
          <cell r="AK46">
            <v>2.8800000000000002E-3</v>
          </cell>
          <cell r="AN46">
            <v>0</v>
          </cell>
        </row>
        <row r="47">
          <cell r="P47">
            <v>0</v>
          </cell>
          <cell r="S47">
            <v>0</v>
          </cell>
          <cell r="V47">
            <v>0</v>
          </cell>
          <cell r="Y47">
            <v>0</v>
          </cell>
          <cell r="AB47">
            <v>0</v>
          </cell>
          <cell r="AE47">
            <v>-1.0000000000000001E-5</v>
          </cell>
          <cell r="AH47">
            <v>8.0000000000000004E-4</v>
          </cell>
          <cell r="AK47">
            <v>1.92E-3</v>
          </cell>
          <cell r="AN47">
            <v>0</v>
          </cell>
        </row>
        <row r="48">
          <cell r="P48">
            <v>0</v>
          </cell>
          <cell r="S48">
            <v>0</v>
          </cell>
          <cell r="V48">
            <v>0</v>
          </cell>
          <cell r="Y48">
            <v>0</v>
          </cell>
          <cell r="AB48">
            <v>0</v>
          </cell>
          <cell r="AE48">
            <v>0</v>
          </cell>
          <cell r="AH48">
            <v>2.9999999999999997E-4</v>
          </cell>
          <cell r="AK48">
            <v>7.2000000000000005E-4</v>
          </cell>
          <cell r="AN48">
            <v>0</v>
          </cell>
        </row>
        <row r="49">
          <cell r="P49">
            <v>0</v>
          </cell>
          <cell r="S49">
            <v>0</v>
          </cell>
          <cell r="V49">
            <v>0</v>
          </cell>
          <cell r="Y49">
            <v>0</v>
          </cell>
          <cell r="AB49">
            <v>0</v>
          </cell>
          <cell r="AE49">
            <v>-3.0000000000000001E-5</v>
          </cell>
          <cell r="AH49">
            <v>2.31E-3</v>
          </cell>
          <cell r="AK49">
            <v>5.5900000000000004E-3</v>
          </cell>
          <cell r="AN49">
            <v>0</v>
          </cell>
        </row>
        <row r="50">
          <cell r="P50">
            <v>0</v>
          </cell>
          <cell r="S50">
            <v>0</v>
          </cell>
          <cell r="V50">
            <v>0</v>
          </cell>
          <cell r="Y50">
            <v>0</v>
          </cell>
          <cell r="AB50">
            <v>0</v>
          </cell>
          <cell r="AE50">
            <v>-3.0000000000000001E-5</v>
          </cell>
          <cell r="AH50">
            <v>2.0699999999999998E-3</v>
          </cell>
          <cell r="AK50">
            <v>5.0099999999999997E-3</v>
          </cell>
          <cell r="AN50">
            <v>0</v>
          </cell>
        </row>
        <row r="51">
          <cell r="P51">
            <v>0</v>
          </cell>
          <cell r="S51">
            <v>0</v>
          </cell>
          <cell r="V51">
            <v>0</v>
          </cell>
          <cell r="Y51">
            <v>0</v>
          </cell>
          <cell r="AB51">
            <v>0</v>
          </cell>
          <cell r="AE51">
            <v>-2.0000000000000002E-5</v>
          </cell>
          <cell r="AH51">
            <v>1.5900000000000001E-3</v>
          </cell>
          <cell r="AK51">
            <v>3.8400000000000001E-3</v>
          </cell>
          <cell r="AN51">
            <v>0</v>
          </cell>
        </row>
        <row r="52">
          <cell r="P52">
            <v>0</v>
          </cell>
          <cell r="S52">
            <v>0</v>
          </cell>
          <cell r="V52">
            <v>0</v>
          </cell>
          <cell r="Y52">
            <v>0</v>
          </cell>
          <cell r="AB52">
            <v>0</v>
          </cell>
          <cell r="AE52">
            <v>-2.0000000000000002E-5</v>
          </cell>
          <cell r="AH52">
            <v>1.2700000000000001E-3</v>
          </cell>
          <cell r="AK52">
            <v>3.0699999999999998E-3</v>
          </cell>
          <cell r="AN52">
            <v>0</v>
          </cell>
        </row>
        <row r="53">
          <cell r="P53">
            <v>0</v>
          </cell>
          <cell r="S53">
            <v>0</v>
          </cell>
          <cell r="V53">
            <v>0</v>
          </cell>
          <cell r="Y53">
            <v>0</v>
          </cell>
          <cell r="AB53">
            <v>0</v>
          </cell>
          <cell r="AE53">
            <v>-1.0000000000000001E-5</v>
          </cell>
          <cell r="AH53">
            <v>8.4999999999999995E-4</v>
          </cell>
          <cell r="AK53">
            <v>2.0500000000000002E-3</v>
          </cell>
          <cell r="AN53">
            <v>0</v>
          </cell>
        </row>
        <row r="54">
          <cell r="P54">
            <v>0</v>
          </cell>
          <cell r="S54">
            <v>0</v>
          </cell>
          <cell r="V54">
            <v>0</v>
          </cell>
          <cell r="Y54">
            <v>0</v>
          </cell>
          <cell r="AB54">
            <v>0</v>
          </cell>
          <cell r="AE54">
            <v>0</v>
          </cell>
          <cell r="AH54">
            <v>3.2000000000000003E-4</v>
          </cell>
          <cell r="AK54">
            <v>7.6999999999999996E-4</v>
          </cell>
          <cell r="AN54">
            <v>0</v>
          </cell>
        </row>
        <row r="55">
          <cell r="P55">
            <v>1.9529999999999999E-2</v>
          </cell>
          <cell r="S55">
            <v>-2.4000000000000001E-4</v>
          </cell>
          <cell r="V55">
            <v>0</v>
          </cell>
          <cell r="Y55">
            <v>2.7200000000000002E-3</v>
          </cell>
          <cell r="AB55">
            <v>4.4000000000000002E-4</v>
          </cell>
          <cell r="AE55">
            <v>-3.0000000000000001E-5</v>
          </cell>
          <cell r="AH55">
            <v>2.5200000000000001E-3</v>
          </cell>
          <cell r="AK55">
            <v>6.4200000000000004E-3</v>
          </cell>
          <cell r="AN55">
            <v>3.0000000000000001E-5</v>
          </cell>
        </row>
        <row r="56">
          <cell r="P56">
            <v>1.7479999999999999E-2</v>
          </cell>
          <cell r="S56">
            <v>-2.2000000000000001E-4</v>
          </cell>
          <cell r="V56">
            <v>0</v>
          </cell>
          <cell r="Y56">
            <v>2.4399999999999999E-3</v>
          </cell>
          <cell r="AB56">
            <v>3.8999999999999999E-4</v>
          </cell>
          <cell r="AE56">
            <v>-3.0000000000000001E-5</v>
          </cell>
          <cell r="AH56">
            <v>2.2599999999999999E-3</v>
          </cell>
          <cell r="AK56">
            <v>5.7499999999999999E-3</v>
          </cell>
          <cell r="AN56">
            <v>3.0000000000000001E-5</v>
          </cell>
        </row>
        <row r="57">
          <cell r="P57">
            <v>1.34E-2</v>
          </cell>
          <cell r="S57">
            <v>-1.7000000000000001E-4</v>
          </cell>
          <cell r="V57">
            <v>0</v>
          </cell>
          <cell r="Y57">
            <v>1.8699999999999999E-3</v>
          </cell>
          <cell r="AB57">
            <v>2.9999999999999997E-4</v>
          </cell>
          <cell r="AE57">
            <v>-2.0000000000000002E-5</v>
          </cell>
          <cell r="AH57">
            <v>1.73E-3</v>
          </cell>
          <cell r="AK57">
            <v>4.4099999999999999E-3</v>
          </cell>
          <cell r="AN57">
            <v>2.0000000000000002E-5</v>
          </cell>
        </row>
        <row r="58">
          <cell r="P58">
            <v>1.072E-2</v>
          </cell>
          <cell r="S58">
            <v>-1.2999999999999999E-4</v>
          </cell>
          <cell r="V58">
            <v>0</v>
          </cell>
          <cell r="Y58">
            <v>1.49E-3</v>
          </cell>
          <cell r="AB58">
            <v>2.4000000000000001E-4</v>
          </cell>
          <cell r="AE58">
            <v>-2.0000000000000002E-5</v>
          </cell>
          <cell r="AH58">
            <v>1.3799999999999999E-3</v>
          </cell>
          <cell r="AK58">
            <v>3.5300000000000002E-3</v>
          </cell>
          <cell r="AN58">
            <v>2.0000000000000002E-5</v>
          </cell>
        </row>
        <row r="59">
          <cell r="P59">
            <v>7.1500000000000001E-3</v>
          </cell>
          <cell r="S59">
            <v>-9.0000000000000006E-5</v>
          </cell>
          <cell r="V59">
            <v>0</v>
          </cell>
          <cell r="Y59">
            <v>1E-3</v>
          </cell>
          <cell r="AB59">
            <v>1.6000000000000001E-4</v>
          </cell>
          <cell r="AE59">
            <v>-1.0000000000000001E-5</v>
          </cell>
          <cell r="AH59">
            <v>9.2000000000000003E-4</v>
          </cell>
          <cell r="AK59">
            <v>2.3500000000000001E-3</v>
          </cell>
          <cell r="AN59">
            <v>1.0000000000000001E-5</v>
          </cell>
        </row>
        <row r="60">
          <cell r="P60">
            <v>2.6800000000000001E-3</v>
          </cell>
          <cell r="S60">
            <v>-3.0000000000000001E-5</v>
          </cell>
          <cell r="V60">
            <v>0</v>
          </cell>
          <cell r="Y60">
            <v>3.6999999999999999E-4</v>
          </cell>
          <cell r="AB60">
            <v>6.0000000000000002E-5</v>
          </cell>
          <cell r="AE60">
            <v>0</v>
          </cell>
          <cell r="AH60">
            <v>3.5E-4</v>
          </cell>
          <cell r="AK60">
            <v>8.8000000000000003E-4</v>
          </cell>
          <cell r="AN60">
            <v>0</v>
          </cell>
        </row>
        <row r="61">
          <cell r="P61">
            <v>0</v>
          </cell>
          <cell r="S61">
            <v>0</v>
          </cell>
          <cell r="V61">
            <v>0</v>
          </cell>
          <cell r="Y61">
            <v>3.1900000000000001E-3</v>
          </cell>
          <cell r="AB61">
            <v>5.1999999999999995E-4</v>
          </cell>
          <cell r="AE61">
            <v>-4.0000000000000003E-5</v>
          </cell>
          <cell r="AH61">
            <v>2.96E-3</v>
          </cell>
          <cell r="AK61">
            <v>7.6400000000000001E-3</v>
          </cell>
          <cell r="AN61">
            <v>4.0000000000000003E-5</v>
          </cell>
        </row>
        <row r="62">
          <cell r="P62">
            <v>0</v>
          </cell>
          <cell r="S62">
            <v>0</v>
          </cell>
          <cell r="V62">
            <v>0</v>
          </cell>
          <cell r="Y62">
            <v>2.8600000000000001E-3</v>
          </cell>
          <cell r="AB62">
            <v>4.6000000000000001E-4</v>
          </cell>
          <cell r="AE62">
            <v>-3.0000000000000001E-5</v>
          </cell>
          <cell r="AH62">
            <v>2.65E-3</v>
          </cell>
          <cell r="AK62">
            <v>6.8300000000000001E-3</v>
          </cell>
          <cell r="AN62">
            <v>4.0000000000000003E-5</v>
          </cell>
        </row>
        <row r="63">
          <cell r="P63">
            <v>0</v>
          </cell>
          <cell r="S63">
            <v>0</v>
          </cell>
          <cell r="V63">
            <v>0</v>
          </cell>
          <cell r="Y63">
            <v>2.1900000000000001E-3</v>
          </cell>
          <cell r="AB63">
            <v>3.5E-4</v>
          </cell>
          <cell r="AE63">
            <v>-2.0000000000000002E-5</v>
          </cell>
          <cell r="AH63">
            <v>2.0300000000000001E-3</v>
          </cell>
          <cell r="AK63">
            <v>5.2399999999999999E-3</v>
          </cell>
          <cell r="AN63">
            <v>3.0000000000000001E-5</v>
          </cell>
        </row>
        <row r="64">
          <cell r="P64">
            <v>0</v>
          </cell>
          <cell r="S64">
            <v>0</v>
          </cell>
          <cell r="V64">
            <v>0</v>
          </cell>
          <cell r="Y64">
            <v>1.75E-3</v>
          </cell>
          <cell r="AB64">
            <v>2.7999999999999998E-4</v>
          </cell>
          <cell r="AE64">
            <v>-2.0000000000000002E-5</v>
          </cell>
          <cell r="AH64">
            <v>1.6299999999999999E-3</v>
          </cell>
          <cell r="AK64">
            <v>4.1900000000000001E-3</v>
          </cell>
          <cell r="AN64">
            <v>2.0000000000000002E-5</v>
          </cell>
        </row>
        <row r="65">
          <cell r="P65">
            <v>0</v>
          </cell>
          <cell r="S65">
            <v>0</v>
          </cell>
          <cell r="V65">
            <v>0</v>
          </cell>
          <cell r="Y65">
            <v>1.17E-3</v>
          </cell>
          <cell r="AB65">
            <v>1.9000000000000001E-4</v>
          </cell>
          <cell r="AE65">
            <v>-1.0000000000000001E-5</v>
          </cell>
          <cell r="AH65">
            <v>1.08E-3</v>
          </cell>
          <cell r="AK65">
            <v>2.7899999999999999E-3</v>
          </cell>
          <cell r="AN65">
            <v>1.0000000000000001E-5</v>
          </cell>
        </row>
        <row r="66">
          <cell r="P66">
            <v>0</v>
          </cell>
          <cell r="S66">
            <v>0</v>
          </cell>
          <cell r="V66">
            <v>0</v>
          </cell>
          <cell r="Y66">
            <v>4.4000000000000002E-4</v>
          </cell>
          <cell r="AB66">
            <v>6.9999999999999994E-5</v>
          </cell>
          <cell r="AE66">
            <v>0</v>
          </cell>
          <cell r="AH66">
            <v>4.0999999999999999E-4</v>
          </cell>
          <cell r="AK66">
            <v>1.0499999999999999E-3</v>
          </cell>
          <cell r="AN66">
            <v>1.0000000000000001E-5</v>
          </cell>
        </row>
        <row r="67">
          <cell r="P67">
            <v>0</v>
          </cell>
          <cell r="S67">
            <v>0</v>
          </cell>
          <cell r="V67">
            <v>0</v>
          </cell>
          <cell r="Y67">
            <v>0</v>
          </cell>
          <cell r="AB67">
            <v>0</v>
          </cell>
          <cell r="AE67">
            <v>-3.0000000000000001E-5</v>
          </cell>
          <cell r="AH67">
            <v>2.1299999999999999E-3</v>
          </cell>
          <cell r="AK67">
            <v>5.4599999999999996E-3</v>
          </cell>
          <cell r="AN67">
            <v>0</v>
          </cell>
        </row>
        <row r="68">
          <cell r="P68">
            <v>0</v>
          </cell>
          <cell r="S68">
            <v>0</v>
          </cell>
          <cell r="V68">
            <v>0</v>
          </cell>
          <cell r="Y68">
            <v>0</v>
          </cell>
          <cell r="AB68">
            <v>0</v>
          </cell>
          <cell r="AE68">
            <v>-2.0000000000000002E-5</v>
          </cell>
          <cell r="AH68">
            <v>1.91E-3</v>
          </cell>
          <cell r="AK68">
            <v>4.8900000000000002E-3</v>
          </cell>
          <cell r="AN68">
            <v>0</v>
          </cell>
        </row>
        <row r="69">
          <cell r="P69">
            <v>0</v>
          </cell>
          <cell r="S69">
            <v>0</v>
          </cell>
          <cell r="V69">
            <v>0</v>
          </cell>
          <cell r="Y69">
            <v>0</v>
          </cell>
          <cell r="AB69">
            <v>0</v>
          </cell>
          <cell r="AE69">
            <v>-2.0000000000000002E-5</v>
          </cell>
          <cell r="AH69">
            <v>1.4599999999999999E-3</v>
          </cell>
          <cell r="AK69">
            <v>3.7499999999999999E-3</v>
          </cell>
          <cell r="AN69">
            <v>0</v>
          </cell>
        </row>
        <row r="70">
          <cell r="P70">
            <v>0</v>
          </cell>
          <cell r="S70">
            <v>0</v>
          </cell>
          <cell r="V70">
            <v>0</v>
          </cell>
          <cell r="Y70">
            <v>0</v>
          </cell>
          <cell r="AB70">
            <v>0</v>
          </cell>
          <cell r="AE70">
            <v>-1.0000000000000001E-5</v>
          </cell>
          <cell r="AH70">
            <v>1.17E-3</v>
          </cell>
          <cell r="AK70">
            <v>3.0000000000000001E-3</v>
          </cell>
          <cell r="AN70">
            <v>0</v>
          </cell>
        </row>
        <row r="71">
          <cell r="P71">
            <v>0</v>
          </cell>
          <cell r="S71">
            <v>0</v>
          </cell>
          <cell r="V71">
            <v>0</v>
          </cell>
          <cell r="Y71">
            <v>0</v>
          </cell>
          <cell r="AB71">
            <v>0</v>
          </cell>
          <cell r="AE71">
            <v>-1.0000000000000001E-5</v>
          </cell>
          <cell r="AH71">
            <v>7.7999999999999999E-4</v>
          </cell>
          <cell r="AK71">
            <v>2E-3</v>
          </cell>
          <cell r="AN71">
            <v>0</v>
          </cell>
        </row>
        <row r="72">
          <cell r="P72">
            <v>0</v>
          </cell>
          <cell r="S72">
            <v>0</v>
          </cell>
          <cell r="V72">
            <v>0</v>
          </cell>
          <cell r="Y72">
            <v>0</v>
          </cell>
          <cell r="AB72">
            <v>0</v>
          </cell>
          <cell r="AE72">
            <v>0</v>
          </cell>
          <cell r="AH72">
            <v>2.9E-4</v>
          </cell>
          <cell r="AK72">
            <v>7.5000000000000002E-4</v>
          </cell>
          <cell r="AN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Y73">
            <v>0</v>
          </cell>
          <cell r="AB73">
            <v>0</v>
          </cell>
          <cell r="AE73">
            <v>-3.0000000000000001E-5</v>
          </cell>
          <cell r="AH73">
            <v>2.1099999999999999E-3</v>
          </cell>
          <cell r="AK73">
            <v>5.4599999999999996E-3</v>
          </cell>
          <cell r="AN73">
            <v>0</v>
          </cell>
        </row>
        <row r="74">
          <cell r="P74">
            <v>0</v>
          </cell>
          <cell r="Q74">
            <v>0</v>
          </cell>
          <cell r="S74">
            <v>0</v>
          </cell>
          <cell r="T74">
            <v>0</v>
          </cell>
          <cell r="V74">
            <v>0</v>
          </cell>
          <cell r="Y74">
            <v>0</v>
          </cell>
          <cell r="AB74">
            <v>0</v>
          </cell>
          <cell r="AE74">
            <v>-2.0000000000000002E-5</v>
          </cell>
          <cell r="AH74">
            <v>1.89E-3</v>
          </cell>
          <cell r="AK74">
            <v>4.8900000000000002E-3</v>
          </cell>
          <cell r="AN74">
            <v>0</v>
          </cell>
        </row>
        <row r="75">
          <cell r="P75">
            <v>0</v>
          </cell>
          <cell r="Q75">
            <v>0</v>
          </cell>
          <cell r="S75">
            <v>0</v>
          </cell>
          <cell r="T75">
            <v>0</v>
          </cell>
          <cell r="V75">
            <v>0</v>
          </cell>
          <cell r="Y75">
            <v>0</v>
          </cell>
          <cell r="AB75">
            <v>0</v>
          </cell>
          <cell r="AE75">
            <v>-2.0000000000000002E-5</v>
          </cell>
          <cell r="AH75">
            <v>1.4499999999999999E-3</v>
          </cell>
          <cell r="AK75">
            <v>3.7499999999999999E-3</v>
          </cell>
          <cell r="AN75">
            <v>0</v>
          </cell>
        </row>
        <row r="76">
          <cell r="P76">
            <v>0</v>
          </cell>
          <cell r="Q76">
            <v>0</v>
          </cell>
          <cell r="S76">
            <v>0</v>
          </cell>
          <cell r="T76">
            <v>0</v>
          </cell>
          <cell r="V76">
            <v>0</v>
          </cell>
          <cell r="Y76">
            <v>0</v>
          </cell>
          <cell r="AB76">
            <v>0</v>
          </cell>
          <cell r="AE76">
            <v>-1.0000000000000001E-5</v>
          </cell>
          <cell r="AH76">
            <v>1.16E-3</v>
          </cell>
          <cell r="AK76">
            <v>3.0000000000000001E-3</v>
          </cell>
          <cell r="AN76">
            <v>0</v>
          </cell>
        </row>
        <row r="77">
          <cell r="P77">
            <v>0</v>
          </cell>
          <cell r="Q77">
            <v>0</v>
          </cell>
          <cell r="S77">
            <v>0</v>
          </cell>
          <cell r="T77">
            <v>0</v>
          </cell>
          <cell r="V77">
            <v>0</v>
          </cell>
          <cell r="Y77">
            <v>0</v>
          </cell>
          <cell r="AB77">
            <v>0</v>
          </cell>
          <cell r="AE77">
            <v>-1.0000000000000001E-5</v>
          </cell>
          <cell r="AH77">
            <v>7.6999999999999996E-4</v>
          </cell>
          <cell r="AK77">
            <v>2E-3</v>
          </cell>
          <cell r="AN77">
            <v>0</v>
          </cell>
        </row>
        <row r="78">
          <cell r="P78">
            <v>0</v>
          </cell>
          <cell r="Q78">
            <v>0</v>
          </cell>
          <cell r="S78">
            <v>0</v>
          </cell>
          <cell r="T78">
            <v>0</v>
          </cell>
          <cell r="V78">
            <v>0</v>
          </cell>
          <cell r="Y78">
            <v>0</v>
          </cell>
          <cell r="AB78">
            <v>0</v>
          </cell>
          <cell r="AE78">
            <v>0</v>
          </cell>
          <cell r="AH78">
            <v>2.9E-4</v>
          </cell>
          <cell r="AK78">
            <v>7.5000000000000002E-4</v>
          </cell>
          <cell r="AN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Y79">
            <v>0</v>
          </cell>
          <cell r="AB79">
            <v>0</v>
          </cell>
          <cell r="AE79">
            <v>0</v>
          </cell>
          <cell r="AH79">
            <v>0</v>
          </cell>
          <cell r="AK79">
            <v>1.9000000000000001E-4</v>
          </cell>
          <cell r="AN79">
            <v>0</v>
          </cell>
        </row>
        <row r="80">
          <cell r="P80">
            <v>0</v>
          </cell>
          <cell r="S80">
            <v>0</v>
          </cell>
          <cell r="V80">
            <v>0</v>
          </cell>
          <cell r="Y80">
            <v>0</v>
          </cell>
          <cell r="AB80">
            <v>0</v>
          </cell>
          <cell r="AE80">
            <v>0</v>
          </cell>
          <cell r="AH80">
            <v>0</v>
          </cell>
          <cell r="AK80">
            <v>1.9000000000000001E-4</v>
          </cell>
          <cell r="AN80">
            <v>0</v>
          </cell>
        </row>
        <row r="88">
          <cell r="N88" t="str">
            <v>Sched 215</v>
          </cell>
          <cell r="W88" t="str">
            <v>Sched 230, Prg J</v>
          </cell>
          <cell r="Z88" t="str">
            <v>Sched 230, Prg I</v>
          </cell>
          <cell r="AC88" t="str">
            <v>Sched 209</v>
          </cell>
        </row>
      </sheetData>
      <sheetData sheetId="4">
        <row r="13">
          <cell r="M13">
            <v>3.0000000000000001E-5</v>
          </cell>
        </row>
        <row r="14">
          <cell r="M14">
            <v>0</v>
          </cell>
        </row>
        <row r="15">
          <cell r="M15">
            <v>2.0000000000000002E-5</v>
          </cell>
        </row>
        <row r="16">
          <cell r="M16">
            <v>2.0000000000000002E-5</v>
          </cell>
        </row>
        <row r="17">
          <cell r="M17">
            <v>2.0000000000000002E-5</v>
          </cell>
        </row>
        <row r="18">
          <cell r="M18">
            <v>3.0000000000000001E-5</v>
          </cell>
        </row>
        <row r="19">
          <cell r="M19">
            <v>1.0000000000000001E-5</v>
          </cell>
        </row>
        <row r="20">
          <cell r="M20">
            <v>1.0000000000000001E-5</v>
          </cell>
        </row>
        <row r="21">
          <cell r="M21">
            <v>1.0000000000000001E-5</v>
          </cell>
        </row>
        <row r="22">
          <cell r="M22">
            <v>1.0000000000000001E-5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1.0000000000000001E-5</v>
          </cell>
        </row>
        <row r="28">
          <cell r="M28">
            <v>1.0000000000000001E-5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1.0000000000000001E-5</v>
          </cell>
        </row>
        <row r="32">
          <cell r="M32">
            <v>1.0000000000000001E-5</v>
          </cell>
        </row>
        <row r="33">
          <cell r="M33">
            <v>1.0000000000000001E-5</v>
          </cell>
        </row>
        <row r="34">
          <cell r="M34">
            <v>1.0000000000000001E-5</v>
          </cell>
        </row>
        <row r="35">
          <cell r="M35">
            <v>1.0000000000000001E-5</v>
          </cell>
        </row>
        <row r="36">
          <cell r="M36">
            <v>1.0000000000000001E-5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2.0000000000000002E-5</v>
          </cell>
        </row>
        <row r="44">
          <cell r="M44">
            <v>2.0000000000000002E-5</v>
          </cell>
        </row>
        <row r="45">
          <cell r="M45">
            <v>2.0000000000000002E-5</v>
          </cell>
        </row>
        <row r="46">
          <cell r="M46">
            <v>1.0000000000000001E-5</v>
          </cell>
        </row>
        <row r="47">
          <cell r="M47">
            <v>1.0000000000000001E-5</v>
          </cell>
        </row>
        <row r="48">
          <cell r="M48">
            <v>1.0000000000000001E-5</v>
          </cell>
        </row>
        <row r="49">
          <cell r="M49">
            <v>1.0000000000000001E-5</v>
          </cell>
        </row>
        <row r="50">
          <cell r="M50">
            <v>1.0000000000000001E-5</v>
          </cell>
        </row>
        <row r="51">
          <cell r="M51">
            <v>1.0000000000000001E-5</v>
          </cell>
        </row>
        <row r="52">
          <cell r="M52">
            <v>1.0000000000000001E-5</v>
          </cell>
        </row>
        <row r="53">
          <cell r="M53">
            <v>1.0000000000000001E-5</v>
          </cell>
        </row>
        <row r="54">
          <cell r="M54">
            <v>1.0000000000000001E-5</v>
          </cell>
        </row>
        <row r="55">
          <cell r="M55">
            <v>1.0000000000000001E-5</v>
          </cell>
        </row>
        <row r="56">
          <cell r="M56">
            <v>1.0000000000000001E-5</v>
          </cell>
        </row>
        <row r="57">
          <cell r="M57">
            <v>1.0000000000000001E-5</v>
          </cell>
        </row>
        <row r="58">
          <cell r="M58">
            <v>1.0000000000000001E-5</v>
          </cell>
        </row>
        <row r="59">
          <cell r="M59">
            <v>1.0000000000000001E-5</v>
          </cell>
        </row>
        <row r="60">
          <cell r="M60">
            <v>1.0000000000000001E-5</v>
          </cell>
        </row>
        <row r="61">
          <cell r="M61">
            <v>1.0000000000000001E-5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1.0000000000000001E-5</v>
          </cell>
        </row>
        <row r="74">
          <cell r="M74">
            <v>1.0000000000000001E-5</v>
          </cell>
        </row>
        <row r="75">
          <cell r="M75">
            <v>1.0000000000000001E-5</v>
          </cell>
        </row>
        <row r="76">
          <cell r="M76">
            <v>1.0000000000000001E-5</v>
          </cell>
        </row>
        <row r="77">
          <cell r="M77">
            <v>1.0000000000000001E-5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</sheetData>
      <sheetData sheetId="5">
        <row r="13">
          <cell r="D13">
            <v>1.6683000000000003</v>
          </cell>
        </row>
        <row r="14">
          <cell r="D14">
            <v>1.672639999999999</v>
          </cell>
        </row>
        <row r="15">
          <cell r="D15">
            <v>1.3152700000000002</v>
          </cell>
        </row>
        <row r="16">
          <cell r="D16">
            <v>1.2785399999999996</v>
          </cell>
        </row>
        <row r="17">
          <cell r="D17">
            <v>1.2303099999999996</v>
          </cell>
        </row>
        <row r="18">
          <cell r="D18">
            <v>1.11591</v>
          </cell>
        </row>
        <row r="19">
          <cell r="D19">
            <v>1.0394899999999998</v>
          </cell>
        </row>
        <row r="20">
          <cell r="D20">
            <v>0.98116000000000014</v>
          </cell>
        </row>
        <row r="21">
          <cell r="D21">
            <v>0.94622000000000028</v>
          </cell>
        </row>
        <row r="22">
          <cell r="D22">
            <v>0.89908999999999961</v>
          </cell>
        </row>
        <row r="23">
          <cell r="D23">
            <v>0.96427000000000007</v>
          </cell>
        </row>
        <row r="24">
          <cell r="D24">
            <v>0.91047000000000022</v>
          </cell>
        </row>
        <row r="25">
          <cell r="D25">
            <v>0.90245000000000009</v>
          </cell>
        </row>
        <row r="26">
          <cell r="D26">
            <v>0.8560899999999998</v>
          </cell>
        </row>
        <row r="27">
          <cell r="D27">
            <v>0.64044000000000001</v>
          </cell>
        </row>
        <row r="28">
          <cell r="D28">
            <v>0.5930200000000001</v>
          </cell>
        </row>
        <row r="29">
          <cell r="D29">
            <v>0.62856000000000001</v>
          </cell>
        </row>
        <row r="30">
          <cell r="D30">
            <v>0.58256000000000019</v>
          </cell>
        </row>
        <row r="31">
          <cell r="D31">
            <v>0.79625999999999986</v>
          </cell>
        </row>
        <row r="32">
          <cell r="D32">
            <v>0.77026999999999957</v>
          </cell>
        </row>
        <row r="33">
          <cell r="D33">
            <v>0.71862999999999988</v>
          </cell>
        </row>
        <row r="34">
          <cell r="D34">
            <v>0.68461000000000016</v>
          </cell>
        </row>
        <row r="35">
          <cell r="D35">
            <v>0.63927</v>
          </cell>
        </row>
        <row r="36">
          <cell r="D36">
            <v>0.58259000000000005</v>
          </cell>
        </row>
        <row r="37">
          <cell r="D37">
            <v>0.73169000000000006</v>
          </cell>
        </row>
        <row r="38">
          <cell r="D38">
            <v>0.71257999999999988</v>
          </cell>
        </row>
        <row r="39">
          <cell r="D39">
            <v>0.67456999999999967</v>
          </cell>
        </row>
        <row r="40">
          <cell r="D40">
            <v>0.64957000000000009</v>
          </cell>
        </row>
        <row r="41">
          <cell r="D41">
            <v>0.61626000000000036</v>
          </cell>
        </row>
        <row r="42">
          <cell r="D42">
            <v>0.57454999999999989</v>
          </cell>
        </row>
        <row r="43">
          <cell r="D43">
            <v>0.40332000000000001</v>
          </cell>
        </row>
        <row r="44">
          <cell r="D44">
            <v>0.38640000000000002</v>
          </cell>
        </row>
        <row r="45">
          <cell r="D45">
            <v>0.35268999999999995</v>
          </cell>
        </row>
        <row r="46">
          <cell r="D46">
            <v>0.33054000000000006</v>
          </cell>
        </row>
        <row r="47">
          <cell r="D47">
            <v>0.30097000000000007</v>
          </cell>
        </row>
        <row r="48">
          <cell r="D48">
            <v>0.26403000000000004</v>
          </cell>
        </row>
        <row r="49">
          <cell r="D49">
            <v>0.40095999999999998</v>
          </cell>
        </row>
        <row r="50">
          <cell r="D50">
            <v>0.38426999999999989</v>
          </cell>
        </row>
        <row r="51">
          <cell r="D51">
            <v>0.35105000000000003</v>
          </cell>
        </row>
        <row r="52">
          <cell r="D52">
            <v>0.32922000000000012</v>
          </cell>
        </row>
        <row r="53">
          <cell r="D53">
            <v>0.30008999999999997</v>
          </cell>
        </row>
        <row r="54">
          <cell r="D54">
            <v>0.26369000000000009</v>
          </cell>
        </row>
        <row r="55">
          <cell r="D55">
            <v>0.71133000000000013</v>
          </cell>
        </row>
        <row r="56">
          <cell r="D56">
            <v>0.69042999999999966</v>
          </cell>
        </row>
        <row r="57">
          <cell r="D57">
            <v>0.64878000000000013</v>
          </cell>
        </row>
        <row r="58">
          <cell r="D58">
            <v>0.62140999999999991</v>
          </cell>
        </row>
        <row r="59">
          <cell r="D59">
            <v>0.58492999999999984</v>
          </cell>
        </row>
        <row r="60">
          <cell r="D60">
            <v>0.53925000000000001</v>
          </cell>
        </row>
        <row r="61">
          <cell r="D61">
            <v>0.69063999999999992</v>
          </cell>
        </row>
        <row r="62">
          <cell r="D62">
            <v>0.67198999999999998</v>
          </cell>
        </row>
        <row r="63">
          <cell r="D63">
            <v>0.63488999999999995</v>
          </cell>
        </row>
        <row r="64">
          <cell r="D64">
            <v>0.61047999999999969</v>
          </cell>
        </row>
        <row r="65">
          <cell r="D65">
            <v>0.57791000000000003</v>
          </cell>
        </row>
        <row r="66">
          <cell r="D66">
            <v>0.53723999999999983</v>
          </cell>
        </row>
        <row r="67">
          <cell r="D67">
            <v>0.39076</v>
          </cell>
        </row>
        <row r="68">
          <cell r="D68">
            <v>0.37516000000000005</v>
          </cell>
        </row>
        <row r="69">
          <cell r="D69">
            <v>0.34404999999999997</v>
          </cell>
        </row>
        <row r="70">
          <cell r="D70">
            <v>0.3236</v>
          </cell>
        </row>
        <row r="71">
          <cell r="D71">
            <v>0.29632999999999998</v>
          </cell>
        </row>
        <row r="72">
          <cell r="D72">
            <v>0.26221000000000005</v>
          </cell>
        </row>
        <row r="73">
          <cell r="D73">
            <v>0.39346999999999999</v>
          </cell>
        </row>
        <row r="74">
          <cell r="D74">
            <v>0.37758000000000003</v>
          </cell>
        </row>
        <row r="75">
          <cell r="D75">
            <v>0.34592000000000001</v>
          </cell>
        </row>
        <row r="76">
          <cell r="D76">
            <v>0.32511000000000001</v>
          </cell>
        </row>
        <row r="77">
          <cell r="D77">
            <v>0.29735999999999996</v>
          </cell>
        </row>
        <row r="78">
          <cell r="D78">
            <v>0.26266000000000006</v>
          </cell>
        </row>
        <row r="79">
          <cell r="D79">
            <v>0.24684999999999996</v>
          </cell>
        </row>
        <row r="80">
          <cell r="D80">
            <v>0.24684999999999996</v>
          </cell>
        </row>
      </sheetData>
      <sheetData sheetId="6">
        <row r="10">
          <cell r="F10" t="str">
            <v>Mist Recall</v>
          </cell>
        </row>
        <row r="13">
          <cell r="F13">
            <v>2.4000000000000001E-4</v>
          </cell>
          <cell r="G13">
            <v>0.83493000000000039</v>
          </cell>
        </row>
        <row r="14">
          <cell r="F14">
            <v>1.6000000000000001E-4</v>
          </cell>
          <cell r="G14">
            <v>0.86323999999999967</v>
          </cell>
        </row>
        <row r="15">
          <cell r="F15">
            <v>1.1E-4</v>
          </cell>
          <cell r="G15">
            <v>0.55830999999999997</v>
          </cell>
        </row>
        <row r="16">
          <cell r="F16">
            <v>1E-4</v>
          </cell>
          <cell r="G16">
            <v>0.53360000000000007</v>
          </cell>
        </row>
        <row r="17">
          <cell r="F17">
            <v>9.0000000000000006E-5</v>
          </cell>
          <cell r="G17">
            <v>0.54393999999999976</v>
          </cell>
        </row>
        <row r="18">
          <cell r="F18">
            <v>2.5999999999999998E-4</v>
          </cell>
          <cell r="G18">
            <v>0.31279000000000001</v>
          </cell>
        </row>
        <row r="19">
          <cell r="F19">
            <v>8.0000000000000007E-5</v>
          </cell>
          <cell r="G19">
            <v>0.4161600000000002</v>
          </cell>
        </row>
        <row r="20">
          <cell r="F20">
            <v>6.9999999999999994E-5</v>
          </cell>
          <cell r="G20">
            <v>0.36669999999999997</v>
          </cell>
        </row>
        <row r="21">
          <cell r="F21">
            <v>6.9999999999999994E-5</v>
          </cell>
          <cell r="G21">
            <v>0.37154000000000031</v>
          </cell>
        </row>
        <row r="22">
          <cell r="F22">
            <v>6.0000000000000002E-5</v>
          </cell>
          <cell r="G22">
            <v>0.32736999999999988</v>
          </cell>
        </row>
        <row r="23">
          <cell r="F23">
            <v>6.9999999999999994E-5</v>
          </cell>
          <cell r="G23">
            <v>0.38460000000000016</v>
          </cell>
        </row>
        <row r="24">
          <cell r="F24">
            <v>6.0000000000000002E-5</v>
          </cell>
          <cell r="G24">
            <v>0.33885999999999994</v>
          </cell>
        </row>
        <row r="25">
          <cell r="F25">
            <v>6.9999999999999994E-5</v>
          </cell>
          <cell r="G25">
            <v>0.36384999999999995</v>
          </cell>
        </row>
        <row r="26">
          <cell r="F26">
            <v>6.0000000000000002E-5</v>
          </cell>
          <cell r="G26">
            <v>0.32056000000000001</v>
          </cell>
        </row>
        <row r="27">
          <cell r="F27">
            <v>0</v>
          </cell>
          <cell r="G27">
            <v>0.37784999999999996</v>
          </cell>
        </row>
        <row r="28">
          <cell r="F28">
            <v>0</v>
          </cell>
          <cell r="G28">
            <v>0.33291000000000004</v>
          </cell>
        </row>
        <row r="29">
          <cell r="F29">
            <v>0</v>
          </cell>
          <cell r="G29">
            <v>0.36781000000000003</v>
          </cell>
        </row>
        <row r="30">
          <cell r="F30">
            <v>0</v>
          </cell>
          <cell r="G30">
            <v>0.32406000000000013</v>
          </cell>
        </row>
        <row r="31">
          <cell r="F31">
            <v>4.0000000000000003E-5</v>
          </cell>
          <cell r="G31">
            <v>0.20613999999999982</v>
          </cell>
        </row>
        <row r="32">
          <cell r="F32">
            <v>4.0000000000000003E-5</v>
          </cell>
          <cell r="G32">
            <v>0.18451999999999966</v>
          </cell>
        </row>
        <row r="33">
          <cell r="F33">
            <v>3.0000000000000001E-5</v>
          </cell>
          <cell r="G33">
            <v>0.14152999999999993</v>
          </cell>
        </row>
        <row r="34">
          <cell r="F34">
            <v>2.0000000000000002E-5</v>
          </cell>
          <cell r="G34">
            <v>0.11320000000000026</v>
          </cell>
        </row>
        <row r="35">
          <cell r="F35">
            <v>2.0000000000000002E-5</v>
          </cell>
          <cell r="G35">
            <v>7.5470000000000009E-2</v>
          </cell>
        </row>
        <row r="36">
          <cell r="F36">
            <v>1.0000000000000001E-5</v>
          </cell>
          <cell r="G36">
            <v>2.8290000000000103E-2</v>
          </cell>
        </row>
        <row r="37">
          <cell r="F37">
            <v>5.0000000000000002E-5</v>
          </cell>
          <cell r="G37">
            <v>0.16645999999999997</v>
          </cell>
        </row>
        <row r="38">
          <cell r="F38">
            <v>4.0000000000000003E-5</v>
          </cell>
          <cell r="G38">
            <v>0.14899000000000007</v>
          </cell>
        </row>
        <row r="39">
          <cell r="F39">
            <v>3.0000000000000001E-5</v>
          </cell>
          <cell r="G39">
            <v>0.11424999999999978</v>
          </cell>
        </row>
        <row r="40">
          <cell r="F40">
            <v>2.0000000000000002E-5</v>
          </cell>
          <cell r="G40">
            <v>9.1400000000000065E-2</v>
          </cell>
        </row>
        <row r="41">
          <cell r="F41">
            <v>2.0000000000000002E-5</v>
          </cell>
          <cell r="G41">
            <v>6.0960000000000181E-2</v>
          </cell>
        </row>
        <row r="42">
          <cell r="F42">
            <v>1.0000000000000001E-5</v>
          </cell>
          <cell r="G42">
            <v>2.283999999999986E-2</v>
          </cell>
        </row>
        <row r="43">
          <cell r="F43">
            <v>0</v>
          </cell>
          <cell r="G43">
            <v>0.15441999999999997</v>
          </cell>
        </row>
        <row r="44">
          <cell r="F44">
            <v>0</v>
          </cell>
          <cell r="G44">
            <v>0.13824</v>
          </cell>
        </row>
        <row r="45">
          <cell r="F45">
            <v>0</v>
          </cell>
          <cell r="G45">
            <v>0.106</v>
          </cell>
        </row>
        <row r="46">
          <cell r="F46">
            <v>0</v>
          </cell>
          <cell r="G46">
            <v>8.481000000000001E-2</v>
          </cell>
        </row>
        <row r="47">
          <cell r="F47">
            <v>0</v>
          </cell>
          <cell r="G47">
            <v>5.654E-2</v>
          </cell>
        </row>
        <row r="48">
          <cell r="F48">
            <v>0</v>
          </cell>
          <cell r="G48">
            <v>2.12E-2</v>
          </cell>
        </row>
        <row r="49">
          <cell r="F49">
            <v>0</v>
          </cell>
          <cell r="G49">
            <v>0.15161000000000002</v>
          </cell>
        </row>
        <row r="50">
          <cell r="F50">
            <v>0</v>
          </cell>
          <cell r="G50">
            <v>0.13570999999999994</v>
          </cell>
        </row>
        <row r="51">
          <cell r="F51">
            <v>0</v>
          </cell>
          <cell r="G51">
            <v>0.10406000000000001</v>
          </cell>
        </row>
        <row r="52">
          <cell r="F52">
            <v>0</v>
          </cell>
          <cell r="G52">
            <v>8.3260000000000015E-2</v>
          </cell>
        </row>
        <row r="53">
          <cell r="F53">
            <v>0</v>
          </cell>
          <cell r="G53">
            <v>5.5500000000000001E-2</v>
          </cell>
        </row>
        <row r="54">
          <cell r="F54">
            <v>0</v>
          </cell>
          <cell r="G54">
            <v>2.0820000000000002E-2</v>
          </cell>
        </row>
        <row r="55">
          <cell r="F55">
            <v>3.0000000000000001E-5</v>
          </cell>
          <cell r="G55">
            <v>0.16875000000000009</v>
          </cell>
        </row>
        <row r="56">
          <cell r="F56">
            <v>3.0000000000000001E-5</v>
          </cell>
          <cell r="G56">
            <v>0.15105999999999983</v>
          </cell>
        </row>
        <row r="57">
          <cell r="F57">
            <v>2.0000000000000002E-5</v>
          </cell>
          <cell r="G57">
            <v>0.11582000000000012</v>
          </cell>
        </row>
        <row r="58">
          <cell r="F58">
            <v>2.0000000000000002E-5</v>
          </cell>
          <cell r="G58">
            <v>9.2659999999999937E-2</v>
          </cell>
        </row>
        <row r="59">
          <cell r="F59">
            <v>1.0000000000000001E-5</v>
          </cell>
          <cell r="G59">
            <v>6.1790000000000067E-2</v>
          </cell>
        </row>
        <row r="60">
          <cell r="F60">
            <v>0</v>
          </cell>
          <cell r="G60">
            <v>2.316999999999993E-2</v>
          </cell>
        </row>
        <row r="61">
          <cell r="F61">
            <v>4.0000000000000003E-5</v>
          </cell>
          <cell r="G61">
            <v>0.16356999999999991</v>
          </cell>
        </row>
        <row r="62">
          <cell r="F62">
            <v>4.0000000000000003E-5</v>
          </cell>
          <cell r="G62">
            <v>0.14641999999999997</v>
          </cell>
        </row>
        <row r="63">
          <cell r="F63">
            <v>3.0000000000000001E-5</v>
          </cell>
          <cell r="G63">
            <v>0.11228000000000012</v>
          </cell>
        </row>
        <row r="64">
          <cell r="F64">
            <v>2.0000000000000002E-5</v>
          </cell>
          <cell r="G64">
            <v>8.9829999999999688E-2</v>
          </cell>
        </row>
        <row r="65">
          <cell r="F65">
            <v>1.0000000000000001E-5</v>
          </cell>
          <cell r="G65">
            <v>5.9870000000000007E-2</v>
          </cell>
        </row>
        <row r="66">
          <cell r="F66">
            <v>1.0000000000000001E-5</v>
          </cell>
          <cell r="G66">
            <v>2.2449999999999973E-2</v>
          </cell>
        </row>
        <row r="67">
          <cell r="F67">
            <v>0</v>
          </cell>
          <cell r="G67">
            <v>0.14168999999999998</v>
          </cell>
        </row>
        <row r="68">
          <cell r="F68">
            <v>0</v>
          </cell>
          <cell r="G68">
            <v>0.12684999999999999</v>
          </cell>
        </row>
        <row r="69">
          <cell r="F69">
            <v>0</v>
          </cell>
          <cell r="G69">
            <v>9.7269999999999995E-2</v>
          </cell>
        </row>
        <row r="70">
          <cell r="F70">
            <v>0</v>
          </cell>
          <cell r="G70">
            <v>7.782E-2</v>
          </cell>
        </row>
        <row r="71">
          <cell r="F71">
            <v>0</v>
          </cell>
          <cell r="G71">
            <v>5.1889999999999999E-2</v>
          </cell>
        </row>
        <row r="72">
          <cell r="F72">
            <v>0</v>
          </cell>
          <cell r="G72">
            <v>1.9439999999999999E-2</v>
          </cell>
        </row>
        <row r="73">
          <cell r="F73">
            <v>0</v>
          </cell>
          <cell r="G73">
            <v>0.14429999999999998</v>
          </cell>
        </row>
        <row r="74">
          <cell r="F74">
            <v>0</v>
          </cell>
          <cell r="G74">
            <v>0.12916999999999998</v>
          </cell>
        </row>
        <row r="75">
          <cell r="F75">
            <v>0</v>
          </cell>
          <cell r="G75">
            <v>9.9049999999999985E-2</v>
          </cell>
        </row>
        <row r="76">
          <cell r="F76">
            <v>0</v>
          </cell>
          <cell r="G76">
            <v>7.9250000000000001E-2</v>
          </cell>
        </row>
        <row r="77">
          <cell r="F77">
            <v>0</v>
          </cell>
          <cell r="G77">
            <v>5.2839999999999998E-2</v>
          </cell>
        </row>
        <row r="78">
          <cell r="F78">
            <v>0</v>
          </cell>
          <cell r="G78">
            <v>1.9810000000000001E-2</v>
          </cell>
        </row>
        <row r="79">
          <cell r="F79">
            <v>0</v>
          </cell>
          <cell r="G79">
            <v>4.9099999999999994E-3</v>
          </cell>
        </row>
        <row r="80">
          <cell r="F80">
            <v>0</v>
          </cell>
          <cell r="G80">
            <v>4.9099999999999994E-3</v>
          </cell>
        </row>
      </sheetData>
      <sheetData sheetId="7">
        <row r="13">
          <cell r="D13">
            <v>1.6683000000000003</v>
          </cell>
          <cell r="G13">
            <v>1.6389200000000004</v>
          </cell>
          <cell r="Q13">
            <v>1.6341000000000003</v>
          </cell>
        </row>
        <row r="14">
          <cell r="D14">
            <v>1.672639999999999</v>
          </cell>
          <cell r="G14">
            <v>1.6432599999999991</v>
          </cell>
          <cell r="Q14">
            <v>1.5968799999999992</v>
          </cell>
        </row>
        <row r="15">
          <cell r="D15">
            <v>1.3152700000000002</v>
          </cell>
          <cell r="G15">
            <v>1.2858900000000002</v>
          </cell>
          <cell r="Q15">
            <v>1.2423600000000001</v>
          </cell>
        </row>
        <row r="16">
          <cell r="D16">
            <v>1.2785399999999996</v>
          </cell>
          <cell r="G16">
            <v>1.2491599999999996</v>
          </cell>
          <cell r="Q16">
            <v>1.2048899999999996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1.10995</v>
          </cell>
        </row>
        <row r="19">
          <cell r="D19">
            <v>1.0394899999999998</v>
          </cell>
          <cell r="G19">
            <v>1.0131599999999998</v>
          </cell>
          <cell r="Q19">
            <v>0.96803999999999979</v>
          </cell>
        </row>
        <row r="20">
          <cell r="D20">
            <v>0.98116000000000014</v>
          </cell>
          <cell r="G20">
            <v>0.95483000000000007</v>
          </cell>
          <cell r="Q20">
            <v>0.90969000000000011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0.92659999999999998</v>
          </cell>
        </row>
        <row r="24">
          <cell r="D24">
            <v>0.91047000000000022</v>
          </cell>
          <cell r="G24">
            <v>0.88414000000000015</v>
          </cell>
          <cell r="Q24">
            <v>0.87260000000000026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0.72470999999999985</v>
          </cell>
        </row>
        <row r="32">
          <cell r="D32">
            <v>0.77026999999999957</v>
          </cell>
          <cell r="G32">
            <v>0.7439399999999996</v>
          </cell>
          <cell r="Q32">
            <v>0.69873999999999969</v>
          </cell>
        </row>
        <row r="33">
          <cell r="D33">
            <v>0.71862999999999988</v>
          </cell>
          <cell r="G33">
            <v>0.69229999999999992</v>
          </cell>
          <cell r="Q33">
            <v>0.64710999999999985</v>
          </cell>
        </row>
        <row r="34">
          <cell r="D34">
            <v>0.68461000000000016</v>
          </cell>
          <cell r="G34">
            <v>0.6582800000000002</v>
          </cell>
          <cell r="Q34">
            <v>0.61311000000000027</v>
          </cell>
        </row>
        <row r="35">
          <cell r="D35">
            <v>0.63927</v>
          </cell>
          <cell r="G35">
            <v>0.61294000000000004</v>
          </cell>
          <cell r="Q35">
            <v>0.56776000000000004</v>
          </cell>
        </row>
        <row r="36">
          <cell r="D36">
            <v>0.58259000000000005</v>
          </cell>
          <cell r="G36">
            <v>0.55625999999999998</v>
          </cell>
          <cell r="Q36">
            <v>0.51111999999999991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0.67280000000000006</v>
          </cell>
        </row>
        <row r="56">
          <cell r="D56">
            <v>0.69042999999999966</v>
          </cell>
          <cell r="G56">
            <v>0.66409999999999969</v>
          </cell>
          <cell r="Q56">
            <v>0.65181999999999962</v>
          </cell>
        </row>
        <row r="57">
          <cell r="D57">
            <v>0.64878000000000013</v>
          </cell>
          <cell r="G57">
            <v>0.62245000000000017</v>
          </cell>
          <cell r="Q57">
            <v>0.61003000000000018</v>
          </cell>
        </row>
        <row r="58">
          <cell r="D58">
            <v>0.62140999999999991</v>
          </cell>
          <cell r="G58">
            <v>0.59507999999999983</v>
          </cell>
          <cell r="Q58">
            <v>0.58255999999999986</v>
          </cell>
        </row>
        <row r="59">
          <cell r="D59">
            <v>0.58492999999999984</v>
          </cell>
          <cell r="G59">
            <v>0.55859999999999976</v>
          </cell>
          <cell r="Q59">
            <v>0.54595999999999978</v>
          </cell>
        </row>
        <row r="60">
          <cell r="D60">
            <v>0.53925000000000001</v>
          </cell>
          <cell r="G60">
            <v>0.51292000000000004</v>
          </cell>
          <cell r="Q60">
            <v>0.50017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4">
          <cell r="D84" t="str">
            <v>2022-23 PGA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DFE0-22B2-4807-A0AE-6489282E8C7F}">
  <sheetPr>
    <tabColor theme="0" tint="-0.14999847407452621"/>
    <pageSetUpPr fitToPage="1"/>
  </sheetPr>
  <dimension ref="A1:BJ96"/>
  <sheetViews>
    <sheetView tabSelected="1" view="pageLayout" topLeftCell="G1" zoomScaleNormal="100" workbookViewId="0">
      <selection activeCell="BK108" sqref="BK108"/>
    </sheetView>
  </sheetViews>
  <sheetFormatPr defaultColWidth="9.33203125" defaultRowHeight="15" outlineLevelCol="1" x14ac:dyDescent="0.25"/>
  <cols>
    <col min="1" max="1" width="4.83203125" style="224" customWidth="1"/>
    <col min="2" max="2" width="17.33203125" style="224" customWidth="1"/>
    <col min="3" max="3" width="9.33203125" style="224" customWidth="1"/>
    <col min="4" max="5" width="14.83203125" style="225" customWidth="1"/>
    <col min="6" max="10" width="14.83203125" style="224" customWidth="1"/>
    <col min="11" max="13" width="13.83203125" style="224" hidden="1" customWidth="1"/>
    <col min="14" max="14" width="17.83203125" style="224" hidden="1" customWidth="1"/>
    <col min="15" max="16" width="16.83203125" style="224" hidden="1" customWidth="1"/>
    <col min="17" max="17" width="16.6640625" style="224" hidden="1" customWidth="1" outlineLevel="1"/>
    <col min="18" max="18" width="19" style="224" hidden="1" customWidth="1" collapsed="1"/>
    <col min="19" max="20" width="14.83203125" style="224" hidden="1" customWidth="1" outlineLevel="1"/>
    <col min="21" max="21" width="13.83203125" style="224" hidden="1" customWidth="1" outlineLevel="1"/>
    <col min="22" max="22" width="12.83203125" style="224" hidden="1" customWidth="1" outlineLevel="1"/>
    <col min="23" max="23" width="17.83203125" style="224" hidden="1" customWidth="1" collapsed="1"/>
    <col min="24" max="32" width="15.83203125" style="224" hidden="1" customWidth="1"/>
    <col min="33" max="33" width="12.6640625" style="224" hidden="1" customWidth="1"/>
    <col min="34" max="34" width="15.1640625" style="224" hidden="1" customWidth="1"/>
    <col min="35" max="36" width="15.83203125" style="224" hidden="1" customWidth="1"/>
    <col min="37" max="37" width="11" style="224" hidden="1" customWidth="1"/>
    <col min="38" max="39" width="15.83203125" style="224" hidden="1" customWidth="1"/>
    <col min="40" max="40" width="14.1640625" style="224" hidden="1" customWidth="1"/>
    <col min="41" max="43" width="15.83203125" style="224" hidden="1" customWidth="1"/>
    <col min="44" max="44" width="5.83203125" style="224" hidden="1" customWidth="1"/>
    <col min="45" max="51" width="17.83203125" style="224" hidden="1" customWidth="1"/>
    <col min="52" max="52" width="16.83203125" style="224" hidden="1" customWidth="1"/>
    <col min="53" max="53" width="24.33203125" style="224" hidden="1" customWidth="1"/>
    <col min="54" max="54" width="23.1640625" style="224" hidden="1" customWidth="1"/>
    <col min="55" max="55" width="16.83203125" style="224" hidden="1" customWidth="1"/>
    <col min="56" max="56" width="17.83203125" style="224" hidden="1" customWidth="1"/>
    <col min="57" max="62" width="16.83203125" style="224" hidden="1" customWidth="1"/>
    <col min="63" max="63" width="16.83203125" style="224" customWidth="1"/>
    <col min="64" max="76" width="15.83203125" style="224" customWidth="1"/>
    <col min="77" max="16384" width="9.33203125" style="224"/>
  </cols>
  <sheetData>
    <row r="1" spans="1:62" x14ac:dyDescent="0.25">
      <c r="A1" s="315" t="str">
        <f>+'[9]Washington volumes'!A1</f>
        <v>NW Natural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62" x14ac:dyDescent="0.25">
      <c r="A2" s="315" t="str">
        <f>+'[9]Washington volumes'!A2</f>
        <v>Rates &amp; Regulatory Affairs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62" x14ac:dyDescent="0.25">
      <c r="A3" s="315" t="str">
        <f>+'[9]Washington volumes'!A3</f>
        <v>2025-2026 PGA Filing - Washington: September Filing</v>
      </c>
      <c r="B3" s="235"/>
      <c r="C3" s="235"/>
      <c r="D3" s="235"/>
      <c r="E3" s="235"/>
      <c r="F3" s="235"/>
      <c r="G3" s="235"/>
      <c r="H3" s="235"/>
      <c r="I3" s="235"/>
      <c r="J3" s="235"/>
      <c r="V3" s="243"/>
    </row>
    <row r="4" spans="1:62" x14ac:dyDescent="0.25">
      <c r="A4" s="315" t="s">
        <v>96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62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O5" s="243"/>
      <c r="P5" s="243"/>
      <c r="V5" s="244"/>
    </row>
    <row r="6" spans="1:62" x14ac:dyDescent="0.25">
      <c r="A6" s="315"/>
      <c r="B6" s="315"/>
      <c r="C6" s="315"/>
      <c r="D6" s="315"/>
      <c r="E6" s="315"/>
      <c r="F6" s="259"/>
      <c r="G6" s="235"/>
      <c r="H6" s="259"/>
      <c r="I6" s="235"/>
      <c r="J6" s="235"/>
      <c r="V6" s="244"/>
      <c r="Z6" s="314"/>
    </row>
    <row r="7" spans="1:62" x14ac:dyDescent="0.25">
      <c r="A7" s="233">
        <v>1</v>
      </c>
      <c r="B7" s="235"/>
      <c r="C7" s="235"/>
      <c r="D7" s="235"/>
      <c r="E7" s="235"/>
      <c r="F7" s="259"/>
      <c r="G7" s="259"/>
      <c r="H7" s="235"/>
      <c r="I7" s="235"/>
      <c r="J7" s="235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313"/>
      <c r="W7" s="243"/>
      <c r="Z7" s="302" t="s">
        <v>97</v>
      </c>
      <c r="AA7" s="301" t="s">
        <v>98</v>
      </c>
      <c r="AB7" s="299" t="s">
        <v>99</v>
      </c>
      <c r="AC7" s="299"/>
      <c r="AD7" s="299"/>
      <c r="AE7" s="299"/>
      <c r="AF7" s="299"/>
      <c r="AG7" s="299"/>
      <c r="AH7" s="638" t="s">
        <v>100</v>
      </c>
      <c r="AI7" s="299"/>
      <c r="AJ7" s="299"/>
      <c r="AK7" s="299"/>
      <c r="AL7" s="299"/>
      <c r="AM7" s="299"/>
      <c r="AN7" s="299"/>
      <c r="AO7" s="305" t="s">
        <v>101</v>
      </c>
      <c r="AP7" s="305"/>
      <c r="AQ7" s="305"/>
      <c r="AR7" s="299"/>
      <c r="AS7" s="299"/>
      <c r="AT7" s="299"/>
      <c r="AU7" s="299"/>
      <c r="AV7" s="299"/>
      <c r="AW7" s="291" t="s">
        <v>102</v>
      </c>
      <c r="AX7" s="291" t="s">
        <v>102</v>
      </c>
      <c r="AY7" s="291" t="s">
        <v>102</v>
      </c>
      <c r="AZ7" s="291" t="s">
        <v>102</v>
      </c>
      <c r="BA7" s="291" t="s">
        <v>102</v>
      </c>
      <c r="BB7" s="291" t="s">
        <v>102</v>
      </c>
      <c r="BC7" s="291" t="s">
        <v>102</v>
      </c>
      <c r="BD7" s="291" t="s">
        <v>102</v>
      </c>
      <c r="BE7" s="312">
        <v>45292</v>
      </c>
      <c r="BF7" s="312">
        <v>45292</v>
      </c>
      <c r="BG7" s="291"/>
      <c r="BI7" s="304"/>
      <c r="BJ7" s="304"/>
    </row>
    <row r="8" spans="1:62" ht="29.1" customHeight="1" x14ac:dyDescent="0.25">
      <c r="A8" s="233">
        <f t="shared" ref="A8:A39" si="0">+A7+1</f>
        <v>2</v>
      </c>
      <c r="B8" s="235"/>
      <c r="C8" s="235"/>
      <c r="D8" s="311" t="s">
        <v>103</v>
      </c>
      <c r="E8" s="311" t="s">
        <v>102</v>
      </c>
      <c r="F8" s="259"/>
      <c r="G8" s="235"/>
      <c r="H8" s="235"/>
      <c r="I8" s="235"/>
      <c r="J8" s="235"/>
      <c r="K8" s="310"/>
      <c r="L8" s="310"/>
      <c r="M8" s="310"/>
      <c r="N8" s="309"/>
      <c r="O8" s="308"/>
      <c r="P8" s="308"/>
      <c r="Q8" s="308"/>
      <c r="R8" s="308"/>
      <c r="S8" s="308"/>
      <c r="T8" s="308"/>
      <c r="U8" s="269"/>
      <c r="V8" s="269"/>
      <c r="W8" s="307" t="s">
        <v>104</v>
      </c>
      <c r="X8" s="306"/>
      <c r="Z8" s="302" t="s">
        <v>105</v>
      </c>
      <c r="AA8" s="301" t="s">
        <v>106</v>
      </c>
      <c r="AB8" s="299"/>
      <c r="AC8" s="299"/>
      <c r="AD8" s="299"/>
      <c r="AE8" s="299"/>
      <c r="AF8" s="299"/>
      <c r="AG8" s="299"/>
      <c r="AH8" s="638"/>
      <c r="AI8" s="299"/>
      <c r="AJ8" s="299"/>
      <c r="AK8" s="299"/>
      <c r="AL8" s="299"/>
      <c r="AM8" s="299"/>
      <c r="AN8" s="299"/>
      <c r="AO8" s="305" t="s">
        <v>107</v>
      </c>
      <c r="AP8" s="305"/>
      <c r="AQ8" s="305"/>
      <c r="AR8" s="299"/>
      <c r="AS8" s="299"/>
      <c r="AT8" s="299"/>
      <c r="AU8" s="299"/>
      <c r="AV8" s="299"/>
      <c r="AW8" s="266"/>
      <c r="AX8" s="266"/>
      <c r="AY8" s="266"/>
      <c r="AZ8" s="266" t="s">
        <v>108</v>
      </c>
      <c r="BA8" s="266" t="s">
        <v>109</v>
      </c>
      <c r="BB8" s="266"/>
      <c r="BC8" s="266"/>
      <c r="BD8" s="266"/>
      <c r="BE8" s="266"/>
      <c r="BF8" s="266"/>
      <c r="BG8" s="266"/>
      <c r="BI8" s="304"/>
      <c r="BJ8" s="304"/>
    </row>
    <row r="9" spans="1:62" ht="15" customHeight="1" x14ac:dyDescent="0.25">
      <c r="A9" s="233">
        <f t="shared" si="0"/>
        <v>3</v>
      </c>
      <c r="B9" s="235"/>
      <c r="C9" s="235"/>
      <c r="D9" s="275" t="s">
        <v>110</v>
      </c>
      <c r="E9" s="275" t="s">
        <v>110</v>
      </c>
      <c r="F9" s="275" t="s">
        <v>111</v>
      </c>
      <c r="G9" s="275" t="s">
        <v>111</v>
      </c>
      <c r="H9" s="275" t="s">
        <v>111</v>
      </c>
      <c r="I9" s="275"/>
      <c r="J9" s="275"/>
      <c r="K9" s="269"/>
      <c r="L9" s="269"/>
      <c r="M9" s="269"/>
      <c r="N9" s="269"/>
      <c r="O9" s="269"/>
      <c r="P9" s="269"/>
      <c r="Q9" s="269"/>
      <c r="R9" s="269"/>
      <c r="S9" s="303"/>
      <c r="T9" s="303"/>
      <c r="U9" s="303"/>
      <c r="V9" s="303"/>
      <c r="W9" s="243">
        <f>' Increments  equal ¢ per therm'!H15+' Increments  equal ¢ per therm'!K15+' Increments  equal ¢ per therm'!N15+' Increments  equal ¢ per therm'!Q15+' Increments  equal ¢ per therm'!T15+' Increments  equal ¢ per therm'!W15+'[9]Allocation = % of revenue'!M15+'[9]Allocation = % of margin'!P15+'[9]Allocation = % of margin'!S15+'[9]Allocation = % of margin'!V15+'[9]Allocation = % of margin'!Y15+'[9]Allocation = % of margin'!AB15+'[9]Allocation = % of margin'!AE15+'[9]Allocation = % of margin'!AH15+'[9]Allocation = % of margin'!AK15-W15</f>
        <v>0</v>
      </c>
      <c r="Z9" s="302" t="s">
        <v>112</v>
      </c>
      <c r="AA9" s="301" t="s">
        <v>112</v>
      </c>
      <c r="AB9" s="294" t="s">
        <v>113</v>
      </c>
      <c r="AC9" s="294"/>
      <c r="AD9" s="294"/>
      <c r="AE9" s="294"/>
      <c r="AF9" s="300"/>
      <c r="AG9" s="299"/>
      <c r="AH9" s="638"/>
      <c r="AI9" s="298" t="s">
        <v>114</v>
      </c>
      <c r="AJ9" s="298" t="s">
        <v>108</v>
      </c>
      <c r="AK9" s="298" t="s">
        <v>115</v>
      </c>
      <c r="AL9" s="298" t="s">
        <v>116</v>
      </c>
      <c r="AM9" s="298"/>
      <c r="AN9" s="298" t="s">
        <v>115</v>
      </c>
      <c r="AO9" s="297" t="s">
        <v>115</v>
      </c>
      <c r="AP9" s="296"/>
      <c r="AQ9" s="296"/>
      <c r="AR9" s="295"/>
      <c r="AS9" s="294" t="s">
        <v>117</v>
      </c>
      <c r="AT9" s="294"/>
      <c r="AU9" s="293"/>
      <c r="AV9" s="293"/>
      <c r="AW9" s="292"/>
      <c r="AX9" s="292"/>
      <c r="AY9" s="292"/>
      <c r="AZ9" s="291"/>
      <c r="BA9" s="291"/>
      <c r="BB9" s="291"/>
      <c r="BC9" s="291"/>
      <c r="BD9" s="291"/>
      <c r="BE9" s="291"/>
      <c r="BF9" s="291"/>
      <c r="BG9" s="291"/>
      <c r="BI9" s="290" t="s">
        <v>118</v>
      </c>
      <c r="BJ9" s="289"/>
    </row>
    <row r="10" spans="1:62" s="265" customFormat="1" ht="63.75" customHeight="1" thickBot="1" x14ac:dyDescent="0.3">
      <c r="A10" s="233">
        <f t="shared" si="0"/>
        <v>4</v>
      </c>
      <c r="B10" s="235"/>
      <c r="C10" s="235"/>
      <c r="D10" s="288" t="s">
        <v>119</v>
      </c>
      <c r="E10" s="288" t="s">
        <v>120</v>
      </c>
      <c r="F10" s="288" t="s">
        <v>121</v>
      </c>
      <c r="G10" s="288" t="s">
        <v>122</v>
      </c>
      <c r="H10" s="288" t="s">
        <v>123</v>
      </c>
      <c r="I10" s="288" t="s">
        <v>124</v>
      </c>
      <c r="J10" s="288" t="s">
        <v>125</v>
      </c>
      <c r="K10" s="284" t="str">
        <f>+[9]Inputs!C42</f>
        <v>R&amp;C Energy Efficiency Programs - Forecast</v>
      </c>
      <c r="L10" s="284" t="str">
        <f>[9]Inputs!C56</f>
        <v>R&amp;C Energy Efficiency Programs - Deferral</v>
      </c>
      <c r="M10" s="284" t="str">
        <f>[9]Inputs!C50</f>
        <v>R&amp;C Energy Efficiency Programs - Historical</v>
      </c>
      <c r="N10" s="284" t="str">
        <f>+'[9]Allocation = % of margin'!W7</f>
        <v>Low Income Bill Pay Assistance (GREAT)</v>
      </c>
      <c r="O10" s="284" t="str">
        <f>+'[9]Allocation = % of margin'!Z7</f>
        <v>WA-LIEE</v>
      </c>
      <c r="P10" s="287" t="str">
        <f>[9]Inputs!C60</f>
        <v>Lincoln City Sale</v>
      </c>
      <c r="Q10" s="286" t="s">
        <v>126</v>
      </c>
      <c r="R10" s="284" t="s">
        <v>127</v>
      </c>
      <c r="S10" s="286" t="s">
        <v>128</v>
      </c>
      <c r="T10" s="286" t="s">
        <v>129</v>
      </c>
      <c r="U10" s="285" t="str">
        <f>'[9]Allocation = % of margin'!AJ7</f>
        <v xml:space="preserve">Residental Bill Discount Program </v>
      </c>
      <c r="V10" s="285" t="s">
        <v>130</v>
      </c>
      <c r="W10" s="284" t="s">
        <v>131</v>
      </c>
      <c r="X10" s="284" t="s">
        <v>132</v>
      </c>
      <c r="Z10" s="281" t="s">
        <v>133</v>
      </c>
      <c r="AA10" s="281" t="s">
        <v>134</v>
      </c>
      <c r="AB10" s="281" t="s">
        <v>135</v>
      </c>
      <c r="AC10" s="281" t="s">
        <v>136</v>
      </c>
      <c r="AD10" s="281" t="s">
        <v>137</v>
      </c>
      <c r="AE10" s="281" t="s">
        <v>138</v>
      </c>
      <c r="AF10" s="281" t="s">
        <v>139</v>
      </c>
      <c r="AI10" s="281" t="s">
        <v>140</v>
      </c>
      <c r="AJ10" s="281" t="str">
        <f>R10</f>
        <v>Environmental  Cost Recovery Mechanism (ECRM)</v>
      </c>
      <c r="AK10" s="282" t="str">
        <f>S10</f>
        <v>Industrial EE Audit</v>
      </c>
      <c r="AL10" s="281" t="s">
        <v>141</v>
      </c>
      <c r="AM10" s="283" t="str">
        <f>P10</f>
        <v>Lincoln City Sale</v>
      </c>
      <c r="AN10" s="282" t="str">
        <f>T10</f>
        <v>WA Regulatory Fee</v>
      </c>
      <c r="AO10" s="281" t="str">
        <f>[9]Permanents!F10</f>
        <v>Mist Recall</v>
      </c>
      <c r="AP10" s="280" t="str">
        <f>U10</f>
        <v xml:space="preserve">Residental Bill Discount Program </v>
      </c>
      <c r="AQ10" s="280" t="str">
        <f>V10</f>
        <v xml:space="preserve">CCA Recovery </v>
      </c>
      <c r="AR10" s="234"/>
      <c r="AS10" s="234" t="s">
        <v>142</v>
      </c>
      <c r="AT10" s="234" t="s">
        <v>143</v>
      </c>
      <c r="AU10" s="279" t="s">
        <v>144</v>
      </c>
      <c r="AV10" s="234" t="s">
        <v>145</v>
      </c>
      <c r="AW10" s="277"/>
      <c r="AX10" s="277"/>
      <c r="AY10" s="277"/>
      <c r="AZ10" s="278"/>
      <c r="BA10" s="277"/>
      <c r="BB10" s="277"/>
      <c r="BC10" s="277"/>
      <c r="BD10" s="277"/>
      <c r="BE10" s="277"/>
      <c r="BF10" s="277"/>
      <c r="BG10" s="277"/>
      <c r="BI10" s="274" t="s">
        <v>146</v>
      </c>
      <c r="BJ10" s="274" t="s">
        <v>147</v>
      </c>
    </row>
    <row r="11" spans="1:62" s="265" customFormat="1" x14ac:dyDescent="0.25">
      <c r="A11" s="233">
        <f t="shared" si="0"/>
        <v>5</v>
      </c>
      <c r="B11" s="235"/>
      <c r="C11" s="235"/>
      <c r="D11" s="276"/>
      <c r="E11" s="276"/>
      <c r="F11" s="276"/>
      <c r="G11" s="276"/>
      <c r="H11" s="275"/>
      <c r="I11" s="275" t="s">
        <v>148</v>
      </c>
      <c r="J11" s="275" t="s">
        <v>149</v>
      </c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 t="s">
        <v>150</v>
      </c>
      <c r="X11" s="269" t="s">
        <v>151</v>
      </c>
      <c r="Z11" s="274"/>
      <c r="AG11" s="270" t="s">
        <v>152</v>
      </c>
      <c r="AH11" s="234"/>
      <c r="AI11" s="269"/>
      <c r="AJ11" s="269"/>
      <c r="AO11" s="269"/>
      <c r="AP11" s="269"/>
      <c r="AQ11" s="269"/>
      <c r="AS11" s="265" t="s">
        <v>153</v>
      </c>
      <c r="AW11" s="636" t="s">
        <v>24</v>
      </c>
      <c r="AX11" s="636" t="s">
        <v>154</v>
      </c>
      <c r="AY11" s="636" t="s">
        <v>155</v>
      </c>
      <c r="AZ11" s="636" t="s">
        <v>156</v>
      </c>
      <c r="BA11" s="636" t="s">
        <v>157</v>
      </c>
      <c r="BB11" s="636" t="s">
        <v>158</v>
      </c>
      <c r="BC11" s="273"/>
      <c r="BD11" s="273"/>
      <c r="BE11" s="266"/>
      <c r="BF11" s="266"/>
      <c r="BG11" s="266"/>
    </row>
    <row r="12" spans="1:62" s="265" customFormat="1" ht="15" customHeight="1" thickBot="1" x14ac:dyDescent="0.3">
      <c r="A12" s="233">
        <f t="shared" si="0"/>
        <v>6</v>
      </c>
      <c r="B12" s="263" t="s">
        <v>29</v>
      </c>
      <c r="C12" s="263" t="s">
        <v>30</v>
      </c>
      <c r="D12" s="272" t="s">
        <v>31</v>
      </c>
      <c r="E12" s="272" t="s">
        <v>32</v>
      </c>
      <c r="F12" s="272" t="s">
        <v>33</v>
      </c>
      <c r="G12" s="272" t="s">
        <v>34</v>
      </c>
      <c r="H12" s="272" t="s">
        <v>35</v>
      </c>
      <c r="I12" s="272" t="s">
        <v>36</v>
      </c>
      <c r="J12" s="272" t="s">
        <v>37</v>
      </c>
      <c r="K12" s="271" t="s">
        <v>38</v>
      </c>
      <c r="L12" s="271" t="s">
        <v>38</v>
      </c>
      <c r="M12" s="271" t="s">
        <v>39</v>
      </c>
      <c r="N12" s="271" t="s">
        <v>40</v>
      </c>
      <c r="O12" s="271" t="s">
        <v>41</v>
      </c>
      <c r="P12" s="271" t="s">
        <v>42</v>
      </c>
      <c r="Q12" s="271" t="s">
        <v>43</v>
      </c>
      <c r="R12" s="271" t="s">
        <v>44</v>
      </c>
      <c r="S12" s="271" t="s">
        <v>45</v>
      </c>
      <c r="T12" s="271" t="s">
        <v>46</v>
      </c>
      <c r="U12" s="271" t="s">
        <v>47</v>
      </c>
      <c r="V12" s="271"/>
      <c r="W12" s="271" t="s">
        <v>48</v>
      </c>
      <c r="X12" s="271" t="s">
        <v>49</v>
      </c>
      <c r="AG12" s="270" t="s">
        <v>159</v>
      </c>
      <c r="AH12" s="234"/>
      <c r="AI12" s="269"/>
      <c r="AJ12" s="269"/>
      <c r="AO12" s="269"/>
      <c r="AP12" s="269"/>
      <c r="AQ12" s="269"/>
      <c r="AW12" s="637"/>
      <c r="AX12" s="637"/>
      <c r="AY12" s="637"/>
      <c r="AZ12" s="637" t="s">
        <v>160</v>
      </c>
      <c r="BA12" s="637"/>
      <c r="BB12" s="637"/>
      <c r="BC12" s="268" t="s">
        <v>128</v>
      </c>
      <c r="BD12" s="268" t="s">
        <v>129</v>
      </c>
      <c r="BE12" s="267" t="s">
        <v>161</v>
      </c>
      <c r="BF12" s="267" t="s">
        <v>130</v>
      </c>
      <c r="BG12" s="266"/>
      <c r="BH12" s="265" t="s">
        <v>162</v>
      </c>
    </row>
    <row r="13" spans="1:62" x14ac:dyDescent="0.25">
      <c r="A13" s="233">
        <f t="shared" si="0"/>
        <v>7</v>
      </c>
      <c r="B13" s="254" t="s">
        <v>55</v>
      </c>
      <c r="C13" s="254"/>
      <c r="D13" s="251">
        <v>0.29749999999999999</v>
      </c>
      <c r="E13" s="251">
        <v>-0.12498000000000001</v>
      </c>
      <c r="F13" s="251">
        <f>+' Increments  equal ¢ per therm'!H13</f>
        <v>-0.14299000000000001</v>
      </c>
      <c r="G13" s="251">
        <f>+' Increments  equal ¢ per therm'!K13</f>
        <v>-2.7019999999999999E-2</v>
      </c>
      <c r="H13" s="251">
        <f>+' Increments  equal ¢ per therm'!N13</f>
        <v>0</v>
      </c>
      <c r="I13" s="251">
        <f t="shared" ref="I13:I44" si="1">SUM(F13:H13)</f>
        <v>-0.17000999999999999</v>
      </c>
      <c r="J13" s="251">
        <f t="shared" ref="J13:J44" si="2">I13-E13</f>
        <v>-4.5029999999999987E-2</v>
      </c>
      <c r="K13" s="249">
        <f>+'[9]Allocation = % of margin'!P13</f>
        <v>0.14388999999999999</v>
      </c>
      <c r="L13" s="249">
        <f>+'[9]Allocation = % of margin'!S13</f>
        <v>-1.7799999999999999E-3</v>
      </c>
      <c r="M13" s="249">
        <f>+'[9]Allocation = % of margin'!V13</f>
        <v>0</v>
      </c>
      <c r="N13" s="249">
        <f>+'[9]Allocation = % of margin'!Y13</f>
        <v>2.0049999999999998E-2</v>
      </c>
      <c r="O13" s="249">
        <f>+'[9]Allocation = % of margin'!AB13</f>
        <v>3.2299999999999998E-3</v>
      </c>
      <c r="P13" s="249">
        <f>'[9]Allocation = % of margin'!AE13</f>
        <v>-2.3000000000000001E-4</v>
      </c>
      <c r="Q13" s="249">
        <f>' Increments  equal ¢ per therm'!Q13</f>
        <v>0</v>
      </c>
      <c r="R13" s="249">
        <f>'[9]Allocation = % of margin'!AH13</f>
        <v>1.8579999999999999E-2</v>
      </c>
      <c r="S13" s="249">
        <f>' Increments  equal ¢ per therm'!T13</f>
        <v>0</v>
      </c>
      <c r="T13" s="249">
        <f>'[9]Allocation = % of revenue'!M13</f>
        <v>3.0000000000000001E-5</v>
      </c>
      <c r="U13" s="249">
        <f>'[9]Allocation = % of margin'!AK13</f>
        <v>3.7949999999999998E-2</v>
      </c>
      <c r="V13" s="249">
        <f>' Increments  equal ¢ per therm'!W13</f>
        <v>0.24073</v>
      </c>
      <c r="W13" s="249">
        <f t="shared" ref="W13:W44" si="3">I13+SUM(K13:V13)</f>
        <v>0.29243999999999998</v>
      </c>
      <c r="X13" s="249">
        <f t="shared" ref="X13:X44" si="4">+W13-D13</f>
        <v>-5.0600000000000089E-3</v>
      </c>
      <c r="Y13" s="243"/>
      <c r="Z13" s="248">
        <f t="shared" ref="Z13:Z44" si="5">+W13-K13-M13-L13</f>
        <v>0.15032999999999999</v>
      </c>
      <c r="AA13" s="248">
        <f t="shared" ref="AA13:AA44" si="6">+Q13+O13+N13+R13+S13+T13+U13</f>
        <v>7.9839999999999994E-2</v>
      </c>
      <c r="AB13" s="248">
        <f t="shared" ref="AB13:AB44" si="7">+F13</f>
        <v>-0.14299000000000001</v>
      </c>
      <c r="AC13" s="248">
        <f t="shared" ref="AC13:AC44" si="8">+G13+H13</f>
        <v>-2.7019999999999999E-2</v>
      </c>
      <c r="AD13" s="248">
        <f t="shared" ref="AD13:AD44" si="9">SUM(K13:V13)</f>
        <v>0.46244999999999997</v>
      </c>
      <c r="AE13" s="248">
        <f t="shared" ref="AE13:AE44" si="10">SUM(AB13:AD13)</f>
        <v>0.29243999999999998</v>
      </c>
      <c r="AF13" s="248">
        <f>[9]Permanents!G13</f>
        <v>0.83493000000000039</v>
      </c>
      <c r="AG13" s="247">
        <f t="shared" ref="AG13:AG44" si="11">+AD13-AI13-AL13-AV13-AJ13-AK13-AN13-AM13-AP13-AQ13</f>
        <v>0</v>
      </c>
      <c r="AH13" s="243">
        <f t="shared" ref="AH13:AH44" si="12">+AB13+AC13</f>
        <v>-0.17000999999999999</v>
      </c>
      <c r="AI13" s="243">
        <f t="shared" ref="AI13:AI44" si="13">+Q13</f>
        <v>0</v>
      </c>
      <c r="AJ13" s="243">
        <f t="shared" ref="AJ13:AJ44" si="14">R13</f>
        <v>1.8579999999999999E-2</v>
      </c>
      <c r="AK13" s="243">
        <f t="shared" ref="AK13:AK44" si="15">S13</f>
        <v>0</v>
      </c>
      <c r="AL13" s="243">
        <f t="shared" ref="AL13:AL44" si="16">+K13+M13+L13</f>
        <v>0.14210999999999999</v>
      </c>
      <c r="AM13" s="243">
        <f t="shared" ref="AM13:AM44" si="17">P13</f>
        <v>-2.3000000000000001E-4</v>
      </c>
      <c r="AN13" s="243">
        <f t="shared" ref="AN13:AN44" si="18">T13</f>
        <v>3.0000000000000001E-5</v>
      </c>
      <c r="AO13" s="243">
        <f>[9]Permanents!F13</f>
        <v>2.4000000000000001E-4</v>
      </c>
      <c r="AP13" s="243">
        <f t="shared" ref="AP13:AP44" si="19">U13</f>
        <v>3.7949999999999998E-2</v>
      </c>
      <c r="AQ13" s="243">
        <f t="shared" ref="AQ13:AQ44" si="20">V13</f>
        <v>0.24073</v>
      </c>
      <c r="AR13" s="243"/>
      <c r="AS13" s="243"/>
      <c r="AT13" s="243">
        <f t="shared" ref="AT13:AT44" si="21">+N13</f>
        <v>2.0049999999999998E-2</v>
      </c>
      <c r="AU13" s="243">
        <f t="shared" ref="AU13:AU44" si="22">+O13</f>
        <v>3.2299999999999998E-3</v>
      </c>
      <c r="AV13" s="243">
        <f t="shared" ref="AV13:AV44" si="23">SUM(AS13:AU13)</f>
        <v>2.3279999999999999E-2</v>
      </c>
      <c r="AW13" s="246">
        <f>[31]Temporaries!Q13</f>
        <v>0</v>
      </c>
      <c r="AX13" s="246">
        <f>SUM([31]Temporaries!K13:M13)</f>
        <v>0.11046</v>
      </c>
      <c r="AY13" s="246">
        <f>SUM([31]Temporaries!N13:O13)</f>
        <v>2.0070000000000001E-2</v>
      </c>
      <c r="AZ13" s="245">
        <f>[31]Temporaries!R13</f>
        <v>1.396E-2</v>
      </c>
      <c r="BA13" s="264">
        <f t="shared" ref="BA13:BA44" si="24">E13</f>
        <v>-0.12498000000000001</v>
      </c>
      <c r="BB13" s="255">
        <f>[31]Temporaries!P13</f>
        <v>-1.1100000000000001E-3</v>
      </c>
      <c r="BC13" s="245">
        <f>[31]Temporaries!S13</f>
        <v>0</v>
      </c>
      <c r="BD13" s="245">
        <f>[31]Temporaries!T13</f>
        <v>4.2000000000000002E-4</v>
      </c>
      <c r="BE13" s="245">
        <f>[31]Temporaries!U13</f>
        <v>3.7949999999999998E-2</v>
      </c>
      <c r="BF13" s="245">
        <v>0.24073</v>
      </c>
      <c r="BG13" s="245"/>
      <c r="BH13" s="244">
        <f t="shared" ref="BH13:BH44" si="25">SUM(AW13:BG13)-D13</f>
        <v>0</v>
      </c>
      <c r="BI13" s="243">
        <f t="shared" ref="BI13:BI44" si="26">+AD13-K13-M13-L13</f>
        <v>0.32033999999999996</v>
      </c>
      <c r="BJ13" s="243">
        <f t="shared" ref="BJ13:BJ44" si="27">+AE13-K13-M13-L13</f>
        <v>0.15032999999999999</v>
      </c>
    </row>
    <row r="14" spans="1:62" x14ac:dyDescent="0.25">
      <c r="A14" s="233">
        <f t="shared" si="0"/>
        <v>8</v>
      </c>
      <c r="B14" s="254" t="s">
        <v>56</v>
      </c>
      <c r="C14" s="254"/>
      <c r="D14" s="251">
        <v>0.27344999999999997</v>
      </c>
      <c r="E14" s="251">
        <v>-0.12498000000000001</v>
      </c>
      <c r="F14" s="251">
        <f>+' Increments  equal ¢ per therm'!H14</f>
        <v>-0.14299000000000001</v>
      </c>
      <c r="G14" s="251">
        <f>+' Increments  equal ¢ per therm'!K14</f>
        <v>-2.7019999999999999E-2</v>
      </c>
      <c r="H14" s="251">
        <f>+' Increments  equal ¢ per therm'!N14</f>
        <v>0</v>
      </c>
      <c r="I14" s="251">
        <f t="shared" si="1"/>
        <v>-0.17000999999999999</v>
      </c>
      <c r="J14" s="251">
        <f t="shared" si="2"/>
        <v>-4.5029999999999987E-2</v>
      </c>
      <c r="K14" s="249">
        <f>+'[9]Allocation = % of margin'!P14</f>
        <v>9.6509999999999999E-2</v>
      </c>
      <c r="L14" s="249">
        <f>+'[9]Allocation = % of margin'!S14</f>
        <v>-1.17E-3</v>
      </c>
      <c r="M14" s="249">
        <f>+'[9]Allocation = % of margin'!V14</f>
        <v>0</v>
      </c>
      <c r="N14" s="249">
        <f>+'[9]Allocation = % of margin'!Y14</f>
        <v>1.345E-2</v>
      </c>
      <c r="O14" s="249">
        <f>+'[9]Allocation = % of margin'!AB14</f>
        <v>2.1800000000000001E-3</v>
      </c>
      <c r="P14" s="249">
        <f>'[9]Allocation = % of margin'!AE14</f>
        <v>-1.6000000000000001E-4</v>
      </c>
      <c r="Q14" s="249">
        <f>' Increments  equal ¢ per therm'!Q14</f>
        <v>0</v>
      </c>
      <c r="R14" s="249">
        <f>'[9]Allocation = % of margin'!AH14</f>
        <v>1.244E-2</v>
      </c>
      <c r="S14" s="249">
        <f>' Increments  equal ¢ per therm'!T14</f>
        <v>0</v>
      </c>
      <c r="T14" s="249">
        <f>'[9]Allocation = % of revenue'!M14</f>
        <v>0</v>
      </c>
      <c r="U14" s="249">
        <f>'[9]Allocation = % of margin'!AK14</f>
        <v>3.2939999999999997E-2</v>
      </c>
      <c r="V14" s="249">
        <f>' Increments  equal ¢ per therm'!W14</f>
        <v>0.24073</v>
      </c>
      <c r="W14" s="249">
        <f t="shared" si="3"/>
        <v>0.22691</v>
      </c>
      <c r="X14" s="249">
        <f t="shared" si="4"/>
        <v>-4.653999999999997E-2</v>
      </c>
      <c r="Y14" s="243"/>
      <c r="Z14" s="248">
        <f t="shared" si="5"/>
        <v>0.13157000000000002</v>
      </c>
      <c r="AA14" s="248">
        <f t="shared" si="6"/>
        <v>6.1009999999999995E-2</v>
      </c>
      <c r="AB14" s="248">
        <f t="shared" si="7"/>
        <v>-0.14299000000000001</v>
      </c>
      <c r="AC14" s="248">
        <f t="shared" si="8"/>
        <v>-2.7019999999999999E-2</v>
      </c>
      <c r="AD14" s="248">
        <f t="shared" si="9"/>
        <v>0.39692</v>
      </c>
      <c r="AE14" s="248">
        <f t="shared" si="10"/>
        <v>0.22691</v>
      </c>
      <c r="AF14" s="248">
        <f>[9]Permanents!G14</f>
        <v>0.86323999999999967</v>
      </c>
      <c r="AG14" s="247">
        <f t="shared" si="11"/>
        <v>0</v>
      </c>
      <c r="AH14" s="243">
        <f t="shared" si="12"/>
        <v>-0.17000999999999999</v>
      </c>
      <c r="AI14" s="243">
        <f t="shared" si="13"/>
        <v>0</v>
      </c>
      <c r="AJ14" s="243">
        <f t="shared" si="14"/>
        <v>1.244E-2</v>
      </c>
      <c r="AK14" s="243">
        <f t="shared" si="15"/>
        <v>0</v>
      </c>
      <c r="AL14" s="243">
        <f t="shared" si="16"/>
        <v>9.5339999999999994E-2</v>
      </c>
      <c r="AM14" s="243">
        <f t="shared" si="17"/>
        <v>-1.6000000000000001E-4</v>
      </c>
      <c r="AN14" s="243">
        <f t="shared" si="18"/>
        <v>0</v>
      </c>
      <c r="AO14" s="243">
        <f>[9]Permanents!F14</f>
        <v>1.6000000000000001E-4</v>
      </c>
      <c r="AP14" s="243">
        <f t="shared" si="19"/>
        <v>3.2939999999999997E-2</v>
      </c>
      <c r="AQ14" s="243">
        <f t="shared" si="20"/>
        <v>0.24073</v>
      </c>
      <c r="AR14" s="243"/>
      <c r="AS14" s="243"/>
      <c r="AT14" s="243">
        <f t="shared" si="21"/>
        <v>1.345E-2</v>
      </c>
      <c r="AU14" s="243">
        <f t="shared" si="22"/>
        <v>2.1800000000000001E-3</v>
      </c>
      <c r="AV14" s="243">
        <f t="shared" si="23"/>
        <v>1.5630000000000002E-2</v>
      </c>
      <c r="AW14" s="246">
        <f>[31]Temporaries!Q14</f>
        <v>0</v>
      </c>
      <c r="AX14" s="246">
        <f>SUM([31]Temporaries!K14:M14)</f>
        <v>9.5829999999999999E-2</v>
      </c>
      <c r="AY14" s="246">
        <f>SUM([31]Temporaries!N14:O14)</f>
        <v>1.7399999999999999E-2</v>
      </c>
      <c r="AZ14" s="245">
        <f>[31]Temporaries!R14</f>
        <v>1.2109999999999999E-2</v>
      </c>
      <c r="BA14" s="245">
        <f t="shared" si="24"/>
        <v>-0.12498000000000001</v>
      </c>
      <c r="BB14" s="255">
        <f>[31]Temporaries!P14</f>
        <v>-9.6000000000000002E-4</v>
      </c>
      <c r="BC14" s="245">
        <f>[31]Temporaries!S14</f>
        <v>0</v>
      </c>
      <c r="BD14" s="245">
        <f>[31]Temporaries!T14</f>
        <v>3.8000000000000002E-4</v>
      </c>
      <c r="BE14" s="245">
        <f>[31]Temporaries!U14</f>
        <v>3.2939999999999997E-2</v>
      </c>
      <c r="BF14" s="245">
        <v>0.24073</v>
      </c>
      <c r="BG14" s="245"/>
      <c r="BH14" s="244">
        <f t="shared" si="25"/>
        <v>0</v>
      </c>
      <c r="BI14" s="243">
        <f t="shared" si="26"/>
        <v>0.30158000000000001</v>
      </c>
      <c r="BJ14" s="243">
        <f t="shared" si="27"/>
        <v>0.13157000000000002</v>
      </c>
    </row>
    <row r="15" spans="1:62" x14ac:dyDescent="0.25">
      <c r="A15" s="233">
        <f t="shared" si="0"/>
        <v>9</v>
      </c>
      <c r="B15" s="254" t="s">
        <v>57</v>
      </c>
      <c r="C15" s="254"/>
      <c r="D15" s="251">
        <v>0.22096000000000002</v>
      </c>
      <c r="E15" s="251">
        <v>-0.12498000000000001</v>
      </c>
      <c r="F15" s="251">
        <f>+' Increments  equal ¢ per therm'!H15</f>
        <v>-0.14299000000000001</v>
      </c>
      <c r="G15" s="251">
        <f>+' Increments  equal ¢ per therm'!K15</f>
        <v>-2.7019999999999999E-2</v>
      </c>
      <c r="H15" s="251">
        <f>+' Increments  equal ¢ per therm'!N15</f>
        <v>0</v>
      </c>
      <c r="I15" s="251">
        <f t="shared" si="1"/>
        <v>-0.17000999999999999</v>
      </c>
      <c r="J15" s="251">
        <f t="shared" si="2"/>
        <v>-4.5029999999999987E-2</v>
      </c>
      <c r="K15" s="249">
        <f>+'[9]Allocation = % of margin'!P15</f>
        <v>6.6089999999999996E-2</v>
      </c>
      <c r="L15" s="249">
        <f>+'[9]Allocation = % of margin'!S15</f>
        <v>-8.1999999999999998E-4</v>
      </c>
      <c r="M15" s="249">
        <f>+'[9]Allocation = % of margin'!V15</f>
        <v>0</v>
      </c>
      <c r="N15" s="249">
        <f>+'[9]Allocation = % of margin'!Y15</f>
        <v>9.2099999999999994E-3</v>
      </c>
      <c r="O15" s="249">
        <f>+'[9]Allocation = % of margin'!AB15</f>
        <v>1.48E-3</v>
      </c>
      <c r="P15" s="249">
        <f>'[9]Allocation = % of margin'!AE15</f>
        <v>-1.1E-4</v>
      </c>
      <c r="Q15" s="249">
        <f>' Increments  equal ¢ per therm'!Q15</f>
        <v>3.2000000000000003E-4</v>
      </c>
      <c r="R15" s="249">
        <f>'[9]Allocation = % of margin'!AH15</f>
        <v>8.5299999999999994E-3</v>
      </c>
      <c r="S15" s="249">
        <f>' Increments  equal ¢ per therm'!T15</f>
        <v>0</v>
      </c>
      <c r="T15" s="249">
        <f>'[9]Allocation = % of revenue'!M15</f>
        <v>2.0000000000000002E-5</v>
      </c>
      <c r="U15" s="249">
        <f>'[9]Allocation = % of margin'!AK15</f>
        <v>2.188E-2</v>
      </c>
      <c r="V15" s="249">
        <f>' Increments  equal ¢ per therm'!W15</f>
        <v>0.24073</v>
      </c>
      <c r="W15" s="249">
        <f t="shared" si="3"/>
        <v>0.17731999999999998</v>
      </c>
      <c r="X15" s="249">
        <f t="shared" si="4"/>
        <v>-4.364000000000004E-2</v>
      </c>
      <c r="Y15" s="243"/>
      <c r="Z15" s="248">
        <f t="shared" si="5"/>
        <v>0.11204999999999998</v>
      </c>
      <c r="AA15" s="248">
        <f t="shared" si="6"/>
        <v>4.1439999999999998E-2</v>
      </c>
      <c r="AB15" s="248">
        <f t="shared" si="7"/>
        <v>-0.14299000000000001</v>
      </c>
      <c r="AC15" s="248">
        <f t="shared" si="8"/>
        <v>-2.7019999999999999E-2</v>
      </c>
      <c r="AD15" s="248">
        <f t="shared" si="9"/>
        <v>0.34732999999999997</v>
      </c>
      <c r="AE15" s="248">
        <f t="shared" si="10"/>
        <v>0.17731999999999998</v>
      </c>
      <c r="AF15" s="248">
        <f>[9]Permanents!G15</f>
        <v>0.55830999999999997</v>
      </c>
      <c r="AG15" s="247">
        <f t="shared" si="11"/>
        <v>0</v>
      </c>
      <c r="AH15" s="243">
        <f t="shared" si="12"/>
        <v>-0.17000999999999999</v>
      </c>
      <c r="AI15" s="243">
        <f t="shared" si="13"/>
        <v>3.2000000000000003E-4</v>
      </c>
      <c r="AJ15" s="243">
        <f t="shared" si="14"/>
        <v>8.5299999999999994E-3</v>
      </c>
      <c r="AK15" s="243">
        <f t="shared" si="15"/>
        <v>0</v>
      </c>
      <c r="AL15" s="243">
        <f t="shared" si="16"/>
        <v>6.5269999999999995E-2</v>
      </c>
      <c r="AM15" s="243">
        <f t="shared" si="17"/>
        <v>-1.1E-4</v>
      </c>
      <c r="AN15" s="243">
        <f t="shared" si="18"/>
        <v>2.0000000000000002E-5</v>
      </c>
      <c r="AO15" s="243">
        <f>[9]Permanents!F15</f>
        <v>1.1E-4</v>
      </c>
      <c r="AP15" s="243">
        <f t="shared" si="19"/>
        <v>2.188E-2</v>
      </c>
      <c r="AQ15" s="243">
        <f t="shared" si="20"/>
        <v>0.24073</v>
      </c>
      <c r="AR15" s="243"/>
      <c r="AS15" s="243"/>
      <c r="AT15" s="243">
        <f t="shared" si="21"/>
        <v>9.2099999999999994E-3</v>
      </c>
      <c r="AU15" s="243">
        <f t="shared" si="22"/>
        <v>1.48E-3</v>
      </c>
      <c r="AV15" s="243">
        <f t="shared" si="23"/>
        <v>1.069E-2</v>
      </c>
      <c r="AW15" s="246">
        <f>[31]Temporaries!Q15</f>
        <v>3.6000000000000002E-4</v>
      </c>
      <c r="AX15" s="246">
        <f>SUM([31]Temporaries!K15:M15)</f>
        <v>6.368E-2</v>
      </c>
      <c r="AY15" s="246">
        <f>SUM([31]Temporaries!N15:O15)</f>
        <v>1.157E-2</v>
      </c>
      <c r="AZ15" s="245">
        <f>[31]Temporaries!R15</f>
        <v>8.0499999999999999E-3</v>
      </c>
      <c r="BA15" s="245">
        <f t="shared" si="24"/>
        <v>-0.12498000000000001</v>
      </c>
      <c r="BB15" s="255">
        <f>[31]Temporaries!P15</f>
        <v>-6.4000000000000005E-4</v>
      </c>
      <c r="BC15" s="245">
        <f>[31]Temporaries!S15</f>
        <v>0</v>
      </c>
      <c r="BD15" s="245">
        <f>[31]Temporaries!T15</f>
        <v>3.1E-4</v>
      </c>
      <c r="BE15" s="245">
        <f>[31]Temporaries!U15</f>
        <v>2.188E-2</v>
      </c>
      <c r="BF15" s="245">
        <v>0.24073</v>
      </c>
      <c r="BG15" s="245"/>
      <c r="BH15" s="244">
        <f t="shared" si="25"/>
        <v>0</v>
      </c>
      <c r="BI15" s="243">
        <f t="shared" si="26"/>
        <v>0.28205999999999998</v>
      </c>
      <c r="BJ15" s="243">
        <f t="shared" si="27"/>
        <v>0.11204999999999998</v>
      </c>
    </row>
    <row r="16" spans="1:62" x14ac:dyDescent="0.25">
      <c r="A16" s="233">
        <f t="shared" si="0"/>
        <v>10</v>
      </c>
      <c r="B16" s="254" t="s">
        <v>58</v>
      </c>
      <c r="C16" s="254"/>
      <c r="D16" s="251">
        <v>0.20892999999999998</v>
      </c>
      <c r="E16" s="251">
        <v>-0.12498000000000001</v>
      </c>
      <c r="F16" s="251">
        <f>+' Increments  equal ¢ per therm'!H16</f>
        <v>-0.14299000000000001</v>
      </c>
      <c r="G16" s="251">
        <f>+' Increments  equal ¢ per therm'!K16</f>
        <v>-2.7019999999999999E-2</v>
      </c>
      <c r="H16" s="251">
        <f>+' Increments  equal ¢ per therm'!N16</f>
        <v>0</v>
      </c>
      <c r="I16" s="251">
        <f t="shared" si="1"/>
        <v>-0.17000999999999999</v>
      </c>
      <c r="J16" s="251">
        <f t="shared" si="2"/>
        <v>-4.5029999999999987E-2</v>
      </c>
      <c r="K16" s="249">
        <f>+'[9]Allocation = % of margin'!P16</f>
        <v>5.8250000000000003E-2</v>
      </c>
      <c r="L16" s="249">
        <f>+'[9]Allocation = % of margin'!S16</f>
        <v>-7.2000000000000005E-4</v>
      </c>
      <c r="M16" s="249">
        <f>+'[9]Allocation = % of margin'!V16</f>
        <v>0</v>
      </c>
      <c r="N16" s="249">
        <f>+'[9]Allocation = % of margin'!Y16</f>
        <v>8.1200000000000005E-3</v>
      </c>
      <c r="O16" s="249">
        <f>+'[9]Allocation = % of margin'!AB16</f>
        <v>1.31E-3</v>
      </c>
      <c r="P16" s="249">
        <f>'[9]Allocation = % of margin'!AE16</f>
        <v>-1E-4</v>
      </c>
      <c r="Q16" s="249">
        <f>' Increments  equal ¢ per therm'!Q16</f>
        <v>0</v>
      </c>
      <c r="R16" s="249">
        <f>'[9]Allocation = % of margin'!AH16</f>
        <v>7.5199999999999998E-3</v>
      </c>
      <c r="S16" s="249">
        <f>' Increments  equal ¢ per therm'!T16</f>
        <v>0</v>
      </c>
      <c r="T16" s="249">
        <f>'[9]Allocation = % of revenue'!M16</f>
        <v>2.0000000000000002E-5</v>
      </c>
      <c r="U16" s="249">
        <f>'[9]Allocation = % of margin'!AK16</f>
        <v>1.9439999999999999E-2</v>
      </c>
      <c r="V16" s="249">
        <f>' Increments  equal ¢ per therm'!W16</f>
        <v>0.24073</v>
      </c>
      <c r="W16" s="249">
        <f t="shared" si="3"/>
        <v>0.16456000000000004</v>
      </c>
      <c r="X16" s="249">
        <f t="shared" si="4"/>
        <v>-4.4369999999999937E-2</v>
      </c>
      <c r="Y16" s="243"/>
      <c r="Z16" s="248">
        <f t="shared" si="5"/>
        <v>0.10703000000000004</v>
      </c>
      <c r="AA16" s="248">
        <f t="shared" si="6"/>
        <v>3.6409999999999998E-2</v>
      </c>
      <c r="AB16" s="248">
        <f t="shared" si="7"/>
        <v>-0.14299000000000001</v>
      </c>
      <c r="AC16" s="248">
        <f t="shared" si="8"/>
        <v>-2.7019999999999999E-2</v>
      </c>
      <c r="AD16" s="248">
        <f t="shared" si="9"/>
        <v>0.33457000000000003</v>
      </c>
      <c r="AE16" s="248">
        <f t="shared" si="10"/>
        <v>0.16456000000000004</v>
      </c>
      <c r="AF16" s="248">
        <f>[9]Permanents!G16</f>
        <v>0.53360000000000007</v>
      </c>
      <c r="AG16" s="247">
        <f t="shared" si="11"/>
        <v>0</v>
      </c>
      <c r="AH16" s="243">
        <f t="shared" si="12"/>
        <v>-0.17000999999999999</v>
      </c>
      <c r="AI16" s="243">
        <f t="shared" si="13"/>
        <v>0</v>
      </c>
      <c r="AJ16" s="243">
        <f t="shared" si="14"/>
        <v>7.5199999999999998E-3</v>
      </c>
      <c r="AK16" s="243">
        <f t="shared" si="15"/>
        <v>0</v>
      </c>
      <c r="AL16" s="243">
        <f t="shared" si="16"/>
        <v>5.7530000000000005E-2</v>
      </c>
      <c r="AM16" s="243">
        <f t="shared" si="17"/>
        <v>-1E-4</v>
      </c>
      <c r="AN16" s="243">
        <f t="shared" si="18"/>
        <v>2.0000000000000002E-5</v>
      </c>
      <c r="AO16" s="243">
        <f>[9]Permanents!F16</f>
        <v>1E-4</v>
      </c>
      <c r="AP16" s="243">
        <f t="shared" si="19"/>
        <v>1.9439999999999999E-2</v>
      </c>
      <c r="AQ16" s="243">
        <f t="shared" si="20"/>
        <v>0.24073</v>
      </c>
      <c r="AR16" s="243"/>
      <c r="AS16" s="243"/>
      <c r="AT16" s="243">
        <f t="shared" si="21"/>
        <v>8.1200000000000005E-3</v>
      </c>
      <c r="AU16" s="243">
        <f t="shared" si="22"/>
        <v>1.31E-3</v>
      </c>
      <c r="AV16" s="243">
        <f t="shared" si="23"/>
        <v>9.4300000000000009E-3</v>
      </c>
      <c r="AW16" s="246">
        <f>[31]Temporaries!Q16</f>
        <v>0</v>
      </c>
      <c r="AX16" s="246">
        <f>SUM([31]Temporaries!K16:M16)</f>
        <v>5.6590000000000001E-2</v>
      </c>
      <c r="AY16" s="246">
        <f>SUM([31]Temporaries!N16:O16)</f>
        <v>1.0279999999999999E-2</v>
      </c>
      <c r="AZ16" s="245">
        <f>[31]Temporaries!R16</f>
        <v>7.1500000000000001E-3</v>
      </c>
      <c r="BA16" s="245">
        <f t="shared" si="24"/>
        <v>-0.12498000000000001</v>
      </c>
      <c r="BB16" s="255">
        <f>[31]Temporaries!P16</f>
        <v>-5.6999999999999998E-4</v>
      </c>
      <c r="BC16" s="245">
        <f>[31]Temporaries!S16</f>
        <v>0</v>
      </c>
      <c r="BD16" s="245">
        <f>[31]Temporaries!T16</f>
        <v>2.9E-4</v>
      </c>
      <c r="BE16" s="245">
        <f>[31]Temporaries!U16</f>
        <v>1.9439999999999999E-2</v>
      </c>
      <c r="BF16" s="245">
        <v>0.24073</v>
      </c>
      <c r="BG16" s="245"/>
      <c r="BH16" s="244">
        <f t="shared" si="25"/>
        <v>0</v>
      </c>
      <c r="BI16" s="243">
        <f t="shared" si="26"/>
        <v>0.27704000000000001</v>
      </c>
      <c r="BJ16" s="243">
        <f t="shared" si="27"/>
        <v>0.10703000000000004</v>
      </c>
    </row>
    <row r="17" spans="1:62" x14ac:dyDescent="0.25">
      <c r="A17" s="233">
        <f t="shared" si="0"/>
        <v>11</v>
      </c>
      <c r="B17" s="254" t="s">
        <v>59</v>
      </c>
      <c r="C17" s="254"/>
      <c r="D17" s="251">
        <v>0.15035000000000001</v>
      </c>
      <c r="E17" s="251">
        <v>-0.12498000000000001</v>
      </c>
      <c r="F17" s="251">
        <f>+' Increments  equal ¢ per therm'!H17</f>
        <v>-0.14299000000000001</v>
      </c>
      <c r="G17" s="251">
        <f>+' Increments  equal ¢ per therm'!K17</f>
        <v>-2.7019999999999999E-2</v>
      </c>
      <c r="H17" s="251">
        <f>+' Increments  equal ¢ per therm'!N17</f>
        <v>0</v>
      </c>
      <c r="I17" s="251">
        <f t="shared" si="1"/>
        <v>-0.17000999999999999</v>
      </c>
      <c r="J17" s="251">
        <f t="shared" si="2"/>
        <v>-4.5029999999999987E-2</v>
      </c>
      <c r="K17" s="249">
        <f>+'[9]Allocation = % of margin'!P17</f>
        <v>0</v>
      </c>
      <c r="L17" s="249">
        <f>+'[9]Allocation = % of margin'!S17</f>
        <v>0</v>
      </c>
      <c r="M17" s="249">
        <f>+'[9]Allocation = % of margin'!V17</f>
        <v>0</v>
      </c>
      <c r="N17" s="249">
        <f>+'[9]Allocation = % of margin'!Y17</f>
        <v>7.5100000000000002E-3</v>
      </c>
      <c r="O17" s="249">
        <f>+'[9]Allocation = % of margin'!AB17</f>
        <v>1.2099999999999999E-3</v>
      </c>
      <c r="P17" s="249">
        <f>'[9]Allocation = % of margin'!AE17</f>
        <v>-9.0000000000000006E-5</v>
      </c>
      <c r="Q17" s="249">
        <f>' Increments  equal ¢ per therm'!Q17</f>
        <v>0</v>
      </c>
      <c r="R17" s="249">
        <f>'[9]Allocation = % of margin'!AH17</f>
        <v>6.9499999999999996E-3</v>
      </c>
      <c r="S17" s="249">
        <f>' Increments  equal ¢ per therm'!T17</f>
        <v>3.5E-4</v>
      </c>
      <c r="T17" s="249">
        <f>'[9]Allocation = % of revenue'!M17</f>
        <v>2.0000000000000002E-5</v>
      </c>
      <c r="U17" s="249">
        <f>'[9]Allocation = % of margin'!AK17</f>
        <v>1.7850000000000001E-2</v>
      </c>
      <c r="V17" s="249">
        <f>' Increments  equal ¢ per therm'!W17</f>
        <v>0.24073</v>
      </c>
      <c r="W17" s="249">
        <f t="shared" si="3"/>
        <v>0.10452</v>
      </c>
      <c r="X17" s="249">
        <f t="shared" si="4"/>
        <v>-4.583000000000001E-2</v>
      </c>
      <c r="Y17" s="243"/>
      <c r="Z17" s="248">
        <f t="shared" si="5"/>
        <v>0.10452</v>
      </c>
      <c r="AA17" s="248">
        <f t="shared" si="6"/>
        <v>3.3890000000000003E-2</v>
      </c>
      <c r="AB17" s="248">
        <f t="shared" si="7"/>
        <v>-0.14299000000000001</v>
      </c>
      <c r="AC17" s="248">
        <f t="shared" si="8"/>
        <v>-2.7019999999999999E-2</v>
      </c>
      <c r="AD17" s="248">
        <f t="shared" si="9"/>
        <v>0.27453</v>
      </c>
      <c r="AE17" s="248">
        <f t="shared" si="10"/>
        <v>0.10452</v>
      </c>
      <c r="AF17" s="248">
        <f>[9]Permanents!G17</f>
        <v>0.54393999999999976</v>
      </c>
      <c r="AG17" s="247">
        <f t="shared" si="11"/>
        <v>0</v>
      </c>
      <c r="AH17" s="243">
        <f t="shared" si="12"/>
        <v>-0.17000999999999999</v>
      </c>
      <c r="AI17" s="243">
        <f t="shared" si="13"/>
        <v>0</v>
      </c>
      <c r="AJ17" s="243">
        <f t="shared" si="14"/>
        <v>6.9499999999999996E-3</v>
      </c>
      <c r="AK17" s="243">
        <f t="shared" si="15"/>
        <v>3.5E-4</v>
      </c>
      <c r="AL17" s="243">
        <f t="shared" si="16"/>
        <v>0</v>
      </c>
      <c r="AM17" s="243">
        <f t="shared" si="17"/>
        <v>-9.0000000000000006E-5</v>
      </c>
      <c r="AN17" s="243">
        <f t="shared" si="18"/>
        <v>2.0000000000000002E-5</v>
      </c>
      <c r="AO17" s="243">
        <f>[9]Permanents!F17</f>
        <v>9.0000000000000006E-5</v>
      </c>
      <c r="AP17" s="243">
        <f t="shared" si="19"/>
        <v>1.7850000000000001E-2</v>
      </c>
      <c r="AQ17" s="243">
        <f t="shared" si="20"/>
        <v>0.24073</v>
      </c>
      <c r="AR17" s="243"/>
      <c r="AS17" s="243"/>
      <c r="AT17" s="243">
        <f t="shared" si="21"/>
        <v>7.5100000000000002E-3</v>
      </c>
      <c r="AU17" s="243">
        <f t="shared" si="22"/>
        <v>1.2099999999999999E-3</v>
      </c>
      <c r="AV17" s="243">
        <f t="shared" si="23"/>
        <v>8.7200000000000003E-3</v>
      </c>
      <c r="AW17" s="246">
        <f>[31]Temporaries!Q17</f>
        <v>0</v>
      </c>
      <c r="AX17" s="246">
        <f>SUM([31]Temporaries!K17:M17)</f>
        <v>0</v>
      </c>
      <c r="AY17" s="246">
        <f>SUM([31]Temporaries!N17:O17)</f>
        <v>9.4400000000000005E-3</v>
      </c>
      <c r="AZ17" s="245">
        <f>[31]Temporaries!R17</f>
        <v>6.5599999999999999E-3</v>
      </c>
      <c r="BA17" s="245">
        <f t="shared" si="24"/>
        <v>-0.12498000000000001</v>
      </c>
      <c r="BB17" s="255">
        <f>[31]Temporaries!P17</f>
        <v>-5.1999999999999995E-4</v>
      </c>
      <c r="BC17" s="245">
        <f>[31]Temporaries!S17</f>
        <v>1.0300000000000001E-3</v>
      </c>
      <c r="BD17" s="245">
        <f>[31]Temporaries!T17</f>
        <v>2.4000000000000001E-4</v>
      </c>
      <c r="BE17" s="245">
        <f>[31]Temporaries!U17</f>
        <v>1.7850000000000001E-2</v>
      </c>
      <c r="BF17" s="245">
        <v>0.24073</v>
      </c>
      <c r="BG17" s="245"/>
      <c r="BH17" s="244">
        <f t="shared" si="25"/>
        <v>0</v>
      </c>
      <c r="BI17" s="243">
        <f t="shared" si="26"/>
        <v>0.27453</v>
      </c>
      <c r="BJ17" s="243">
        <f t="shared" si="27"/>
        <v>0.10452</v>
      </c>
    </row>
    <row r="18" spans="1:62" x14ac:dyDescent="0.25">
      <c r="A18" s="233">
        <f t="shared" si="0"/>
        <v>12</v>
      </c>
      <c r="B18" s="258">
        <v>27</v>
      </c>
      <c r="C18" s="258"/>
      <c r="D18" s="251">
        <v>0.26727000000000001</v>
      </c>
      <c r="E18" s="251">
        <v>-0.12498000000000001</v>
      </c>
      <c r="F18" s="251">
        <f>+' Increments  equal ¢ per therm'!H18</f>
        <v>-0.14299000000000001</v>
      </c>
      <c r="G18" s="251">
        <f>+' Increments  equal ¢ per therm'!K18</f>
        <v>-2.7019999999999999E-2</v>
      </c>
      <c r="H18" s="251">
        <f>+' Increments  equal ¢ per therm'!N18</f>
        <v>0</v>
      </c>
      <c r="I18" s="251">
        <f t="shared" si="1"/>
        <v>-0.17000999999999999</v>
      </c>
      <c r="J18" s="251">
        <f t="shared" si="2"/>
        <v>-4.5029999999999987E-2</v>
      </c>
      <c r="K18" s="249">
        <f>+'[9]Allocation = % of margin'!P18</f>
        <v>0.14729</v>
      </c>
      <c r="L18" s="249">
        <f>+'[9]Allocation = % of margin'!S18</f>
        <v>-1.8400000000000001E-3</v>
      </c>
      <c r="M18" s="249">
        <f>+'[9]Allocation = % of margin'!V18</f>
        <v>0</v>
      </c>
      <c r="N18" s="249">
        <f>+'[9]Allocation = % of margin'!Y18</f>
        <v>2.053E-2</v>
      </c>
      <c r="O18" s="249">
        <f>+'[9]Allocation = % of margin'!AB18</f>
        <v>3.3E-3</v>
      </c>
      <c r="P18" s="249">
        <f>'[9]Allocation = % of margin'!AE18</f>
        <v>-2.3000000000000001E-4</v>
      </c>
      <c r="Q18" s="249">
        <f>' Increments  equal ¢ per therm'!Q18</f>
        <v>0</v>
      </c>
      <c r="R18" s="249">
        <f>'[9]Allocation = % of margin'!AH18</f>
        <v>1.9009999999999999E-2</v>
      </c>
      <c r="S18" s="249">
        <f>' Increments  equal ¢ per therm'!T18</f>
        <v>0</v>
      </c>
      <c r="T18" s="249">
        <f>'[9]Allocation = % of revenue'!M18</f>
        <v>3.0000000000000001E-5</v>
      </c>
      <c r="U18" s="249">
        <f>'[9]Allocation = % of margin'!AK18</f>
        <v>3.1620000000000002E-2</v>
      </c>
      <c r="V18" s="249">
        <f>' Increments  equal ¢ per therm'!W18</f>
        <v>0.24073</v>
      </c>
      <c r="W18" s="249">
        <f t="shared" si="3"/>
        <v>0.29042999999999997</v>
      </c>
      <c r="X18" s="249">
        <f t="shared" si="4"/>
        <v>2.3159999999999958E-2</v>
      </c>
      <c r="Y18" s="243"/>
      <c r="Z18" s="248">
        <f t="shared" si="5"/>
        <v>0.14497999999999997</v>
      </c>
      <c r="AA18" s="248">
        <f t="shared" si="6"/>
        <v>7.4490000000000001E-2</v>
      </c>
      <c r="AB18" s="248">
        <f t="shared" si="7"/>
        <v>-0.14299000000000001</v>
      </c>
      <c r="AC18" s="248">
        <f t="shared" si="8"/>
        <v>-2.7019999999999999E-2</v>
      </c>
      <c r="AD18" s="248">
        <f t="shared" si="9"/>
        <v>0.46043999999999996</v>
      </c>
      <c r="AE18" s="248">
        <f t="shared" si="10"/>
        <v>0.29042999999999997</v>
      </c>
      <c r="AF18" s="248">
        <f>[9]Permanents!G18</f>
        <v>0.31279000000000001</v>
      </c>
      <c r="AG18" s="247">
        <f t="shared" si="11"/>
        <v>0</v>
      </c>
      <c r="AH18" s="243">
        <f t="shared" si="12"/>
        <v>-0.17000999999999999</v>
      </c>
      <c r="AI18" s="243">
        <f t="shared" si="13"/>
        <v>0</v>
      </c>
      <c r="AJ18" s="243">
        <f t="shared" si="14"/>
        <v>1.9009999999999999E-2</v>
      </c>
      <c r="AK18" s="243">
        <f t="shared" si="15"/>
        <v>0</v>
      </c>
      <c r="AL18" s="243">
        <f t="shared" si="16"/>
        <v>0.14545</v>
      </c>
      <c r="AM18" s="243">
        <f t="shared" si="17"/>
        <v>-2.3000000000000001E-4</v>
      </c>
      <c r="AN18" s="243">
        <f t="shared" si="18"/>
        <v>3.0000000000000001E-5</v>
      </c>
      <c r="AO18" s="243">
        <f>[9]Permanents!F18</f>
        <v>2.5999999999999998E-4</v>
      </c>
      <c r="AP18" s="243">
        <f t="shared" si="19"/>
        <v>3.1620000000000002E-2</v>
      </c>
      <c r="AQ18" s="243">
        <f t="shared" si="20"/>
        <v>0.24073</v>
      </c>
      <c r="AR18" s="243"/>
      <c r="AS18" s="243"/>
      <c r="AT18" s="243">
        <f t="shared" si="21"/>
        <v>2.053E-2</v>
      </c>
      <c r="AU18" s="243">
        <f t="shared" si="22"/>
        <v>3.3E-3</v>
      </c>
      <c r="AV18" s="243">
        <f t="shared" si="23"/>
        <v>2.383E-2</v>
      </c>
      <c r="AW18" s="246">
        <f>[31]Temporaries!Q18</f>
        <v>0</v>
      </c>
      <c r="AX18" s="246">
        <f>SUM([31]Temporaries!K18:M18)</f>
        <v>9.2050000000000007E-2</v>
      </c>
      <c r="AY18" s="246">
        <f>SUM([31]Temporaries!N18:O18)</f>
        <v>1.6719999999999999E-2</v>
      </c>
      <c r="AZ18" s="245">
        <f>[31]Temporaries!R18</f>
        <v>1.163E-2</v>
      </c>
      <c r="BA18" s="245">
        <f t="shared" si="24"/>
        <v>-0.12498000000000001</v>
      </c>
      <c r="BB18" s="255">
        <f>[31]Temporaries!P18</f>
        <v>-9.3000000000000005E-4</v>
      </c>
      <c r="BC18" s="245">
        <f>[31]Temporaries!S18</f>
        <v>0</v>
      </c>
      <c r="BD18" s="245">
        <f>[31]Temporaries!T18</f>
        <v>4.2999999999999999E-4</v>
      </c>
      <c r="BE18" s="245">
        <f>[31]Temporaries!U18</f>
        <v>3.1620000000000002E-2</v>
      </c>
      <c r="BF18" s="245">
        <v>0.24073</v>
      </c>
      <c r="BG18" s="245"/>
      <c r="BH18" s="244">
        <f t="shared" si="25"/>
        <v>0</v>
      </c>
      <c r="BI18" s="243">
        <f t="shared" si="26"/>
        <v>0.31498999999999994</v>
      </c>
      <c r="BJ18" s="243">
        <f t="shared" si="27"/>
        <v>0.14497999999999997</v>
      </c>
    </row>
    <row r="19" spans="1:62" x14ac:dyDescent="0.25">
      <c r="A19" s="233">
        <f t="shared" si="0"/>
        <v>13</v>
      </c>
      <c r="B19" s="233" t="s">
        <v>60</v>
      </c>
      <c r="C19" s="261" t="s">
        <v>61</v>
      </c>
      <c r="D19" s="259">
        <v>0.19066999999999998</v>
      </c>
      <c r="E19" s="259">
        <v>-0.12498000000000001</v>
      </c>
      <c r="F19" s="259">
        <f>+' Increments  equal ¢ per therm'!H19</f>
        <v>-0.14299000000000001</v>
      </c>
      <c r="G19" s="259">
        <f>+' Increments  equal ¢ per therm'!K19</f>
        <v>-2.7019999999999999E-2</v>
      </c>
      <c r="H19" s="259">
        <f>+' Increments  equal ¢ per therm'!N19</f>
        <v>0</v>
      </c>
      <c r="I19" s="259">
        <f t="shared" si="1"/>
        <v>-0.17000999999999999</v>
      </c>
      <c r="J19" s="259">
        <f t="shared" si="2"/>
        <v>-4.5029999999999987E-2</v>
      </c>
      <c r="K19" s="243">
        <f>+'[9]Allocation = % of margin'!P19</f>
        <v>4.6289999999999998E-2</v>
      </c>
      <c r="L19" s="243">
        <f>+'[9]Allocation = % of margin'!S19</f>
        <v>-5.6999999999999998E-4</v>
      </c>
      <c r="M19" s="243">
        <f>+'[9]Allocation = % of margin'!V19</f>
        <v>0</v>
      </c>
      <c r="N19" s="243">
        <f>+'[9]Allocation = % of margin'!Y19</f>
        <v>6.45E-3</v>
      </c>
      <c r="O19" s="243">
        <f>+'[9]Allocation = % of margin'!AB19</f>
        <v>1.0399999999999999E-3</v>
      </c>
      <c r="P19" s="243">
        <f>'[9]Allocation = % of margin'!AE19</f>
        <v>-8.0000000000000007E-5</v>
      </c>
      <c r="Q19" s="243">
        <f>' Increments  equal ¢ per therm'!Q19</f>
        <v>0</v>
      </c>
      <c r="R19" s="243">
        <f>'[9]Allocation = % of margin'!AH19</f>
        <v>5.9800000000000001E-3</v>
      </c>
      <c r="S19" s="243">
        <f>' Increments  equal ¢ per therm'!T19</f>
        <v>0</v>
      </c>
      <c r="T19" s="243">
        <f>'[9]Allocation = % of revenue'!M19</f>
        <v>1.0000000000000001E-5</v>
      </c>
      <c r="U19" s="243">
        <f>'[9]Allocation = % of margin'!AK19</f>
        <v>1.5630000000000002E-2</v>
      </c>
      <c r="V19" s="243">
        <f>' Increments  equal ¢ per therm'!W19</f>
        <v>0.24073</v>
      </c>
      <c r="W19" s="243">
        <f t="shared" si="3"/>
        <v>0.14546999999999999</v>
      </c>
      <c r="X19" s="243">
        <f t="shared" si="4"/>
        <v>-4.519999999999999E-2</v>
      </c>
      <c r="Y19" s="243"/>
      <c r="Z19" s="248">
        <f t="shared" si="5"/>
        <v>9.9749999999999991E-2</v>
      </c>
      <c r="AA19" s="248">
        <f t="shared" si="6"/>
        <v>2.911E-2</v>
      </c>
      <c r="AB19" s="248">
        <f t="shared" si="7"/>
        <v>-0.14299000000000001</v>
      </c>
      <c r="AC19" s="248">
        <f t="shared" si="8"/>
        <v>-2.7019999999999999E-2</v>
      </c>
      <c r="AD19" s="248">
        <f t="shared" si="9"/>
        <v>0.31547999999999998</v>
      </c>
      <c r="AE19" s="248">
        <f t="shared" si="10"/>
        <v>0.14546999999999999</v>
      </c>
      <c r="AF19" s="248">
        <f>[9]Permanents!G19</f>
        <v>0.4161600000000002</v>
      </c>
      <c r="AG19" s="247">
        <f t="shared" si="11"/>
        <v>0</v>
      </c>
      <c r="AH19" s="243">
        <f t="shared" si="12"/>
        <v>-0.17000999999999999</v>
      </c>
      <c r="AI19" s="243">
        <f t="shared" si="13"/>
        <v>0</v>
      </c>
      <c r="AJ19" s="243">
        <f t="shared" si="14"/>
        <v>5.9800000000000001E-3</v>
      </c>
      <c r="AK19" s="243">
        <f t="shared" si="15"/>
        <v>0</v>
      </c>
      <c r="AL19" s="243">
        <f t="shared" si="16"/>
        <v>4.5719999999999997E-2</v>
      </c>
      <c r="AM19" s="243">
        <f t="shared" si="17"/>
        <v>-8.0000000000000007E-5</v>
      </c>
      <c r="AN19" s="243">
        <f t="shared" si="18"/>
        <v>1.0000000000000001E-5</v>
      </c>
      <c r="AO19" s="243">
        <f>[9]Permanents!F19</f>
        <v>8.0000000000000007E-5</v>
      </c>
      <c r="AP19" s="243">
        <f t="shared" si="19"/>
        <v>1.5630000000000002E-2</v>
      </c>
      <c r="AQ19" s="243">
        <f t="shared" si="20"/>
        <v>0.24073</v>
      </c>
      <c r="AR19" s="243"/>
      <c r="AS19" s="243"/>
      <c r="AT19" s="243">
        <f t="shared" si="21"/>
        <v>6.45E-3</v>
      </c>
      <c r="AU19" s="243">
        <f t="shared" si="22"/>
        <v>1.0399999999999999E-3</v>
      </c>
      <c r="AV19" s="243">
        <f t="shared" si="23"/>
        <v>7.4900000000000001E-3</v>
      </c>
      <c r="AW19" s="246">
        <f>[31]Temporaries!Q19</f>
        <v>0</v>
      </c>
      <c r="AX19" s="246">
        <f>SUM([31]Temporaries!K19:M19)</f>
        <v>4.5500000000000006E-2</v>
      </c>
      <c r="AY19" s="246">
        <f>SUM([31]Temporaries!N19:O19)</f>
        <v>8.2699999999999996E-3</v>
      </c>
      <c r="AZ19" s="245">
        <f>[31]Temporaries!R19</f>
        <v>5.7499999999999999E-3</v>
      </c>
      <c r="BA19" s="245">
        <f t="shared" si="24"/>
        <v>-0.12498000000000001</v>
      </c>
      <c r="BB19" s="255">
        <f>[31]Temporaries!P19</f>
        <v>-4.6000000000000001E-4</v>
      </c>
      <c r="BC19" s="245">
        <f>[31]Temporaries!S19</f>
        <v>0</v>
      </c>
      <c r="BD19" s="245">
        <f>[31]Temporaries!T19</f>
        <v>2.3000000000000001E-4</v>
      </c>
      <c r="BE19" s="245">
        <f>[31]Temporaries!U19</f>
        <v>1.5630000000000002E-2</v>
      </c>
      <c r="BF19" s="245">
        <v>0.24073</v>
      </c>
      <c r="BG19" s="245"/>
      <c r="BH19" s="244">
        <f t="shared" si="25"/>
        <v>0</v>
      </c>
      <c r="BI19" s="243">
        <f t="shared" si="26"/>
        <v>0.26976</v>
      </c>
      <c r="BJ19" s="243">
        <f t="shared" si="27"/>
        <v>9.9749999999999991E-2</v>
      </c>
    </row>
    <row r="20" spans="1:62" x14ac:dyDescent="0.25">
      <c r="A20" s="233">
        <f t="shared" si="0"/>
        <v>14</v>
      </c>
      <c r="B20" s="258"/>
      <c r="C20" s="260" t="s">
        <v>62</v>
      </c>
      <c r="D20" s="251">
        <v>0.18178999999999998</v>
      </c>
      <c r="E20" s="251">
        <v>-0.12498000000000001</v>
      </c>
      <c r="F20" s="251">
        <f>+' Increments  equal ¢ per therm'!H20</f>
        <v>-0.14299000000000001</v>
      </c>
      <c r="G20" s="251">
        <f>+' Increments  equal ¢ per therm'!K20</f>
        <v>-2.7019999999999999E-2</v>
      </c>
      <c r="H20" s="251">
        <f>+' Increments  equal ¢ per therm'!N20</f>
        <v>0</v>
      </c>
      <c r="I20" s="251">
        <f t="shared" si="1"/>
        <v>-0.17000999999999999</v>
      </c>
      <c r="J20" s="251">
        <f t="shared" si="2"/>
        <v>-4.5029999999999987E-2</v>
      </c>
      <c r="K20" s="249">
        <f>+'[9]Allocation = % of margin'!P20</f>
        <v>4.079E-2</v>
      </c>
      <c r="L20" s="249">
        <f>+'[9]Allocation = % of margin'!S20</f>
        <v>-5.1000000000000004E-4</v>
      </c>
      <c r="M20" s="249">
        <f>+'[9]Allocation = % of margin'!V20</f>
        <v>0</v>
      </c>
      <c r="N20" s="249">
        <f>+'[9]Allocation = % of margin'!Y20</f>
        <v>5.6800000000000002E-3</v>
      </c>
      <c r="O20" s="249">
        <f>+'[9]Allocation = % of margin'!AB20</f>
        <v>9.2000000000000003E-4</v>
      </c>
      <c r="P20" s="249">
        <f>'[9]Allocation = % of margin'!AE20</f>
        <v>-6.9999999999999994E-5</v>
      </c>
      <c r="Q20" s="249">
        <f>' Increments  equal ¢ per therm'!Q20</f>
        <v>0</v>
      </c>
      <c r="R20" s="249">
        <f>'[9]Allocation = % of margin'!AH20</f>
        <v>5.2700000000000004E-3</v>
      </c>
      <c r="S20" s="249">
        <f>' Increments  equal ¢ per therm'!T20</f>
        <v>0</v>
      </c>
      <c r="T20" s="249">
        <f>'[9]Allocation = % of revenue'!M20</f>
        <v>1.0000000000000001E-5</v>
      </c>
      <c r="U20" s="249">
        <f>'[9]Allocation = % of margin'!AK20</f>
        <v>1.3769999999999999E-2</v>
      </c>
      <c r="V20" s="249">
        <f>' Increments  equal ¢ per therm'!W20</f>
        <v>0.24073</v>
      </c>
      <c r="W20" s="249">
        <f t="shared" si="3"/>
        <v>0.13657999999999998</v>
      </c>
      <c r="X20" s="249">
        <f t="shared" si="4"/>
        <v>-4.521E-2</v>
      </c>
      <c r="Y20" s="243"/>
      <c r="Z20" s="248">
        <f t="shared" si="5"/>
        <v>9.6299999999999983E-2</v>
      </c>
      <c r="AA20" s="248">
        <f t="shared" si="6"/>
        <v>2.5649999999999999E-2</v>
      </c>
      <c r="AB20" s="248">
        <f t="shared" si="7"/>
        <v>-0.14299000000000001</v>
      </c>
      <c r="AC20" s="248">
        <f t="shared" si="8"/>
        <v>-2.7019999999999999E-2</v>
      </c>
      <c r="AD20" s="248">
        <f t="shared" si="9"/>
        <v>0.30658999999999997</v>
      </c>
      <c r="AE20" s="248">
        <f t="shared" si="10"/>
        <v>0.13657999999999998</v>
      </c>
      <c r="AF20" s="248">
        <f>[9]Permanents!G20</f>
        <v>0.36669999999999997</v>
      </c>
      <c r="AG20" s="247">
        <f t="shared" si="11"/>
        <v>0</v>
      </c>
      <c r="AH20" s="243">
        <f t="shared" si="12"/>
        <v>-0.17000999999999999</v>
      </c>
      <c r="AI20" s="243">
        <f t="shared" si="13"/>
        <v>0</v>
      </c>
      <c r="AJ20" s="243">
        <f t="shared" si="14"/>
        <v>5.2700000000000004E-3</v>
      </c>
      <c r="AK20" s="243">
        <f t="shared" si="15"/>
        <v>0</v>
      </c>
      <c r="AL20" s="243">
        <f t="shared" si="16"/>
        <v>4.0279999999999996E-2</v>
      </c>
      <c r="AM20" s="243">
        <f t="shared" si="17"/>
        <v>-6.9999999999999994E-5</v>
      </c>
      <c r="AN20" s="243">
        <f t="shared" si="18"/>
        <v>1.0000000000000001E-5</v>
      </c>
      <c r="AO20" s="243">
        <f>[9]Permanents!F20</f>
        <v>6.9999999999999994E-5</v>
      </c>
      <c r="AP20" s="243">
        <f t="shared" si="19"/>
        <v>1.3769999999999999E-2</v>
      </c>
      <c r="AQ20" s="243">
        <f t="shared" si="20"/>
        <v>0.24073</v>
      </c>
      <c r="AR20" s="243"/>
      <c r="AS20" s="243"/>
      <c r="AT20" s="243">
        <f t="shared" si="21"/>
        <v>5.6800000000000002E-3</v>
      </c>
      <c r="AU20" s="243">
        <f t="shared" si="22"/>
        <v>9.2000000000000003E-4</v>
      </c>
      <c r="AV20" s="243">
        <f t="shared" si="23"/>
        <v>6.6E-3</v>
      </c>
      <c r="AW20" s="246">
        <f>[31]Temporaries!Q20</f>
        <v>0</v>
      </c>
      <c r="AX20" s="246">
        <f>SUM([31]Temporaries!K20:M20)</f>
        <v>4.0090000000000001E-2</v>
      </c>
      <c r="AY20" s="246">
        <f>SUM([31]Temporaries!N20:O20)</f>
        <v>7.2899999999999996E-3</v>
      </c>
      <c r="AZ20" s="245">
        <f>[31]Temporaries!R20</f>
        <v>5.0699999999999999E-3</v>
      </c>
      <c r="BA20" s="245">
        <f t="shared" si="24"/>
        <v>-0.12498000000000001</v>
      </c>
      <c r="BB20" s="255">
        <f>[31]Temporaries!P20</f>
        <v>-4.0000000000000002E-4</v>
      </c>
      <c r="BC20" s="245">
        <f>[31]Temporaries!S20</f>
        <v>0</v>
      </c>
      <c r="BD20" s="245">
        <f>[31]Temporaries!T20</f>
        <v>2.2000000000000001E-4</v>
      </c>
      <c r="BE20" s="245">
        <f>[31]Temporaries!U20</f>
        <v>1.3769999999999999E-2</v>
      </c>
      <c r="BF20" s="245">
        <v>0.24073</v>
      </c>
      <c r="BG20" s="245"/>
      <c r="BH20" s="244">
        <f t="shared" si="25"/>
        <v>0</v>
      </c>
      <c r="BI20" s="243">
        <f t="shared" si="26"/>
        <v>0.26630999999999999</v>
      </c>
      <c r="BJ20" s="243">
        <f t="shared" si="27"/>
        <v>9.6299999999999983E-2</v>
      </c>
    </row>
    <row r="21" spans="1:62" ht="20.85" customHeight="1" x14ac:dyDescent="0.25">
      <c r="A21" s="233">
        <f t="shared" si="0"/>
        <v>15</v>
      </c>
      <c r="B21" s="233" t="s">
        <v>63</v>
      </c>
      <c r="C21" s="261" t="s">
        <v>61</v>
      </c>
      <c r="D21" s="259">
        <v>0.14201</v>
      </c>
      <c r="E21" s="259">
        <v>-0.12498000000000001</v>
      </c>
      <c r="F21" s="259">
        <f>+' Increments  equal ¢ per therm'!H21</f>
        <v>-0.14299000000000001</v>
      </c>
      <c r="G21" s="259">
        <f>+' Increments  equal ¢ per therm'!K21</f>
        <v>-2.7019999999999999E-2</v>
      </c>
      <c r="H21" s="259">
        <f>+' Increments  equal ¢ per therm'!N21</f>
        <v>0</v>
      </c>
      <c r="I21" s="259">
        <f t="shared" si="1"/>
        <v>-0.17000999999999999</v>
      </c>
      <c r="J21" s="259">
        <f t="shared" si="2"/>
        <v>-4.5029999999999987E-2</v>
      </c>
      <c r="K21" s="243">
        <f>+'[9]Allocation = % of margin'!P21</f>
        <v>0</v>
      </c>
      <c r="L21" s="243">
        <f>+'[9]Allocation = % of margin'!S21</f>
        <v>0</v>
      </c>
      <c r="M21" s="243">
        <f>+'[9]Allocation = % of margin'!V21</f>
        <v>0</v>
      </c>
      <c r="N21" s="243">
        <f>+'[9]Allocation = % of margin'!Y21</f>
        <v>5.8500000000000002E-3</v>
      </c>
      <c r="O21" s="243">
        <f>+'[9]Allocation = % of margin'!AB21</f>
        <v>9.3999999999999997E-4</v>
      </c>
      <c r="P21" s="243">
        <f>'[9]Allocation = % of margin'!AE21</f>
        <v>-6.9999999999999994E-5</v>
      </c>
      <c r="Q21" s="243">
        <f>' Increments  equal ¢ per therm'!Q21</f>
        <v>0</v>
      </c>
      <c r="R21" s="243">
        <f>'[9]Allocation = % of margin'!AH21</f>
        <v>5.4200000000000003E-3</v>
      </c>
      <c r="S21" s="243">
        <f>' Increments  equal ¢ per therm'!T21</f>
        <v>3.5E-4</v>
      </c>
      <c r="T21" s="243">
        <f>'[9]Allocation = % of revenue'!M21</f>
        <v>1.0000000000000001E-5</v>
      </c>
      <c r="U21" s="243">
        <f>'[9]Allocation = % of margin'!AK21</f>
        <v>1.34E-2</v>
      </c>
      <c r="V21" s="243">
        <f>' Increments  equal ¢ per therm'!W21</f>
        <v>0.24073</v>
      </c>
      <c r="W21" s="243">
        <f t="shared" si="3"/>
        <v>9.6619999999999984E-2</v>
      </c>
      <c r="X21" s="243">
        <f t="shared" si="4"/>
        <v>-4.5390000000000014E-2</v>
      </c>
      <c r="Y21" s="243"/>
      <c r="Z21" s="248">
        <f t="shared" si="5"/>
        <v>9.6619999999999984E-2</v>
      </c>
      <c r="AA21" s="248">
        <f t="shared" si="6"/>
        <v>2.597E-2</v>
      </c>
      <c r="AB21" s="248">
        <f t="shared" si="7"/>
        <v>-0.14299000000000001</v>
      </c>
      <c r="AC21" s="248">
        <f t="shared" si="8"/>
        <v>-2.7019999999999999E-2</v>
      </c>
      <c r="AD21" s="248">
        <f t="shared" si="9"/>
        <v>0.26662999999999998</v>
      </c>
      <c r="AE21" s="248">
        <f t="shared" si="10"/>
        <v>9.6619999999999984E-2</v>
      </c>
      <c r="AF21" s="248">
        <f>[9]Permanents!G21</f>
        <v>0.37154000000000031</v>
      </c>
      <c r="AG21" s="247">
        <f t="shared" si="11"/>
        <v>0</v>
      </c>
      <c r="AH21" s="243">
        <f t="shared" si="12"/>
        <v>-0.17000999999999999</v>
      </c>
      <c r="AI21" s="243">
        <f t="shared" si="13"/>
        <v>0</v>
      </c>
      <c r="AJ21" s="243">
        <f t="shared" si="14"/>
        <v>5.4200000000000003E-3</v>
      </c>
      <c r="AK21" s="243">
        <f t="shared" si="15"/>
        <v>3.5E-4</v>
      </c>
      <c r="AL21" s="243">
        <f t="shared" si="16"/>
        <v>0</v>
      </c>
      <c r="AM21" s="243">
        <f t="shared" si="17"/>
        <v>-6.9999999999999994E-5</v>
      </c>
      <c r="AN21" s="243">
        <f t="shared" si="18"/>
        <v>1.0000000000000001E-5</v>
      </c>
      <c r="AO21" s="243">
        <f>[9]Permanents!F21</f>
        <v>6.9999999999999994E-5</v>
      </c>
      <c r="AP21" s="243">
        <f t="shared" si="19"/>
        <v>1.34E-2</v>
      </c>
      <c r="AQ21" s="243">
        <f t="shared" si="20"/>
        <v>0.24073</v>
      </c>
      <c r="AR21" s="243"/>
      <c r="AS21" s="243"/>
      <c r="AT21" s="243">
        <f t="shared" si="21"/>
        <v>5.8500000000000002E-3</v>
      </c>
      <c r="AU21" s="243">
        <f t="shared" si="22"/>
        <v>9.3999999999999997E-4</v>
      </c>
      <c r="AV21" s="243">
        <f t="shared" si="23"/>
        <v>6.79E-3</v>
      </c>
      <c r="AW21" s="246">
        <f>[31]Temporaries!Q21</f>
        <v>0</v>
      </c>
      <c r="AX21" s="246">
        <f>SUM([31]Temporaries!K21:M21)</f>
        <v>0</v>
      </c>
      <c r="AY21" s="246">
        <f>SUM([31]Temporaries!N21:O21)</f>
        <v>7.0800000000000004E-3</v>
      </c>
      <c r="AZ21" s="245">
        <f>[31]Temporaries!R21</f>
        <v>4.9300000000000004E-3</v>
      </c>
      <c r="BA21" s="245">
        <f t="shared" si="24"/>
        <v>-0.12498000000000001</v>
      </c>
      <c r="BB21" s="255">
        <f>[31]Temporaries!P21</f>
        <v>-3.8999999999999999E-4</v>
      </c>
      <c r="BC21" s="245">
        <f>[31]Temporaries!S21</f>
        <v>1.0300000000000001E-3</v>
      </c>
      <c r="BD21" s="245">
        <f>[31]Temporaries!T21</f>
        <v>2.1000000000000001E-4</v>
      </c>
      <c r="BE21" s="245">
        <f>[31]Temporaries!U21</f>
        <v>1.34E-2</v>
      </c>
      <c r="BF21" s="245">
        <v>0.24073</v>
      </c>
      <c r="BG21" s="245"/>
      <c r="BH21" s="244">
        <f t="shared" si="25"/>
        <v>0</v>
      </c>
      <c r="BI21" s="243">
        <f t="shared" si="26"/>
        <v>0.26662999999999998</v>
      </c>
      <c r="BJ21" s="243">
        <f t="shared" si="27"/>
        <v>9.6619999999999984E-2</v>
      </c>
    </row>
    <row r="22" spans="1:62" x14ac:dyDescent="0.25">
      <c r="A22" s="233">
        <f t="shared" si="0"/>
        <v>16</v>
      </c>
      <c r="B22" s="258"/>
      <c r="C22" s="260" t="s">
        <v>62</v>
      </c>
      <c r="D22" s="251">
        <v>0.13903999999999997</v>
      </c>
      <c r="E22" s="251">
        <v>-0.12498000000000001</v>
      </c>
      <c r="F22" s="251">
        <f>+' Increments  equal ¢ per therm'!H22</f>
        <v>-0.14299000000000001</v>
      </c>
      <c r="G22" s="251">
        <f>+' Increments  equal ¢ per therm'!K22</f>
        <v>-2.7019999999999999E-2</v>
      </c>
      <c r="H22" s="251">
        <f>+' Increments  equal ¢ per therm'!N22</f>
        <v>0</v>
      </c>
      <c r="I22" s="251">
        <f t="shared" si="1"/>
        <v>-0.17000999999999999</v>
      </c>
      <c r="J22" s="251">
        <f t="shared" si="2"/>
        <v>-4.5029999999999987E-2</v>
      </c>
      <c r="K22" s="249">
        <f>+'[9]Allocation = % of margin'!P22</f>
        <v>0</v>
      </c>
      <c r="L22" s="249">
        <f>+'[9]Allocation = % of margin'!S22</f>
        <v>0</v>
      </c>
      <c r="M22" s="249">
        <f>+'[9]Allocation = % of margin'!V22</f>
        <v>0</v>
      </c>
      <c r="N22" s="249">
        <f>+'[9]Allocation = % of margin'!Y22</f>
        <v>5.1500000000000001E-3</v>
      </c>
      <c r="O22" s="249">
        <f>+'[9]Allocation = % of margin'!AB22</f>
        <v>8.3000000000000001E-4</v>
      </c>
      <c r="P22" s="249">
        <f>'[9]Allocation = % of margin'!AE22</f>
        <v>-6.0000000000000002E-5</v>
      </c>
      <c r="Q22" s="249">
        <f>' Increments  equal ¢ per therm'!Q22</f>
        <v>0</v>
      </c>
      <c r="R22" s="249">
        <f>'[9]Allocation = % of margin'!AH22</f>
        <v>4.7800000000000004E-3</v>
      </c>
      <c r="S22" s="249">
        <f>' Increments  equal ¢ per therm'!T22</f>
        <v>3.5E-4</v>
      </c>
      <c r="T22" s="249">
        <f>'[9]Allocation = % of revenue'!M22</f>
        <v>1.0000000000000001E-5</v>
      </c>
      <c r="U22" s="249">
        <f>'[9]Allocation = % of margin'!AK22</f>
        <v>1.1809999999999999E-2</v>
      </c>
      <c r="V22" s="249">
        <f>' Increments  equal ¢ per therm'!W22</f>
        <v>0.24073</v>
      </c>
      <c r="W22" s="249">
        <f t="shared" si="3"/>
        <v>9.3590000000000007E-2</v>
      </c>
      <c r="X22" s="249">
        <f t="shared" si="4"/>
        <v>-4.5449999999999963E-2</v>
      </c>
      <c r="Y22" s="243"/>
      <c r="Z22" s="248">
        <f t="shared" si="5"/>
        <v>9.3590000000000007E-2</v>
      </c>
      <c r="AA22" s="248">
        <f t="shared" si="6"/>
        <v>2.2929999999999999E-2</v>
      </c>
      <c r="AB22" s="248">
        <f t="shared" si="7"/>
        <v>-0.14299000000000001</v>
      </c>
      <c r="AC22" s="248">
        <f t="shared" si="8"/>
        <v>-2.7019999999999999E-2</v>
      </c>
      <c r="AD22" s="248">
        <f t="shared" si="9"/>
        <v>0.2636</v>
      </c>
      <c r="AE22" s="248">
        <f t="shared" si="10"/>
        <v>9.3590000000000007E-2</v>
      </c>
      <c r="AF22" s="248">
        <f>[9]Permanents!G22</f>
        <v>0.32736999999999988</v>
      </c>
      <c r="AG22" s="247">
        <f t="shared" si="11"/>
        <v>0</v>
      </c>
      <c r="AH22" s="243">
        <f t="shared" si="12"/>
        <v>-0.17000999999999999</v>
      </c>
      <c r="AI22" s="243">
        <f t="shared" si="13"/>
        <v>0</v>
      </c>
      <c r="AJ22" s="243">
        <f t="shared" si="14"/>
        <v>4.7800000000000004E-3</v>
      </c>
      <c r="AK22" s="243">
        <f t="shared" si="15"/>
        <v>3.5E-4</v>
      </c>
      <c r="AL22" s="243">
        <f t="shared" si="16"/>
        <v>0</v>
      </c>
      <c r="AM22" s="243">
        <f t="shared" si="17"/>
        <v>-6.0000000000000002E-5</v>
      </c>
      <c r="AN22" s="243">
        <f t="shared" si="18"/>
        <v>1.0000000000000001E-5</v>
      </c>
      <c r="AO22" s="243">
        <f>[9]Permanents!F22</f>
        <v>6.0000000000000002E-5</v>
      </c>
      <c r="AP22" s="243">
        <f t="shared" si="19"/>
        <v>1.1809999999999999E-2</v>
      </c>
      <c r="AQ22" s="243">
        <f t="shared" si="20"/>
        <v>0.24073</v>
      </c>
      <c r="AR22" s="243"/>
      <c r="AS22" s="243"/>
      <c r="AT22" s="243">
        <f t="shared" si="21"/>
        <v>5.1500000000000001E-3</v>
      </c>
      <c r="AU22" s="243">
        <f t="shared" si="22"/>
        <v>8.3000000000000001E-4</v>
      </c>
      <c r="AV22" s="243">
        <f t="shared" si="23"/>
        <v>5.9800000000000001E-3</v>
      </c>
      <c r="AW22" s="246">
        <f>[31]Temporaries!Q22</f>
        <v>0</v>
      </c>
      <c r="AX22" s="246">
        <f>SUM([31]Temporaries!K22:M22)</f>
        <v>0</v>
      </c>
      <c r="AY22" s="246">
        <f>SUM([31]Temporaries!N22:O22)</f>
        <v>6.2399999999999999E-3</v>
      </c>
      <c r="AZ22" s="245">
        <f>[31]Temporaries!R22</f>
        <v>4.3400000000000001E-3</v>
      </c>
      <c r="BA22" s="245">
        <f t="shared" si="24"/>
        <v>-0.12498000000000001</v>
      </c>
      <c r="BB22" s="255">
        <f>[31]Temporaries!P22</f>
        <v>-3.4000000000000002E-4</v>
      </c>
      <c r="BC22" s="245">
        <f>[31]Temporaries!S22</f>
        <v>1.0300000000000001E-3</v>
      </c>
      <c r="BD22" s="245">
        <f>[31]Temporaries!T22</f>
        <v>2.1000000000000001E-4</v>
      </c>
      <c r="BE22" s="245">
        <f>[31]Temporaries!U22</f>
        <v>1.1809999999999999E-2</v>
      </c>
      <c r="BF22" s="245">
        <v>0.24073</v>
      </c>
      <c r="BG22" s="245"/>
      <c r="BH22" s="244">
        <f t="shared" si="25"/>
        <v>0</v>
      </c>
      <c r="BI22" s="243">
        <f t="shared" si="26"/>
        <v>0.2636</v>
      </c>
      <c r="BJ22" s="243">
        <f t="shared" si="27"/>
        <v>9.3590000000000007E-2</v>
      </c>
    </row>
    <row r="23" spans="1:62" x14ac:dyDescent="0.25">
      <c r="A23" s="233">
        <f t="shared" si="0"/>
        <v>17</v>
      </c>
      <c r="B23" s="233" t="s">
        <v>64</v>
      </c>
      <c r="C23" s="261" t="s">
        <v>61</v>
      </c>
      <c r="D23" s="259">
        <v>0.14699999999999999</v>
      </c>
      <c r="E23" s="259">
        <v>-0.16173000000000001</v>
      </c>
      <c r="F23" s="259">
        <f>+' Increments  equal ¢ per therm'!H23</f>
        <v>-0.14299000000000001</v>
      </c>
      <c r="G23" s="259">
        <f>+' Increments  equal ¢ per therm'!K23</f>
        <v>0</v>
      </c>
      <c r="H23" s="259">
        <f>+' Increments  equal ¢ per therm'!N23</f>
        <v>-3.1469999999999998E-2</v>
      </c>
      <c r="I23" s="259">
        <f t="shared" si="1"/>
        <v>-0.17446</v>
      </c>
      <c r="J23" s="259">
        <f t="shared" si="2"/>
        <v>-1.2729999999999991E-2</v>
      </c>
      <c r="K23" s="243">
        <f>+'[9]Allocation = % of margin'!P23</f>
        <v>4.233E-2</v>
      </c>
      <c r="L23" s="243">
        <f>+'[9]Allocation = % of margin'!S23</f>
        <v>-5.1999999999999995E-4</v>
      </c>
      <c r="M23" s="243">
        <f>+'[9]Allocation = % of margin'!V23</f>
        <v>0</v>
      </c>
      <c r="N23" s="243">
        <f>+'[9]Allocation = % of margin'!Y23</f>
        <v>6.0000000000000001E-3</v>
      </c>
      <c r="O23" s="243">
        <f>+'[9]Allocation = % of margin'!AB23</f>
        <v>9.7000000000000005E-4</v>
      </c>
      <c r="P23" s="243">
        <f>'[9]Allocation = % of margin'!AE23</f>
        <v>-6.9999999999999994E-5</v>
      </c>
      <c r="Q23" s="243">
        <f>' Increments  equal ¢ per therm'!Q23</f>
        <v>0</v>
      </c>
      <c r="R23" s="243">
        <f>'[9]Allocation = % of margin'!AH23</f>
        <v>5.7800000000000004E-3</v>
      </c>
      <c r="S23" s="243">
        <f>' Increments  equal ¢ per therm'!T23</f>
        <v>0</v>
      </c>
      <c r="T23" s="243">
        <f>'[9]Allocation = % of revenue'!M23</f>
        <v>0</v>
      </c>
      <c r="U23" s="243">
        <f>'[9]Allocation = % of margin'!AK23</f>
        <v>1.4829999999999999E-2</v>
      </c>
      <c r="V23" s="243">
        <f>' Increments  equal ¢ per therm'!W23</f>
        <v>0.24073</v>
      </c>
      <c r="W23" s="243">
        <f t="shared" si="3"/>
        <v>0.13558999999999999</v>
      </c>
      <c r="X23" s="243">
        <f t="shared" si="4"/>
        <v>-1.1410000000000003E-2</v>
      </c>
      <c r="Y23" s="243"/>
      <c r="Z23" s="248">
        <f t="shared" si="5"/>
        <v>9.3779999999999988E-2</v>
      </c>
      <c r="AA23" s="248">
        <f t="shared" si="6"/>
        <v>2.758E-2</v>
      </c>
      <c r="AB23" s="248">
        <f t="shared" si="7"/>
        <v>-0.14299000000000001</v>
      </c>
      <c r="AC23" s="248">
        <f t="shared" si="8"/>
        <v>-3.1469999999999998E-2</v>
      </c>
      <c r="AD23" s="248">
        <f t="shared" si="9"/>
        <v>0.31004999999999999</v>
      </c>
      <c r="AE23" s="248">
        <f t="shared" si="10"/>
        <v>0.13558999999999999</v>
      </c>
      <c r="AF23" s="248">
        <f>[9]Permanents!G23</f>
        <v>0.38460000000000016</v>
      </c>
      <c r="AG23" s="247">
        <f t="shared" si="11"/>
        <v>0</v>
      </c>
      <c r="AH23" s="243">
        <f t="shared" si="12"/>
        <v>-0.17446</v>
      </c>
      <c r="AI23" s="243">
        <f t="shared" si="13"/>
        <v>0</v>
      </c>
      <c r="AJ23" s="243">
        <f t="shared" si="14"/>
        <v>5.7800000000000004E-3</v>
      </c>
      <c r="AK23" s="243">
        <f t="shared" si="15"/>
        <v>0</v>
      </c>
      <c r="AL23" s="243">
        <f t="shared" si="16"/>
        <v>4.181E-2</v>
      </c>
      <c r="AM23" s="243">
        <f t="shared" si="17"/>
        <v>-6.9999999999999994E-5</v>
      </c>
      <c r="AN23" s="243">
        <f t="shared" si="18"/>
        <v>0</v>
      </c>
      <c r="AO23" s="243">
        <f>[9]Permanents!F23</f>
        <v>6.9999999999999994E-5</v>
      </c>
      <c r="AP23" s="243">
        <f t="shared" si="19"/>
        <v>1.4829999999999999E-2</v>
      </c>
      <c r="AQ23" s="243">
        <f t="shared" si="20"/>
        <v>0.24073</v>
      </c>
      <c r="AR23" s="243"/>
      <c r="AS23" s="243"/>
      <c r="AT23" s="243">
        <f t="shared" si="21"/>
        <v>6.0000000000000001E-3</v>
      </c>
      <c r="AU23" s="243">
        <f t="shared" si="22"/>
        <v>9.7000000000000005E-4</v>
      </c>
      <c r="AV23" s="243">
        <f t="shared" si="23"/>
        <v>6.9700000000000005E-3</v>
      </c>
      <c r="AW23" s="246">
        <f>[31]Temporaries!Q23</f>
        <v>0</v>
      </c>
      <c r="AX23" s="246">
        <f>SUM([31]Temporaries!K23:M23)</f>
        <v>4.0620000000000003E-2</v>
      </c>
      <c r="AY23" s="246">
        <f>SUM([31]Temporaries!N23:O23)</f>
        <v>7.5199999999999998E-3</v>
      </c>
      <c r="AZ23" s="245">
        <f>[31]Temporaries!R23</f>
        <v>5.4599999999999996E-3</v>
      </c>
      <c r="BA23" s="245">
        <f t="shared" si="24"/>
        <v>-0.16173000000000001</v>
      </c>
      <c r="BB23" s="255">
        <f>[31]Temporaries!P23</f>
        <v>-4.2999999999999999E-4</v>
      </c>
      <c r="BC23" s="245">
        <f>[31]Temporaries!S23</f>
        <v>0</v>
      </c>
      <c r="BD23" s="245">
        <f>[31]Temporaries!T23</f>
        <v>0</v>
      </c>
      <c r="BE23" s="245">
        <f>[31]Temporaries!U23</f>
        <v>1.4829999999999999E-2</v>
      </c>
      <c r="BF23" s="245">
        <v>0.24073</v>
      </c>
      <c r="BG23" s="245"/>
      <c r="BH23" s="244">
        <f t="shared" si="25"/>
        <v>0</v>
      </c>
      <c r="BI23" s="243">
        <f t="shared" si="26"/>
        <v>0.26824000000000003</v>
      </c>
      <c r="BJ23" s="243">
        <f t="shared" si="27"/>
        <v>9.3779999999999988E-2</v>
      </c>
    </row>
    <row r="24" spans="1:62" x14ac:dyDescent="0.25">
      <c r="A24" s="233">
        <f t="shared" si="0"/>
        <v>18</v>
      </c>
      <c r="B24" s="258"/>
      <c r="C24" s="260" t="s">
        <v>62</v>
      </c>
      <c r="D24" s="251">
        <v>0.13892999999999997</v>
      </c>
      <c r="E24" s="251">
        <v>-0.16173000000000001</v>
      </c>
      <c r="F24" s="251">
        <f>+' Increments  equal ¢ per therm'!H24</f>
        <v>-0.14299000000000001</v>
      </c>
      <c r="G24" s="251">
        <f>+' Increments  equal ¢ per therm'!K24</f>
        <v>0</v>
      </c>
      <c r="H24" s="251">
        <f>+' Increments  equal ¢ per therm'!N24</f>
        <v>-3.1469999999999998E-2</v>
      </c>
      <c r="I24" s="251">
        <f t="shared" si="1"/>
        <v>-0.17446</v>
      </c>
      <c r="J24" s="251">
        <f t="shared" si="2"/>
        <v>-1.2729999999999991E-2</v>
      </c>
      <c r="K24" s="249">
        <f>+'[9]Allocation = % of margin'!P24</f>
        <v>3.7289999999999997E-2</v>
      </c>
      <c r="L24" s="249">
        <f>+'[9]Allocation = % of margin'!S24</f>
        <v>-4.6000000000000001E-4</v>
      </c>
      <c r="M24" s="249">
        <f>+'[9]Allocation = % of margin'!V24</f>
        <v>0</v>
      </c>
      <c r="N24" s="249">
        <f>+'[9]Allocation = % of margin'!Y24</f>
        <v>5.28E-3</v>
      </c>
      <c r="O24" s="249">
        <f>+'[9]Allocation = % of margin'!AB24</f>
        <v>8.4999999999999995E-4</v>
      </c>
      <c r="P24" s="249">
        <f>'[9]Allocation = % of margin'!AE24</f>
        <v>-6.0000000000000002E-5</v>
      </c>
      <c r="Q24" s="249">
        <f>' Increments  equal ¢ per therm'!Q24</f>
        <v>0</v>
      </c>
      <c r="R24" s="249">
        <f>'[9]Allocation = % of margin'!AH24</f>
        <v>5.0899999999999999E-3</v>
      </c>
      <c r="S24" s="249">
        <f>' Increments  equal ¢ per therm'!T24</f>
        <v>0</v>
      </c>
      <c r="T24" s="249">
        <f>'[9]Allocation = % of revenue'!M24</f>
        <v>0</v>
      </c>
      <c r="U24" s="249">
        <f>'[9]Allocation = % of margin'!AK24</f>
        <v>1.307E-2</v>
      </c>
      <c r="V24" s="249">
        <f>' Increments  equal ¢ per therm'!W24</f>
        <v>0.24073</v>
      </c>
      <c r="W24" s="249">
        <f t="shared" si="3"/>
        <v>0.12733</v>
      </c>
      <c r="X24" s="249">
        <f t="shared" si="4"/>
        <v>-1.1599999999999971E-2</v>
      </c>
      <c r="Y24" s="243"/>
      <c r="Z24" s="248">
        <f t="shared" si="5"/>
        <v>9.0500000000000011E-2</v>
      </c>
      <c r="AA24" s="248">
        <f t="shared" si="6"/>
        <v>2.4289999999999999E-2</v>
      </c>
      <c r="AB24" s="248">
        <f t="shared" si="7"/>
        <v>-0.14299000000000001</v>
      </c>
      <c r="AC24" s="248">
        <f t="shared" si="8"/>
        <v>-3.1469999999999998E-2</v>
      </c>
      <c r="AD24" s="248">
        <f t="shared" si="9"/>
        <v>0.30179</v>
      </c>
      <c r="AE24" s="248">
        <f t="shared" si="10"/>
        <v>0.12733</v>
      </c>
      <c r="AF24" s="248">
        <f>[9]Permanents!G24</f>
        <v>0.33885999999999994</v>
      </c>
      <c r="AG24" s="247">
        <f t="shared" si="11"/>
        <v>0</v>
      </c>
      <c r="AH24" s="243">
        <f t="shared" si="12"/>
        <v>-0.17446</v>
      </c>
      <c r="AI24" s="243">
        <f t="shared" si="13"/>
        <v>0</v>
      </c>
      <c r="AJ24" s="243">
        <f t="shared" si="14"/>
        <v>5.0899999999999999E-3</v>
      </c>
      <c r="AK24" s="243">
        <f t="shared" si="15"/>
        <v>0</v>
      </c>
      <c r="AL24" s="243">
        <f t="shared" si="16"/>
        <v>3.6829999999999995E-2</v>
      </c>
      <c r="AM24" s="243">
        <f t="shared" si="17"/>
        <v>-6.0000000000000002E-5</v>
      </c>
      <c r="AN24" s="243">
        <f t="shared" si="18"/>
        <v>0</v>
      </c>
      <c r="AO24" s="243">
        <f>[9]Permanents!F24</f>
        <v>6.0000000000000002E-5</v>
      </c>
      <c r="AP24" s="243">
        <f t="shared" si="19"/>
        <v>1.307E-2</v>
      </c>
      <c r="AQ24" s="243">
        <f t="shared" si="20"/>
        <v>0.24073</v>
      </c>
      <c r="AR24" s="243"/>
      <c r="AS24" s="243"/>
      <c r="AT24" s="243">
        <f t="shared" si="21"/>
        <v>5.28E-3</v>
      </c>
      <c r="AU24" s="243">
        <f t="shared" si="22"/>
        <v>8.4999999999999995E-4</v>
      </c>
      <c r="AV24" s="243">
        <f t="shared" si="23"/>
        <v>6.13E-3</v>
      </c>
      <c r="AW24" s="246">
        <f>[31]Temporaries!Q24</f>
        <v>0</v>
      </c>
      <c r="AX24" s="246">
        <f>SUM([31]Temporaries!K24:M24)</f>
        <v>3.5799999999999998E-2</v>
      </c>
      <c r="AY24" s="246">
        <f>SUM([31]Temporaries!N24:O24)</f>
        <v>6.6300000000000005E-3</v>
      </c>
      <c r="AZ24" s="245">
        <f>[31]Temporaries!R24</f>
        <v>4.81E-3</v>
      </c>
      <c r="BA24" s="245">
        <f t="shared" si="24"/>
        <v>-0.16173000000000001</v>
      </c>
      <c r="BB24" s="255">
        <f>[31]Temporaries!P24</f>
        <v>-3.8000000000000002E-4</v>
      </c>
      <c r="BC24" s="245">
        <f>[31]Temporaries!S24</f>
        <v>0</v>
      </c>
      <c r="BD24" s="245">
        <f>[31]Temporaries!T24</f>
        <v>0</v>
      </c>
      <c r="BE24" s="245">
        <f>[31]Temporaries!U24</f>
        <v>1.307E-2</v>
      </c>
      <c r="BF24" s="245">
        <v>0.24073</v>
      </c>
      <c r="BG24" s="245"/>
      <c r="BH24" s="244">
        <f t="shared" si="25"/>
        <v>0</v>
      </c>
      <c r="BI24" s="243">
        <f t="shared" si="26"/>
        <v>0.26496000000000003</v>
      </c>
      <c r="BJ24" s="243">
        <f t="shared" si="27"/>
        <v>9.0500000000000011E-2</v>
      </c>
    </row>
    <row r="25" spans="1:62" x14ac:dyDescent="0.25">
      <c r="A25" s="233">
        <f t="shared" si="0"/>
        <v>19</v>
      </c>
      <c r="B25" s="233" t="s">
        <v>65</v>
      </c>
      <c r="C25" s="261" t="s">
        <v>61</v>
      </c>
      <c r="D25" s="259">
        <v>0.10593</v>
      </c>
      <c r="E25" s="259">
        <v>-0.16173000000000001</v>
      </c>
      <c r="F25" s="259">
        <f>+' Increments  equal ¢ per therm'!H25</f>
        <v>-0.14299000000000001</v>
      </c>
      <c r="G25" s="259">
        <f>+' Increments  equal ¢ per therm'!K25</f>
        <v>0</v>
      </c>
      <c r="H25" s="259">
        <f>+' Increments  equal ¢ per therm'!N25</f>
        <v>-3.1469999999999998E-2</v>
      </c>
      <c r="I25" s="259">
        <f t="shared" si="1"/>
        <v>-0.17446</v>
      </c>
      <c r="J25" s="259">
        <f t="shared" si="2"/>
        <v>-1.2729999999999991E-2</v>
      </c>
      <c r="K25" s="243">
        <f>+'[9]Allocation = % of margin'!P25</f>
        <v>0</v>
      </c>
      <c r="L25" s="243">
        <f>+'[9]Allocation = % of margin'!S25</f>
        <v>0</v>
      </c>
      <c r="M25" s="243">
        <f>+'[9]Allocation = % of margin'!V25</f>
        <v>0</v>
      </c>
      <c r="N25" s="243">
        <f>+'[9]Allocation = % of margin'!Y25</f>
        <v>5.6699999999999997E-3</v>
      </c>
      <c r="O25" s="243">
        <f>+'[9]Allocation = % of margin'!AB25</f>
        <v>9.1E-4</v>
      </c>
      <c r="P25" s="243">
        <f>'[9]Allocation = % of margin'!AE25</f>
        <v>-6.9999999999999994E-5</v>
      </c>
      <c r="Q25" s="243">
        <f>' Increments  equal ¢ per therm'!Q25</f>
        <v>0</v>
      </c>
      <c r="R25" s="243">
        <f>'[9]Allocation = % of margin'!AH25</f>
        <v>5.47E-3</v>
      </c>
      <c r="S25" s="243">
        <f>' Increments  equal ¢ per therm'!T25</f>
        <v>3.5E-4</v>
      </c>
      <c r="T25" s="243">
        <f>'[9]Allocation = % of revenue'!M25</f>
        <v>0</v>
      </c>
      <c r="U25" s="243">
        <f>'[9]Allocation = % of margin'!AK25</f>
        <v>1.4030000000000001E-2</v>
      </c>
      <c r="V25" s="243">
        <f>' Increments  equal ¢ per therm'!W25</f>
        <v>0.24073</v>
      </c>
      <c r="W25" s="243">
        <f t="shared" si="3"/>
        <v>9.262999999999999E-2</v>
      </c>
      <c r="X25" s="243">
        <f t="shared" si="4"/>
        <v>-1.3300000000000006E-2</v>
      </c>
      <c r="Y25" s="243"/>
      <c r="Z25" s="248">
        <f t="shared" si="5"/>
        <v>9.262999999999999E-2</v>
      </c>
      <c r="AA25" s="248">
        <f t="shared" si="6"/>
        <v>2.6430000000000002E-2</v>
      </c>
      <c r="AB25" s="248">
        <f t="shared" si="7"/>
        <v>-0.14299000000000001</v>
      </c>
      <c r="AC25" s="248">
        <f t="shared" si="8"/>
        <v>-3.1469999999999998E-2</v>
      </c>
      <c r="AD25" s="248">
        <f t="shared" si="9"/>
        <v>0.26708999999999999</v>
      </c>
      <c r="AE25" s="248">
        <f t="shared" si="10"/>
        <v>9.262999999999999E-2</v>
      </c>
      <c r="AF25" s="248">
        <f>[9]Permanents!G25</f>
        <v>0.36384999999999995</v>
      </c>
      <c r="AG25" s="247">
        <f t="shared" si="11"/>
        <v>0</v>
      </c>
      <c r="AH25" s="243">
        <f t="shared" si="12"/>
        <v>-0.17446</v>
      </c>
      <c r="AI25" s="243">
        <f t="shared" si="13"/>
        <v>0</v>
      </c>
      <c r="AJ25" s="243">
        <f t="shared" si="14"/>
        <v>5.47E-3</v>
      </c>
      <c r="AK25" s="243">
        <f t="shared" si="15"/>
        <v>3.5E-4</v>
      </c>
      <c r="AL25" s="243">
        <f t="shared" si="16"/>
        <v>0</v>
      </c>
      <c r="AM25" s="243">
        <f t="shared" si="17"/>
        <v>-6.9999999999999994E-5</v>
      </c>
      <c r="AN25" s="243">
        <f t="shared" si="18"/>
        <v>0</v>
      </c>
      <c r="AO25" s="243">
        <f>[9]Permanents!F25</f>
        <v>6.9999999999999994E-5</v>
      </c>
      <c r="AP25" s="243">
        <f t="shared" si="19"/>
        <v>1.4030000000000001E-2</v>
      </c>
      <c r="AQ25" s="243">
        <f t="shared" si="20"/>
        <v>0.24073</v>
      </c>
      <c r="AR25" s="243"/>
      <c r="AS25" s="243"/>
      <c r="AT25" s="243">
        <f t="shared" si="21"/>
        <v>5.6699999999999997E-3</v>
      </c>
      <c r="AU25" s="243">
        <f t="shared" si="22"/>
        <v>9.1E-4</v>
      </c>
      <c r="AV25" s="243">
        <f t="shared" si="23"/>
        <v>6.5799999999999999E-3</v>
      </c>
      <c r="AW25" s="246">
        <f>[31]Temporaries!Q25</f>
        <v>0</v>
      </c>
      <c r="AX25" s="246">
        <f>SUM([31]Temporaries!K25:M25)</f>
        <v>0</v>
      </c>
      <c r="AY25" s="246">
        <f>SUM([31]Temporaries!N25:O25)</f>
        <v>7.1199999999999996E-3</v>
      </c>
      <c r="AZ25" s="245">
        <f>[31]Temporaries!R25</f>
        <v>5.1599999999999997E-3</v>
      </c>
      <c r="BA25" s="245">
        <f t="shared" si="24"/>
        <v>-0.16173000000000001</v>
      </c>
      <c r="BB25" s="255">
        <f>[31]Temporaries!P25</f>
        <v>-4.0999999999999999E-4</v>
      </c>
      <c r="BC25" s="245">
        <f>[31]Temporaries!S25</f>
        <v>1.0300000000000001E-3</v>
      </c>
      <c r="BD25" s="245">
        <f>[31]Temporaries!T25</f>
        <v>0</v>
      </c>
      <c r="BE25" s="245">
        <f>[31]Temporaries!U25</f>
        <v>1.4030000000000001E-2</v>
      </c>
      <c r="BF25" s="245">
        <v>0.24073</v>
      </c>
      <c r="BG25" s="245"/>
      <c r="BH25" s="244">
        <f t="shared" si="25"/>
        <v>0</v>
      </c>
      <c r="BI25" s="243">
        <f t="shared" si="26"/>
        <v>0.26708999999999999</v>
      </c>
      <c r="BJ25" s="243">
        <f t="shared" si="27"/>
        <v>9.262999999999999E-2</v>
      </c>
    </row>
    <row r="26" spans="1:62" x14ac:dyDescent="0.25">
      <c r="A26" s="233">
        <f t="shared" si="0"/>
        <v>20</v>
      </c>
      <c r="B26" s="258"/>
      <c r="C26" s="260" t="s">
        <v>62</v>
      </c>
      <c r="D26" s="251">
        <v>0.10284999999999997</v>
      </c>
      <c r="E26" s="251">
        <v>-0.16173000000000001</v>
      </c>
      <c r="F26" s="251">
        <f>+' Increments  equal ¢ per therm'!H26</f>
        <v>-0.14299000000000001</v>
      </c>
      <c r="G26" s="251">
        <f>+' Increments  equal ¢ per therm'!K26</f>
        <v>0</v>
      </c>
      <c r="H26" s="251">
        <f>+' Increments  equal ¢ per therm'!N26</f>
        <v>-3.1469999999999998E-2</v>
      </c>
      <c r="I26" s="251">
        <f t="shared" si="1"/>
        <v>-0.17446</v>
      </c>
      <c r="J26" s="251">
        <f t="shared" si="2"/>
        <v>-1.2729999999999991E-2</v>
      </c>
      <c r="K26" s="249">
        <f>+'[9]Allocation = % of margin'!P26</f>
        <v>0</v>
      </c>
      <c r="L26" s="249">
        <f>+'[9]Allocation = % of margin'!S26</f>
        <v>0</v>
      </c>
      <c r="M26" s="249">
        <f>+'[9]Allocation = % of margin'!V26</f>
        <v>0</v>
      </c>
      <c r="N26" s="249">
        <f>+'[9]Allocation = % of margin'!Y26</f>
        <v>5.0000000000000001E-3</v>
      </c>
      <c r="O26" s="249">
        <f>+'[9]Allocation = % of margin'!AB26</f>
        <v>8.0999999999999996E-4</v>
      </c>
      <c r="P26" s="249">
        <f>'[9]Allocation = % of margin'!AE26</f>
        <v>-6.0000000000000002E-5</v>
      </c>
      <c r="Q26" s="249">
        <f>' Increments  equal ¢ per therm'!Q26</f>
        <v>0</v>
      </c>
      <c r="R26" s="249">
        <f>'[9]Allocation = % of margin'!AH26</f>
        <v>4.8199999999999996E-3</v>
      </c>
      <c r="S26" s="249">
        <f>' Increments  equal ¢ per therm'!T26</f>
        <v>3.5E-4</v>
      </c>
      <c r="T26" s="249">
        <f>'[9]Allocation = % of revenue'!M26</f>
        <v>0</v>
      </c>
      <c r="U26" s="249">
        <f>'[9]Allocation = % of margin'!AK26</f>
        <v>1.2359999999999999E-2</v>
      </c>
      <c r="V26" s="249">
        <f>' Increments  equal ¢ per therm'!W26</f>
        <v>0.24073</v>
      </c>
      <c r="W26" s="249">
        <f t="shared" si="3"/>
        <v>8.9550000000000018E-2</v>
      </c>
      <c r="X26" s="249">
        <f t="shared" si="4"/>
        <v>-1.3299999999999951E-2</v>
      </c>
      <c r="Y26" s="243"/>
      <c r="Z26" s="248">
        <f t="shared" si="5"/>
        <v>8.9550000000000018E-2</v>
      </c>
      <c r="AA26" s="248">
        <f t="shared" si="6"/>
        <v>2.334E-2</v>
      </c>
      <c r="AB26" s="248">
        <f t="shared" si="7"/>
        <v>-0.14299000000000001</v>
      </c>
      <c r="AC26" s="248">
        <f t="shared" si="8"/>
        <v>-3.1469999999999998E-2</v>
      </c>
      <c r="AD26" s="248">
        <f t="shared" si="9"/>
        <v>0.26401000000000002</v>
      </c>
      <c r="AE26" s="248">
        <f t="shared" si="10"/>
        <v>8.9550000000000018E-2</v>
      </c>
      <c r="AF26" s="248">
        <f>[9]Permanents!G26</f>
        <v>0.32056000000000001</v>
      </c>
      <c r="AG26" s="247">
        <f t="shared" si="11"/>
        <v>0</v>
      </c>
      <c r="AH26" s="243">
        <f t="shared" si="12"/>
        <v>-0.17446</v>
      </c>
      <c r="AI26" s="243">
        <f t="shared" si="13"/>
        <v>0</v>
      </c>
      <c r="AJ26" s="243">
        <f t="shared" si="14"/>
        <v>4.8199999999999996E-3</v>
      </c>
      <c r="AK26" s="243">
        <f t="shared" si="15"/>
        <v>3.5E-4</v>
      </c>
      <c r="AL26" s="243">
        <f t="shared" si="16"/>
        <v>0</v>
      </c>
      <c r="AM26" s="243">
        <f t="shared" si="17"/>
        <v>-6.0000000000000002E-5</v>
      </c>
      <c r="AN26" s="243">
        <f t="shared" si="18"/>
        <v>0</v>
      </c>
      <c r="AO26" s="243">
        <f>[9]Permanents!F26</f>
        <v>6.0000000000000002E-5</v>
      </c>
      <c r="AP26" s="243">
        <f t="shared" si="19"/>
        <v>1.2359999999999999E-2</v>
      </c>
      <c r="AQ26" s="243">
        <f t="shared" si="20"/>
        <v>0.24073</v>
      </c>
      <c r="AR26" s="243"/>
      <c r="AS26" s="243"/>
      <c r="AT26" s="243">
        <f t="shared" si="21"/>
        <v>5.0000000000000001E-3</v>
      </c>
      <c r="AU26" s="243">
        <f t="shared" si="22"/>
        <v>8.0999999999999996E-4</v>
      </c>
      <c r="AV26" s="243">
        <f t="shared" si="23"/>
        <v>5.8100000000000001E-3</v>
      </c>
      <c r="AW26" s="246">
        <f>[31]Temporaries!Q26</f>
        <v>0</v>
      </c>
      <c r="AX26" s="246">
        <f>SUM([31]Temporaries!K26:M26)</f>
        <v>0</v>
      </c>
      <c r="AY26" s="246">
        <f>SUM([31]Temporaries!N26:O26)</f>
        <v>6.2700000000000004E-3</v>
      </c>
      <c r="AZ26" s="245">
        <f>[31]Temporaries!R26</f>
        <v>4.5500000000000002E-3</v>
      </c>
      <c r="BA26" s="245">
        <f t="shared" si="24"/>
        <v>-0.16173000000000001</v>
      </c>
      <c r="BB26" s="255">
        <f>[31]Temporaries!P26</f>
        <v>-3.6000000000000002E-4</v>
      </c>
      <c r="BC26" s="245">
        <f>[31]Temporaries!S26</f>
        <v>1.0300000000000001E-3</v>
      </c>
      <c r="BD26" s="245">
        <f>[31]Temporaries!T26</f>
        <v>0</v>
      </c>
      <c r="BE26" s="245">
        <f>[31]Temporaries!U26</f>
        <v>1.2359999999999999E-2</v>
      </c>
      <c r="BF26" s="245">
        <v>0.24073</v>
      </c>
      <c r="BG26" s="245"/>
      <c r="BH26" s="244">
        <f t="shared" si="25"/>
        <v>0</v>
      </c>
      <c r="BI26" s="243">
        <f t="shared" si="26"/>
        <v>0.26401000000000002</v>
      </c>
      <c r="BJ26" s="243">
        <f t="shared" si="27"/>
        <v>8.9550000000000018E-2</v>
      </c>
    </row>
    <row r="27" spans="1:62" x14ac:dyDescent="0.25">
      <c r="A27" s="233">
        <f t="shared" si="0"/>
        <v>21</v>
      </c>
      <c r="B27" s="233" t="s">
        <v>66</v>
      </c>
      <c r="C27" s="261" t="s">
        <v>61</v>
      </c>
      <c r="D27" s="259">
        <v>0.26258999999999999</v>
      </c>
      <c r="E27" s="259">
        <v>0</v>
      </c>
      <c r="F27" s="259">
        <f>+' Increments  equal ¢ per therm'!H27</f>
        <v>0</v>
      </c>
      <c r="G27" s="259">
        <f>+' Increments  equal ¢ per therm'!K27</f>
        <v>0</v>
      </c>
      <c r="H27" s="259">
        <f>+' Increments  equal ¢ per therm'!N27</f>
        <v>0</v>
      </c>
      <c r="I27" s="259">
        <f t="shared" si="1"/>
        <v>0</v>
      </c>
      <c r="J27" s="259">
        <f t="shared" si="2"/>
        <v>0</v>
      </c>
      <c r="K27" s="243">
        <f>+'[9]Allocation = % of margin'!P27</f>
        <v>0</v>
      </c>
      <c r="L27" s="243">
        <f>+'[9]Allocation = % of margin'!S27</f>
        <v>0</v>
      </c>
      <c r="M27" s="243">
        <f>+'[9]Allocation = % of margin'!V27</f>
        <v>0</v>
      </c>
      <c r="N27" s="243">
        <f>+'[9]Allocation = % of margin'!Y27</f>
        <v>0</v>
      </c>
      <c r="O27" s="243">
        <f>+'[9]Allocation = % of margin'!AB27</f>
        <v>0</v>
      </c>
      <c r="P27" s="243">
        <f>'[9]Allocation = % of margin'!AE27</f>
        <v>-8.0000000000000007E-5</v>
      </c>
      <c r="Q27" s="243">
        <f>' Increments  equal ¢ per therm'!Q27</f>
        <v>0</v>
      </c>
      <c r="R27" s="243">
        <f>'[9]Allocation = % of margin'!AH27</f>
        <v>6.1599999999999997E-3</v>
      </c>
      <c r="S27" s="243">
        <f>' Increments  equal ¢ per therm'!T27</f>
        <v>3.5E-4</v>
      </c>
      <c r="T27" s="243">
        <f>'[9]Allocation = % of revenue'!M27</f>
        <v>1.0000000000000001E-5</v>
      </c>
      <c r="U27" s="243">
        <f>'[9]Allocation = % of margin'!AK27</f>
        <v>1.5440000000000001E-2</v>
      </c>
      <c r="V27" s="243">
        <f>' Increments  equal ¢ per therm'!W27</f>
        <v>0.24073</v>
      </c>
      <c r="W27" s="243">
        <f t="shared" si="3"/>
        <v>0.26261000000000001</v>
      </c>
      <c r="X27" s="243">
        <f t="shared" si="4"/>
        <v>2.0000000000020002E-5</v>
      </c>
      <c r="Y27" s="243"/>
      <c r="Z27" s="248">
        <f t="shared" si="5"/>
        <v>0.26261000000000001</v>
      </c>
      <c r="AA27" s="248">
        <f t="shared" si="6"/>
        <v>2.196E-2</v>
      </c>
      <c r="AB27" s="248">
        <f t="shared" si="7"/>
        <v>0</v>
      </c>
      <c r="AC27" s="248">
        <f t="shared" si="8"/>
        <v>0</v>
      </c>
      <c r="AD27" s="248">
        <f t="shared" si="9"/>
        <v>0.26261000000000001</v>
      </c>
      <c r="AE27" s="248">
        <f t="shared" si="10"/>
        <v>0.26261000000000001</v>
      </c>
      <c r="AF27" s="248">
        <f>[9]Permanents!G27</f>
        <v>0.37784999999999996</v>
      </c>
      <c r="AG27" s="247">
        <f t="shared" si="11"/>
        <v>0</v>
      </c>
      <c r="AH27" s="243">
        <f t="shared" si="12"/>
        <v>0</v>
      </c>
      <c r="AI27" s="243">
        <f t="shared" si="13"/>
        <v>0</v>
      </c>
      <c r="AJ27" s="243">
        <f t="shared" si="14"/>
        <v>6.1599999999999997E-3</v>
      </c>
      <c r="AK27" s="243">
        <f t="shared" si="15"/>
        <v>3.5E-4</v>
      </c>
      <c r="AL27" s="243">
        <f t="shared" si="16"/>
        <v>0</v>
      </c>
      <c r="AM27" s="243">
        <f t="shared" si="17"/>
        <v>-8.0000000000000007E-5</v>
      </c>
      <c r="AN27" s="243">
        <f t="shared" si="18"/>
        <v>1.0000000000000001E-5</v>
      </c>
      <c r="AO27" s="243">
        <f>[9]Permanents!F27</f>
        <v>0</v>
      </c>
      <c r="AP27" s="243">
        <f t="shared" si="19"/>
        <v>1.5440000000000001E-2</v>
      </c>
      <c r="AQ27" s="243">
        <f t="shared" si="20"/>
        <v>0.24073</v>
      </c>
      <c r="AR27" s="243"/>
      <c r="AS27" s="243"/>
      <c r="AT27" s="243">
        <f t="shared" si="21"/>
        <v>0</v>
      </c>
      <c r="AU27" s="243">
        <f t="shared" si="22"/>
        <v>0</v>
      </c>
      <c r="AV27" s="243">
        <f t="shared" si="23"/>
        <v>0</v>
      </c>
      <c r="AW27" s="246">
        <f>[31]Temporaries!Q27</f>
        <v>0</v>
      </c>
      <c r="AX27" s="246">
        <f>SUM([31]Temporaries!K27:M27)</f>
        <v>0</v>
      </c>
      <c r="AY27" s="246">
        <f>SUM([31]Temporaries!N27:O27)</f>
        <v>0</v>
      </c>
      <c r="AZ27" s="245">
        <f>[31]Temporaries!R27</f>
        <v>5.6899999999999997E-3</v>
      </c>
      <c r="BA27" s="245">
        <f t="shared" si="24"/>
        <v>0</v>
      </c>
      <c r="BB27" s="255">
        <f>[31]Temporaries!P27</f>
        <v>-4.4999999999999999E-4</v>
      </c>
      <c r="BC27" s="245">
        <f>[31]Temporaries!S27</f>
        <v>1.0300000000000001E-3</v>
      </c>
      <c r="BD27" s="245">
        <f>[31]Temporaries!T27</f>
        <v>1.4999999999999999E-4</v>
      </c>
      <c r="BE27" s="245">
        <f>[31]Temporaries!U27</f>
        <v>1.5440000000000001E-2</v>
      </c>
      <c r="BF27" s="245">
        <v>0.24073</v>
      </c>
      <c r="BG27" s="245"/>
      <c r="BH27" s="244">
        <f t="shared" si="25"/>
        <v>0</v>
      </c>
      <c r="BI27" s="243">
        <f t="shared" si="26"/>
        <v>0.26261000000000001</v>
      </c>
      <c r="BJ27" s="243">
        <f t="shared" si="27"/>
        <v>0.26261000000000001</v>
      </c>
    </row>
    <row r="28" spans="1:62" x14ac:dyDescent="0.25">
      <c r="A28" s="233">
        <f t="shared" si="0"/>
        <v>22</v>
      </c>
      <c r="B28" s="258"/>
      <c r="C28" s="260" t="s">
        <v>62</v>
      </c>
      <c r="D28" s="251">
        <v>0.26011000000000001</v>
      </c>
      <c r="E28" s="251">
        <v>0</v>
      </c>
      <c r="F28" s="251">
        <f>+' Increments  equal ¢ per therm'!H28</f>
        <v>0</v>
      </c>
      <c r="G28" s="251">
        <f>+' Increments  equal ¢ per therm'!K28</f>
        <v>0</v>
      </c>
      <c r="H28" s="251">
        <f>+' Increments  equal ¢ per therm'!N28</f>
        <v>0</v>
      </c>
      <c r="I28" s="251">
        <f t="shared" si="1"/>
        <v>0</v>
      </c>
      <c r="J28" s="251">
        <f t="shared" si="2"/>
        <v>0</v>
      </c>
      <c r="K28" s="249">
        <f>+'[9]Allocation = % of margin'!P28</f>
        <v>0</v>
      </c>
      <c r="L28" s="249">
        <f>+'[9]Allocation = % of margin'!S28</f>
        <v>0</v>
      </c>
      <c r="M28" s="249">
        <f>+'[9]Allocation = % of margin'!V28</f>
        <v>0</v>
      </c>
      <c r="N28" s="249">
        <f>+'[9]Allocation = % of margin'!Y28</f>
        <v>0</v>
      </c>
      <c r="O28" s="249">
        <f>+'[9]Allocation = % of margin'!AB28</f>
        <v>0</v>
      </c>
      <c r="P28" s="249">
        <f>'[9]Allocation = % of margin'!AE28</f>
        <v>-6.9999999999999994E-5</v>
      </c>
      <c r="Q28" s="249">
        <f>' Increments  equal ¢ per therm'!Q28</f>
        <v>0</v>
      </c>
      <c r="R28" s="249">
        <f>'[9]Allocation = % of margin'!AH28</f>
        <v>5.4299999999999999E-3</v>
      </c>
      <c r="S28" s="249">
        <f>' Increments  equal ¢ per therm'!T28</f>
        <v>3.5E-4</v>
      </c>
      <c r="T28" s="249">
        <f>'[9]Allocation = % of revenue'!M28</f>
        <v>1.0000000000000001E-5</v>
      </c>
      <c r="U28" s="249">
        <f>'[9]Allocation = % of margin'!AK28</f>
        <v>1.3599999999999999E-2</v>
      </c>
      <c r="V28" s="249">
        <f>' Increments  equal ¢ per therm'!W28</f>
        <v>0.24073</v>
      </c>
      <c r="W28" s="249">
        <f t="shared" si="3"/>
        <v>0.26005</v>
      </c>
      <c r="X28" s="249">
        <f t="shared" si="4"/>
        <v>-6.0000000000004494E-5</v>
      </c>
      <c r="Y28" s="243"/>
      <c r="Z28" s="248">
        <f t="shared" si="5"/>
        <v>0.26005</v>
      </c>
      <c r="AA28" s="248">
        <f t="shared" si="6"/>
        <v>1.9389999999999998E-2</v>
      </c>
      <c r="AB28" s="248">
        <f t="shared" si="7"/>
        <v>0</v>
      </c>
      <c r="AC28" s="248">
        <f t="shared" si="8"/>
        <v>0</v>
      </c>
      <c r="AD28" s="248">
        <f t="shared" si="9"/>
        <v>0.26005</v>
      </c>
      <c r="AE28" s="248">
        <f t="shared" si="10"/>
        <v>0.26005</v>
      </c>
      <c r="AF28" s="248">
        <f>[9]Permanents!G28</f>
        <v>0.33291000000000004</v>
      </c>
      <c r="AG28" s="247">
        <f t="shared" si="11"/>
        <v>0</v>
      </c>
      <c r="AH28" s="243">
        <f t="shared" si="12"/>
        <v>0</v>
      </c>
      <c r="AI28" s="243">
        <f t="shared" si="13"/>
        <v>0</v>
      </c>
      <c r="AJ28" s="243">
        <f t="shared" si="14"/>
        <v>5.4299999999999999E-3</v>
      </c>
      <c r="AK28" s="243">
        <f t="shared" si="15"/>
        <v>3.5E-4</v>
      </c>
      <c r="AL28" s="243">
        <f t="shared" si="16"/>
        <v>0</v>
      </c>
      <c r="AM28" s="243">
        <f t="shared" si="17"/>
        <v>-6.9999999999999994E-5</v>
      </c>
      <c r="AN28" s="243">
        <f t="shared" si="18"/>
        <v>1.0000000000000001E-5</v>
      </c>
      <c r="AO28" s="243">
        <f>[9]Permanents!F28</f>
        <v>0</v>
      </c>
      <c r="AP28" s="243">
        <f t="shared" si="19"/>
        <v>1.3599999999999999E-2</v>
      </c>
      <c r="AQ28" s="243">
        <f t="shared" si="20"/>
        <v>0.24073</v>
      </c>
      <c r="AR28" s="243"/>
      <c r="AS28" s="243"/>
      <c r="AT28" s="243">
        <f t="shared" si="21"/>
        <v>0</v>
      </c>
      <c r="AU28" s="243">
        <f t="shared" si="22"/>
        <v>0</v>
      </c>
      <c r="AV28" s="243">
        <f t="shared" si="23"/>
        <v>0</v>
      </c>
      <c r="AW28" s="246">
        <f>[31]Temporaries!Q28</f>
        <v>0</v>
      </c>
      <c r="AX28" s="246">
        <f>SUM([31]Temporaries!K28:M28)</f>
        <v>0</v>
      </c>
      <c r="AY28" s="246">
        <f>SUM([31]Temporaries!N28:O28)</f>
        <v>0</v>
      </c>
      <c r="AZ28" s="245">
        <f>[31]Temporaries!R28</f>
        <v>5.0099999999999997E-3</v>
      </c>
      <c r="BA28" s="245">
        <f t="shared" si="24"/>
        <v>0</v>
      </c>
      <c r="BB28" s="255">
        <f>[31]Temporaries!P28</f>
        <v>-4.0000000000000002E-4</v>
      </c>
      <c r="BC28" s="245">
        <f>[31]Temporaries!S28</f>
        <v>1.0300000000000001E-3</v>
      </c>
      <c r="BD28" s="245">
        <f>[31]Temporaries!T28</f>
        <v>1.3999999999999999E-4</v>
      </c>
      <c r="BE28" s="245">
        <f>[31]Temporaries!U28</f>
        <v>1.3599999999999999E-2</v>
      </c>
      <c r="BF28" s="245">
        <v>0.24073</v>
      </c>
      <c r="BG28" s="245"/>
      <c r="BH28" s="244">
        <f t="shared" si="25"/>
        <v>0</v>
      </c>
      <c r="BI28" s="243">
        <f t="shared" si="26"/>
        <v>0.26005</v>
      </c>
      <c r="BJ28" s="243">
        <f t="shared" si="27"/>
        <v>0.26005</v>
      </c>
    </row>
    <row r="29" spans="1:62" x14ac:dyDescent="0.25">
      <c r="A29" s="233">
        <f t="shared" si="0"/>
        <v>23</v>
      </c>
      <c r="B29" s="263" t="s">
        <v>163</v>
      </c>
      <c r="C29" s="261" t="s">
        <v>61</v>
      </c>
      <c r="D29" s="256">
        <v>0.26074999999999998</v>
      </c>
      <c r="E29" s="256">
        <v>0</v>
      </c>
      <c r="F29" s="259">
        <f>+' Increments  equal ¢ per therm'!H29</f>
        <v>0</v>
      </c>
      <c r="G29" s="259">
        <f>+' Increments  equal ¢ per therm'!K29</f>
        <v>0</v>
      </c>
      <c r="H29" s="259">
        <f>+' Increments  equal ¢ per therm'!N29</f>
        <v>0</v>
      </c>
      <c r="I29" s="259">
        <f t="shared" si="1"/>
        <v>0</v>
      </c>
      <c r="J29" s="259">
        <f t="shared" si="2"/>
        <v>0</v>
      </c>
      <c r="K29" s="243">
        <f>+'[9]Allocation = % of margin'!P29</f>
        <v>0</v>
      </c>
      <c r="L29" s="243">
        <f>+'[9]Allocation = % of margin'!S29</f>
        <v>0</v>
      </c>
      <c r="M29" s="243">
        <f>+'[9]Allocation = % of margin'!V29</f>
        <v>0</v>
      </c>
      <c r="N29" s="243">
        <f>+'[9]Allocation = % of margin'!Y29</f>
        <v>0</v>
      </c>
      <c r="O29" s="243">
        <f>+'[9]Allocation = % of margin'!AB29</f>
        <v>0</v>
      </c>
      <c r="P29" s="243">
        <f>'[9]Allocation = % of margin'!AE29</f>
        <v>-6.9999999999999994E-5</v>
      </c>
      <c r="Q29" s="243">
        <f>' Increments  equal ¢ per therm'!Q29</f>
        <v>0</v>
      </c>
      <c r="R29" s="243">
        <f>'[9]Allocation = % of margin'!AH29</f>
        <v>5.5300000000000002E-3</v>
      </c>
      <c r="S29" s="243">
        <f>' Increments  equal ¢ per therm'!T29</f>
        <v>3.5E-4</v>
      </c>
      <c r="T29" s="243">
        <f>'[9]Allocation = % of revenue'!M29</f>
        <v>0</v>
      </c>
      <c r="U29" s="243">
        <f>'[9]Allocation = % of margin'!AK29</f>
        <v>1.418E-2</v>
      </c>
      <c r="V29" s="243">
        <f>' Increments  equal ¢ per therm'!W29</f>
        <v>0.24073</v>
      </c>
      <c r="W29" s="243">
        <f t="shared" si="3"/>
        <v>0.26072000000000001</v>
      </c>
      <c r="X29" s="243">
        <f t="shared" si="4"/>
        <v>-2.9999999999974492E-5</v>
      </c>
      <c r="Y29" s="243"/>
      <c r="Z29" s="248">
        <f t="shared" si="5"/>
        <v>0.26072000000000001</v>
      </c>
      <c r="AA29" s="248">
        <f t="shared" si="6"/>
        <v>2.0060000000000001E-2</v>
      </c>
      <c r="AB29" s="248">
        <f t="shared" si="7"/>
        <v>0</v>
      </c>
      <c r="AC29" s="248">
        <f t="shared" si="8"/>
        <v>0</v>
      </c>
      <c r="AD29" s="248">
        <f t="shared" si="9"/>
        <v>0.26072000000000001</v>
      </c>
      <c r="AE29" s="248">
        <f t="shared" si="10"/>
        <v>0.26072000000000001</v>
      </c>
      <c r="AF29" s="248">
        <f>[9]Permanents!G29</f>
        <v>0.36781000000000003</v>
      </c>
      <c r="AG29" s="247">
        <f t="shared" si="11"/>
        <v>0</v>
      </c>
      <c r="AH29" s="243">
        <f t="shared" si="12"/>
        <v>0</v>
      </c>
      <c r="AI29" s="243">
        <f t="shared" si="13"/>
        <v>0</v>
      </c>
      <c r="AJ29" s="243">
        <f t="shared" si="14"/>
        <v>5.5300000000000002E-3</v>
      </c>
      <c r="AK29" s="243">
        <f t="shared" si="15"/>
        <v>3.5E-4</v>
      </c>
      <c r="AL29" s="243">
        <f t="shared" si="16"/>
        <v>0</v>
      </c>
      <c r="AM29" s="243">
        <f t="shared" si="17"/>
        <v>-6.9999999999999994E-5</v>
      </c>
      <c r="AN29" s="243">
        <f t="shared" si="18"/>
        <v>0</v>
      </c>
      <c r="AO29" s="243">
        <f>[9]Permanents!F29</f>
        <v>0</v>
      </c>
      <c r="AP29" s="243">
        <f t="shared" si="19"/>
        <v>1.418E-2</v>
      </c>
      <c r="AQ29" s="243">
        <f t="shared" si="20"/>
        <v>0.24073</v>
      </c>
      <c r="AR29" s="243"/>
      <c r="AS29" s="243"/>
      <c r="AT29" s="243">
        <f t="shared" si="21"/>
        <v>0</v>
      </c>
      <c r="AU29" s="243">
        <f t="shared" si="22"/>
        <v>0</v>
      </c>
      <c r="AV29" s="243">
        <f t="shared" si="23"/>
        <v>0</v>
      </c>
      <c r="AW29" s="246">
        <f>[31]Temporaries!Q29</f>
        <v>0</v>
      </c>
      <c r="AX29" s="246">
        <f>SUM([31]Temporaries!K29:M29)</f>
        <v>0</v>
      </c>
      <c r="AY29" s="246">
        <f>SUM([31]Temporaries!N29:O29)</f>
        <v>0</v>
      </c>
      <c r="AZ29" s="245">
        <f>[31]Temporaries!R29</f>
        <v>5.2199999999999998E-3</v>
      </c>
      <c r="BA29" s="245">
        <f t="shared" si="24"/>
        <v>0</v>
      </c>
      <c r="BB29" s="255">
        <f>[31]Temporaries!P29</f>
        <v>-4.0999999999999999E-4</v>
      </c>
      <c r="BC29" s="245">
        <f>[31]Temporaries!S29</f>
        <v>1.0300000000000001E-3</v>
      </c>
      <c r="BD29" s="245">
        <f>[31]Temporaries!T29</f>
        <v>0</v>
      </c>
      <c r="BE29" s="245">
        <f>[31]Temporaries!U29</f>
        <v>1.418E-2</v>
      </c>
      <c r="BF29" s="245">
        <v>0.24073</v>
      </c>
      <c r="BG29" s="245"/>
      <c r="BH29" s="244">
        <f t="shared" si="25"/>
        <v>0</v>
      </c>
      <c r="BI29" s="243">
        <f t="shared" si="26"/>
        <v>0.26072000000000001</v>
      </c>
      <c r="BJ29" s="243">
        <f t="shared" si="27"/>
        <v>0.26072000000000001</v>
      </c>
    </row>
    <row r="30" spans="1:62" x14ac:dyDescent="0.25">
      <c r="A30" s="233">
        <f t="shared" si="0"/>
        <v>24</v>
      </c>
      <c r="B30" s="258"/>
      <c r="C30" s="260" t="s">
        <v>62</v>
      </c>
      <c r="D30" s="251">
        <v>0.25850000000000001</v>
      </c>
      <c r="E30" s="251">
        <v>0</v>
      </c>
      <c r="F30" s="251">
        <f>+' Increments  equal ¢ per therm'!H30</f>
        <v>0</v>
      </c>
      <c r="G30" s="251">
        <f>+' Increments  equal ¢ per therm'!K30</f>
        <v>0</v>
      </c>
      <c r="H30" s="251">
        <f>+' Increments  equal ¢ per therm'!N30</f>
        <v>0</v>
      </c>
      <c r="I30" s="251">
        <f t="shared" si="1"/>
        <v>0</v>
      </c>
      <c r="J30" s="251">
        <f t="shared" si="2"/>
        <v>0</v>
      </c>
      <c r="K30" s="249">
        <f>+'[9]Allocation = % of margin'!P30</f>
        <v>0</v>
      </c>
      <c r="L30" s="249">
        <f>+'[9]Allocation = % of margin'!S30</f>
        <v>0</v>
      </c>
      <c r="M30" s="249">
        <f>+'[9]Allocation = % of margin'!V30</f>
        <v>0</v>
      </c>
      <c r="N30" s="249">
        <f>+'[9]Allocation = % of margin'!Y30</f>
        <v>0</v>
      </c>
      <c r="O30" s="249">
        <f>+'[9]Allocation = % of margin'!AB30</f>
        <v>0</v>
      </c>
      <c r="P30" s="249">
        <f>'[9]Allocation = % of margin'!AE30</f>
        <v>-6.0000000000000002E-5</v>
      </c>
      <c r="Q30" s="249">
        <f>' Increments  equal ¢ per therm'!Q30</f>
        <v>0</v>
      </c>
      <c r="R30" s="249">
        <f>'[9]Allocation = % of margin'!AH30</f>
        <v>4.8700000000000002E-3</v>
      </c>
      <c r="S30" s="249">
        <f>' Increments  equal ¢ per therm'!T30</f>
        <v>3.5E-4</v>
      </c>
      <c r="T30" s="249">
        <f>'[9]Allocation = % of revenue'!M30</f>
        <v>0</v>
      </c>
      <c r="U30" s="249">
        <f>'[9]Allocation = % of margin'!AK30</f>
        <v>1.2500000000000001E-2</v>
      </c>
      <c r="V30" s="249">
        <f>' Increments  equal ¢ per therm'!W30</f>
        <v>0.24073</v>
      </c>
      <c r="W30" s="249">
        <f t="shared" si="3"/>
        <v>0.25839000000000001</v>
      </c>
      <c r="X30" s="249">
        <f t="shared" si="4"/>
        <v>-1.0999999999999899E-4</v>
      </c>
      <c r="Y30" s="243"/>
      <c r="Z30" s="248">
        <f t="shared" si="5"/>
        <v>0.25839000000000001</v>
      </c>
      <c r="AA30" s="248">
        <f t="shared" si="6"/>
        <v>1.772E-2</v>
      </c>
      <c r="AB30" s="248">
        <f t="shared" si="7"/>
        <v>0</v>
      </c>
      <c r="AC30" s="248">
        <f t="shared" si="8"/>
        <v>0</v>
      </c>
      <c r="AD30" s="248">
        <f t="shared" si="9"/>
        <v>0.25839000000000001</v>
      </c>
      <c r="AE30" s="248">
        <f t="shared" si="10"/>
        <v>0.25839000000000001</v>
      </c>
      <c r="AF30" s="248">
        <f>[9]Permanents!G30</f>
        <v>0.32406000000000013</v>
      </c>
      <c r="AG30" s="247">
        <f t="shared" si="11"/>
        <v>0</v>
      </c>
      <c r="AH30" s="243">
        <f t="shared" si="12"/>
        <v>0</v>
      </c>
      <c r="AI30" s="243">
        <f t="shared" si="13"/>
        <v>0</v>
      </c>
      <c r="AJ30" s="243">
        <f t="shared" si="14"/>
        <v>4.8700000000000002E-3</v>
      </c>
      <c r="AK30" s="243">
        <f t="shared" si="15"/>
        <v>3.5E-4</v>
      </c>
      <c r="AL30" s="243">
        <f t="shared" si="16"/>
        <v>0</v>
      </c>
      <c r="AM30" s="243">
        <f t="shared" si="17"/>
        <v>-6.0000000000000002E-5</v>
      </c>
      <c r="AN30" s="243">
        <f t="shared" si="18"/>
        <v>0</v>
      </c>
      <c r="AO30" s="243">
        <f>[9]Permanents!F30</f>
        <v>0</v>
      </c>
      <c r="AP30" s="243">
        <f t="shared" si="19"/>
        <v>1.2500000000000001E-2</v>
      </c>
      <c r="AQ30" s="243">
        <f t="shared" si="20"/>
        <v>0.24073</v>
      </c>
      <c r="AR30" s="243"/>
      <c r="AS30" s="243"/>
      <c r="AT30" s="243">
        <f t="shared" si="21"/>
        <v>0</v>
      </c>
      <c r="AU30" s="243">
        <f t="shared" si="22"/>
        <v>0</v>
      </c>
      <c r="AV30" s="243">
        <f t="shared" si="23"/>
        <v>0</v>
      </c>
      <c r="AW30" s="246">
        <f>[31]Temporaries!Q30</f>
        <v>0</v>
      </c>
      <c r="AX30" s="246">
        <f>SUM([31]Temporaries!K30:M30)</f>
        <v>0</v>
      </c>
      <c r="AY30" s="246">
        <f>SUM([31]Temporaries!N30:O30)</f>
        <v>0</v>
      </c>
      <c r="AZ30" s="245">
        <f>[31]Temporaries!R30</f>
        <v>4.5999999999999999E-3</v>
      </c>
      <c r="BA30" s="245">
        <f t="shared" si="24"/>
        <v>0</v>
      </c>
      <c r="BB30" s="255">
        <f>[31]Temporaries!P30</f>
        <v>-3.6000000000000002E-4</v>
      </c>
      <c r="BC30" s="245">
        <f>[31]Temporaries!S30</f>
        <v>1.0300000000000001E-3</v>
      </c>
      <c r="BD30" s="245">
        <f>[31]Temporaries!T30</f>
        <v>0</v>
      </c>
      <c r="BE30" s="245">
        <f>[31]Temporaries!U30</f>
        <v>1.2500000000000001E-2</v>
      </c>
      <c r="BF30" s="245">
        <v>0.24073</v>
      </c>
      <c r="BG30" s="245"/>
      <c r="BH30" s="244">
        <f t="shared" si="25"/>
        <v>0</v>
      </c>
      <c r="BI30" s="243">
        <f t="shared" si="26"/>
        <v>0.25839000000000001</v>
      </c>
      <c r="BJ30" s="243">
        <f t="shared" si="27"/>
        <v>0.25839000000000001</v>
      </c>
    </row>
    <row r="31" spans="1:62" x14ac:dyDescent="0.25">
      <c r="A31" s="233">
        <f t="shared" si="0"/>
        <v>25</v>
      </c>
      <c r="B31" s="233" t="s">
        <v>68</v>
      </c>
      <c r="C31" s="261" t="s">
        <v>61</v>
      </c>
      <c r="D31" s="259">
        <v>0.15741999999999998</v>
      </c>
      <c r="E31" s="259">
        <v>-0.12498000000000001</v>
      </c>
      <c r="F31" s="259">
        <f>+' Increments  equal ¢ per therm'!H31</f>
        <v>-0.14299000000000001</v>
      </c>
      <c r="G31" s="259">
        <f>+' Increments  equal ¢ per therm'!K31</f>
        <v>-2.7019999999999999E-2</v>
      </c>
      <c r="H31" s="259">
        <f>+' Increments  equal ¢ per therm'!N31</f>
        <v>0</v>
      </c>
      <c r="I31" s="259">
        <f t="shared" si="1"/>
        <v>-0.17000999999999999</v>
      </c>
      <c r="J31" s="259">
        <f t="shared" si="2"/>
        <v>-4.5029999999999987E-2</v>
      </c>
      <c r="K31" s="243">
        <f>+'[9]Allocation = % of margin'!P31</f>
        <v>2.5569999999999999E-2</v>
      </c>
      <c r="L31" s="243">
        <f>+'[9]Allocation = % of margin'!S31</f>
        <v>-3.2000000000000003E-4</v>
      </c>
      <c r="M31" s="243">
        <f>+'[9]Allocation = % of margin'!V31</f>
        <v>0</v>
      </c>
      <c r="N31" s="243">
        <f>+'[9]Allocation = % of margin'!Y31</f>
        <v>3.5599999999999998E-3</v>
      </c>
      <c r="O31" s="243">
        <f>+'[9]Allocation = % of margin'!AB31</f>
        <v>5.6999999999999998E-4</v>
      </c>
      <c r="P31" s="243">
        <f>'[9]Allocation = % of margin'!AE31</f>
        <v>-4.0000000000000003E-5</v>
      </c>
      <c r="Q31" s="243">
        <f>' Increments  equal ¢ per therm'!Q31</f>
        <v>0</v>
      </c>
      <c r="R31" s="243">
        <f>'[9]Allocation = % of margin'!AH31</f>
        <v>3.3999999999999998E-3</v>
      </c>
      <c r="S31" s="243">
        <f>' Increments  equal ¢ per therm'!T31</f>
        <v>0</v>
      </c>
      <c r="T31" s="243">
        <f>'[9]Allocation = % of revenue'!M31</f>
        <v>1.0000000000000001E-5</v>
      </c>
      <c r="U31" s="243">
        <f>'[9]Allocation = % of margin'!AK31</f>
        <v>8.6899999999999998E-3</v>
      </c>
      <c r="V31" s="243">
        <f>' Increments  equal ¢ per therm'!W31</f>
        <v>0.24073</v>
      </c>
      <c r="W31" s="243">
        <f t="shared" si="3"/>
        <v>0.11216000000000004</v>
      </c>
      <c r="X31" s="243">
        <f t="shared" si="4"/>
        <v>-4.5259999999999939E-2</v>
      </c>
      <c r="Y31" s="243"/>
      <c r="Z31" s="248">
        <f t="shared" si="5"/>
        <v>8.6910000000000043E-2</v>
      </c>
      <c r="AA31" s="248">
        <f t="shared" si="6"/>
        <v>1.6230000000000001E-2</v>
      </c>
      <c r="AB31" s="248">
        <f t="shared" si="7"/>
        <v>-0.14299000000000001</v>
      </c>
      <c r="AC31" s="248">
        <f t="shared" si="8"/>
        <v>-2.7019999999999999E-2</v>
      </c>
      <c r="AD31" s="248">
        <f t="shared" si="9"/>
        <v>0.28217000000000003</v>
      </c>
      <c r="AE31" s="248">
        <f t="shared" si="10"/>
        <v>0.11216000000000004</v>
      </c>
      <c r="AF31" s="248">
        <f>[9]Permanents!G31</f>
        <v>0.20613999999999982</v>
      </c>
      <c r="AG31" s="247">
        <f t="shared" si="11"/>
        <v>0</v>
      </c>
      <c r="AH31" s="243">
        <f t="shared" si="12"/>
        <v>-0.17000999999999999</v>
      </c>
      <c r="AI31" s="243">
        <f t="shared" si="13"/>
        <v>0</v>
      </c>
      <c r="AJ31" s="243">
        <f t="shared" si="14"/>
        <v>3.3999999999999998E-3</v>
      </c>
      <c r="AK31" s="243">
        <f t="shared" si="15"/>
        <v>0</v>
      </c>
      <c r="AL31" s="243">
        <f t="shared" si="16"/>
        <v>2.5249999999999998E-2</v>
      </c>
      <c r="AM31" s="243">
        <f t="shared" si="17"/>
        <v>-4.0000000000000003E-5</v>
      </c>
      <c r="AN31" s="243">
        <f t="shared" si="18"/>
        <v>1.0000000000000001E-5</v>
      </c>
      <c r="AO31" s="243">
        <f>[9]Permanents!F31</f>
        <v>4.0000000000000003E-5</v>
      </c>
      <c r="AP31" s="243">
        <f t="shared" si="19"/>
        <v>8.6899999999999998E-3</v>
      </c>
      <c r="AQ31" s="243">
        <f t="shared" si="20"/>
        <v>0.24073</v>
      </c>
      <c r="AR31" s="243"/>
      <c r="AS31" s="243"/>
      <c r="AT31" s="243">
        <f t="shared" si="21"/>
        <v>3.5599999999999998E-3</v>
      </c>
      <c r="AU31" s="243">
        <f t="shared" si="22"/>
        <v>5.6999999999999998E-4</v>
      </c>
      <c r="AV31" s="243">
        <f t="shared" si="23"/>
        <v>4.13E-3</v>
      </c>
      <c r="AW31" s="246">
        <f>[31]Temporaries!Q31</f>
        <v>0</v>
      </c>
      <c r="AX31" s="246">
        <f>SUM([31]Temporaries!K31:M31)</f>
        <v>2.529E-2</v>
      </c>
      <c r="AY31" s="246">
        <f>SUM([31]Temporaries!N31:O31)</f>
        <v>4.5899999999999995E-3</v>
      </c>
      <c r="AZ31" s="245">
        <f>[31]Temporaries!R31</f>
        <v>3.2000000000000002E-3</v>
      </c>
      <c r="BA31" s="245">
        <f t="shared" si="24"/>
        <v>-0.12498000000000001</v>
      </c>
      <c r="BB31" s="255">
        <f>[31]Temporaries!P31</f>
        <v>-2.5000000000000001E-4</v>
      </c>
      <c r="BC31" s="245">
        <f>[31]Temporaries!S31</f>
        <v>0</v>
      </c>
      <c r="BD31" s="245">
        <f>[31]Temporaries!T31</f>
        <v>1.4999999999999999E-4</v>
      </c>
      <c r="BE31" s="245">
        <f>[31]Temporaries!U31</f>
        <v>8.6899999999999998E-3</v>
      </c>
      <c r="BF31" s="245">
        <v>0.24073</v>
      </c>
      <c r="BG31" s="245"/>
      <c r="BH31" s="244">
        <f t="shared" si="25"/>
        <v>0</v>
      </c>
      <c r="BI31" s="243">
        <f t="shared" si="26"/>
        <v>0.25692000000000004</v>
      </c>
      <c r="BJ31" s="243">
        <f t="shared" si="27"/>
        <v>8.6910000000000043E-2</v>
      </c>
    </row>
    <row r="32" spans="1:62" x14ac:dyDescent="0.25">
      <c r="A32" s="233">
        <f t="shared" si="0"/>
        <v>26</v>
      </c>
      <c r="B32" s="233"/>
      <c r="C32" s="261" t="s">
        <v>62</v>
      </c>
      <c r="D32" s="259">
        <v>0.15304999999999999</v>
      </c>
      <c r="E32" s="259">
        <v>-0.12498000000000001</v>
      </c>
      <c r="F32" s="259">
        <f>+' Increments  equal ¢ per therm'!H32</f>
        <v>-0.14299000000000001</v>
      </c>
      <c r="G32" s="259">
        <f>+' Increments  equal ¢ per therm'!K32</f>
        <v>-2.7019999999999999E-2</v>
      </c>
      <c r="H32" s="259">
        <f>+' Increments  equal ¢ per therm'!N32</f>
        <v>0</v>
      </c>
      <c r="I32" s="259">
        <f t="shared" si="1"/>
        <v>-0.17000999999999999</v>
      </c>
      <c r="J32" s="259">
        <f t="shared" si="2"/>
        <v>-4.5029999999999987E-2</v>
      </c>
      <c r="K32" s="243">
        <f>+'[9]Allocation = % of margin'!P32</f>
        <v>2.2880000000000001E-2</v>
      </c>
      <c r="L32" s="243">
        <f>+'[9]Allocation = % of margin'!S32</f>
        <v>-2.7999999999999998E-4</v>
      </c>
      <c r="M32" s="243">
        <f>+'[9]Allocation = % of margin'!V32</f>
        <v>0</v>
      </c>
      <c r="N32" s="243">
        <f>+'[9]Allocation = % of margin'!Y32</f>
        <v>3.1900000000000001E-3</v>
      </c>
      <c r="O32" s="243">
        <f>+'[9]Allocation = % of margin'!AB32</f>
        <v>5.1000000000000004E-4</v>
      </c>
      <c r="P32" s="243">
        <f>'[9]Allocation = % of margin'!AE32</f>
        <v>-4.0000000000000003E-5</v>
      </c>
      <c r="Q32" s="243">
        <f>' Increments  equal ¢ per therm'!Q32</f>
        <v>0</v>
      </c>
      <c r="R32" s="243">
        <f>'[9]Allocation = % of margin'!AH32</f>
        <v>3.0400000000000002E-3</v>
      </c>
      <c r="S32" s="243">
        <f>' Increments  equal ¢ per therm'!T32</f>
        <v>0</v>
      </c>
      <c r="T32" s="243">
        <f>'[9]Allocation = % of revenue'!M32</f>
        <v>1.0000000000000001E-5</v>
      </c>
      <c r="U32" s="243">
        <f>'[9]Allocation = % of margin'!AK32</f>
        <v>7.7799999999999996E-3</v>
      </c>
      <c r="V32" s="243">
        <f>' Increments  equal ¢ per therm'!W32</f>
        <v>0.24073</v>
      </c>
      <c r="W32" s="243">
        <f t="shared" si="3"/>
        <v>0.10781000000000002</v>
      </c>
      <c r="X32" s="243">
        <f t="shared" si="4"/>
        <v>-4.5239999999999975E-2</v>
      </c>
      <c r="Y32" s="243"/>
      <c r="Z32" s="248">
        <f t="shared" si="5"/>
        <v>8.5210000000000022E-2</v>
      </c>
      <c r="AA32" s="248">
        <f t="shared" si="6"/>
        <v>1.453E-2</v>
      </c>
      <c r="AB32" s="248">
        <f t="shared" si="7"/>
        <v>-0.14299000000000001</v>
      </c>
      <c r="AC32" s="248">
        <f t="shared" si="8"/>
        <v>-2.7019999999999999E-2</v>
      </c>
      <c r="AD32" s="248">
        <f t="shared" si="9"/>
        <v>0.27782000000000001</v>
      </c>
      <c r="AE32" s="248">
        <f t="shared" si="10"/>
        <v>0.10781000000000002</v>
      </c>
      <c r="AF32" s="248">
        <f>[9]Permanents!G32</f>
        <v>0.18451999999999966</v>
      </c>
      <c r="AG32" s="247">
        <f t="shared" si="11"/>
        <v>0</v>
      </c>
      <c r="AH32" s="243">
        <f t="shared" si="12"/>
        <v>-0.17000999999999999</v>
      </c>
      <c r="AI32" s="243">
        <f t="shared" si="13"/>
        <v>0</v>
      </c>
      <c r="AJ32" s="243">
        <f t="shared" si="14"/>
        <v>3.0400000000000002E-3</v>
      </c>
      <c r="AK32" s="243">
        <f t="shared" si="15"/>
        <v>0</v>
      </c>
      <c r="AL32" s="243">
        <f t="shared" si="16"/>
        <v>2.2600000000000002E-2</v>
      </c>
      <c r="AM32" s="243">
        <f t="shared" si="17"/>
        <v>-4.0000000000000003E-5</v>
      </c>
      <c r="AN32" s="243">
        <f t="shared" si="18"/>
        <v>1.0000000000000001E-5</v>
      </c>
      <c r="AO32" s="243">
        <f>[9]Permanents!F32</f>
        <v>4.0000000000000003E-5</v>
      </c>
      <c r="AP32" s="243">
        <f t="shared" si="19"/>
        <v>7.7799999999999996E-3</v>
      </c>
      <c r="AQ32" s="243">
        <f t="shared" si="20"/>
        <v>0.24073</v>
      </c>
      <c r="AR32" s="243"/>
      <c r="AS32" s="243"/>
      <c r="AT32" s="243">
        <f t="shared" si="21"/>
        <v>3.1900000000000001E-3</v>
      </c>
      <c r="AU32" s="243">
        <f t="shared" si="22"/>
        <v>5.1000000000000004E-4</v>
      </c>
      <c r="AV32" s="243">
        <f t="shared" si="23"/>
        <v>3.7000000000000002E-3</v>
      </c>
      <c r="AW32" s="246">
        <f>[31]Temporaries!Q32</f>
        <v>0</v>
      </c>
      <c r="AX32" s="246">
        <f>SUM([31]Temporaries!K32:M32)</f>
        <v>2.264E-2</v>
      </c>
      <c r="AY32" s="246">
        <f>SUM([31]Temporaries!N32:O32)</f>
        <v>4.1099999999999999E-3</v>
      </c>
      <c r="AZ32" s="245">
        <f>[31]Temporaries!R32</f>
        <v>2.8600000000000001E-3</v>
      </c>
      <c r="BA32" s="245">
        <f t="shared" si="24"/>
        <v>-0.12498000000000001</v>
      </c>
      <c r="BB32" s="255">
        <f>[31]Temporaries!P32</f>
        <v>-2.3000000000000001E-4</v>
      </c>
      <c r="BC32" s="245">
        <f>[31]Temporaries!S32</f>
        <v>0</v>
      </c>
      <c r="BD32" s="245">
        <f>[31]Temporaries!T32</f>
        <v>1.3999999999999999E-4</v>
      </c>
      <c r="BE32" s="245">
        <f>[31]Temporaries!U32</f>
        <v>7.7799999999999996E-3</v>
      </c>
      <c r="BF32" s="245">
        <v>0.24073</v>
      </c>
      <c r="BG32" s="245"/>
      <c r="BH32" s="244">
        <f t="shared" si="25"/>
        <v>0</v>
      </c>
      <c r="BI32" s="243">
        <f t="shared" si="26"/>
        <v>0.25522</v>
      </c>
      <c r="BJ32" s="243">
        <f t="shared" si="27"/>
        <v>8.5210000000000022E-2</v>
      </c>
    </row>
    <row r="33" spans="1:62" x14ac:dyDescent="0.25">
      <c r="A33" s="233">
        <f t="shared" si="0"/>
        <v>27</v>
      </c>
      <c r="B33" s="233"/>
      <c r="C33" s="261" t="s">
        <v>69</v>
      </c>
      <c r="D33" s="259">
        <v>0.14438999999999999</v>
      </c>
      <c r="E33" s="259">
        <v>-0.12498000000000001</v>
      </c>
      <c r="F33" s="259">
        <f>+' Increments  equal ¢ per therm'!H33</f>
        <v>-0.14299000000000001</v>
      </c>
      <c r="G33" s="259">
        <f>+' Increments  equal ¢ per therm'!K33</f>
        <v>-2.7019999999999999E-2</v>
      </c>
      <c r="H33" s="259">
        <f>+' Increments  equal ¢ per therm'!N33</f>
        <v>0</v>
      </c>
      <c r="I33" s="259">
        <f t="shared" si="1"/>
        <v>-0.17000999999999999</v>
      </c>
      <c r="J33" s="259">
        <f t="shared" si="2"/>
        <v>-4.5029999999999987E-2</v>
      </c>
      <c r="K33" s="243">
        <f>+'[9]Allocation = % of margin'!P33</f>
        <v>1.755E-2</v>
      </c>
      <c r="L33" s="243">
        <f>+'[9]Allocation = % of margin'!S33</f>
        <v>-2.2000000000000001E-4</v>
      </c>
      <c r="M33" s="243">
        <f>+'[9]Allocation = % of margin'!V33</f>
        <v>0</v>
      </c>
      <c r="N33" s="243">
        <f>+'[9]Allocation = % of margin'!Y33</f>
        <v>2.4499999999999999E-3</v>
      </c>
      <c r="O33" s="243">
        <f>+'[9]Allocation = % of margin'!AB33</f>
        <v>3.8999999999999999E-4</v>
      </c>
      <c r="P33" s="243">
        <f>'[9]Allocation = % of margin'!AE33</f>
        <v>-3.0000000000000001E-5</v>
      </c>
      <c r="Q33" s="243">
        <f>' Increments  equal ¢ per therm'!Q33</f>
        <v>0</v>
      </c>
      <c r="R33" s="243">
        <f>'[9]Allocation = % of margin'!AH33</f>
        <v>2.33E-3</v>
      </c>
      <c r="S33" s="243">
        <f>' Increments  equal ¢ per therm'!T33</f>
        <v>0</v>
      </c>
      <c r="T33" s="243">
        <f>'[9]Allocation = % of revenue'!M33</f>
        <v>1.0000000000000001E-5</v>
      </c>
      <c r="U33" s="243">
        <f>'[9]Allocation = % of margin'!AK33</f>
        <v>5.9699999999999996E-3</v>
      </c>
      <c r="V33" s="243">
        <f>' Increments  equal ¢ per therm'!W33</f>
        <v>0.24073</v>
      </c>
      <c r="W33" s="243">
        <f t="shared" si="3"/>
        <v>9.916999999999998E-2</v>
      </c>
      <c r="X33" s="243">
        <f t="shared" si="4"/>
        <v>-4.522000000000001E-2</v>
      </c>
      <c r="Y33" s="243"/>
      <c r="Z33" s="248">
        <f t="shared" si="5"/>
        <v>8.1839999999999982E-2</v>
      </c>
      <c r="AA33" s="248">
        <f t="shared" si="6"/>
        <v>1.115E-2</v>
      </c>
      <c r="AB33" s="248">
        <f t="shared" si="7"/>
        <v>-0.14299000000000001</v>
      </c>
      <c r="AC33" s="248">
        <f t="shared" si="8"/>
        <v>-2.7019999999999999E-2</v>
      </c>
      <c r="AD33" s="248">
        <f t="shared" si="9"/>
        <v>0.26917999999999997</v>
      </c>
      <c r="AE33" s="248">
        <f t="shared" si="10"/>
        <v>9.916999999999998E-2</v>
      </c>
      <c r="AF33" s="248">
        <f>[9]Permanents!G33</f>
        <v>0.14152999999999993</v>
      </c>
      <c r="AG33" s="247">
        <f t="shared" si="11"/>
        <v>0</v>
      </c>
      <c r="AH33" s="243">
        <f t="shared" si="12"/>
        <v>-0.17000999999999999</v>
      </c>
      <c r="AI33" s="243">
        <f t="shared" si="13"/>
        <v>0</v>
      </c>
      <c r="AJ33" s="243">
        <f t="shared" si="14"/>
        <v>2.33E-3</v>
      </c>
      <c r="AK33" s="243">
        <f t="shared" si="15"/>
        <v>0</v>
      </c>
      <c r="AL33" s="243">
        <f t="shared" si="16"/>
        <v>1.7329999999999998E-2</v>
      </c>
      <c r="AM33" s="243">
        <f t="shared" si="17"/>
        <v>-3.0000000000000001E-5</v>
      </c>
      <c r="AN33" s="243">
        <f t="shared" si="18"/>
        <v>1.0000000000000001E-5</v>
      </c>
      <c r="AO33" s="243">
        <f>[9]Permanents!F33</f>
        <v>3.0000000000000001E-5</v>
      </c>
      <c r="AP33" s="243">
        <f t="shared" si="19"/>
        <v>5.9699999999999996E-3</v>
      </c>
      <c r="AQ33" s="243">
        <f t="shared" si="20"/>
        <v>0.24073</v>
      </c>
      <c r="AR33" s="243"/>
      <c r="AS33" s="243"/>
      <c r="AT33" s="243">
        <f t="shared" si="21"/>
        <v>2.4499999999999999E-3</v>
      </c>
      <c r="AU33" s="243">
        <f t="shared" si="22"/>
        <v>3.8999999999999999E-4</v>
      </c>
      <c r="AV33" s="243">
        <f t="shared" si="23"/>
        <v>2.8400000000000001E-3</v>
      </c>
      <c r="AW33" s="246">
        <f>[31]Temporaries!Q33</f>
        <v>0</v>
      </c>
      <c r="AX33" s="246">
        <f>SUM([31]Temporaries!K33:M33)</f>
        <v>1.7359999999999997E-2</v>
      </c>
      <c r="AY33" s="246">
        <f>SUM([31]Temporaries!N33:O33)</f>
        <v>3.15E-3</v>
      </c>
      <c r="AZ33" s="245">
        <f>[31]Temporaries!R33</f>
        <v>2.1900000000000001E-3</v>
      </c>
      <c r="BA33" s="245">
        <f t="shared" si="24"/>
        <v>-0.12498000000000001</v>
      </c>
      <c r="BB33" s="255">
        <f>[31]Temporaries!P33</f>
        <v>-1.7000000000000001E-4</v>
      </c>
      <c r="BC33" s="245">
        <f>[31]Temporaries!S33</f>
        <v>0</v>
      </c>
      <c r="BD33" s="245">
        <f>[31]Temporaries!T33</f>
        <v>1.3999999999999999E-4</v>
      </c>
      <c r="BE33" s="245">
        <f>[31]Temporaries!U33</f>
        <v>5.9699999999999996E-3</v>
      </c>
      <c r="BF33" s="245">
        <v>0.24073</v>
      </c>
      <c r="BG33" s="245"/>
      <c r="BH33" s="244">
        <f t="shared" si="25"/>
        <v>0</v>
      </c>
      <c r="BI33" s="243">
        <f t="shared" si="26"/>
        <v>0.25184999999999996</v>
      </c>
      <c r="BJ33" s="243">
        <f t="shared" si="27"/>
        <v>8.1839999999999982E-2</v>
      </c>
    </row>
    <row r="34" spans="1:62" x14ac:dyDescent="0.25">
      <c r="A34" s="233">
        <f t="shared" si="0"/>
        <v>28</v>
      </c>
      <c r="B34" s="233"/>
      <c r="C34" s="261" t="s">
        <v>70</v>
      </c>
      <c r="D34" s="259">
        <v>0.13869000000000001</v>
      </c>
      <c r="E34" s="259">
        <v>-0.12498000000000001</v>
      </c>
      <c r="F34" s="259">
        <f>+' Increments  equal ¢ per therm'!H34</f>
        <v>-0.14299000000000001</v>
      </c>
      <c r="G34" s="259">
        <f>+' Increments  equal ¢ per therm'!K34</f>
        <v>-2.7019999999999999E-2</v>
      </c>
      <c r="H34" s="259">
        <f>+' Increments  equal ¢ per therm'!N34</f>
        <v>0</v>
      </c>
      <c r="I34" s="259">
        <f t="shared" si="1"/>
        <v>-0.17000999999999999</v>
      </c>
      <c r="J34" s="259">
        <f t="shared" si="2"/>
        <v>-4.5029999999999987E-2</v>
      </c>
      <c r="K34" s="243">
        <f>+'[9]Allocation = % of margin'!P34</f>
        <v>1.404E-2</v>
      </c>
      <c r="L34" s="243">
        <f>+'[9]Allocation = % of margin'!S34</f>
        <v>-1.7000000000000001E-4</v>
      </c>
      <c r="M34" s="243">
        <f>+'[9]Allocation = % of margin'!V34</f>
        <v>0</v>
      </c>
      <c r="N34" s="243">
        <f>+'[9]Allocation = % of margin'!Y34</f>
        <v>1.9599999999999999E-3</v>
      </c>
      <c r="O34" s="243">
        <f>+'[9]Allocation = % of margin'!AB34</f>
        <v>3.2000000000000003E-4</v>
      </c>
      <c r="P34" s="243">
        <f>'[9]Allocation = % of margin'!AE34</f>
        <v>-2.0000000000000002E-5</v>
      </c>
      <c r="Q34" s="243">
        <f>' Increments  equal ¢ per therm'!Q34</f>
        <v>0</v>
      </c>
      <c r="R34" s="243">
        <f>'[9]Allocation = % of margin'!AH34</f>
        <v>1.8699999999999999E-3</v>
      </c>
      <c r="S34" s="243">
        <f>' Increments  equal ¢ per therm'!T34</f>
        <v>0</v>
      </c>
      <c r="T34" s="243">
        <f>'[9]Allocation = % of revenue'!M34</f>
        <v>1.0000000000000001E-5</v>
      </c>
      <c r="U34" s="243">
        <f>'[9]Allocation = % of margin'!AK34</f>
        <v>4.7699999999999999E-3</v>
      </c>
      <c r="V34" s="243">
        <f>' Increments  equal ¢ per therm'!W34</f>
        <v>0.24073</v>
      </c>
      <c r="W34" s="243">
        <f t="shared" si="3"/>
        <v>9.3500000000000028E-2</v>
      </c>
      <c r="X34" s="243">
        <f t="shared" si="4"/>
        <v>-4.518999999999998E-2</v>
      </c>
      <c r="Y34" s="243"/>
      <c r="Z34" s="248">
        <f t="shared" si="5"/>
        <v>7.9630000000000034E-2</v>
      </c>
      <c r="AA34" s="248">
        <f t="shared" si="6"/>
        <v>8.9300000000000004E-3</v>
      </c>
      <c r="AB34" s="248">
        <f t="shared" si="7"/>
        <v>-0.14299000000000001</v>
      </c>
      <c r="AC34" s="248">
        <f t="shared" si="8"/>
        <v>-2.7019999999999999E-2</v>
      </c>
      <c r="AD34" s="248">
        <f t="shared" si="9"/>
        <v>0.26351000000000002</v>
      </c>
      <c r="AE34" s="248">
        <f t="shared" si="10"/>
        <v>9.3500000000000028E-2</v>
      </c>
      <c r="AF34" s="248">
        <f>[9]Permanents!G34</f>
        <v>0.11320000000000026</v>
      </c>
      <c r="AG34" s="247">
        <f t="shared" si="11"/>
        <v>0</v>
      </c>
      <c r="AH34" s="243">
        <f t="shared" si="12"/>
        <v>-0.17000999999999999</v>
      </c>
      <c r="AI34" s="243">
        <f t="shared" si="13"/>
        <v>0</v>
      </c>
      <c r="AJ34" s="243">
        <f t="shared" si="14"/>
        <v>1.8699999999999999E-3</v>
      </c>
      <c r="AK34" s="243">
        <f t="shared" si="15"/>
        <v>0</v>
      </c>
      <c r="AL34" s="243">
        <f t="shared" si="16"/>
        <v>1.387E-2</v>
      </c>
      <c r="AM34" s="243">
        <f t="shared" si="17"/>
        <v>-2.0000000000000002E-5</v>
      </c>
      <c r="AN34" s="243">
        <f t="shared" si="18"/>
        <v>1.0000000000000001E-5</v>
      </c>
      <c r="AO34" s="243">
        <f>[9]Permanents!F34</f>
        <v>2.0000000000000002E-5</v>
      </c>
      <c r="AP34" s="243">
        <f t="shared" si="19"/>
        <v>4.7699999999999999E-3</v>
      </c>
      <c r="AQ34" s="243">
        <f t="shared" si="20"/>
        <v>0.24073</v>
      </c>
      <c r="AR34" s="243"/>
      <c r="AS34" s="243"/>
      <c r="AT34" s="243">
        <f t="shared" si="21"/>
        <v>1.9599999999999999E-3</v>
      </c>
      <c r="AU34" s="243">
        <f t="shared" si="22"/>
        <v>3.2000000000000003E-4</v>
      </c>
      <c r="AV34" s="243">
        <f t="shared" si="23"/>
        <v>2.2799999999999999E-3</v>
      </c>
      <c r="AW34" s="246">
        <f>[31]Temporaries!Q34</f>
        <v>0</v>
      </c>
      <c r="AX34" s="246">
        <f>SUM([31]Temporaries!K34:M34)</f>
        <v>1.3890000000000001E-2</v>
      </c>
      <c r="AY34" s="246">
        <f>SUM([31]Temporaries!N34:O34)</f>
        <v>2.5300000000000001E-3</v>
      </c>
      <c r="AZ34" s="245">
        <f>[31]Temporaries!R34</f>
        <v>1.7600000000000001E-3</v>
      </c>
      <c r="BA34" s="245">
        <f t="shared" si="24"/>
        <v>-0.12498000000000001</v>
      </c>
      <c r="BB34" s="255">
        <f>[31]Temporaries!P34</f>
        <v>-1.3999999999999999E-4</v>
      </c>
      <c r="BC34" s="245">
        <f>[31]Temporaries!S34</f>
        <v>0</v>
      </c>
      <c r="BD34" s="245">
        <f>[31]Temporaries!T34</f>
        <v>1.2999999999999999E-4</v>
      </c>
      <c r="BE34" s="245">
        <f>[31]Temporaries!U34</f>
        <v>4.7699999999999999E-3</v>
      </c>
      <c r="BF34" s="245">
        <v>0.24073</v>
      </c>
      <c r="BG34" s="245"/>
      <c r="BH34" s="244">
        <f t="shared" si="25"/>
        <v>0</v>
      </c>
      <c r="BI34" s="243">
        <f t="shared" si="26"/>
        <v>0.24964000000000003</v>
      </c>
      <c r="BJ34" s="243">
        <f t="shared" si="27"/>
        <v>7.9630000000000034E-2</v>
      </c>
    </row>
    <row r="35" spans="1:62" x14ac:dyDescent="0.25">
      <c r="A35" s="233">
        <f t="shared" si="0"/>
        <v>29</v>
      </c>
      <c r="B35" s="233"/>
      <c r="C35" s="261" t="s">
        <v>71</v>
      </c>
      <c r="D35" s="259">
        <v>0.13108</v>
      </c>
      <c r="E35" s="259">
        <v>-0.12498000000000001</v>
      </c>
      <c r="F35" s="259">
        <f>+' Increments  equal ¢ per therm'!H35</f>
        <v>-0.14299000000000001</v>
      </c>
      <c r="G35" s="259">
        <f>+' Increments  equal ¢ per therm'!K35</f>
        <v>-2.7019999999999999E-2</v>
      </c>
      <c r="H35" s="259">
        <f>+' Increments  equal ¢ per therm'!N35</f>
        <v>0</v>
      </c>
      <c r="I35" s="259">
        <f t="shared" si="1"/>
        <v>-0.17000999999999999</v>
      </c>
      <c r="J35" s="259">
        <f t="shared" si="2"/>
        <v>-4.5029999999999987E-2</v>
      </c>
      <c r="K35" s="243">
        <f>+'[9]Allocation = % of margin'!P35</f>
        <v>9.3600000000000003E-3</v>
      </c>
      <c r="L35" s="243">
        <f>+'[9]Allocation = % of margin'!S35</f>
        <v>-1.2E-4</v>
      </c>
      <c r="M35" s="243">
        <f>+'[9]Allocation = % of margin'!V35</f>
        <v>0</v>
      </c>
      <c r="N35" s="243">
        <f>+'[9]Allocation = % of margin'!Y35</f>
        <v>1.2999999999999999E-3</v>
      </c>
      <c r="O35" s="243">
        <f>+'[9]Allocation = % of margin'!AB35</f>
        <v>2.1000000000000001E-4</v>
      </c>
      <c r="P35" s="243">
        <f>'[9]Allocation = % of margin'!AE35</f>
        <v>-2.0000000000000002E-5</v>
      </c>
      <c r="Q35" s="243">
        <f>' Increments  equal ¢ per therm'!Q35</f>
        <v>0</v>
      </c>
      <c r="R35" s="243">
        <f>'[9]Allocation = % of margin'!AH35</f>
        <v>1.24E-3</v>
      </c>
      <c r="S35" s="243">
        <f>' Increments  equal ¢ per therm'!T35</f>
        <v>0</v>
      </c>
      <c r="T35" s="243">
        <f>'[9]Allocation = % of revenue'!M35</f>
        <v>1.0000000000000001E-5</v>
      </c>
      <c r="U35" s="243">
        <f>'[9]Allocation = % of margin'!AK35</f>
        <v>3.1800000000000001E-3</v>
      </c>
      <c r="V35" s="243">
        <f>' Increments  equal ¢ per therm'!W35</f>
        <v>0.24073</v>
      </c>
      <c r="W35" s="243">
        <f t="shared" si="3"/>
        <v>8.5880000000000012E-2</v>
      </c>
      <c r="X35" s="243">
        <f t="shared" si="4"/>
        <v>-4.519999999999999E-2</v>
      </c>
      <c r="Y35" s="243"/>
      <c r="Z35" s="248">
        <f t="shared" si="5"/>
        <v>7.664E-2</v>
      </c>
      <c r="AA35" s="248">
        <f t="shared" si="6"/>
        <v>5.94E-3</v>
      </c>
      <c r="AB35" s="248">
        <f t="shared" si="7"/>
        <v>-0.14299000000000001</v>
      </c>
      <c r="AC35" s="248">
        <f t="shared" si="8"/>
        <v>-2.7019999999999999E-2</v>
      </c>
      <c r="AD35" s="248">
        <f t="shared" si="9"/>
        <v>0.25589000000000001</v>
      </c>
      <c r="AE35" s="248">
        <f t="shared" si="10"/>
        <v>8.5880000000000012E-2</v>
      </c>
      <c r="AF35" s="248">
        <f>[9]Permanents!G35</f>
        <v>7.5470000000000009E-2</v>
      </c>
      <c r="AG35" s="247">
        <f t="shared" si="11"/>
        <v>0</v>
      </c>
      <c r="AH35" s="243">
        <f t="shared" si="12"/>
        <v>-0.17000999999999999</v>
      </c>
      <c r="AI35" s="243">
        <f t="shared" si="13"/>
        <v>0</v>
      </c>
      <c r="AJ35" s="243">
        <f t="shared" si="14"/>
        <v>1.24E-3</v>
      </c>
      <c r="AK35" s="243">
        <f t="shared" si="15"/>
        <v>0</v>
      </c>
      <c r="AL35" s="243">
        <f t="shared" si="16"/>
        <v>9.2399999999999999E-3</v>
      </c>
      <c r="AM35" s="243">
        <f t="shared" si="17"/>
        <v>-2.0000000000000002E-5</v>
      </c>
      <c r="AN35" s="243">
        <f t="shared" si="18"/>
        <v>1.0000000000000001E-5</v>
      </c>
      <c r="AO35" s="243">
        <f>[9]Permanents!F35</f>
        <v>2.0000000000000002E-5</v>
      </c>
      <c r="AP35" s="243">
        <f t="shared" si="19"/>
        <v>3.1800000000000001E-3</v>
      </c>
      <c r="AQ35" s="243">
        <f t="shared" si="20"/>
        <v>0.24073</v>
      </c>
      <c r="AR35" s="243"/>
      <c r="AS35" s="243"/>
      <c r="AT35" s="243">
        <f t="shared" si="21"/>
        <v>1.2999999999999999E-3</v>
      </c>
      <c r="AU35" s="243">
        <f t="shared" si="22"/>
        <v>2.1000000000000001E-4</v>
      </c>
      <c r="AV35" s="243">
        <f t="shared" si="23"/>
        <v>1.5100000000000001E-3</v>
      </c>
      <c r="AW35" s="246">
        <f>[31]Temporaries!Q35</f>
        <v>0</v>
      </c>
      <c r="AX35" s="246">
        <f>SUM([31]Temporaries!K35:M35)</f>
        <v>9.2599999999999991E-3</v>
      </c>
      <c r="AY35" s="246">
        <f>SUM([31]Temporaries!N35:O35)</f>
        <v>1.6800000000000001E-3</v>
      </c>
      <c r="AZ35" s="245">
        <f>[31]Temporaries!R35</f>
        <v>1.17E-3</v>
      </c>
      <c r="BA35" s="245">
        <f t="shared" si="24"/>
        <v>-0.12498000000000001</v>
      </c>
      <c r="BB35" s="255">
        <f>[31]Temporaries!P35</f>
        <v>-9.0000000000000006E-5</v>
      </c>
      <c r="BC35" s="245">
        <f>[31]Temporaries!S35</f>
        <v>0</v>
      </c>
      <c r="BD35" s="245">
        <f>[31]Temporaries!T35</f>
        <v>1.2999999999999999E-4</v>
      </c>
      <c r="BE35" s="245">
        <f>[31]Temporaries!U35</f>
        <v>3.1800000000000001E-3</v>
      </c>
      <c r="BF35" s="245">
        <v>0.24073</v>
      </c>
      <c r="BG35" s="245"/>
      <c r="BH35" s="244">
        <f t="shared" si="25"/>
        <v>0</v>
      </c>
      <c r="BI35" s="243">
        <f t="shared" si="26"/>
        <v>0.24665000000000001</v>
      </c>
      <c r="BJ35" s="243">
        <f t="shared" si="27"/>
        <v>7.664E-2</v>
      </c>
    </row>
    <row r="36" spans="1:62" x14ac:dyDescent="0.25">
      <c r="A36" s="233">
        <f t="shared" si="0"/>
        <v>30</v>
      </c>
      <c r="B36" s="258"/>
      <c r="C36" s="260" t="s">
        <v>72</v>
      </c>
      <c r="D36" s="251">
        <v>0.12156999999999998</v>
      </c>
      <c r="E36" s="251">
        <v>-0.12498000000000001</v>
      </c>
      <c r="F36" s="251">
        <f>+' Increments  equal ¢ per therm'!H36</f>
        <v>-0.14299000000000001</v>
      </c>
      <c r="G36" s="251">
        <f>+' Increments  equal ¢ per therm'!K36</f>
        <v>-2.7019999999999999E-2</v>
      </c>
      <c r="H36" s="251">
        <f>+' Increments  equal ¢ per therm'!N36</f>
        <v>0</v>
      </c>
      <c r="I36" s="251">
        <f t="shared" si="1"/>
        <v>-0.17000999999999999</v>
      </c>
      <c r="J36" s="251">
        <f t="shared" si="2"/>
        <v>-4.5029999999999987E-2</v>
      </c>
      <c r="K36" s="249">
        <f>+'[9]Allocation = % of margin'!P36</f>
        <v>3.5100000000000001E-3</v>
      </c>
      <c r="L36" s="249">
        <f>+'[9]Allocation = % of margin'!S36</f>
        <v>-4.0000000000000003E-5</v>
      </c>
      <c r="M36" s="249">
        <f>+'[9]Allocation = % of margin'!V36</f>
        <v>0</v>
      </c>
      <c r="N36" s="249">
        <f>+'[9]Allocation = % of margin'!Y36</f>
        <v>4.8999999999999998E-4</v>
      </c>
      <c r="O36" s="249">
        <f>+'[9]Allocation = % of margin'!AB36</f>
        <v>8.0000000000000007E-5</v>
      </c>
      <c r="P36" s="249">
        <f>'[9]Allocation = % of margin'!AE36</f>
        <v>-1.0000000000000001E-5</v>
      </c>
      <c r="Q36" s="249">
        <f>' Increments  equal ¢ per therm'!Q36</f>
        <v>0</v>
      </c>
      <c r="R36" s="249">
        <f>'[9]Allocation = % of margin'!AH36</f>
        <v>4.6999999999999999E-4</v>
      </c>
      <c r="S36" s="249">
        <f>' Increments  equal ¢ per therm'!T36</f>
        <v>0</v>
      </c>
      <c r="T36" s="249">
        <f>'[9]Allocation = % of revenue'!M36</f>
        <v>1.0000000000000001E-5</v>
      </c>
      <c r="U36" s="249">
        <f>'[9]Allocation = % of margin'!AK36</f>
        <v>1.1900000000000001E-3</v>
      </c>
      <c r="V36" s="249">
        <f>' Increments  equal ¢ per therm'!W36</f>
        <v>0.24073</v>
      </c>
      <c r="W36" s="249">
        <f t="shared" si="3"/>
        <v>7.6420000000000016E-2</v>
      </c>
      <c r="X36" s="249">
        <f t="shared" si="4"/>
        <v>-4.5149999999999968E-2</v>
      </c>
      <c r="Y36" s="243"/>
      <c r="Z36" s="248">
        <f t="shared" si="5"/>
        <v>7.2950000000000015E-2</v>
      </c>
      <c r="AA36" s="248">
        <f t="shared" si="6"/>
        <v>2.2399999999999998E-3</v>
      </c>
      <c r="AB36" s="248">
        <f t="shared" si="7"/>
        <v>-0.14299000000000001</v>
      </c>
      <c r="AC36" s="248">
        <f t="shared" si="8"/>
        <v>-2.7019999999999999E-2</v>
      </c>
      <c r="AD36" s="248">
        <f t="shared" si="9"/>
        <v>0.24643000000000001</v>
      </c>
      <c r="AE36" s="248">
        <f t="shared" si="10"/>
        <v>7.6420000000000016E-2</v>
      </c>
      <c r="AF36" s="248">
        <f>[9]Permanents!G36</f>
        <v>2.8290000000000103E-2</v>
      </c>
      <c r="AG36" s="247">
        <f t="shared" si="11"/>
        <v>0</v>
      </c>
      <c r="AH36" s="243">
        <f t="shared" si="12"/>
        <v>-0.17000999999999999</v>
      </c>
      <c r="AI36" s="243">
        <f t="shared" si="13"/>
        <v>0</v>
      </c>
      <c r="AJ36" s="243">
        <f t="shared" si="14"/>
        <v>4.6999999999999999E-4</v>
      </c>
      <c r="AK36" s="243">
        <f t="shared" si="15"/>
        <v>0</v>
      </c>
      <c r="AL36" s="243">
        <f t="shared" si="16"/>
        <v>3.47E-3</v>
      </c>
      <c r="AM36" s="243">
        <f t="shared" si="17"/>
        <v>-1.0000000000000001E-5</v>
      </c>
      <c r="AN36" s="243">
        <f t="shared" si="18"/>
        <v>1.0000000000000001E-5</v>
      </c>
      <c r="AO36" s="243">
        <f>[9]Permanents!F36</f>
        <v>1.0000000000000001E-5</v>
      </c>
      <c r="AP36" s="243">
        <f t="shared" si="19"/>
        <v>1.1900000000000001E-3</v>
      </c>
      <c r="AQ36" s="243">
        <f t="shared" si="20"/>
        <v>0.24073</v>
      </c>
      <c r="AR36" s="243"/>
      <c r="AS36" s="243"/>
      <c r="AT36" s="243">
        <f t="shared" si="21"/>
        <v>4.8999999999999998E-4</v>
      </c>
      <c r="AU36" s="243">
        <f t="shared" si="22"/>
        <v>8.0000000000000007E-5</v>
      </c>
      <c r="AV36" s="243">
        <f t="shared" si="23"/>
        <v>5.6999999999999998E-4</v>
      </c>
      <c r="AW36" s="246">
        <f>[31]Temporaries!Q36</f>
        <v>0</v>
      </c>
      <c r="AX36" s="246">
        <f>SUM([31]Temporaries!K36:M36)</f>
        <v>3.47E-3</v>
      </c>
      <c r="AY36" s="246">
        <f>SUM([31]Temporaries!N36:O36)</f>
        <v>6.2999999999999992E-4</v>
      </c>
      <c r="AZ36" s="245">
        <f>[31]Temporaries!R36</f>
        <v>4.4000000000000002E-4</v>
      </c>
      <c r="BA36" s="245">
        <f t="shared" si="24"/>
        <v>-0.12498000000000001</v>
      </c>
      <c r="BB36" s="255">
        <f>[31]Temporaries!P36</f>
        <v>-3.0000000000000001E-5</v>
      </c>
      <c r="BC36" s="245">
        <f>[31]Temporaries!S36</f>
        <v>0</v>
      </c>
      <c r="BD36" s="245">
        <f>[31]Temporaries!T36</f>
        <v>1.2E-4</v>
      </c>
      <c r="BE36" s="245">
        <f>[31]Temporaries!U36</f>
        <v>1.1900000000000001E-3</v>
      </c>
      <c r="BF36" s="245">
        <v>0.24073</v>
      </c>
      <c r="BG36" s="245"/>
      <c r="BH36" s="244">
        <f t="shared" si="25"/>
        <v>0</v>
      </c>
      <c r="BI36" s="243">
        <f t="shared" si="26"/>
        <v>0.24296000000000001</v>
      </c>
      <c r="BJ36" s="243">
        <f t="shared" si="27"/>
        <v>7.2950000000000015E-2</v>
      </c>
    </row>
    <row r="37" spans="1:62" x14ac:dyDescent="0.25">
      <c r="A37" s="233">
        <f t="shared" si="0"/>
        <v>31</v>
      </c>
      <c r="B37" s="233" t="s">
        <v>73</v>
      </c>
      <c r="C37" s="261" t="s">
        <v>61</v>
      </c>
      <c r="D37" s="259">
        <v>0.13253999999999996</v>
      </c>
      <c r="E37" s="259">
        <v>-0.12498000000000001</v>
      </c>
      <c r="F37" s="259">
        <f>+' Increments  equal ¢ per therm'!H37</f>
        <v>-0.14299000000000001</v>
      </c>
      <c r="G37" s="259">
        <f>+' Increments  equal ¢ per therm'!K37</f>
        <v>-2.7019999999999999E-2</v>
      </c>
      <c r="H37" s="259">
        <f>+' Increments  equal ¢ per therm'!N37</f>
        <v>0</v>
      </c>
      <c r="I37" s="259">
        <f t="shared" si="1"/>
        <v>-0.17000999999999999</v>
      </c>
      <c r="J37" s="259">
        <f t="shared" si="2"/>
        <v>-4.5029999999999987E-2</v>
      </c>
      <c r="K37" s="243">
        <f>+'[9]Allocation = % of margin'!P37</f>
        <v>0</v>
      </c>
      <c r="L37" s="243">
        <f>+'[9]Allocation = % of margin'!S37</f>
        <v>0</v>
      </c>
      <c r="M37" s="243">
        <f>+'[9]Allocation = % of margin'!V37</f>
        <v>0</v>
      </c>
      <c r="N37" s="243">
        <f>+'[9]Allocation = % of margin'!Y37</f>
        <v>3.7499999999999999E-3</v>
      </c>
      <c r="O37" s="243">
        <f>+'[9]Allocation = % of margin'!AB37</f>
        <v>5.9999999999999995E-4</v>
      </c>
      <c r="P37" s="243">
        <f>'[9]Allocation = % of margin'!AE37</f>
        <v>-4.0000000000000003E-5</v>
      </c>
      <c r="Q37" s="243">
        <f>' Increments  equal ¢ per therm'!Q37</f>
        <v>0</v>
      </c>
      <c r="R37" s="243">
        <f>'[9]Allocation = % of margin'!AH37</f>
        <v>3.47E-3</v>
      </c>
      <c r="S37" s="243">
        <f>' Increments  equal ¢ per therm'!T37</f>
        <v>3.5E-4</v>
      </c>
      <c r="T37" s="243">
        <f>'[9]Allocation = % of revenue'!M37</f>
        <v>0</v>
      </c>
      <c r="U37" s="243">
        <f>'[9]Allocation = % of margin'!AK37</f>
        <v>8.43E-3</v>
      </c>
      <c r="V37" s="243">
        <f>' Increments  equal ¢ per therm'!W37</f>
        <v>0.24073</v>
      </c>
      <c r="W37" s="243">
        <f t="shared" si="3"/>
        <v>8.7280000000000024E-2</v>
      </c>
      <c r="X37" s="243">
        <f t="shared" si="4"/>
        <v>-4.5259999999999939E-2</v>
      </c>
      <c r="Y37" s="243"/>
      <c r="Z37" s="248">
        <f t="shared" si="5"/>
        <v>8.7280000000000024E-2</v>
      </c>
      <c r="AA37" s="248">
        <f t="shared" si="6"/>
        <v>1.66E-2</v>
      </c>
      <c r="AB37" s="248">
        <f t="shared" si="7"/>
        <v>-0.14299000000000001</v>
      </c>
      <c r="AC37" s="248">
        <f t="shared" si="8"/>
        <v>-2.7019999999999999E-2</v>
      </c>
      <c r="AD37" s="248">
        <f t="shared" si="9"/>
        <v>0.25729000000000002</v>
      </c>
      <c r="AE37" s="248">
        <f t="shared" si="10"/>
        <v>8.7280000000000024E-2</v>
      </c>
      <c r="AF37" s="248">
        <f>[9]Permanents!G37</f>
        <v>0.16645999999999997</v>
      </c>
      <c r="AG37" s="247">
        <f t="shared" si="11"/>
        <v>0</v>
      </c>
      <c r="AH37" s="243">
        <f t="shared" si="12"/>
        <v>-0.17000999999999999</v>
      </c>
      <c r="AI37" s="243">
        <f t="shared" si="13"/>
        <v>0</v>
      </c>
      <c r="AJ37" s="243">
        <f t="shared" si="14"/>
        <v>3.47E-3</v>
      </c>
      <c r="AK37" s="243">
        <f t="shared" si="15"/>
        <v>3.5E-4</v>
      </c>
      <c r="AL37" s="243">
        <f t="shared" si="16"/>
        <v>0</v>
      </c>
      <c r="AM37" s="243">
        <f t="shared" si="17"/>
        <v>-4.0000000000000003E-5</v>
      </c>
      <c r="AN37" s="243">
        <f t="shared" si="18"/>
        <v>0</v>
      </c>
      <c r="AO37" s="243">
        <f>[9]Permanents!F37</f>
        <v>5.0000000000000002E-5</v>
      </c>
      <c r="AP37" s="243">
        <f t="shared" si="19"/>
        <v>8.43E-3</v>
      </c>
      <c r="AQ37" s="243">
        <f t="shared" si="20"/>
        <v>0.24073</v>
      </c>
      <c r="AR37" s="243"/>
      <c r="AS37" s="243"/>
      <c r="AT37" s="243">
        <f t="shared" si="21"/>
        <v>3.7499999999999999E-3</v>
      </c>
      <c r="AU37" s="243">
        <f t="shared" si="22"/>
        <v>5.9999999999999995E-4</v>
      </c>
      <c r="AV37" s="243">
        <f t="shared" si="23"/>
        <v>4.3499999999999997E-3</v>
      </c>
      <c r="AW37" s="246">
        <f>[31]Temporaries!Q37</f>
        <v>0</v>
      </c>
      <c r="AX37" s="246">
        <f>SUM([31]Temporaries!K37:M37)</f>
        <v>0</v>
      </c>
      <c r="AY37" s="246">
        <f>SUM([31]Temporaries!N37:O37)</f>
        <v>4.45E-3</v>
      </c>
      <c r="AZ37" s="245">
        <f>[31]Temporaries!R37</f>
        <v>3.0999999999999999E-3</v>
      </c>
      <c r="BA37" s="245">
        <f t="shared" si="24"/>
        <v>-0.12498000000000001</v>
      </c>
      <c r="BB37" s="255">
        <f>[31]Temporaries!P37</f>
        <v>-2.5000000000000001E-4</v>
      </c>
      <c r="BC37" s="245">
        <f>[31]Temporaries!S37</f>
        <v>1.0300000000000001E-3</v>
      </c>
      <c r="BD37" s="245">
        <f>[31]Temporaries!T37</f>
        <v>3.0000000000000001E-5</v>
      </c>
      <c r="BE37" s="245">
        <f>[31]Temporaries!U37</f>
        <v>8.43E-3</v>
      </c>
      <c r="BF37" s="245">
        <v>0.24073</v>
      </c>
      <c r="BG37" s="245"/>
      <c r="BH37" s="244">
        <f t="shared" si="25"/>
        <v>0</v>
      </c>
      <c r="BI37" s="243">
        <f t="shared" si="26"/>
        <v>0.25729000000000002</v>
      </c>
      <c r="BJ37" s="243">
        <f t="shared" si="27"/>
        <v>8.7280000000000024E-2</v>
      </c>
    </row>
    <row r="38" spans="1:62" x14ac:dyDescent="0.25">
      <c r="A38" s="233">
        <f t="shared" si="0"/>
        <v>32</v>
      </c>
      <c r="B38" s="233"/>
      <c r="C38" s="261" t="s">
        <v>62</v>
      </c>
      <c r="D38" s="259">
        <v>0.13088999999999998</v>
      </c>
      <c r="E38" s="259">
        <v>-0.12498000000000001</v>
      </c>
      <c r="F38" s="259">
        <f>+' Increments  equal ¢ per therm'!H38</f>
        <v>-0.14299000000000001</v>
      </c>
      <c r="G38" s="259">
        <f>+' Increments  equal ¢ per therm'!K38</f>
        <v>-2.7019999999999999E-2</v>
      </c>
      <c r="H38" s="259">
        <f>+' Increments  equal ¢ per therm'!N38</f>
        <v>0</v>
      </c>
      <c r="I38" s="259">
        <f t="shared" si="1"/>
        <v>-0.17000999999999999</v>
      </c>
      <c r="J38" s="259">
        <f t="shared" si="2"/>
        <v>-4.5029999999999987E-2</v>
      </c>
      <c r="K38" s="243">
        <f>+'[9]Allocation = % of margin'!P38</f>
        <v>0</v>
      </c>
      <c r="L38" s="243">
        <f>+'[9]Allocation = % of margin'!S38</f>
        <v>0</v>
      </c>
      <c r="M38" s="243">
        <f>+'[9]Allocation = % of margin'!V38</f>
        <v>0</v>
      </c>
      <c r="N38" s="243">
        <f>+'[9]Allocation = % of margin'!Y38</f>
        <v>3.3600000000000001E-3</v>
      </c>
      <c r="O38" s="243">
        <f>+'[9]Allocation = % of margin'!AB38</f>
        <v>5.4000000000000001E-4</v>
      </c>
      <c r="P38" s="243">
        <f>'[9]Allocation = % of margin'!AE38</f>
        <v>-4.0000000000000003E-5</v>
      </c>
      <c r="Q38" s="243">
        <f>' Increments  equal ¢ per therm'!Q38</f>
        <v>0</v>
      </c>
      <c r="R38" s="243">
        <f>'[9]Allocation = % of margin'!AH38</f>
        <v>3.1099999999999999E-3</v>
      </c>
      <c r="S38" s="243">
        <f>' Increments  equal ¢ per therm'!T38</f>
        <v>3.5E-4</v>
      </c>
      <c r="T38" s="243">
        <f>'[9]Allocation = % of revenue'!M38</f>
        <v>0</v>
      </c>
      <c r="U38" s="243">
        <f>'[9]Allocation = % of margin'!AK38</f>
        <v>7.5399999999999998E-3</v>
      </c>
      <c r="V38" s="243">
        <f>' Increments  equal ¢ per therm'!W38</f>
        <v>0.24073</v>
      </c>
      <c r="W38" s="243">
        <f t="shared" si="3"/>
        <v>8.5579999999999989E-2</v>
      </c>
      <c r="X38" s="243">
        <f t="shared" si="4"/>
        <v>-4.5309999999999989E-2</v>
      </c>
      <c r="Y38" s="243"/>
      <c r="Z38" s="248">
        <f t="shared" si="5"/>
        <v>8.5579999999999989E-2</v>
      </c>
      <c r="AA38" s="248">
        <f t="shared" si="6"/>
        <v>1.49E-2</v>
      </c>
      <c r="AB38" s="248">
        <f t="shared" si="7"/>
        <v>-0.14299000000000001</v>
      </c>
      <c r="AC38" s="248">
        <f t="shared" si="8"/>
        <v>-2.7019999999999999E-2</v>
      </c>
      <c r="AD38" s="248">
        <f t="shared" si="9"/>
        <v>0.25558999999999998</v>
      </c>
      <c r="AE38" s="248">
        <f t="shared" si="10"/>
        <v>8.5579999999999989E-2</v>
      </c>
      <c r="AF38" s="248">
        <f>[9]Permanents!G38</f>
        <v>0.14899000000000007</v>
      </c>
      <c r="AG38" s="247">
        <f t="shared" si="11"/>
        <v>0</v>
      </c>
      <c r="AH38" s="243">
        <f t="shared" si="12"/>
        <v>-0.17000999999999999</v>
      </c>
      <c r="AI38" s="243">
        <f t="shared" si="13"/>
        <v>0</v>
      </c>
      <c r="AJ38" s="243">
        <f t="shared" si="14"/>
        <v>3.1099999999999999E-3</v>
      </c>
      <c r="AK38" s="243">
        <f t="shared" si="15"/>
        <v>3.5E-4</v>
      </c>
      <c r="AL38" s="243">
        <f t="shared" si="16"/>
        <v>0</v>
      </c>
      <c r="AM38" s="243">
        <f t="shared" si="17"/>
        <v>-4.0000000000000003E-5</v>
      </c>
      <c r="AN38" s="243">
        <f t="shared" si="18"/>
        <v>0</v>
      </c>
      <c r="AO38" s="243">
        <f>[9]Permanents!F38</f>
        <v>4.0000000000000003E-5</v>
      </c>
      <c r="AP38" s="243">
        <f t="shared" si="19"/>
        <v>7.5399999999999998E-3</v>
      </c>
      <c r="AQ38" s="243">
        <f t="shared" si="20"/>
        <v>0.24073</v>
      </c>
      <c r="AR38" s="243"/>
      <c r="AS38" s="243"/>
      <c r="AT38" s="243">
        <f t="shared" si="21"/>
        <v>3.3600000000000001E-3</v>
      </c>
      <c r="AU38" s="243">
        <f t="shared" si="22"/>
        <v>5.4000000000000001E-4</v>
      </c>
      <c r="AV38" s="243">
        <f t="shared" si="23"/>
        <v>3.9000000000000003E-3</v>
      </c>
      <c r="AW38" s="246">
        <f>[31]Temporaries!Q38</f>
        <v>0</v>
      </c>
      <c r="AX38" s="246">
        <f>SUM([31]Temporaries!K38:M38)</f>
        <v>0</v>
      </c>
      <c r="AY38" s="246">
        <f>SUM([31]Temporaries!N38:O38)</f>
        <v>3.9900000000000005E-3</v>
      </c>
      <c r="AZ38" s="245">
        <f>[31]Temporaries!R38</f>
        <v>2.7699999999999999E-3</v>
      </c>
      <c r="BA38" s="245">
        <f t="shared" si="24"/>
        <v>-0.12498000000000001</v>
      </c>
      <c r="BB38" s="255">
        <f>[31]Temporaries!P38</f>
        <v>-2.2000000000000001E-4</v>
      </c>
      <c r="BC38" s="245">
        <f>[31]Temporaries!S38</f>
        <v>1.0300000000000001E-3</v>
      </c>
      <c r="BD38" s="245">
        <f>[31]Temporaries!T38</f>
        <v>3.0000000000000001E-5</v>
      </c>
      <c r="BE38" s="245">
        <f>[31]Temporaries!U38</f>
        <v>7.5399999999999998E-3</v>
      </c>
      <c r="BF38" s="245">
        <v>0.24073</v>
      </c>
      <c r="BG38" s="245"/>
      <c r="BH38" s="244">
        <f t="shared" si="25"/>
        <v>0</v>
      </c>
      <c r="BI38" s="243">
        <f t="shared" si="26"/>
        <v>0.25558999999999998</v>
      </c>
      <c r="BJ38" s="243">
        <f t="shared" si="27"/>
        <v>8.5579999999999989E-2</v>
      </c>
    </row>
    <row r="39" spans="1:62" x14ac:dyDescent="0.25">
      <c r="A39" s="233">
        <f t="shared" si="0"/>
        <v>33</v>
      </c>
      <c r="B39" s="233"/>
      <c r="C39" s="261" t="s">
        <v>69</v>
      </c>
      <c r="D39" s="259">
        <v>0.12760999999999997</v>
      </c>
      <c r="E39" s="259">
        <v>-0.12498000000000001</v>
      </c>
      <c r="F39" s="259">
        <f>+' Increments  equal ¢ per therm'!H39</f>
        <v>-0.14299000000000001</v>
      </c>
      <c r="G39" s="259">
        <f>+' Increments  equal ¢ per therm'!K39</f>
        <v>-2.7019999999999999E-2</v>
      </c>
      <c r="H39" s="259">
        <f>+' Increments  equal ¢ per therm'!N39</f>
        <v>0</v>
      </c>
      <c r="I39" s="259">
        <f t="shared" si="1"/>
        <v>-0.17000999999999999</v>
      </c>
      <c r="J39" s="259">
        <f t="shared" si="2"/>
        <v>-4.5029999999999987E-2</v>
      </c>
      <c r="K39" s="243">
        <f>+'[9]Allocation = % of margin'!P39</f>
        <v>0</v>
      </c>
      <c r="L39" s="243">
        <f>+'[9]Allocation = % of margin'!S39</f>
        <v>0</v>
      </c>
      <c r="M39" s="243">
        <f>+'[9]Allocation = % of margin'!V39</f>
        <v>0</v>
      </c>
      <c r="N39" s="243">
        <f>+'[9]Allocation = % of margin'!Y39</f>
        <v>2.5699999999999998E-3</v>
      </c>
      <c r="O39" s="243">
        <f>+'[9]Allocation = % of margin'!AB39</f>
        <v>4.0999999999999999E-4</v>
      </c>
      <c r="P39" s="243">
        <f>'[9]Allocation = % of margin'!AE39</f>
        <v>-3.0000000000000001E-5</v>
      </c>
      <c r="Q39" s="243">
        <f>' Increments  equal ¢ per therm'!Q39</f>
        <v>0</v>
      </c>
      <c r="R39" s="243">
        <f>'[9]Allocation = % of margin'!AH39</f>
        <v>2.3800000000000002E-3</v>
      </c>
      <c r="S39" s="243">
        <f>' Increments  equal ¢ per therm'!T39</f>
        <v>3.5E-4</v>
      </c>
      <c r="T39" s="243">
        <f>'[9]Allocation = % of revenue'!M39</f>
        <v>0</v>
      </c>
      <c r="U39" s="243">
        <f>'[9]Allocation = % of margin'!AK39</f>
        <v>5.7800000000000004E-3</v>
      </c>
      <c r="V39" s="243">
        <f>' Increments  equal ¢ per therm'!W39</f>
        <v>0.24073</v>
      </c>
      <c r="W39" s="243">
        <f t="shared" si="3"/>
        <v>8.2180000000000031E-2</v>
      </c>
      <c r="X39" s="243">
        <f t="shared" si="4"/>
        <v>-4.5429999999999943E-2</v>
      </c>
      <c r="Y39" s="243"/>
      <c r="Z39" s="248">
        <f t="shared" si="5"/>
        <v>8.2180000000000031E-2</v>
      </c>
      <c r="AA39" s="248">
        <f t="shared" si="6"/>
        <v>1.149E-2</v>
      </c>
      <c r="AB39" s="248">
        <f t="shared" si="7"/>
        <v>-0.14299000000000001</v>
      </c>
      <c r="AC39" s="248">
        <f t="shared" si="8"/>
        <v>-2.7019999999999999E-2</v>
      </c>
      <c r="AD39" s="248">
        <f t="shared" si="9"/>
        <v>0.25219000000000003</v>
      </c>
      <c r="AE39" s="248">
        <f t="shared" si="10"/>
        <v>8.2180000000000031E-2</v>
      </c>
      <c r="AF39" s="248">
        <f>[9]Permanents!G39</f>
        <v>0.11424999999999978</v>
      </c>
      <c r="AG39" s="247">
        <f t="shared" si="11"/>
        <v>0</v>
      </c>
      <c r="AH39" s="243">
        <f t="shared" si="12"/>
        <v>-0.17000999999999999</v>
      </c>
      <c r="AI39" s="243">
        <f t="shared" si="13"/>
        <v>0</v>
      </c>
      <c r="AJ39" s="243">
        <f t="shared" si="14"/>
        <v>2.3800000000000002E-3</v>
      </c>
      <c r="AK39" s="243">
        <f t="shared" si="15"/>
        <v>3.5E-4</v>
      </c>
      <c r="AL39" s="243">
        <f t="shared" si="16"/>
        <v>0</v>
      </c>
      <c r="AM39" s="243">
        <f t="shared" si="17"/>
        <v>-3.0000000000000001E-5</v>
      </c>
      <c r="AN39" s="243">
        <f t="shared" si="18"/>
        <v>0</v>
      </c>
      <c r="AO39" s="243">
        <f>[9]Permanents!F39</f>
        <v>3.0000000000000001E-5</v>
      </c>
      <c r="AP39" s="243">
        <f t="shared" si="19"/>
        <v>5.7800000000000004E-3</v>
      </c>
      <c r="AQ39" s="243">
        <f t="shared" si="20"/>
        <v>0.24073</v>
      </c>
      <c r="AR39" s="243"/>
      <c r="AS39" s="243"/>
      <c r="AT39" s="243">
        <f t="shared" si="21"/>
        <v>2.5699999999999998E-3</v>
      </c>
      <c r="AU39" s="243">
        <f t="shared" si="22"/>
        <v>4.0999999999999999E-4</v>
      </c>
      <c r="AV39" s="243">
        <f t="shared" si="23"/>
        <v>2.98E-3</v>
      </c>
      <c r="AW39" s="246">
        <f>[31]Temporaries!Q39</f>
        <v>0</v>
      </c>
      <c r="AX39" s="246">
        <f>SUM([31]Temporaries!K39:M39)</f>
        <v>0</v>
      </c>
      <c r="AY39" s="246">
        <f>SUM([31]Temporaries!N39:O39)</f>
        <v>3.0600000000000002E-3</v>
      </c>
      <c r="AZ39" s="245">
        <f>[31]Temporaries!R39</f>
        <v>2.1299999999999999E-3</v>
      </c>
      <c r="BA39" s="245">
        <f t="shared" si="24"/>
        <v>-0.12498000000000001</v>
      </c>
      <c r="BB39" s="255">
        <f>[31]Temporaries!P39</f>
        <v>-1.7000000000000001E-4</v>
      </c>
      <c r="BC39" s="245">
        <f>[31]Temporaries!S39</f>
        <v>1.0300000000000001E-3</v>
      </c>
      <c r="BD39" s="245">
        <f>[31]Temporaries!T39</f>
        <v>3.0000000000000001E-5</v>
      </c>
      <c r="BE39" s="245">
        <f>[31]Temporaries!U39</f>
        <v>5.7800000000000004E-3</v>
      </c>
      <c r="BF39" s="245">
        <v>0.24073</v>
      </c>
      <c r="BG39" s="245"/>
      <c r="BH39" s="244">
        <f t="shared" si="25"/>
        <v>0</v>
      </c>
      <c r="BI39" s="243">
        <f t="shared" si="26"/>
        <v>0.25219000000000003</v>
      </c>
      <c r="BJ39" s="243">
        <f t="shared" si="27"/>
        <v>8.2180000000000031E-2</v>
      </c>
    </row>
    <row r="40" spans="1:62" x14ac:dyDescent="0.25">
      <c r="A40" s="233">
        <f t="shared" ref="A40:A71" si="28">+A39+1</f>
        <v>34</v>
      </c>
      <c r="B40" s="233"/>
      <c r="C40" s="261" t="s">
        <v>70</v>
      </c>
      <c r="D40" s="259">
        <v>0.12544999999999998</v>
      </c>
      <c r="E40" s="259">
        <v>-0.12498000000000001</v>
      </c>
      <c r="F40" s="259">
        <f>+' Increments  equal ¢ per therm'!H40</f>
        <v>-0.14299000000000001</v>
      </c>
      <c r="G40" s="259">
        <f>+' Increments  equal ¢ per therm'!K40</f>
        <v>-2.7019999999999999E-2</v>
      </c>
      <c r="H40" s="259">
        <f>+' Increments  equal ¢ per therm'!N40</f>
        <v>0</v>
      </c>
      <c r="I40" s="259">
        <f t="shared" si="1"/>
        <v>-0.17000999999999999</v>
      </c>
      <c r="J40" s="259">
        <f t="shared" si="2"/>
        <v>-4.5029999999999987E-2</v>
      </c>
      <c r="K40" s="243">
        <f>+'[9]Allocation = % of margin'!P40</f>
        <v>0</v>
      </c>
      <c r="L40" s="243">
        <f>+'[9]Allocation = % of margin'!S40</f>
        <v>0</v>
      </c>
      <c r="M40" s="243">
        <f>+'[9]Allocation = % of margin'!V40</f>
        <v>0</v>
      </c>
      <c r="N40" s="243">
        <f>+'[9]Allocation = % of margin'!Y40</f>
        <v>2.0600000000000002E-3</v>
      </c>
      <c r="O40" s="243">
        <f>+'[9]Allocation = % of margin'!AB40</f>
        <v>3.3E-4</v>
      </c>
      <c r="P40" s="243">
        <f>'[9]Allocation = % of margin'!AE40</f>
        <v>-2.0000000000000002E-5</v>
      </c>
      <c r="Q40" s="243">
        <f>' Increments  equal ¢ per therm'!Q40</f>
        <v>0</v>
      </c>
      <c r="R40" s="243">
        <f>'[9]Allocation = % of margin'!AH40</f>
        <v>1.91E-3</v>
      </c>
      <c r="S40" s="243">
        <f>' Increments  equal ¢ per therm'!T40</f>
        <v>3.5E-4</v>
      </c>
      <c r="T40" s="243">
        <f>'[9]Allocation = % of revenue'!M40</f>
        <v>0</v>
      </c>
      <c r="U40" s="243">
        <f>'[9]Allocation = % of margin'!AK40</f>
        <v>4.6299999999999996E-3</v>
      </c>
      <c r="V40" s="243">
        <f>' Increments  equal ¢ per therm'!W40</f>
        <v>0.24073</v>
      </c>
      <c r="W40" s="243">
        <f t="shared" si="3"/>
        <v>7.9979999999999996E-2</v>
      </c>
      <c r="X40" s="243">
        <f t="shared" si="4"/>
        <v>-4.5469999999999983E-2</v>
      </c>
      <c r="Y40" s="243"/>
      <c r="Z40" s="248">
        <f t="shared" si="5"/>
        <v>7.9979999999999996E-2</v>
      </c>
      <c r="AA40" s="248">
        <f t="shared" si="6"/>
        <v>9.2800000000000001E-3</v>
      </c>
      <c r="AB40" s="248">
        <f t="shared" si="7"/>
        <v>-0.14299000000000001</v>
      </c>
      <c r="AC40" s="248">
        <f t="shared" si="8"/>
        <v>-2.7019999999999999E-2</v>
      </c>
      <c r="AD40" s="248">
        <f t="shared" si="9"/>
        <v>0.24998999999999999</v>
      </c>
      <c r="AE40" s="248">
        <f t="shared" si="10"/>
        <v>7.9979999999999996E-2</v>
      </c>
      <c r="AF40" s="248">
        <f>[9]Permanents!G40</f>
        <v>9.1400000000000065E-2</v>
      </c>
      <c r="AG40" s="247">
        <f t="shared" si="11"/>
        <v>0</v>
      </c>
      <c r="AH40" s="243">
        <f t="shared" si="12"/>
        <v>-0.17000999999999999</v>
      </c>
      <c r="AI40" s="243">
        <f t="shared" si="13"/>
        <v>0</v>
      </c>
      <c r="AJ40" s="243">
        <f t="shared" si="14"/>
        <v>1.91E-3</v>
      </c>
      <c r="AK40" s="243">
        <f t="shared" si="15"/>
        <v>3.5E-4</v>
      </c>
      <c r="AL40" s="243">
        <f t="shared" si="16"/>
        <v>0</v>
      </c>
      <c r="AM40" s="243">
        <f t="shared" si="17"/>
        <v>-2.0000000000000002E-5</v>
      </c>
      <c r="AN40" s="243">
        <f t="shared" si="18"/>
        <v>0</v>
      </c>
      <c r="AO40" s="243">
        <f>[9]Permanents!F40</f>
        <v>2.0000000000000002E-5</v>
      </c>
      <c r="AP40" s="243">
        <f t="shared" si="19"/>
        <v>4.6299999999999996E-3</v>
      </c>
      <c r="AQ40" s="243">
        <f t="shared" si="20"/>
        <v>0.24073</v>
      </c>
      <c r="AR40" s="243"/>
      <c r="AS40" s="243"/>
      <c r="AT40" s="243">
        <f t="shared" si="21"/>
        <v>2.0600000000000002E-3</v>
      </c>
      <c r="AU40" s="243">
        <f t="shared" si="22"/>
        <v>3.3E-4</v>
      </c>
      <c r="AV40" s="243">
        <f t="shared" si="23"/>
        <v>2.3900000000000002E-3</v>
      </c>
      <c r="AW40" s="246">
        <f>[31]Temporaries!Q40</f>
        <v>0</v>
      </c>
      <c r="AX40" s="246">
        <f>SUM([31]Temporaries!K40:M40)</f>
        <v>0</v>
      </c>
      <c r="AY40" s="246">
        <f>SUM([31]Temporaries!N40:O40)</f>
        <v>2.4499999999999999E-3</v>
      </c>
      <c r="AZ40" s="245">
        <f>[31]Temporaries!R40</f>
        <v>1.6999999999999999E-3</v>
      </c>
      <c r="BA40" s="245">
        <f t="shared" si="24"/>
        <v>-0.12498000000000001</v>
      </c>
      <c r="BB40" s="255">
        <f>[31]Temporaries!P40</f>
        <v>-1.3999999999999999E-4</v>
      </c>
      <c r="BC40" s="245">
        <f>[31]Temporaries!S40</f>
        <v>1.0300000000000001E-3</v>
      </c>
      <c r="BD40" s="245">
        <f>[31]Temporaries!T40</f>
        <v>3.0000000000000001E-5</v>
      </c>
      <c r="BE40" s="245">
        <f>[31]Temporaries!U40</f>
        <v>4.6299999999999996E-3</v>
      </c>
      <c r="BF40" s="245">
        <v>0.24073</v>
      </c>
      <c r="BG40" s="245"/>
      <c r="BH40" s="244">
        <f t="shared" si="25"/>
        <v>0</v>
      </c>
      <c r="BI40" s="243">
        <f t="shared" si="26"/>
        <v>0.24998999999999999</v>
      </c>
      <c r="BJ40" s="243">
        <f t="shared" si="27"/>
        <v>7.9979999999999996E-2</v>
      </c>
    </row>
    <row r="41" spans="1:62" x14ac:dyDescent="0.25">
      <c r="A41" s="233">
        <f t="shared" si="28"/>
        <v>35</v>
      </c>
      <c r="B41" s="233"/>
      <c r="C41" s="261" t="s">
        <v>71</v>
      </c>
      <c r="D41" s="259">
        <v>0.12257999999999999</v>
      </c>
      <c r="E41" s="259">
        <v>-0.12498000000000001</v>
      </c>
      <c r="F41" s="259">
        <f>+' Increments  equal ¢ per therm'!H41</f>
        <v>-0.14299000000000001</v>
      </c>
      <c r="G41" s="259">
        <f>+' Increments  equal ¢ per therm'!K41</f>
        <v>-2.7019999999999999E-2</v>
      </c>
      <c r="H41" s="259">
        <f>+' Increments  equal ¢ per therm'!N41</f>
        <v>0</v>
      </c>
      <c r="I41" s="259">
        <f t="shared" si="1"/>
        <v>-0.17000999999999999</v>
      </c>
      <c r="J41" s="259">
        <f t="shared" si="2"/>
        <v>-4.5029999999999987E-2</v>
      </c>
      <c r="K41" s="243">
        <f>+'[9]Allocation = % of margin'!P41</f>
        <v>0</v>
      </c>
      <c r="L41" s="243">
        <f>+'[9]Allocation = % of margin'!S41</f>
        <v>0</v>
      </c>
      <c r="M41" s="243">
        <f>+'[9]Allocation = % of margin'!V41</f>
        <v>0</v>
      </c>
      <c r="N41" s="243">
        <f>+'[9]Allocation = % of margin'!Y41</f>
        <v>1.3699999999999999E-3</v>
      </c>
      <c r="O41" s="243">
        <f>+'[9]Allocation = % of margin'!AB41</f>
        <v>2.2000000000000001E-4</v>
      </c>
      <c r="P41" s="243">
        <f>'[9]Allocation = % of margin'!AE41</f>
        <v>-2.0000000000000002E-5</v>
      </c>
      <c r="Q41" s="243">
        <f>' Increments  equal ¢ per therm'!Q41</f>
        <v>0</v>
      </c>
      <c r="R41" s="243">
        <f>'[9]Allocation = % of margin'!AH41</f>
        <v>1.2700000000000001E-3</v>
      </c>
      <c r="S41" s="243">
        <f>' Increments  equal ¢ per therm'!T41</f>
        <v>3.5E-4</v>
      </c>
      <c r="T41" s="243">
        <f>'[9]Allocation = % of revenue'!M41</f>
        <v>0</v>
      </c>
      <c r="U41" s="243">
        <f>'[9]Allocation = % of margin'!AK41</f>
        <v>3.0899999999999999E-3</v>
      </c>
      <c r="V41" s="243">
        <f>' Increments  equal ¢ per therm'!W41</f>
        <v>0.24073</v>
      </c>
      <c r="W41" s="243">
        <f t="shared" si="3"/>
        <v>7.7000000000000013E-2</v>
      </c>
      <c r="X41" s="243">
        <f t="shared" si="4"/>
        <v>-4.5579999999999982E-2</v>
      </c>
      <c r="Y41" s="243"/>
      <c r="Z41" s="248">
        <f t="shared" si="5"/>
        <v>7.7000000000000013E-2</v>
      </c>
      <c r="AA41" s="248">
        <f t="shared" si="6"/>
        <v>6.3E-3</v>
      </c>
      <c r="AB41" s="248">
        <f t="shared" si="7"/>
        <v>-0.14299000000000001</v>
      </c>
      <c r="AC41" s="248">
        <f t="shared" si="8"/>
        <v>-2.7019999999999999E-2</v>
      </c>
      <c r="AD41" s="248">
        <f t="shared" si="9"/>
        <v>0.24701000000000001</v>
      </c>
      <c r="AE41" s="248">
        <f t="shared" si="10"/>
        <v>7.7000000000000013E-2</v>
      </c>
      <c r="AF41" s="248">
        <f>[9]Permanents!G41</f>
        <v>6.0960000000000181E-2</v>
      </c>
      <c r="AG41" s="247">
        <f t="shared" si="11"/>
        <v>0</v>
      </c>
      <c r="AH41" s="243">
        <f t="shared" si="12"/>
        <v>-0.17000999999999999</v>
      </c>
      <c r="AI41" s="243">
        <f t="shared" si="13"/>
        <v>0</v>
      </c>
      <c r="AJ41" s="243">
        <f t="shared" si="14"/>
        <v>1.2700000000000001E-3</v>
      </c>
      <c r="AK41" s="243">
        <f t="shared" si="15"/>
        <v>3.5E-4</v>
      </c>
      <c r="AL41" s="243">
        <f t="shared" si="16"/>
        <v>0</v>
      </c>
      <c r="AM41" s="243">
        <f t="shared" si="17"/>
        <v>-2.0000000000000002E-5</v>
      </c>
      <c r="AN41" s="243">
        <f t="shared" si="18"/>
        <v>0</v>
      </c>
      <c r="AO41" s="243">
        <f>[9]Permanents!F41</f>
        <v>2.0000000000000002E-5</v>
      </c>
      <c r="AP41" s="243">
        <f t="shared" si="19"/>
        <v>3.0899999999999999E-3</v>
      </c>
      <c r="AQ41" s="243">
        <f t="shared" si="20"/>
        <v>0.24073</v>
      </c>
      <c r="AR41" s="243"/>
      <c r="AS41" s="243"/>
      <c r="AT41" s="243">
        <f t="shared" si="21"/>
        <v>1.3699999999999999E-3</v>
      </c>
      <c r="AU41" s="243">
        <f t="shared" si="22"/>
        <v>2.2000000000000001E-4</v>
      </c>
      <c r="AV41" s="243">
        <f t="shared" si="23"/>
        <v>1.5899999999999998E-3</v>
      </c>
      <c r="AW41" s="246">
        <f>[31]Temporaries!Q41</f>
        <v>0</v>
      </c>
      <c r="AX41" s="246">
        <f>SUM([31]Temporaries!K41:M41)</f>
        <v>0</v>
      </c>
      <c r="AY41" s="246">
        <f>SUM([31]Temporaries!N41:O41)</f>
        <v>1.6300000000000002E-3</v>
      </c>
      <c r="AZ41" s="245">
        <f>[31]Temporaries!R41</f>
        <v>1.14E-3</v>
      </c>
      <c r="BA41" s="245">
        <f t="shared" si="24"/>
        <v>-0.12498000000000001</v>
      </c>
      <c r="BB41" s="255">
        <f>[31]Temporaries!P41</f>
        <v>-9.0000000000000006E-5</v>
      </c>
      <c r="BC41" s="245">
        <f>[31]Temporaries!S41</f>
        <v>1.0300000000000001E-3</v>
      </c>
      <c r="BD41" s="245">
        <f>[31]Temporaries!T41</f>
        <v>3.0000000000000001E-5</v>
      </c>
      <c r="BE41" s="245">
        <f>[31]Temporaries!U41</f>
        <v>3.0899999999999999E-3</v>
      </c>
      <c r="BF41" s="245">
        <v>0.24073</v>
      </c>
      <c r="BG41" s="245"/>
      <c r="BH41" s="244">
        <f t="shared" si="25"/>
        <v>0</v>
      </c>
      <c r="BI41" s="243">
        <f t="shared" si="26"/>
        <v>0.24701000000000001</v>
      </c>
      <c r="BJ41" s="243">
        <f t="shared" si="27"/>
        <v>7.7000000000000013E-2</v>
      </c>
    </row>
    <row r="42" spans="1:62" x14ac:dyDescent="0.25">
      <c r="A42" s="233">
        <f t="shared" si="28"/>
        <v>36</v>
      </c>
      <c r="B42" s="258"/>
      <c r="C42" s="260" t="s">
        <v>72</v>
      </c>
      <c r="D42" s="251">
        <v>0.11898</v>
      </c>
      <c r="E42" s="251">
        <v>-0.12498000000000001</v>
      </c>
      <c r="F42" s="251">
        <f>+' Increments  equal ¢ per therm'!H42</f>
        <v>-0.14299000000000001</v>
      </c>
      <c r="G42" s="251">
        <f>+' Increments  equal ¢ per therm'!K42</f>
        <v>-2.7019999999999999E-2</v>
      </c>
      <c r="H42" s="251">
        <f>+' Increments  equal ¢ per therm'!N42</f>
        <v>0</v>
      </c>
      <c r="I42" s="251">
        <f t="shared" si="1"/>
        <v>-0.17000999999999999</v>
      </c>
      <c r="J42" s="251">
        <f t="shared" si="2"/>
        <v>-4.5029999999999987E-2</v>
      </c>
      <c r="K42" s="249">
        <f>+'[9]Allocation = % of margin'!P42</f>
        <v>0</v>
      </c>
      <c r="L42" s="249">
        <f>+'[9]Allocation = % of margin'!S42</f>
        <v>0</v>
      </c>
      <c r="M42" s="249">
        <f>+'[9]Allocation = % of margin'!V42</f>
        <v>0</v>
      </c>
      <c r="N42" s="249">
        <f>+'[9]Allocation = % of margin'!Y42</f>
        <v>5.1000000000000004E-4</v>
      </c>
      <c r="O42" s="249">
        <f>+'[9]Allocation = % of margin'!AB42</f>
        <v>8.0000000000000007E-5</v>
      </c>
      <c r="P42" s="249">
        <f>'[9]Allocation = % of margin'!AE42</f>
        <v>-1.0000000000000001E-5</v>
      </c>
      <c r="Q42" s="249">
        <f>' Increments  equal ¢ per therm'!Q42</f>
        <v>0</v>
      </c>
      <c r="R42" s="249">
        <f>'[9]Allocation = % of margin'!AH42</f>
        <v>4.8000000000000001E-4</v>
      </c>
      <c r="S42" s="249">
        <f>' Increments  equal ¢ per therm'!T42</f>
        <v>3.5E-4</v>
      </c>
      <c r="T42" s="249">
        <f>'[9]Allocation = % of revenue'!M42</f>
        <v>0</v>
      </c>
      <c r="U42" s="249">
        <f>'[9]Allocation = % of margin'!AK42</f>
        <v>1.16E-3</v>
      </c>
      <c r="V42" s="249">
        <f>' Increments  equal ¢ per therm'!W42</f>
        <v>0.24073</v>
      </c>
      <c r="W42" s="249">
        <f t="shared" si="3"/>
        <v>7.3289999999999994E-2</v>
      </c>
      <c r="X42" s="249">
        <f t="shared" si="4"/>
        <v>-4.5690000000000008E-2</v>
      </c>
      <c r="Y42" s="243"/>
      <c r="Z42" s="248">
        <f t="shared" si="5"/>
        <v>7.3289999999999994E-2</v>
      </c>
      <c r="AA42" s="248">
        <f t="shared" si="6"/>
        <v>2.5799999999999998E-3</v>
      </c>
      <c r="AB42" s="248">
        <f t="shared" si="7"/>
        <v>-0.14299000000000001</v>
      </c>
      <c r="AC42" s="248">
        <f t="shared" si="8"/>
        <v>-2.7019999999999999E-2</v>
      </c>
      <c r="AD42" s="248">
        <f t="shared" si="9"/>
        <v>0.24329999999999999</v>
      </c>
      <c r="AE42" s="248">
        <f t="shared" si="10"/>
        <v>7.3289999999999994E-2</v>
      </c>
      <c r="AF42" s="248">
        <f>[9]Permanents!G42</f>
        <v>2.283999999999986E-2</v>
      </c>
      <c r="AG42" s="247">
        <f t="shared" si="11"/>
        <v>0</v>
      </c>
      <c r="AH42" s="243">
        <f t="shared" si="12"/>
        <v>-0.17000999999999999</v>
      </c>
      <c r="AI42" s="243">
        <f t="shared" si="13"/>
        <v>0</v>
      </c>
      <c r="AJ42" s="243">
        <f t="shared" si="14"/>
        <v>4.8000000000000001E-4</v>
      </c>
      <c r="AK42" s="243">
        <f t="shared" si="15"/>
        <v>3.5E-4</v>
      </c>
      <c r="AL42" s="243">
        <f t="shared" si="16"/>
        <v>0</v>
      </c>
      <c r="AM42" s="243">
        <f t="shared" si="17"/>
        <v>-1.0000000000000001E-5</v>
      </c>
      <c r="AN42" s="243">
        <f t="shared" si="18"/>
        <v>0</v>
      </c>
      <c r="AO42" s="243">
        <f>[9]Permanents!F42</f>
        <v>1.0000000000000001E-5</v>
      </c>
      <c r="AP42" s="243">
        <f t="shared" si="19"/>
        <v>1.16E-3</v>
      </c>
      <c r="AQ42" s="243">
        <f t="shared" si="20"/>
        <v>0.24073</v>
      </c>
      <c r="AR42" s="243"/>
      <c r="AS42" s="243"/>
      <c r="AT42" s="243">
        <f t="shared" si="21"/>
        <v>5.1000000000000004E-4</v>
      </c>
      <c r="AU42" s="243">
        <f t="shared" si="22"/>
        <v>8.0000000000000007E-5</v>
      </c>
      <c r="AV42" s="243">
        <f t="shared" si="23"/>
        <v>5.9000000000000003E-4</v>
      </c>
      <c r="AW42" s="246">
        <f>[31]Temporaries!Q42</f>
        <v>0</v>
      </c>
      <c r="AX42" s="246">
        <f>SUM([31]Temporaries!K42:M42)</f>
        <v>0</v>
      </c>
      <c r="AY42" s="246">
        <f>SUM([31]Temporaries!N42:O42)</f>
        <v>6.0999999999999997E-4</v>
      </c>
      <c r="AZ42" s="245">
        <f>[31]Temporaries!R42</f>
        <v>4.2999999999999999E-4</v>
      </c>
      <c r="BA42" s="245">
        <f t="shared" si="24"/>
        <v>-0.12498000000000001</v>
      </c>
      <c r="BB42" s="255">
        <f>[31]Temporaries!P42</f>
        <v>-3.0000000000000001E-5</v>
      </c>
      <c r="BC42" s="245">
        <f>[31]Temporaries!S42</f>
        <v>1.0300000000000001E-3</v>
      </c>
      <c r="BD42" s="245">
        <f>[31]Temporaries!T42</f>
        <v>3.0000000000000001E-5</v>
      </c>
      <c r="BE42" s="245">
        <f>[31]Temporaries!U42</f>
        <v>1.16E-3</v>
      </c>
      <c r="BF42" s="245">
        <v>0.24073</v>
      </c>
      <c r="BG42" s="245"/>
      <c r="BH42" s="244">
        <f t="shared" si="25"/>
        <v>0</v>
      </c>
      <c r="BI42" s="243">
        <f t="shared" si="26"/>
        <v>0.24329999999999999</v>
      </c>
      <c r="BJ42" s="243">
        <f t="shared" si="27"/>
        <v>7.3289999999999994E-2</v>
      </c>
    </row>
    <row r="43" spans="1:62" x14ac:dyDescent="0.25">
      <c r="A43" s="233">
        <f t="shared" si="28"/>
        <v>37</v>
      </c>
      <c r="B43" s="233" t="s">
        <v>74</v>
      </c>
      <c r="C43" s="261" t="s">
        <v>61</v>
      </c>
      <c r="D43" s="259">
        <v>0.24890000000000001</v>
      </c>
      <c r="E43" s="259">
        <v>0</v>
      </c>
      <c r="F43" s="259">
        <f>+' Increments  equal ¢ per therm'!H43</f>
        <v>0</v>
      </c>
      <c r="G43" s="259">
        <f>+' Increments  equal ¢ per therm'!K43</f>
        <v>0</v>
      </c>
      <c r="H43" s="259">
        <f>+' Increments  equal ¢ per therm'!N43</f>
        <v>0</v>
      </c>
      <c r="I43" s="259">
        <f t="shared" si="1"/>
        <v>0</v>
      </c>
      <c r="J43" s="259">
        <f t="shared" si="2"/>
        <v>0</v>
      </c>
      <c r="K43" s="243">
        <f>+'[9]Allocation = % of margin'!P43</f>
        <v>0</v>
      </c>
      <c r="L43" s="243">
        <f>+'[9]Allocation = % of margin'!S43</f>
        <v>0</v>
      </c>
      <c r="M43" s="243">
        <f>+'[9]Allocation = % of margin'!V43</f>
        <v>0</v>
      </c>
      <c r="N43" s="243">
        <f>+'[9]Allocation = % of margin'!Y43</f>
        <v>0</v>
      </c>
      <c r="O43" s="243">
        <f>+'[9]Allocation = % of margin'!AB43</f>
        <v>0</v>
      </c>
      <c r="P43" s="243">
        <f>'[9]Allocation = % of margin'!AE43</f>
        <v>-3.0000000000000001E-5</v>
      </c>
      <c r="Q43" s="243">
        <f>' Increments  equal ¢ per therm'!Q43</f>
        <v>0</v>
      </c>
      <c r="R43" s="243">
        <f>'[9]Allocation = % of margin'!AH43</f>
        <v>2.1900000000000001E-3</v>
      </c>
      <c r="S43" s="243">
        <f>' Increments  equal ¢ per therm'!T43</f>
        <v>3.5E-4</v>
      </c>
      <c r="T43" s="243">
        <f>'[9]Allocation = % of revenue'!M43</f>
        <v>2.0000000000000002E-5</v>
      </c>
      <c r="U43" s="243">
        <f>'[9]Allocation = % of margin'!AK43</f>
        <v>5.2399999999999999E-3</v>
      </c>
      <c r="V43" s="243">
        <f>' Increments  equal ¢ per therm'!W43</f>
        <v>0.24073</v>
      </c>
      <c r="W43" s="243">
        <f t="shared" si="3"/>
        <v>0.2485</v>
      </c>
      <c r="X43" s="243">
        <f t="shared" si="4"/>
        <v>-4.0000000000001146E-4</v>
      </c>
      <c r="Y43" s="243"/>
      <c r="Z43" s="248">
        <f t="shared" si="5"/>
        <v>0.2485</v>
      </c>
      <c r="AA43" s="248">
        <f t="shared" si="6"/>
        <v>7.7999999999999996E-3</v>
      </c>
      <c r="AB43" s="248">
        <f t="shared" si="7"/>
        <v>0</v>
      </c>
      <c r="AC43" s="248">
        <f t="shared" si="8"/>
        <v>0</v>
      </c>
      <c r="AD43" s="248">
        <f t="shared" si="9"/>
        <v>0.2485</v>
      </c>
      <c r="AE43" s="248">
        <f t="shared" si="10"/>
        <v>0.2485</v>
      </c>
      <c r="AF43" s="248">
        <f>[9]Permanents!G43</f>
        <v>0.15441999999999997</v>
      </c>
      <c r="AG43" s="247">
        <f t="shared" si="11"/>
        <v>0</v>
      </c>
      <c r="AH43" s="243">
        <f t="shared" si="12"/>
        <v>0</v>
      </c>
      <c r="AI43" s="243">
        <f t="shared" si="13"/>
        <v>0</v>
      </c>
      <c r="AJ43" s="243">
        <f t="shared" si="14"/>
        <v>2.1900000000000001E-3</v>
      </c>
      <c r="AK43" s="243">
        <f t="shared" si="15"/>
        <v>3.5E-4</v>
      </c>
      <c r="AL43" s="243">
        <f t="shared" si="16"/>
        <v>0</v>
      </c>
      <c r="AM43" s="243">
        <f t="shared" si="17"/>
        <v>-3.0000000000000001E-5</v>
      </c>
      <c r="AN43" s="243">
        <f t="shared" si="18"/>
        <v>2.0000000000000002E-5</v>
      </c>
      <c r="AO43" s="243">
        <f>[9]Permanents!F43</f>
        <v>0</v>
      </c>
      <c r="AP43" s="243">
        <f t="shared" si="19"/>
        <v>5.2399999999999999E-3</v>
      </c>
      <c r="AQ43" s="243">
        <f t="shared" si="20"/>
        <v>0.24073</v>
      </c>
      <c r="AR43" s="243"/>
      <c r="AS43" s="243"/>
      <c r="AT43" s="243">
        <f t="shared" si="21"/>
        <v>0</v>
      </c>
      <c r="AU43" s="243">
        <f t="shared" si="22"/>
        <v>0</v>
      </c>
      <c r="AV43" s="243">
        <f t="shared" si="23"/>
        <v>0</v>
      </c>
      <c r="AW43" s="246">
        <f>[31]Temporaries!Q43</f>
        <v>0</v>
      </c>
      <c r="AX43" s="246">
        <f>SUM([31]Temporaries!K43:M43)</f>
        <v>0</v>
      </c>
      <c r="AY43" s="246">
        <f>SUM([31]Temporaries!N43:O43)</f>
        <v>0</v>
      </c>
      <c r="AZ43" s="245">
        <f>[31]Temporaries!R43</f>
        <v>1.9300000000000001E-3</v>
      </c>
      <c r="BA43" s="245">
        <f t="shared" si="24"/>
        <v>0</v>
      </c>
      <c r="BB43" s="255">
        <f>[31]Temporaries!P43</f>
        <v>-1.4999999999999999E-4</v>
      </c>
      <c r="BC43" s="245">
        <f>[31]Temporaries!S43</f>
        <v>1.0300000000000001E-3</v>
      </c>
      <c r="BD43" s="245">
        <f>[31]Temporaries!T43</f>
        <v>1.2E-4</v>
      </c>
      <c r="BE43" s="245">
        <f>[31]Temporaries!U43</f>
        <v>5.2399999999999999E-3</v>
      </c>
      <c r="BF43" s="245">
        <v>0.24073</v>
      </c>
      <c r="BG43" s="245"/>
      <c r="BH43" s="244">
        <f t="shared" si="25"/>
        <v>0</v>
      </c>
      <c r="BI43" s="243">
        <f t="shared" si="26"/>
        <v>0.2485</v>
      </c>
      <c r="BJ43" s="243">
        <f t="shared" si="27"/>
        <v>0.2485</v>
      </c>
    </row>
    <row r="44" spans="1:62" x14ac:dyDescent="0.25">
      <c r="A44" s="233">
        <f t="shared" si="28"/>
        <v>38</v>
      </c>
      <c r="B44" s="233"/>
      <c r="C44" s="261" t="s">
        <v>62</v>
      </c>
      <c r="D44" s="259">
        <v>0.24815999999999999</v>
      </c>
      <c r="E44" s="259">
        <v>0</v>
      </c>
      <c r="F44" s="259">
        <f>+' Increments  equal ¢ per therm'!H44</f>
        <v>0</v>
      </c>
      <c r="G44" s="259">
        <f>+' Increments  equal ¢ per therm'!K44</f>
        <v>0</v>
      </c>
      <c r="H44" s="259">
        <f>+' Increments  equal ¢ per therm'!N44</f>
        <v>0</v>
      </c>
      <c r="I44" s="259">
        <f t="shared" si="1"/>
        <v>0</v>
      </c>
      <c r="J44" s="259">
        <f t="shared" si="2"/>
        <v>0</v>
      </c>
      <c r="K44" s="243">
        <f>+'[9]Allocation = % of margin'!P44</f>
        <v>0</v>
      </c>
      <c r="L44" s="243">
        <f>+'[9]Allocation = % of margin'!S44</f>
        <v>0</v>
      </c>
      <c r="M44" s="243">
        <f>+'[9]Allocation = % of margin'!V44</f>
        <v>0</v>
      </c>
      <c r="N44" s="243">
        <f>+'[9]Allocation = % of margin'!Y44</f>
        <v>0</v>
      </c>
      <c r="O44" s="243">
        <f>+'[9]Allocation = % of margin'!AB44</f>
        <v>0</v>
      </c>
      <c r="P44" s="243">
        <f>'[9]Allocation = % of margin'!AE44</f>
        <v>-2.0000000000000002E-5</v>
      </c>
      <c r="Q44" s="243">
        <f>' Increments  equal ¢ per therm'!Q44</f>
        <v>0</v>
      </c>
      <c r="R44" s="243">
        <f>'[9]Allocation = % of margin'!AH44</f>
        <v>1.9599999999999999E-3</v>
      </c>
      <c r="S44" s="243">
        <f>' Increments  equal ¢ per therm'!T44</f>
        <v>3.5E-4</v>
      </c>
      <c r="T44" s="243">
        <f>'[9]Allocation = % of revenue'!M44</f>
        <v>2.0000000000000002E-5</v>
      </c>
      <c r="U44" s="243">
        <f>'[9]Allocation = % of margin'!AK44</f>
        <v>4.6899999999999997E-3</v>
      </c>
      <c r="V44" s="243">
        <f>' Increments  equal ¢ per therm'!W44</f>
        <v>0.24073</v>
      </c>
      <c r="W44" s="243">
        <f t="shared" si="3"/>
        <v>0.24773000000000001</v>
      </c>
      <c r="X44" s="243">
        <f t="shared" si="4"/>
        <v>-4.2999999999998595E-4</v>
      </c>
      <c r="Y44" s="243"/>
      <c r="Z44" s="248">
        <f t="shared" si="5"/>
        <v>0.24773000000000001</v>
      </c>
      <c r="AA44" s="248">
        <f t="shared" si="6"/>
        <v>7.0200000000000002E-3</v>
      </c>
      <c r="AB44" s="248">
        <f t="shared" si="7"/>
        <v>0</v>
      </c>
      <c r="AC44" s="248">
        <f t="shared" si="8"/>
        <v>0</v>
      </c>
      <c r="AD44" s="248">
        <f t="shared" si="9"/>
        <v>0.24773000000000001</v>
      </c>
      <c r="AE44" s="248">
        <f t="shared" si="10"/>
        <v>0.24773000000000001</v>
      </c>
      <c r="AF44" s="248">
        <f>[9]Permanents!G44</f>
        <v>0.13824</v>
      </c>
      <c r="AG44" s="247">
        <f t="shared" si="11"/>
        <v>0</v>
      </c>
      <c r="AH44" s="243">
        <f t="shared" si="12"/>
        <v>0</v>
      </c>
      <c r="AI44" s="243">
        <f t="shared" si="13"/>
        <v>0</v>
      </c>
      <c r="AJ44" s="243">
        <f t="shared" si="14"/>
        <v>1.9599999999999999E-3</v>
      </c>
      <c r="AK44" s="243">
        <f t="shared" si="15"/>
        <v>3.5E-4</v>
      </c>
      <c r="AL44" s="243">
        <f t="shared" si="16"/>
        <v>0</v>
      </c>
      <c r="AM44" s="243">
        <f t="shared" si="17"/>
        <v>-2.0000000000000002E-5</v>
      </c>
      <c r="AN44" s="243">
        <f t="shared" si="18"/>
        <v>2.0000000000000002E-5</v>
      </c>
      <c r="AO44" s="243">
        <f>[9]Permanents!F44</f>
        <v>0</v>
      </c>
      <c r="AP44" s="243">
        <f t="shared" si="19"/>
        <v>4.6899999999999997E-3</v>
      </c>
      <c r="AQ44" s="243">
        <f t="shared" si="20"/>
        <v>0.24073</v>
      </c>
      <c r="AR44" s="243"/>
      <c r="AS44" s="243"/>
      <c r="AT44" s="243">
        <f t="shared" si="21"/>
        <v>0</v>
      </c>
      <c r="AU44" s="243">
        <f t="shared" si="22"/>
        <v>0</v>
      </c>
      <c r="AV44" s="243">
        <f t="shared" si="23"/>
        <v>0</v>
      </c>
      <c r="AW44" s="246">
        <f>[31]Temporaries!Q44</f>
        <v>0</v>
      </c>
      <c r="AX44" s="246">
        <f>SUM([31]Temporaries!K44:M44)</f>
        <v>0</v>
      </c>
      <c r="AY44" s="246">
        <f>SUM([31]Temporaries!N44:O44)</f>
        <v>0</v>
      </c>
      <c r="AZ44" s="245">
        <f>[31]Temporaries!R44</f>
        <v>1.73E-3</v>
      </c>
      <c r="BA44" s="245">
        <f t="shared" si="24"/>
        <v>0</v>
      </c>
      <c r="BB44" s="255">
        <f>[31]Temporaries!P44</f>
        <v>-1.3999999999999999E-4</v>
      </c>
      <c r="BC44" s="245">
        <f>[31]Temporaries!S44</f>
        <v>1.0300000000000001E-3</v>
      </c>
      <c r="BD44" s="245">
        <f>[31]Temporaries!T44</f>
        <v>1.2E-4</v>
      </c>
      <c r="BE44" s="245">
        <f>[31]Temporaries!U44</f>
        <v>4.6899999999999997E-3</v>
      </c>
      <c r="BF44" s="245">
        <v>0.24073</v>
      </c>
      <c r="BG44" s="245"/>
      <c r="BH44" s="244">
        <f t="shared" si="25"/>
        <v>0</v>
      </c>
      <c r="BI44" s="243">
        <f t="shared" si="26"/>
        <v>0.24773000000000001</v>
      </c>
      <c r="BJ44" s="243">
        <f t="shared" si="27"/>
        <v>0.24773000000000001</v>
      </c>
    </row>
    <row r="45" spans="1:62" x14ac:dyDescent="0.25">
      <c r="A45" s="233">
        <f t="shared" si="28"/>
        <v>39</v>
      </c>
      <c r="B45" s="233"/>
      <c r="C45" s="261" t="s">
        <v>69</v>
      </c>
      <c r="D45" s="259">
        <v>0.24668999999999999</v>
      </c>
      <c r="E45" s="259">
        <v>0</v>
      </c>
      <c r="F45" s="259">
        <f>+' Increments  equal ¢ per therm'!H45</f>
        <v>0</v>
      </c>
      <c r="G45" s="259">
        <f>+' Increments  equal ¢ per therm'!K45</f>
        <v>0</v>
      </c>
      <c r="H45" s="259">
        <f>+' Increments  equal ¢ per therm'!N45</f>
        <v>0</v>
      </c>
      <c r="I45" s="259">
        <f t="shared" ref="I45:I76" si="29">SUM(F45:H45)</f>
        <v>0</v>
      </c>
      <c r="J45" s="259">
        <f t="shared" ref="J45:J76" si="30">I45-E45</f>
        <v>0</v>
      </c>
      <c r="K45" s="243">
        <f>+'[9]Allocation = % of margin'!P45</f>
        <v>0</v>
      </c>
      <c r="L45" s="243">
        <f>+'[9]Allocation = % of margin'!S45</f>
        <v>0</v>
      </c>
      <c r="M45" s="243">
        <f>+'[9]Allocation = % of margin'!V45</f>
        <v>0</v>
      </c>
      <c r="N45" s="243">
        <f>+'[9]Allocation = % of margin'!Y45</f>
        <v>0</v>
      </c>
      <c r="O45" s="243">
        <f>+'[9]Allocation = % of margin'!AB45</f>
        <v>0</v>
      </c>
      <c r="P45" s="243">
        <f>'[9]Allocation = % of margin'!AE45</f>
        <v>-2.0000000000000002E-5</v>
      </c>
      <c r="Q45" s="243">
        <f>' Increments  equal ¢ per therm'!Q45</f>
        <v>0</v>
      </c>
      <c r="R45" s="243">
        <f>'[9]Allocation = % of margin'!AH45</f>
        <v>1.5E-3</v>
      </c>
      <c r="S45" s="243">
        <f>' Increments  equal ¢ per therm'!T45</f>
        <v>3.5E-4</v>
      </c>
      <c r="T45" s="243">
        <f>'[9]Allocation = % of revenue'!M45</f>
        <v>2.0000000000000002E-5</v>
      </c>
      <c r="U45" s="243">
        <f>'[9]Allocation = % of margin'!AK45</f>
        <v>3.5999999999999999E-3</v>
      </c>
      <c r="V45" s="243">
        <f>' Increments  equal ¢ per therm'!W45</f>
        <v>0.24073</v>
      </c>
      <c r="W45" s="243">
        <f t="shared" ref="W45:W76" si="31">I45+SUM(K45:V45)</f>
        <v>0.24618000000000001</v>
      </c>
      <c r="X45" s="243">
        <f t="shared" ref="X45:X76" si="32">+W45-D45</f>
        <v>-5.0999999999998269E-4</v>
      </c>
      <c r="Y45" s="243"/>
      <c r="Z45" s="248">
        <f t="shared" ref="Z45:Z81" si="33">+W45-K45-M45-L45</f>
        <v>0.24618000000000001</v>
      </c>
      <c r="AA45" s="248">
        <f t="shared" ref="AA45:AA81" si="34">+Q45+O45+N45+R45+S45+T45+U45</f>
        <v>5.47E-3</v>
      </c>
      <c r="AB45" s="248">
        <f t="shared" ref="AB45:AB81" si="35">+F45</f>
        <v>0</v>
      </c>
      <c r="AC45" s="248">
        <f t="shared" ref="AC45:AC81" si="36">+G45+H45</f>
        <v>0</v>
      </c>
      <c r="AD45" s="248">
        <f t="shared" ref="AD45:AD81" si="37">SUM(K45:V45)</f>
        <v>0.24618000000000001</v>
      </c>
      <c r="AE45" s="248">
        <f t="shared" ref="AE45:AE76" si="38">SUM(AB45:AD45)</f>
        <v>0.24618000000000001</v>
      </c>
      <c r="AF45" s="248">
        <f>[9]Permanents!G45</f>
        <v>0.106</v>
      </c>
      <c r="AG45" s="247">
        <f t="shared" ref="AG45:AG81" si="39">+AD45-AI45-AL45-AV45-AJ45-AK45-AN45-AM45-AP45-AQ45</f>
        <v>0</v>
      </c>
      <c r="AH45" s="243">
        <f t="shared" ref="AH45:AH81" si="40">+AB45+AC45</f>
        <v>0</v>
      </c>
      <c r="AI45" s="243">
        <f t="shared" ref="AI45:AI81" si="41">+Q45</f>
        <v>0</v>
      </c>
      <c r="AJ45" s="243">
        <f t="shared" ref="AJ45:AJ81" si="42">R45</f>
        <v>1.5E-3</v>
      </c>
      <c r="AK45" s="243">
        <f t="shared" ref="AK45:AK81" si="43">S45</f>
        <v>3.5E-4</v>
      </c>
      <c r="AL45" s="243">
        <f t="shared" ref="AL45:AL81" si="44">+K45+M45+L45</f>
        <v>0</v>
      </c>
      <c r="AM45" s="243">
        <f t="shared" ref="AM45:AM81" si="45">P45</f>
        <v>-2.0000000000000002E-5</v>
      </c>
      <c r="AN45" s="243">
        <f t="shared" ref="AN45:AN81" si="46">T45</f>
        <v>2.0000000000000002E-5</v>
      </c>
      <c r="AO45" s="243">
        <f>[9]Permanents!F45</f>
        <v>0</v>
      </c>
      <c r="AP45" s="243">
        <f t="shared" ref="AP45:AP81" si="47">U45</f>
        <v>3.5999999999999999E-3</v>
      </c>
      <c r="AQ45" s="243">
        <f t="shared" ref="AQ45:AQ81" si="48">V45</f>
        <v>0.24073</v>
      </c>
      <c r="AR45" s="243"/>
      <c r="AS45" s="243"/>
      <c r="AT45" s="243">
        <f t="shared" ref="AT45:AT81" si="49">+N45</f>
        <v>0</v>
      </c>
      <c r="AU45" s="243">
        <f t="shared" ref="AU45:AU81" si="50">+O45</f>
        <v>0</v>
      </c>
      <c r="AV45" s="243">
        <f t="shared" ref="AV45:AV76" si="51">SUM(AS45:AU45)</f>
        <v>0</v>
      </c>
      <c r="AW45" s="246">
        <f>[31]Temporaries!Q45</f>
        <v>0</v>
      </c>
      <c r="AX45" s="246">
        <f>SUM([31]Temporaries!K45:M45)</f>
        <v>0</v>
      </c>
      <c r="AY45" s="246">
        <f>SUM([31]Temporaries!N45:O45)</f>
        <v>0</v>
      </c>
      <c r="AZ45" s="245">
        <f>[31]Temporaries!R45</f>
        <v>1.33E-3</v>
      </c>
      <c r="BA45" s="245">
        <f t="shared" ref="BA45:BA81" si="52">E45</f>
        <v>0</v>
      </c>
      <c r="BB45" s="255">
        <f>[31]Temporaries!P45</f>
        <v>-1.1E-4</v>
      </c>
      <c r="BC45" s="245">
        <f>[31]Temporaries!S45</f>
        <v>1.0300000000000001E-3</v>
      </c>
      <c r="BD45" s="245">
        <f>[31]Temporaries!T45</f>
        <v>1.1E-4</v>
      </c>
      <c r="BE45" s="245">
        <f>[31]Temporaries!U45</f>
        <v>3.5999999999999999E-3</v>
      </c>
      <c r="BF45" s="245">
        <v>0.24073</v>
      </c>
      <c r="BG45" s="245"/>
      <c r="BH45" s="244">
        <f t="shared" ref="BH45:BH76" si="53">SUM(AW45:BG45)-D45</f>
        <v>0</v>
      </c>
      <c r="BI45" s="243">
        <f t="shared" ref="BI45:BI81" si="54">+AD45-K45-M45-L45</f>
        <v>0.24618000000000001</v>
      </c>
      <c r="BJ45" s="243">
        <f t="shared" ref="BJ45:BJ81" si="55">+AE45-K45-M45-L45</f>
        <v>0.24618000000000001</v>
      </c>
    </row>
    <row r="46" spans="1:62" x14ac:dyDescent="0.25">
      <c r="A46" s="233">
        <f t="shared" si="28"/>
        <v>40</v>
      </c>
      <c r="B46" s="233"/>
      <c r="C46" s="261" t="s">
        <v>70</v>
      </c>
      <c r="D46" s="259">
        <v>0.24573</v>
      </c>
      <c r="E46" s="259">
        <v>0</v>
      </c>
      <c r="F46" s="259">
        <f>+' Increments  equal ¢ per therm'!H46</f>
        <v>0</v>
      </c>
      <c r="G46" s="259">
        <f>+' Increments  equal ¢ per therm'!K46</f>
        <v>0</v>
      </c>
      <c r="H46" s="259">
        <f>+' Increments  equal ¢ per therm'!N46</f>
        <v>0</v>
      </c>
      <c r="I46" s="259">
        <f t="shared" si="29"/>
        <v>0</v>
      </c>
      <c r="J46" s="259">
        <f t="shared" si="30"/>
        <v>0</v>
      </c>
      <c r="K46" s="243">
        <f>+'[9]Allocation = % of margin'!P46</f>
        <v>0</v>
      </c>
      <c r="L46" s="243">
        <f>+'[9]Allocation = % of margin'!S46</f>
        <v>0</v>
      </c>
      <c r="M46" s="243">
        <f>+'[9]Allocation = % of margin'!V46</f>
        <v>0</v>
      </c>
      <c r="N46" s="243">
        <f>+'[9]Allocation = % of margin'!Y46</f>
        <v>0</v>
      </c>
      <c r="O46" s="243">
        <f>+'[9]Allocation = % of margin'!AB46</f>
        <v>0</v>
      </c>
      <c r="P46" s="243">
        <f>'[9]Allocation = % of margin'!AE46</f>
        <v>-2.0000000000000002E-5</v>
      </c>
      <c r="Q46" s="243">
        <f>' Increments  equal ¢ per therm'!Q46</f>
        <v>0</v>
      </c>
      <c r="R46" s="243">
        <f>'[9]Allocation = % of margin'!AH46</f>
        <v>1.1999999999999999E-3</v>
      </c>
      <c r="S46" s="243">
        <f>' Increments  equal ¢ per therm'!T46</f>
        <v>3.5E-4</v>
      </c>
      <c r="T46" s="243">
        <f>'[9]Allocation = % of revenue'!M46</f>
        <v>1.0000000000000001E-5</v>
      </c>
      <c r="U46" s="243">
        <f>'[9]Allocation = % of margin'!AK46</f>
        <v>2.8800000000000002E-3</v>
      </c>
      <c r="V46" s="243">
        <f>' Increments  equal ¢ per therm'!W46</f>
        <v>0.24073</v>
      </c>
      <c r="W46" s="243">
        <f t="shared" si="31"/>
        <v>0.24515000000000001</v>
      </c>
      <c r="X46" s="243">
        <f t="shared" si="32"/>
        <v>-5.7999999999999718E-4</v>
      </c>
      <c r="Y46" s="243"/>
      <c r="Z46" s="248">
        <f t="shared" si="33"/>
        <v>0.24515000000000001</v>
      </c>
      <c r="AA46" s="248">
        <f t="shared" si="34"/>
        <v>4.4400000000000004E-3</v>
      </c>
      <c r="AB46" s="248">
        <f t="shared" si="35"/>
        <v>0</v>
      </c>
      <c r="AC46" s="248">
        <f t="shared" si="36"/>
        <v>0</v>
      </c>
      <c r="AD46" s="248">
        <f t="shared" si="37"/>
        <v>0.24515000000000001</v>
      </c>
      <c r="AE46" s="248">
        <f t="shared" si="38"/>
        <v>0.24515000000000001</v>
      </c>
      <c r="AF46" s="248">
        <f>[9]Permanents!G46</f>
        <v>8.481000000000001E-2</v>
      </c>
      <c r="AG46" s="247">
        <f t="shared" si="39"/>
        <v>0</v>
      </c>
      <c r="AH46" s="243">
        <f t="shared" si="40"/>
        <v>0</v>
      </c>
      <c r="AI46" s="243">
        <f t="shared" si="41"/>
        <v>0</v>
      </c>
      <c r="AJ46" s="243">
        <f t="shared" si="42"/>
        <v>1.1999999999999999E-3</v>
      </c>
      <c r="AK46" s="243">
        <f t="shared" si="43"/>
        <v>3.5E-4</v>
      </c>
      <c r="AL46" s="243">
        <f t="shared" si="44"/>
        <v>0</v>
      </c>
      <c r="AM46" s="243">
        <f t="shared" si="45"/>
        <v>-2.0000000000000002E-5</v>
      </c>
      <c r="AN46" s="243">
        <f t="shared" si="46"/>
        <v>1.0000000000000001E-5</v>
      </c>
      <c r="AO46" s="243">
        <f>[9]Permanents!F46</f>
        <v>0</v>
      </c>
      <c r="AP46" s="243">
        <f t="shared" si="47"/>
        <v>2.8800000000000002E-3</v>
      </c>
      <c r="AQ46" s="243">
        <f t="shared" si="48"/>
        <v>0.24073</v>
      </c>
      <c r="AR46" s="243"/>
      <c r="AS46" s="243"/>
      <c r="AT46" s="243">
        <f t="shared" si="49"/>
        <v>0</v>
      </c>
      <c r="AU46" s="243">
        <f t="shared" si="50"/>
        <v>0</v>
      </c>
      <c r="AV46" s="243">
        <f t="shared" si="51"/>
        <v>0</v>
      </c>
      <c r="AW46" s="246">
        <f>[31]Temporaries!Q46</f>
        <v>0</v>
      </c>
      <c r="AX46" s="246">
        <f>SUM([31]Temporaries!K46:M46)</f>
        <v>0</v>
      </c>
      <c r="AY46" s="246">
        <f>SUM([31]Temporaries!N46:O46)</f>
        <v>0</v>
      </c>
      <c r="AZ46" s="245">
        <f>[31]Temporaries!R46</f>
        <v>1.06E-3</v>
      </c>
      <c r="BA46" s="245">
        <f t="shared" si="52"/>
        <v>0</v>
      </c>
      <c r="BB46" s="255">
        <f>[31]Temporaries!P46</f>
        <v>-8.0000000000000007E-5</v>
      </c>
      <c r="BC46" s="245">
        <f>[31]Temporaries!S46</f>
        <v>1.0300000000000001E-3</v>
      </c>
      <c r="BD46" s="245">
        <f>[31]Temporaries!T46</f>
        <v>1.1E-4</v>
      </c>
      <c r="BE46" s="245">
        <f>[31]Temporaries!U46</f>
        <v>2.8800000000000002E-3</v>
      </c>
      <c r="BF46" s="245">
        <v>0.24073</v>
      </c>
      <c r="BG46" s="245"/>
      <c r="BH46" s="244">
        <f t="shared" si="53"/>
        <v>0</v>
      </c>
      <c r="BI46" s="243">
        <f t="shared" si="54"/>
        <v>0.24515000000000001</v>
      </c>
      <c r="BJ46" s="243">
        <f t="shared" si="55"/>
        <v>0.24515000000000001</v>
      </c>
    </row>
    <row r="47" spans="1:62" x14ac:dyDescent="0.25">
      <c r="A47" s="233">
        <f t="shared" si="28"/>
        <v>41</v>
      </c>
      <c r="B47" s="233"/>
      <c r="C47" s="261" t="s">
        <v>71</v>
      </c>
      <c r="D47" s="259">
        <v>0.24443000000000001</v>
      </c>
      <c r="E47" s="259">
        <v>0</v>
      </c>
      <c r="F47" s="259">
        <f>+' Increments  equal ¢ per therm'!H47</f>
        <v>0</v>
      </c>
      <c r="G47" s="259">
        <f>+' Increments  equal ¢ per therm'!K47</f>
        <v>0</v>
      </c>
      <c r="H47" s="259">
        <f>+' Increments  equal ¢ per therm'!N47</f>
        <v>0</v>
      </c>
      <c r="I47" s="259">
        <f t="shared" si="29"/>
        <v>0</v>
      </c>
      <c r="J47" s="259">
        <f t="shared" si="30"/>
        <v>0</v>
      </c>
      <c r="K47" s="243">
        <f>+'[9]Allocation = % of margin'!P47</f>
        <v>0</v>
      </c>
      <c r="L47" s="243">
        <f>+'[9]Allocation = % of margin'!S47</f>
        <v>0</v>
      </c>
      <c r="M47" s="243">
        <f>+'[9]Allocation = % of margin'!V47</f>
        <v>0</v>
      </c>
      <c r="N47" s="243">
        <f>+'[9]Allocation = % of margin'!Y47</f>
        <v>0</v>
      </c>
      <c r="O47" s="243">
        <f>+'[9]Allocation = % of margin'!AB47</f>
        <v>0</v>
      </c>
      <c r="P47" s="243">
        <f>'[9]Allocation = % of margin'!AE47</f>
        <v>-1.0000000000000001E-5</v>
      </c>
      <c r="Q47" s="243">
        <f>' Increments  equal ¢ per therm'!Q47</f>
        <v>0</v>
      </c>
      <c r="R47" s="243">
        <f>'[9]Allocation = % of margin'!AH47</f>
        <v>8.0000000000000004E-4</v>
      </c>
      <c r="S47" s="243">
        <f>' Increments  equal ¢ per therm'!T47</f>
        <v>3.5E-4</v>
      </c>
      <c r="T47" s="243">
        <f>'[9]Allocation = % of revenue'!M47</f>
        <v>1.0000000000000001E-5</v>
      </c>
      <c r="U47" s="243">
        <f>'[9]Allocation = % of margin'!AK47</f>
        <v>1.92E-3</v>
      </c>
      <c r="V47" s="243">
        <f>' Increments  equal ¢ per therm'!W47</f>
        <v>0.24073</v>
      </c>
      <c r="W47" s="243">
        <f t="shared" si="31"/>
        <v>0.24379999999999999</v>
      </c>
      <c r="X47" s="243">
        <f t="shared" si="32"/>
        <v>-6.3000000000001943E-4</v>
      </c>
      <c r="Y47" s="243"/>
      <c r="Z47" s="248">
        <f t="shared" si="33"/>
        <v>0.24379999999999999</v>
      </c>
      <c r="AA47" s="248">
        <f t="shared" si="34"/>
        <v>3.0800000000000003E-3</v>
      </c>
      <c r="AB47" s="248">
        <f t="shared" si="35"/>
        <v>0</v>
      </c>
      <c r="AC47" s="248">
        <f t="shared" si="36"/>
        <v>0</v>
      </c>
      <c r="AD47" s="248">
        <f t="shared" si="37"/>
        <v>0.24379999999999999</v>
      </c>
      <c r="AE47" s="248">
        <f t="shared" si="38"/>
        <v>0.24379999999999999</v>
      </c>
      <c r="AF47" s="248">
        <f>[9]Permanents!G47</f>
        <v>5.654E-2</v>
      </c>
      <c r="AG47" s="247">
        <f t="shared" si="39"/>
        <v>0</v>
      </c>
      <c r="AH47" s="243">
        <f t="shared" si="40"/>
        <v>0</v>
      </c>
      <c r="AI47" s="243">
        <f t="shared" si="41"/>
        <v>0</v>
      </c>
      <c r="AJ47" s="243">
        <f t="shared" si="42"/>
        <v>8.0000000000000004E-4</v>
      </c>
      <c r="AK47" s="243">
        <f t="shared" si="43"/>
        <v>3.5E-4</v>
      </c>
      <c r="AL47" s="243">
        <f t="shared" si="44"/>
        <v>0</v>
      </c>
      <c r="AM47" s="243">
        <f t="shared" si="45"/>
        <v>-1.0000000000000001E-5</v>
      </c>
      <c r="AN47" s="243">
        <f t="shared" si="46"/>
        <v>1.0000000000000001E-5</v>
      </c>
      <c r="AO47" s="243">
        <f>[9]Permanents!F47</f>
        <v>0</v>
      </c>
      <c r="AP47" s="243">
        <f t="shared" si="47"/>
        <v>1.92E-3</v>
      </c>
      <c r="AQ47" s="243">
        <f t="shared" si="48"/>
        <v>0.24073</v>
      </c>
      <c r="AR47" s="243"/>
      <c r="AS47" s="243"/>
      <c r="AT47" s="243">
        <f t="shared" si="49"/>
        <v>0</v>
      </c>
      <c r="AU47" s="243">
        <f t="shared" si="50"/>
        <v>0</v>
      </c>
      <c r="AV47" s="243">
        <f t="shared" si="51"/>
        <v>0</v>
      </c>
      <c r="AW47" s="246">
        <f>[31]Temporaries!Q47</f>
        <v>0</v>
      </c>
      <c r="AX47" s="246">
        <f>SUM([31]Temporaries!K47:M47)</f>
        <v>0</v>
      </c>
      <c r="AY47" s="246">
        <f>SUM([31]Temporaries!N47:O47)</f>
        <v>0</v>
      </c>
      <c r="AZ47" s="245">
        <f>[31]Temporaries!R47</f>
        <v>7.1000000000000002E-4</v>
      </c>
      <c r="BA47" s="245">
        <f t="shared" si="52"/>
        <v>0</v>
      </c>
      <c r="BB47" s="255">
        <f>[31]Temporaries!P47</f>
        <v>-6.0000000000000002E-5</v>
      </c>
      <c r="BC47" s="245">
        <f>[31]Temporaries!S47</f>
        <v>1.0300000000000001E-3</v>
      </c>
      <c r="BD47" s="245">
        <f>[31]Temporaries!T47</f>
        <v>1E-4</v>
      </c>
      <c r="BE47" s="245">
        <f>[31]Temporaries!U47</f>
        <v>1.92E-3</v>
      </c>
      <c r="BF47" s="245">
        <v>0.24073</v>
      </c>
      <c r="BG47" s="245"/>
      <c r="BH47" s="244">
        <f t="shared" si="53"/>
        <v>0</v>
      </c>
      <c r="BI47" s="243">
        <f t="shared" si="54"/>
        <v>0.24379999999999999</v>
      </c>
      <c r="BJ47" s="243">
        <f t="shared" si="55"/>
        <v>0.24379999999999999</v>
      </c>
    </row>
    <row r="48" spans="1:62" x14ac:dyDescent="0.25">
      <c r="A48" s="233">
        <f t="shared" si="28"/>
        <v>42</v>
      </c>
      <c r="B48" s="258"/>
      <c r="C48" s="260" t="s">
        <v>72</v>
      </c>
      <c r="D48" s="251">
        <v>0.24282999999999999</v>
      </c>
      <c r="E48" s="251">
        <v>0</v>
      </c>
      <c r="F48" s="251">
        <f>+' Increments  equal ¢ per therm'!H48</f>
        <v>0</v>
      </c>
      <c r="G48" s="251">
        <f>+' Increments  equal ¢ per therm'!K48</f>
        <v>0</v>
      </c>
      <c r="H48" s="251">
        <f>+' Increments  equal ¢ per therm'!N48</f>
        <v>0</v>
      </c>
      <c r="I48" s="251">
        <f t="shared" si="29"/>
        <v>0</v>
      </c>
      <c r="J48" s="251">
        <f t="shared" si="30"/>
        <v>0</v>
      </c>
      <c r="K48" s="249">
        <f>+'[9]Allocation = % of margin'!P48</f>
        <v>0</v>
      </c>
      <c r="L48" s="249">
        <f>+'[9]Allocation = % of margin'!S48</f>
        <v>0</v>
      </c>
      <c r="M48" s="249">
        <f>+'[9]Allocation = % of margin'!V48</f>
        <v>0</v>
      </c>
      <c r="N48" s="249">
        <f>+'[9]Allocation = % of margin'!Y48</f>
        <v>0</v>
      </c>
      <c r="O48" s="249">
        <f>+'[9]Allocation = % of margin'!AB48</f>
        <v>0</v>
      </c>
      <c r="P48" s="249">
        <f>'[9]Allocation = % of margin'!AE48</f>
        <v>0</v>
      </c>
      <c r="Q48" s="249">
        <f>' Increments  equal ¢ per therm'!Q48</f>
        <v>0</v>
      </c>
      <c r="R48" s="249">
        <f>'[9]Allocation = % of margin'!AH48</f>
        <v>2.9999999999999997E-4</v>
      </c>
      <c r="S48" s="249">
        <f>' Increments  equal ¢ per therm'!T48</f>
        <v>3.5E-4</v>
      </c>
      <c r="T48" s="249">
        <f>'[9]Allocation = % of revenue'!M48</f>
        <v>1.0000000000000001E-5</v>
      </c>
      <c r="U48" s="249">
        <f>'[9]Allocation = % of margin'!AK48</f>
        <v>7.2000000000000005E-4</v>
      </c>
      <c r="V48" s="249">
        <f>' Increments  equal ¢ per therm'!W48</f>
        <v>0.24073</v>
      </c>
      <c r="W48" s="249">
        <f t="shared" si="31"/>
        <v>0.24210999999999999</v>
      </c>
      <c r="X48" s="249">
        <f t="shared" si="32"/>
        <v>-7.1999999999999842E-4</v>
      </c>
      <c r="Y48" s="243"/>
      <c r="Z48" s="248">
        <f t="shared" si="33"/>
        <v>0.24210999999999999</v>
      </c>
      <c r="AA48" s="248">
        <f t="shared" si="34"/>
        <v>1.3800000000000002E-3</v>
      </c>
      <c r="AB48" s="248">
        <f t="shared" si="35"/>
        <v>0</v>
      </c>
      <c r="AC48" s="248">
        <f t="shared" si="36"/>
        <v>0</v>
      </c>
      <c r="AD48" s="248">
        <f t="shared" si="37"/>
        <v>0.24210999999999999</v>
      </c>
      <c r="AE48" s="248">
        <f t="shared" si="38"/>
        <v>0.24210999999999999</v>
      </c>
      <c r="AF48" s="248">
        <f>[9]Permanents!G48</f>
        <v>2.12E-2</v>
      </c>
      <c r="AG48" s="247">
        <f t="shared" si="39"/>
        <v>0</v>
      </c>
      <c r="AH48" s="243">
        <f t="shared" si="40"/>
        <v>0</v>
      </c>
      <c r="AI48" s="243">
        <f t="shared" si="41"/>
        <v>0</v>
      </c>
      <c r="AJ48" s="243">
        <f t="shared" si="42"/>
        <v>2.9999999999999997E-4</v>
      </c>
      <c r="AK48" s="243">
        <f t="shared" si="43"/>
        <v>3.5E-4</v>
      </c>
      <c r="AL48" s="243">
        <f t="shared" si="44"/>
        <v>0</v>
      </c>
      <c r="AM48" s="243">
        <f t="shared" si="45"/>
        <v>0</v>
      </c>
      <c r="AN48" s="243">
        <f t="shared" si="46"/>
        <v>1.0000000000000001E-5</v>
      </c>
      <c r="AO48" s="243">
        <f>[9]Permanents!F48</f>
        <v>0</v>
      </c>
      <c r="AP48" s="243">
        <f t="shared" si="47"/>
        <v>7.2000000000000005E-4</v>
      </c>
      <c r="AQ48" s="243">
        <f t="shared" si="48"/>
        <v>0.24073</v>
      </c>
      <c r="AR48" s="243"/>
      <c r="AS48" s="243"/>
      <c r="AT48" s="243">
        <f t="shared" si="49"/>
        <v>0</v>
      </c>
      <c r="AU48" s="243">
        <f t="shared" si="50"/>
        <v>0</v>
      </c>
      <c r="AV48" s="243">
        <f t="shared" si="51"/>
        <v>0</v>
      </c>
      <c r="AW48" s="246">
        <f>[31]Temporaries!Q48</f>
        <v>0</v>
      </c>
      <c r="AX48" s="246">
        <f>SUM([31]Temporaries!K48:M48)</f>
        <v>0</v>
      </c>
      <c r="AY48" s="246">
        <f>SUM([31]Temporaries!N48:O48)</f>
        <v>0</v>
      </c>
      <c r="AZ48" s="245">
        <f>[31]Temporaries!R48</f>
        <v>2.7E-4</v>
      </c>
      <c r="BA48" s="245">
        <f t="shared" si="52"/>
        <v>0</v>
      </c>
      <c r="BB48" s="255">
        <f>[31]Temporaries!P48</f>
        <v>-2.0000000000000002E-5</v>
      </c>
      <c r="BC48" s="245">
        <f>[31]Temporaries!S48</f>
        <v>1.0300000000000001E-3</v>
      </c>
      <c r="BD48" s="245">
        <f>[31]Temporaries!T48</f>
        <v>1E-4</v>
      </c>
      <c r="BE48" s="245">
        <f>[31]Temporaries!U48</f>
        <v>7.2000000000000005E-4</v>
      </c>
      <c r="BF48" s="245">
        <v>0.24073</v>
      </c>
      <c r="BG48" s="245"/>
      <c r="BH48" s="244">
        <f t="shared" si="53"/>
        <v>0</v>
      </c>
      <c r="BI48" s="243">
        <f t="shared" si="54"/>
        <v>0.24210999999999999</v>
      </c>
      <c r="BJ48" s="243">
        <f t="shared" si="55"/>
        <v>0.24210999999999999</v>
      </c>
    </row>
    <row r="49" spans="1:62" x14ac:dyDescent="0.25">
      <c r="A49" s="233">
        <f t="shared" si="28"/>
        <v>43</v>
      </c>
      <c r="B49" s="233" t="s">
        <v>75</v>
      </c>
      <c r="C49" s="261" t="s">
        <v>61</v>
      </c>
      <c r="D49" s="259">
        <v>0.24934999999999999</v>
      </c>
      <c r="E49" s="259">
        <v>0</v>
      </c>
      <c r="F49" s="259">
        <f>+' Increments  equal ¢ per therm'!H49</f>
        <v>0</v>
      </c>
      <c r="G49" s="256">
        <f>+' Increments  equal ¢ per therm'!K49</f>
        <v>0</v>
      </c>
      <c r="H49" s="256">
        <f>+' Increments  equal ¢ per therm'!N49</f>
        <v>0</v>
      </c>
      <c r="I49" s="259">
        <f t="shared" si="29"/>
        <v>0</v>
      </c>
      <c r="J49" s="259">
        <f t="shared" si="30"/>
        <v>0</v>
      </c>
      <c r="K49" s="262">
        <f>+'[9]Allocation = % of margin'!P49</f>
        <v>0</v>
      </c>
      <c r="L49" s="262">
        <f>+'[9]Allocation = % of margin'!S49</f>
        <v>0</v>
      </c>
      <c r="M49" s="262">
        <f>+'[9]Allocation = % of margin'!V49</f>
        <v>0</v>
      </c>
      <c r="N49" s="262">
        <f>+'[9]Allocation = % of margin'!Y49</f>
        <v>0</v>
      </c>
      <c r="O49" s="262">
        <f>+'[9]Allocation = % of margin'!AB49</f>
        <v>0</v>
      </c>
      <c r="P49" s="243">
        <f>'[9]Allocation = % of margin'!AE49</f>
        <v>-3.0000000000000001E-5</v>
      </c>
      <c r="Q49" s="243">
        <f>' Increments  equal ¢ per therm'!Q49</f>
        <v>0</v>
      </c>
      <c r="R49" s="243">
        <f>'[9]Allocation = % of margin'!AH49</f>
        <v>2.31E-3</v>
      </c>
      <c r="S49" s="243">
        <f>' Increments  equal ¢ per therm'!T49</f>
        <v>3.5E-4</v>
      </c>
      <c r="T49" s="243">
        <f>'[9]Allocation = % of revenue'!M49</f>
        <v>1.0000000000000001E-5</v>
      </c>
      <c r="U49" s="243">
        <f>'[9]Allocation = % of margin'!AK49</f>
        <v>5.5900000000000004E-3</v>
      </c>
      <c r="V49" s="243">
        <f>' Increments  equal ¢ per therm'!W49</f>
        <v>0.24073</v>
      </c>
      <c r="W49" s="243">
        <f t="shared" si="31"/>
        <v>0.24896000000000001</v>
      </c>
      <c r="X49" s="243">
        <f t="shared" si="32"/>
        <v>-3.899999999999737E-4</v>
      </c>
      <c r="Y49" s="243"/>
      <c r="Z49" s="248">
        <f t="shared" si="33"/>
        <v>0.24896000000000001</v>
      </c>
      <c r="AA49" s="248">
        <f t="shared" si="34"/>
        <v>8.26E-3</v>
      </c>
      <c r="AB49" s="248">
        <f t="shared" si="35"/>
        <v>0</v>
      </c>
      <c r="AC49" s="248">
        <f t="shared" si="36"/>
        <v>0</v>
      </c>
      <c r="AD49" s="248">
        <f t="shared" si="37"/>
        <v>0.24896000000000001</v>
      </c>
      <c r="AE49" s="248">
        <f t="shared" si="38"/>
        <v>0.24896000000000001</v>
      </c>
      <c r="AF49" s="248">
        <f>[9]Permanents!G49</f>
        <v>0.15161000000000002</v>
      </c>
      <c r="AG49" s="247">
        <f t="shared" si="39"/>
        <v>0</v>
      </c>
      <c r="AH49" s="243">
        <f t="shared" si="40"/>
        <v>0</v>
      </c>
      <c r="AI49" s="243">
        <f t="shared" si="41"/>
        <v>0</v>
      </c>
      <c r="AJ49" s="243">
        <f t="shared" si="42"/>
        <v>2.31E-3</v>
      </c>
      <c r="AK49" s="243">
        <f t="shared" si="43"/>
        <v>3.5E-4</v>
      </c>
      <c r="AL49" s="243">
        <f t="shared" si="44"/>
        <v>0</v>
      </c>
      <c r="AM49" s="243">
        <f t="shared" si="45"/>
        <v>-3.0000000000000001E-5</v>
      </c>
      <c r="AN49" s="243">
        <f t="shared" si="46"/>
        <v>1.0000000000000001E-5</v>
      </c>
      <c r="AO49" s="243">
        <f>[9]Permanents!F49</f>
        <v>0</v>
      </c>
      <c r="AP49" s="243">
        <f t="shared" si="47"/>
        <v>5.5900000000000004E-3</v>
      </c>
      <c r="AQ49" s="243">
        <f t="shared" si="48"/>
        <v>0.24073</v>
      </c>
      <c r="AR49" s="243"/>
      <c r="AS49" s="243"/>
      <c r="AT49" s="243">
        <f t="shared" si="49"/>
        <v>0</v>
      </c>
      <c r="AU49" s="243">
        <f t="shared" si="50"/>
        <v>0</v>
      </c>
      <c r="AV49" s="243">
        <f t="shared" si="51"/>
        <v>0</v>
      </c>
      <c r="AW49" s="246">
        <f>[31]Temporaries!Q49</f>
        <v>0</v>
      </c>
      <c r="AX49" s="246">
        <f>SUM([31]Temporaries!K49:M49)</f>
        <v>0</v>
      </c>
      <c r="AY49" s="246">
        <f>SUM([31]Temporaries!N49:O49)</f>
        <v>0</v>
      </c>
      <c r="AZ49" s="245">
        <f>[31]Temporaries!R49</f>
        <v>2.0600000000000002E-3</v>
      </c>
      <c r="BA49" s="245">
        <f t="shared" si="52"/>
        <v>0</v>
      </c>
      <c r="BB49" s="255">
        <f>[31]Temporaries!P49</f>
        <v>-1.6000000000000001E-4</v>
      </c>
      <c r="BC49" s="245">
        <f>[31]Temporaries!S49</f>
        <v>1.0300000000000001E-3</v>
      </c>
      <c r="BD49" s="245">
        <f>[31]Temporaries!T49</f>
        <v>1E-4</v>
      </c>
      <c r="BE49" s="245">
        <f>[31]Temporaries!U49</f>
        <v>5.5900000000000004E-3</v>
      </c>
      <c r="BF49" s="245">
        <v>0.24073</v>
      </c>
      <c r="BG49" s="245"/>
      <c r="BH49" s="244">
        <f t="shared" si="53"/>
        <v>0</v>
      </c>
      <c r="BI49" s="243">
        <f t="shared" si="54"/>
        <v>0.24896000000000001</v>
      </c>
      <c r="BJ49" s="243">
        <f t="shared" si="55"/>
        <v>0.24896000000000001</v>
      </c>
    </row>
    <row r="50" spans="1:62" x14ac:dyDescent="0.25">
      <c r="A50" s="233">
        <f t="shared" si="28"/>
        <v>44</v>
      </c>
      <c r="B50" s="233"/>
      <c r="C50" s="261" t="s">
        <v>62</v>
      </c>
      <c r="D50" s="259">
        <v>0.24856</v>
      </c>
      <c r="E50" s="259">
        <v>0</v>
      </c>
      <c r="F50" s="259">
        <f>+' Increments  equal ¢ per therm'!H50</f>
        <v>0</v>
      </c>
      <c r="G50" s="259">
        <f>+' Increments  equal ¢ per therm'!K50</f>
        <v>0</v>
      </c>
      <c r="H50" s="259">
        <f>+' Increments  equal ¢ per therm'!N50</f>
        <v>0</v>
      </c>
      <c r="I50" s="259">
        <f t="shared" si="29"/>
        <v>0</v>
      </c>
      <c r="J50" s="259">
        <f t="shared" si="30"/>
        <v>0</v>
      </c>
      <c r="K50" s="243">
        <f>+'[9]Allocation = % of margin'!P50</f>
        <v>0</v>
      </c>
      <c r="L50" s="243">
        <f>+'[9]Allocation = % of margin'!S50</f>
        <v>0</v>
      </c>
      <c r="M50" s="243">
        <f>+'[9]Allocation = % of margin'!V50</f>
        <v>0</v>
      </c>
      <c r="N50" s="243">
        <f>+'[9]Allocation = % of margin'!Y50</f>
        <v>0</v>
      </c>
      <c r="O50" s="243">
        <f>+'[9]Allocation = % of margin'!AB50</f>
        <v>0</v>
      </c>
      <c r="P50" s="243">
        <f>'[9]Allocation = % of margin'!AE50</f>
        <v>-3.0000000000000001E-5</v>
      </c>
      <c r="Q50" s="243">
        <f>' Increments  equal ¢ per therm'!Q50</f>
        <v>0</v>
      </c>
      <c r="R50" s="243">
        <f>'[9]Allocation = % of margin'!AH50</f>
        <v>2.0699999999999998E-3</v>
      </c>
      <c r="S50" s="243">
        <f>' Increments  equal ¢ per therm'!T50</f>
        <v>3.5E-4</v>
      </c>
      <c r="T50" s="243">
        <f>'[9]Allocation = % of revenue'!M50</f>
        <v>1.0000000000000001E-5</v>
      </c>
      <c r="U50" s="243">
        <f>'[9]Allocation = % of margin'!AK50</f>
        <v>5.0099999999999997E-3</v>
      </c>
      <c r="V50" s="243">
        <f>' Increments  equal ¢ per therm'!W50</f>
        <v>0.24073</v>
      </c>
      <c r="W50" s="243">
        <f t="shared" si="31"/>
        <v>0.24814</v>
      </c>
      <c r="X50" s="243">
        <f t="shared" si="32"/>
        <v>-4.200000000000037E-4</v>
      </c>
      <c r="Y50" s="243"/>
      <c r="Z50" s="248">
        <f t="shared" si="33"/>
        <v>0.24814</v>
      </c>
      <c r="AA50" s="248">
        <f t="shared" si="34"/>
        <v>7.4399999999999996E-3</v>
      </c>
      <c r="AB50" s="248">
        <f t="shared" si="35"/>
        <v>0</v>
      </c>
      <c r="AC50" s="248">
        <f t="shared" si="36"/>
        <v>0</v>
      </c>
      <c r="AD50" s="248">
        <f t="shared" si="37"/>
        <v>0.24814</v>
      </c>
      <c r="AE50" s="248">
        <f t="shared" si="38"/>
        <v>0.24814</v>
      </c>
      <c r="AF50" s="248">
        <f>[9]Permanents!G50</f>
        <v>0.13570999999999994</v>
      </c>
      <c r="AG50" s="247">
        <f t="shared" si="39"/>
        <v>0</v>
      </c>
      <c r="AH50" s="243">
        <f t="shared" si="40"/>
        <v>0</v>
      </c>
      <c r="AI50" s="243">
        <f t="shared" si="41"/>
        <v>0</v>
      </c>
      <c r="AJ50" s="243">
        <f t="shared" si="42"/>
        <v>2.0699999999999998E-3</v>
      </c>
      <c r="AK50" s="243">
        <f t="shared" si="43"/>
        <v>3.5E-4</v>
      </c>
      <c r="AL50" s="243">
        <f t="shared" si="44"/>
        <v>0</v>
      </c>
      <c r="AM50" s="243">
        <f t="shared" si="45"/>
        <v>-3.0000000000000001E-5</v>
      </c>
      <c r="AN50" s="243">
        <f t="shared" si="46"/>
        <v>1.0000000000000001E-5</v>
      </c>
      <c r="AO50" s="243">
        <f>[9]Permanents!F50</f>
        <v>0</v>
      </c>
      <c r="AP50" s="243">
        <f t="shared" si="47"/>
        <v>5.0099999999999997E-3</v>
      </c>
      <c r="AQ50" s="243">
        <f t="shared" si="48"/>
        <v>0.24073</v>
      </c>
      <c r="AR50" s="243"/>
      <c r="AS50" s="243"/>
      <c r="AT50" s="243">
        <f t="shared" si="49"/>
        <v>0</v>
      </c>
      <c r="AU50" s="243">
        <f t="shared" si="50"/>
        <v>0</v>
      </c>
      <c r="AV50" s="243">
        <f t="shared" si="51"/>
        <v>0</v>
      </c>
      <c r="AW50" s="246">
        <f>[31]Temporaries!Q50</f>
        <v>0</v>
      </c>
      <c r="AX50" s="246">
        <f>SUM([31]Temporaries!K50:M50)</f>
        <v>0</v>
      </c>
      <c r="AY50" s="246">
        <f>SUM([31]Temporaries!N50:O50)</f>
        <v>0</v>
      </c>
      <c r="AZ50" s="245">
        <f>[31]Temporaries!R50</f>
        <v>1.8400000000000001E-3</v>
      </c>
      <c r="BA50" s="245">
        <f t="shared" si="52"/>
        <v>0</v>
      </c>
      <c r="BB50" s="255">
        <f>[31]Temporaries!P50</f>
        <v>-1.4999999999999999E-4</v>
      </c>
      <c r="BC50" s="245">
        <f>[31]Temporaries!S50</f>
        <v>1.0300000000000001E-3</v>
      </c>
      <c r="BD50" s="245">
        <f>[31]Temporaries!T50</f>
        <v>1E-4</v>
      </c>
      <c r="BE50" s="245">
        <f>[31]Temporaries!U50</f>
        <v>5.0099999999999997E-3</v>
      </c>
      <c r="BF50" s="245">
        <v>0.24073</v>
      </c>
      <c r="BG50" s="245"/>
      <c r="BH50" s="244">
        <f t="shared" si="53"/>
        <v>0</v>
      </c>
      <c r="BI50" s="243">
        <f t="shared" si="54"/>
        <v>0.24814</v>
      </c>
      <c r="BJ50" s="243">
        <f t="shared" si="55"/>
        <v>0.24814</v>
      </c>
    </row>
    <row r="51" spans="1:62" x14ac:dyDescent="0.25">
      <c r="A51" s="233">
        <f t="shared" si="28"/>
        <v>45</v>
      </c>
      <c r="B51" s="233"/>
      <c r="C51" s="261" t="s">
        <v>69</v>
      </c>
      <c r="D51" s="259">
        <v>0.24698999999999999</v>
      </c>
      <c r="E51" s="259">
        <v>0</v>
      </c>
      <c r="F51" s="259">
        <f>+' Increments  equal ¢ per therm'!H51</f>
        <v>0</v>
      </c>
      <c r="G51" s="259">
        <f>+' Increments  equal ¢ per therm'!K51</f>
        <v>0</v>
      </c>
      <c r="H51" s="259">
        <f>+' Increments  equal ¢ per therm'!N51</f>
        <v>0</v>
      </c>
      <c r="I51" s="259">
        <f t="shared" si="29"/>
        <v>0</v>
      </c>
      <c r="J51" s="259">
        <f t="shared" si="30"/>
        <v>0</v>
      </c>
      <c r="K51" s="243">
        <f>+'[9]Allocation = % of margin'!P51</f>
        <v>0</v>
      </c>
      <c r="L51" s="243">
        <f>+'[9]Allocation = % of margin'!S51</f>
        <v>0</v>
      </c>
      <c r="M51" s="243">
        <f>+'[9]Allocation = % of margin'!V51</f>
        <v>0</v>
      </c>
      <c r="N51" s="243">
        <f>+'[9]Allocation = % of margin'!Y51</f>
        <v>0</v>
      </c>
      <c r="O51" s="243">
        <f>+'[9]Allocation = % of margin'!AB51</f>
        <v>0</v>
      </c>
      <c r="P51" s="243">
        <f>'[9]Allocation = % of margin'!AE51</f>
        <v>-2.0000000000000002E-5</v>
      </c>
      <c r="Q51" s="243">
        <f>' Increments  equal ¢ per therm'!Q51</f>
        <v>0</v>
      </c>
      <c r="R51" s="243">
        <f>'[9]Allocation = % of margin'!AH51</f>
        <v>1.5900000000000001E-3</v>
      </c>
      <c r="S51" s="243">
        <f>' Increments  equal ¢ per therm'!T51</f>
        <v>3.5E-4</v>
      </c>
      <c r="T51" s="243">
        <f>'[9]Allocation = % of revenue'!M51</f>
        <v>1.0000000000000001E-5</v>
      </c>
      <c r="U51" s="243">
        <f>'[9]Allocation = % of margin'!AK51</f>
        <v>3.8400000000000001E-3</v>
      </c>
      <c r="V51" s="243">
        <f>' Increments  equal ¢ per therm'!W51</f>
        <v>0.24073</v>
      </c>
      <c r="W51" s="243">
        <f t="shared" si="31"/>
        <v>0.2465</v>
      </c>
      <c r="X51" s="243">
        <f t="shared" si="32"/>
        <v>-4.8999999999999044E-4</v>
      </c>
      <c r="Y51" s="243"/>
      <c r="Z51" s="248">
        <f t="shared" si="33"/>
        <v>0.2465</v>
      </c>
      <c r="AA51" s="248">
        <f t="shared" si="34"/>
        <v>5.79E-3</v>
      </c>
      <c r="AB51" s="248">
        <f t="shared" si="35"/>
        <v>0</v>
      </c>
      <c r="AC51" s="248">
        <f t="shared" si="36"/>
        <v>0</v>
      </c>
      <c r="AD51" s="248">
        <f t="shared" si="37"/>
        <v>0.2465</v>
      </c>
      <c r="AE51" s="248">
        <f t="shared" si="38"/>
        <v>0.2465</v>
      </c>
      <c r="AF51" s="248">
        <f>[9]Permanents!G51</f>
        <v>0.10406000000000001</v>
      </c>
      <c r="AG51" s="247">
        <f t="shared" si="39"/>
        <v>0</v>
      </c>
      <c r="AH51" s="243">
        <f t="shared" si="40"/>
        <v>0</v>
      </c>
      <c r="AI51" s="243">
        <f t="shared" si="41"/>
        <v>0</v>
      </c>
      <c r="AJ51" s="243">
        <f t="shared" si="42"/>
        <v>1.5900000000000001E-3</v>
      </c>
      <c r="AK51" s="243">
        <f t="shared" si="43"/>
        <v>3.5E-4</v>
      </c>
      <c r="AL51" s="243">
        <f t="shared" si="44"/>
        <v>0</v>
      </c>
      <c r="AM51" s="243">
        <f t="shared" si="45"/>
        <v>-2.0000000000000002E-5</v>
      </c>
      <c r="AN51" s="243">
        <f t="shared" si="46"/>
        <v>1.0000000000000001E-5</v>
      </c>
      <c r="AO51" s="243">
        <f>[9]Permanents!F51</f>
        <v>0</v>
      </c>
      <c r="AP51" s="243">
        <f t="shared" si="47"/>
        <v>3.8400000000000001E-3</v>
      </c>
      <c r="AQ51" s="243">
        <f t="shared" si="48"/>
        <v>0.24073</v>
      </c>
      <c r="AR51" s="243"/>
      <c r="AS51" s="243"/>
      <c r="AT51" s="243">
        <f t="shared" si="49"/>
        <v>0</v>
      </c>
      <c r="AU51" s="243">
        <f t="shared" si="50"/>
        <v>0</v>
      </c>
      <c r="AV51" s="243">
        <f t="shared" si="51"/>
        <v>0</v>
      </c>
      <c r="AW51" s="246">
        <f>[31]Temporaries!Q51</f>
        <v>0</v>
      </c>
      <c r="AX51" s="246">
        <f>SUM([31]Temporaries!K51:M51)</f>
        <v>0</v>
      </c>
      <c r="AY51" s="246">
        <f>SUM([31]Temporaries!N51:O51)</f>
        <v>0</v>
      </c>
      <c r="AZ51" s="245">
        <f>[31]Temporaries!R51</f>
        <v>1.41E-3</v>
      </c>
      <c r="BA51" s="245">
        <f t="shared" si="52"/>
        <v>0</v>
      </c>
      <c r="BB51" s="255">
        <f>[31]Temporaries!P51</f>
        <v>-1.1E-4</v>
      </c>
      <c r="BC51" s="245">
        <f>[31]Temporaries!S51</f>
        <v>1.0300000000000001E-3</v>
      </c>
      <c r="BD51" s="245">
        <f>[31]Temporaries!T51</f>
        <v>9.0000000000000006E-5</v>
      </c>
      <c r="BE51" s="245">
        <f>[31]Temporaries!U51</f>
        <v>3.8400000000000001E-3</v>
      </c>
      <c r="BF51" s="245">
        <v>0.24073</v>
      </c>
      <c r="BG51" s="245"/>
      <c r="BH51" s="244">
        <f t="shared" si="53"/>
        <v>0</v>
      </c>
      <c r="BI51" s="243">
        <f t="shared" si="54"/>
        <v>0.2465</v>
      </c>
      <c r="BJ51" s="243">
        <f t="shared" si="55"/>
        <v>0.2465</v>
      </c>
    </row>
    <row r="52" spans="1:62" x14ac:dyDescent="0.25">
      <c r="A52" s="233">
        <f t="shared" si="28"/>
        <v>46</v>
      </c>
      <c r="B52" s="233"/>
      <c r="C52" s="261" t="s">
        <v>70</v>
      </c>
      <c r="D52" s="259">
        <v>0.24596000000000001</v>
      </c>
      <c r="E52" s="259">
        <v>0</v>
      </c>
      <c r="F52" s="259">
        <f>+' Increments  equal ¢ per therm'!H52</f>
        <v>0</v>
      </c>
      <c r="G52" s="259">
        <f>+' Increments  equal ¢ per therm'!K52</f>
        <v>0</v>
      </c>
      <c r="H52" s="259">
        <f>+' Increments  equal ¢ per therm'!N52</f>
        <v>0</v>
      </c>
      <c r="I52" s="259">
        <f t="shared" si="29"/>
        <v>0</v>
      </c>
      <c r="J52" s="259">
        <f t="shared" si="30"/>
        <v>0</v>
      </c>
      <c r="K52" s="243">
        <f>+'[9]Allocation = % of margin'!P52</f>
        <v>0</v>
      </c>
      <c r="L52" s="243">
        <f>+'[9]Allocation = % of margin'!S52</f>
        <v>0</v>
      </c>
      <c r="M52" s="243">
        <f>+'[9]Allocation = % of margin'!V52</f>
        <v>0</v>
      </c>
      <c r="N52" s="243">
        <f>+'[9]Allocation = % of margin'!Y52</f>
        <v>0</v>
      </c>
      <c r="O52" s="243">
        <f>+'[9]Allocation = % of margin'!AB52</f>
        <v>0</v>
      </c>
      <c r="P52" s="243">
        <f>'[9]Allocation = % of margin'!AE52</f>
        <v>-2.0000000000000002E-5</v>
      </c>
      <c r="Q52" s="243">
        <f>' Increments  equal ¢ per therm'!Q52</f>
        <v>0</v>
      </c>
      <c r="R52" s="243">
        <f>'[9]Allocation = % of margin'!AH52</f>
        <v>1.2700000000000001E-3</v>
      </c>
      <c r="S52" s="243">
        <f>' Increments  equal ¢ per therm'!T52</f>
        <v>3.5E-4</v>
      </c>
      <c r="T52" s="243">
        <f>'[9]Allocation = % of revenue'!M52</f>
        <v>1.0000000000000001E-5</v>
      </c>
      <c r="U52" s="243">
        <f>'[9]Allocation = % of margin'!AK52</f>
        <v>3.0699999999999998E-3</v>
      </c>
      <c r="V52" s="243">
        <f>' Increments  equal ¢ per therm'!W52</f>
        <v>0.24073</v>
      </c>
      <c r="W52" s="243">
        <f t="shared" si="31"/>
        <v>0.24540999999999999</v>
      </c>
      <c r="X52" s="243">
        <f t="shared" si="32"/>
        <v>-5.5000000000002269E-4</v>
      </c>
      <c r="Y52" s="243"/>
      <c r="Z52" s="248">
        <f t="shared" si="33"/>
        <v>0.24540999999999999</v>
      </c>
      <c r="AA52" s="248">
        <f t="shared" si="34"/>
        <v>4.7000000000000002E-3</v>
      </c>
      <c r="AB52" s="248">
        <f t="shared" si="35"/>
        <v>0</v>
      </c>
      <c r="AC52" s="248">
        <f t="shared" si="36"/>
        <v>0</v>
      </c>
      <c r="AD52" s="248">
        <f t="shared" si="37"/>
        <v>0.24540999999999999</v>
      </c>
      <c r="AE52" s="248">
        <f t="shared" si="38"/>
        <v>0.24540999999999999</v>
      </c>
      <c r="AF52" s="248">
        <f>[9]Permanents!G52</f>
        <v>8.3260000000000015E-2</v>
      </c>
      <c r="AG52" s="247">
        <f t="shared" si="39"/>
        <v>0</v>
      </c>
      <c r="AH52" s="243">
        <f t="shared" si="40"/>
        <v>0</v>
      </c>
      <c r="AI52" s="243">
        <f t="shared" si="41"/>
        <v>0</v>
      </c>
      <c r="AJ52" s="243">
        <f t="shared" si="42"/>
        <v>1.2700000000000001E-3</v>
      </c>
      <c r="AK52" s="243">
        <f t="shared" si="43"/>
        <v>3.5E-4</v>
      </c>
      <c r="AL52" s="243">
        <f t="shared" si="44"/>
        <v>0</v>
      </c>
      <c r="AM52" s="243">
        <f t="shared" si="45"/>
        <v>-2.0000000000000002E-5</v>
      </c>
      <c r="AN52" s="243">
        <f t="shared" si="46"/>
        <v>1.0000000000000001E-5</v>
      </c>
      <c r="AO52" s="243">
        <f>[9]Permanents!F52</f>
        <v>0</v>
      </c>
      <c r="AP52" s="243">
        <f t="shared" si="47"/>
        <v>3.0699999999999998E-3</v>
      </c>
      <c r="AQ52" s="243">
        <f t="shared" si="48"/>
        <v>0.24073</v>
      </c>
      <c r="AR52" s="243"/>
      <c r="AS52" s="243"/>
      <c r="AT52" s="243">
        <f t="shared" si="49"/>
        <v>0</v>
      </c>
      <c r="AU52" s="243">
        <f t="shared" si="50"/>
        <v>0</v>
      </c>
      <c r="AV52" s="243">
        <f t="shared" si="51"/>
        <v>0</v>
      </c>
      <c r="AW52" s="246">
        <f>[31]Temporaries!Q52</f>
        <v>0</v>
      </c>
      <c r="AX52" s="246">
        <f>SUM([31]Temporaries!K52:M52)</f>
        <v>0</v>
      </c>
      <c r="AY52" s="246">
        <f>SUM([31]Temporaries!N52:O52)</f>
        <v>0</v>
      </c>
      <c r="AZ52" s="245">
        <f>[31]Temporaries!R52</f>
        <v>1.1299999999999999E-3</v>
      </c>
      <c r="BA52" s="245">
        <f t="shared" si="52"/>
        <v>0</v>
      </c>
      <c r="BB52" s="255">
        <f>[31]Temporaries!P52</f>
        <v>-9.0000000000000006E-5</v>
      </c>
      <c r="BC52" s="245">
        <f>[31]Temporaries!S52</f>
        <v>1.0300000000000001E-3</v>
      </c>
      <c r="BD52" s="245">
        <f>[31]Temporaries!T52</f>
        <v>9.0000000000000006E-5</v>
      </c>
      <c r="BE52" s="245">
        <f>[31]Temporaries!U52</f>
        <v>3.0699999999999998E-3</v>
      </c>
      <c r="BF52" s="245">
        <v>0.24073</v>
      </c>
      <c r="BG52" s="245"/>
      <c r="BH52" s="244">
        <f t="shared" si="53"/>
        <v>0</v>
      </c>
      <c r="BI52" s="243">
        <f t="shared" si="54"/>
        <v>0.24540999999999999</v>
      </c>
      <c r="BJ52" s="243">
        <f t="shared" si="55"/>
        <v>0.24540999999999999</v>
      </c>
    </row>
    <row r="53" spans="1:62" x14ac:dyDescent="0.25">
      <c r="A53" s="233">
        <f t="shared" si="28"/>
        <v>47</v>
      </c>
      <c r="B53" s="233"/>
      <c r="C53" s="261" t="s">
        <v>71</v>
      </c>
      <c r="D53" s="259">
        <v>0.24459</v>
      </c>
      <c r="E53" s="259">
        <v>0</v>
      </c>
      <c r="F53" s="259">
        <f>+' Increments  equal ¢ per therm'!H53</f>
        <v>0</v>
      </c>
      <c r="G53" s="259">
        <f>+' Increments  equal ¢ per therm'!K53</f>
        <v>0</v>
      </c>
      <c r="H53" s="259">
        <f>+' Increments  equal ¢ per therm'!N53</f>
        <v>0</v>
      </c>
      <c r="I53" s="259">
        <f t="shared" si="29"/>
        <v>0</v>
      </c>
      <c r="J53" s="259">
        <f t="shared" si="30"/>
        <v>0</v>
      </c>
      <c r="K53" s="243">
        <f>+'[9]Allocation = % of margin'!P53</f>
        <v>0</v>
      </c>
      <c r="L53" s="243">
        <f>+'[9]Allocation = % of margin'!S53</f>
        <v>0</v>
      </c>
      <c r="M53" s="243">
        <f>+'[9]Allocation = % of margin'!V53</f>
        <v>0</v>
      </c>
      <c r="N53" s="243">
        <f>+'[9]Allocation = % of margin'!Y53</f>
        <v>0</v>
      </c>
      <c r="O53" s="243">
        <f>+'[9]Allocation = % of margin'!AB53</f>
        <v>0</v>
      </c>
      <c r="P53" s="243">
        <f>'[9]Allocation = % of margin'!AE53</f>
        <v>-1.0000000000000001E-5</v>
      </c>
      <c r="Q53" s="243">
        <f>' Increments  equal ¢ per therm'!Q53</f>
        <v>0</v>
      </c>
      <c r="R53" s="243">
        <f>'[9]Allocation = % of margin'!AH53</f>
        <v>8.4999999999999995E-4</v>
      </c>
      <c r="S53" s="243">
        <f>' Increments  equal ¢ per therm'!T53</f>
        <v>3.5E-4</v>
      </c>
      <c r="T53" s="243">
        <f>'[9]Allocation = % of revenue'!M53</f>
        <v>1.0000000000000001E-5</v>
      </c>
      <c r="U53" s="243">
        <f>'[9]Allocation = % of margin'!AK53</f>
        <v>2.0500000000000002E-3</v>
      </c>
      <c r="V53" s="243">
        <f>' Increments  equal ¢ per therm'!W53</f>
        <v>0.24073</v>
      </c>
      <c r="W53" s="243">
        <f t="shared" si="31"/>
        <v>0.24398</v>
      </c>
      <c r="X53" s="243">
        <f t="shared" si="32"/>
        <v>-6.0999999999999943E-4</v>
      </c>
      <c r="Y53" s="243"/>
      <c r="Z53" s="248">
        <f t="shared" si="33"/>
        <v>0.24398</v>
      </c>
      <c r="AA53" s="248">
        <f t="shared" si="34"/>
        <v>3.2599999999999999E-3</v>
      </c>
      <c r="AB53" s="248">
        <f t="shared" si="35"/>
        <v>0</v>
      </c>
      <c r="AC53" s="248">
        <f t="shared" si="36"/>
        <v>0</v>
      </c>
      <c r="AD53" s="248">
        <f t="shared" si="37"/>
        <v>0.24398</v>
      </c>
      <c r="AE53" s="248">
        <f t="shared" si="38"/>
        <v>0.24398</v>
      </c>
      <c r="AF53" s="248">
        <f>[9]Permanents!G53</f>
        <v>5.5500000000000001E-2</v>
      </c>
      <c r="AG53" s="247">
        <f t="shared" si="39"/>
        <v>0</v>
      </c>
      <c r="AH53" s="243">
        <f t="shared" si="40"/>
        <v>0</v>
      </c>
      <c r="AI53" s="243">
        <f t="shared" si="41"/>
        <v>0</v>
      </c>
      <c r="AJ53" s="243">
        <f t="shared" si="42"/>
        <v>8.4999999999999995E-4</v>
      </c>
      <c r="AK53" s="243">
        <f t="shared" si="43"/>
        <v>3.5E-4</v>
      </c>
      <c r="AL53" s="243">
        <f t="shared" si="44"/>
        <v>0</v>
      </c>
      <c r="AM53" s="243">
        <f t="shared" si="45"/>
        <v>-1.0000000000000001E-5</v>
      </c>
      <c r="AN53" s="243">
        <f t="shared" si="46"/>
        <v>1.0000000000000001E-5</v>
      </c>
      <c r="AO53" s="243">
        <f>[9]Permanents!F53</f>
        <v>0</v>
      </c>
      <c r="AP53" s="243">
        <f t="shared" si="47"/>
        <v>2.0500000000000002E-3</v>
      </c>
      <c r="AQ53" s="243">
        <f t="shared" si="48"/>
        <v>0.24073</v>
      </c>
      <c r="AR53" s="243"/>
      <c r="AS53" s="243"/>
      <c r="AT53" s="243">
        <f t="shared" si="49"/>
        <v>0</v>
      </c>
      <c r="AU53" s="243">
        <f t="shared" si="50"/>
        <v>0</v>
      </c>
      <c r="AV53" s="243">
        <f t="shared" si="51"/>
        <v>0</v>
      </c>
      <c r="AW53" s="246">
        <f>[31]Temporaries!Q53</f>
        <v>0</v>
      </c>
      <c r="AX53" s="246">
        <f>SUM([31]Temporaries!K53:M53)</f>
        <v>0</v>
      </c>
      <c r="AY53" s="246">
        <f>SUM([31]Temporaries!N53:O53)</f>
        <v>0</v>
      </c>
      <c r="AZ53" s="245">
        <f>[31]Temporaries!R53</f>
        <v>7.5000000000000002E-4</v>
      </c>
      <c r="BA53" s="245">
        <f t="shared" si="52"/>
        <v>0</v>
      </c>
      <c r="BB53" s="255">
        <f>[31]Temporaries!P53</f>
        <v>-6.0000000000000002E-5</v>
      </c>
      <c r="BC53" s="245">
        <f>[31]Temporaries!S53</f>
        <v>1.0300000000000001E-3</v>
      </c>
      <c r="BD53" s="245">
        <f>[31]Temporaries!T53</f>
        <v>9.0000000000000006E-5</v>
      </c>
      <c r="BE53" s="245">
        <f>[31]Temporaries!U53</f>
        <v>2.0500000000000002E-3</v>
      </c>
      <c r="BF53" s="245">
        <v>0.24073</v>
      </c>
      <c r="BG53" s="245"/>
      <c r="BH53" s="244">
        <f t="shared" si="53"/>
        <v>0</v>
      </c>
      <c r="BI53" s="243">
        <f t="shared" si="54"/>
        <v>0.24398</v>
      </c>
      <c r="BJ53" s="243">
        <f t="shared" si="55"/>
        <v>0.24398</v>
      </c>
    </row>
    <row r="54" spans="1:62" x14ac:dyDescent="0.25">
      <c r="A54" s="233">
        <f t="shared" si="28"/>
        <v>48</v>
      </c>
      <c r="B54" s="258"/>
      <c r="C54" s="260" t="s">
        <v>72</v>
      </c>
      <c r="D54" s="251">
        <v>0.24287</v>
      </c>
      <c r="E54" s="251">
        <v>0</v>
      </c>
      <c r="F54" s="251">
        <f>+' Increments  equal ¢ per therm'!H54</f>
        <v>0</v>
      </c>
      <c r="G54" s="251">
        <f>+' Increments  equal ¢ per therm'!K54</f>
        <v>0</v>
      </c>
      <c r="H54" s="251">
        <f>+' Increments  equal ¢ per therm'!N54</f>
        <v>0</v>
      </c>
      <c r="I54" s="251">
        <f t="shared" si="29"/>
        <v>0</v>
      </c>
      <c r="J54" s="251">
        <f t="shared" si="30"/>
        <v>0</v>
      </c>
      <c r="K54" s="249">
        <f>+'[9]Allocation = % of margin'!P54</f>
        <v>0</v>
      </c>
      <c r="L54" s="249">
        <f>+'[9]Allocation = % of margin'!S54</f>
        <v>0</v>
      </c>
      <c r="M54" s="249">
        <f>+'[9]Allocation = % of margin'!V54</f>
        <v>0</v>
      </c>
      <c r="N54" s="249">
        <f>+'[9]Allocation = % of margin'!Y54</f>
        <v>0</v>
      </c>
      <c r="O54" s="249">
        <f>+'[9]Allocation = % of margin'!AB54</f>
        <v>0</v>
      </c>
      <c r="P54" s="249">
        <f>'[9]Allocation = % of margin'!AE54</f>
        <v>0</v>
      </c>
      <c r="Q54" s="249">
        <f>' Increments  equal ¢ per therm'!Q54</f>
        <v>0</v>
      </c>
      <c r="R54" s="249">
        <f>'[9]Allocation = % of margin'!AH54</f>
        <v>3.2000000000000003E-4</v>
      </c>
      <c r="S54" s="249">
        <f>' Increments  equal ¢ per therm'!T54</f>
        <v>3.5E-4</v>
      </c>
      <c r="T54" s="249">
        <f>'[9]Allocation = % of revenue'!M54</f>
        <v>1.0000000000000001E-5</v>
      </c>
      <c r="U54" s="249">
        <f>'[9]Allocation = % of margin'!AK54</f>
        <v>7.6999999999999996E-4</v>
      </c>
      <c r="V54" s="249">
        <f>' Increments  equal ¢ per therm'!W54</f>
        <v>0.24073</v>
      </c>
      <c r="W54" s="249">
        <f t="shared" si="31"/>
        <v>0.24218000000000001</v>
      </c>
      <c r="X54" s="249">
        <f t="shared" si="32"/>
        <v>-6.8999999999999617E-4</v>
      </c>
      <c r="Y54" s="243"/>
      <c r="Z54" s="248">
        <f t="shared" si="33"/>
        <v>0.24218000000000001</v>
      </c>
      <c r="AA54" s="248">
        <f t="shared" si="34"/>
        <v>1.4499999999999999E-3</v>
      </c>
      <c r="AB54" s="248">
        <f t="shared" si="35"/>
        <v>0</v>
      </c>
      <c r="AC54" s="248">
        <f t="shared" si="36"/>
        <v>0</v>
      </c>
      <c r="AD54" s="248">
        <f t="shared" si="37"/>
        <v>0.24218000000000001</v>
      </c>
      <c r="AE54" s="248">
        <f t="shared" si="38"/>
        <v>0.24218000000000001</v>
      </c>
      <c r="AF54" s="248">
        <f>[9]Permanents!G54</f>
        <v>2.0820000000000002E-2</v>
      </c>
      <c r="AG54" s="247">
        <f t="shared" si="39"/>
        <v>0</v>
      </c>
      <c r="AH54" s="243">
        <f t="shared" si="40"/>
        <v>0</v>
      </c>
      <c r="AI54" s="243">
        <f t="shared" si="41"/>
        <v>0</v>
      </c>
      <c r="AJ54" s="243">
        <f t="shared" si="42"/>
        <v>3.2000000000000003E-4</v>
      </c>
      <c r="AK54" s="243">
        <f t="shared" si="43"/>
        <v>3.5E-4</v>
      </c>
      <c r="AL54" s="243">
        <f t="shared" si="44"/>
        <v>0</v>
      </c>
      <c r="AM54" s="243">
        <f t="shared" si="45"/>
        <v>0</v>
      </c>
      <c r="AN54" s="243">
        <f t="shared" si="46"/>
        <v>1.0000000000000001E-5</v>
      </c>
      <c r="AO54" s="243">
        <f>[9]Permanents!F54</f>
        <v>0</v>
      </c>
      <c r="AP54" s="243">
        <f t="shared" si="47"/>
        <v>7.6999999999999996E-4</v>
      </c>
      <c r="AQ54" s="243">
        <f t="shared" si="48"/>
        <v>0.24073</v>
      </c>
      <c r="AR54" s="243"/>
      <c r="AS54" s="243"/>
      <c r="AT54" s="243">
        <f t="shared" si="49"/>
        <v>0</v>
      </c>
      <c r="AU54" s="243">
        <f t="shared" si="50"/>
        <v>0</v>
      </c>
      <c r="AV54" s="243">
        <f t="shared" si="51"/>
        <v>0</v>
      </c>
      <c r="AW54" s="246">
        <f>[31]Temporaries!Q54</f>
        <v>0</v>
      </c>
      <c r="AX54" s="246">
        <f>SUM([31]Temporaries!K54:M54)</f>
        <v>0</v>
      </c>
      <c r="AY54" s="246">
        <f>SUM([31]Temporaries!N54:O54)</f>
        <v>0</v>
      </c>
      <c r="AZ54" s="245">
        <f>[31]Temporaries!R54</f>
        <v>2.7999999999999998E-4</v>
      </c>
      <c r="BA54" s="245">
        <f t="shared" si="52"/>
        <v>0</v>
      </c>
      <c r="BB54" s="255">
        <f>[31]Temporaries!P54</f>
        <v>-2.0000000000000002E-5</v>
      </c>
      <c r="BC54" s="245">
        <f>[31]Temporaries!S54</f>
        <v>1.0300000000000001E-3</v>
      </c>
      <c r="BD54" s="245">
        <f>[31]Temporaries!T54</f>
        <v>8.0000000000000007E-5</v>
      </c>
      <c r="BE54" s="245">
        <f>[31]Temporaries!U54</f>
        <v>7.6999999999999996E-4</v>
      </c>
      <c r="BF54" s="245">
        <v>0.24073</v>
      </c>
      <c r="BG54" s="245"/>
      <c r="BH54" s="244">
        <f t="shared" si="53"/>
        <v>0</v>
      </c>
      <c r="BI54" s="243">
        <f t="shared" si="54"/>
        <v>0.24218000000000001</v>
      </c>
      <c r="BJ54" s="243">
        <f t="shared" si="55"/>
        <v>0.24218000000000001</v>
      </c>
    </row>
    <row r="55" spans="1:62" x14ac:dyDescent="0.25">
      <c r="A55" s="233">
        <f t="shared" si="28"/>
        <v>49</v>
      </c>
      <c r="B55" s="233" t="s">
        <v>76</v>
      </c>
      <c r="C55" s="261" t="s">
        <v>61</v>
      </c>
      <c r="D55" s="259">
        <v>0.10987</v>
      </c>
      <c r="E55" s="259">
        <v>-0.16173000000000001</v>
      </c>
      <c r="F55" s="259">
        <f>+' Increments  equal ¢ per therm'!H55</f>
        <v>-0.14299000000000001</v>
      </c>
      <c r="G55" s="259">
        <f>+' Increments  equal ¢ per therm'!K55</f>
        <v>0</v>
      </c>
      <c r="H55" s="259">
        <f>+' Increments  equal ¢ per therm'!N55</f>
        <v>-3.1469999999999998E-2</v>
      </c>
      <c r="I55" s="259">
        <f t="shared" si="29"/>
        <v>-0.17446</v>
      </c>
      <c r="J55" s="259">
        <f t="shared" si="30"/>
        <v>-1.2729999999999991E-2</v>
      </c>
      <c r="K55" s="243">
        <f>+'[9]Allocation = % of margin'!P55</f>
        <v>1.9529999999999999E-2</v>
      </c>
      <c r="L55" s="243">
        <f>+'[9]Allocation = % of margin'!S55</f>
        <v>-2.4000000000000001E-4</v>
      </c>
      <c r="M55" s="243">
        <f>+'[9]Allocation = % of margin'!V55</f>
        <v>0</v>
      </c>
      <c r="N55" s="243">
        <f>+'[9]Allocation = % of margin'!Y55</f>
        <v>2.7200000000000002E-3</v>
      </c>
      <c r="O55" s="243">
        <f>+'[9]Allocation = % of margin'!AB55</f>
        <v>4.4000000000000002E-4</v>
      </c>
      <c r="P55" s="243">
        <f>'[9]Allocation = % of margin'!AE55</f>
        <v>-3.0000000000000001E-5</v>
      </c>
      <c r="Q55" s="243">
        <f>' Increments  equal ¢ per therm'!Q55</f>
        <v>0</v>
      </c>
      <c r="R55" s="243">
        <f>'[9]Allocation = % of margin'!AH55</f>
        <v>2.5200000000000001E-3</v>
      </c>
      <c r="S55" s="243">
        <f>' Increments  equal ¢ per therm'!T55</f>
        <v>0</v>
      </c>
      <c r="T55" s="243">
        <f>'[9]Allocation = % of revenue'!M55</f>
        <v>1.0000000000000001E-5</v>
      </c>
      <c r="U55" s="243">
        <f>'[9]Allocation = % of margin'!AK55</f>
        <v>6.4200000000000004E-3</v>
      </c>
      <c r="V55" s="243">
        <f>' Increments  equal ¢ per therm'!W55</f>
        <v>0.24073</v>
      </c>
      <c r="W55" s="243">
        <f t="shared" si="31"/>
        <v>9.7640000000000005E-2</v>
      </c>
      <c r="X55" s="243">
        <f t="shared" si="32"/>
        <v>-1.2229999999999991E-2</v>
      </c>
      <c r="Y55" s="243"/>
      <c r="Z55" s="248">
        <f t="shared" si="33"/>
        <v>7.8350000000000017E-2</v>
      </c>
      <c r="AA55" s="248">
        <f t="shared" si="34"/>
        <v>1.2109999999999999E-2</v>
      </c>
      <c r="AB55" s="248">
        <f t="shared" si="35"/>
        <v>-0.14299000000000001</v>
      </c>
      <c r="AC55" s="248">
        <f t="shared" si="36"/>
        <v>-3.1469999999999998E-2</v>
      </c>
      <c r="AD55" s="248">
        <f t="shared" si="37"/>
        <v>0.27210000000000001</v>
      </c>
      <c r="AE55" s="248">
        <f t="shared" si="38"/>
        <v>9.7640000000000005E-2</v>
      </c>
      <c r="AF55" s="248">
        <f>[9]Permanents!G55</f>
        <v>0.16875000000000009</v>
      </c>
      <c r="AG55" s="247">
        <f t="shared" si="39"/>
        <v>0</v>
      </c>
      <c r="AH55" s="243">
        <f t="shared" si="40"/>
        <v>-0.17446</v>
      </c>
      <c r="AI55" s="243">
        <f t="shared" si="41"/>
        <v>0</v>
      </c>
      <c r="AJ55" s="243">
        <f t="shared" si="42"/>
        <v>2.5200000000000001E-3</v>
      </c>
      <c r="AK55" s="243">
        <f t="shared" si="43"/>
        <v>0</v>
      </c>
      <c r="AL55" s="243">
        <f t="shared" si="44"/>
        <v>1.9289999999999998E-2</v>
      </c>
      <c r="AM55" s="243">
        <f t="shared" si="45"/>
        <v>-3.0000000000000001E-5</v>
      </c>
      <c r="AN55" s="243">
        <f t="shared" si="46"/>
        <v>1.0000000000000001E-5</v>
      </c>
      <c r="AO55" s="243">
        <f>[9]Permanents!F55</f>
        <v>3.0000000000000001E-5</v>
      </c>
      <c r="AP55" s="243">
        <f t="shared" si="47"/>
        <v>6.4200000000000004E-3</v>
      </c>
      <c r="AQ55" s="243">
        <f t="shared" si="48"/>
        <v>0.24073</v>
      </c>
      <c r="AR55" s="243"/>
      <c r="AS55" s="243"/>
      <c r="AT55" s="243">
        <f t="shared" si="49"/>
        <v>2.7200000000000002E-3</v>
      </c>
      <c r="AU55" s="243">
        <f t="shared" si="50"/>
        <v>4.4000000000000002E-4</v>
      </c>
      <c r="AV55" s="243">
        <f t="shared" si="51"/>
        <v>3.16E-3</v>
      </c>
      <c r="AW55" s="246">
        <f>[31]Temporaries!Q55</f>
        <v>0</v>
      </c>
      <c r="AX55" s="246">
        <f>SUM([31]Temporaries!K55:M55)</f>
        <v>1.8700000000000001E-2</v>
      </c>
      <c r="AY55" s="246">
        <f>SUM([31]Temporaries!N55:O55)</f>
        <v>3.4000000000000002E-3</v>
      </c>
      <c r="AZ55" s="245">
        <f>[31]Temporaries!R55</f>
        <v>2.3600000000000001E-3</v>
      </c>
      <c r="BA55" s="245">
        <f t="shared" si="52"/>
        <v>-0.16173000000000001</v>
      </c>
      <c r="BB55" s="255">
        <f>[31]Temporaries!P55</f>
        <v>-1.9000000000000001E-4</v>
      </c>
      <c r="BC55" s="245">
        <f>[31]Temporaries!S55</f>
        <v>0</v>
      </c>
      <c r="BD55" s="245">
        <f>[31]Temporaries!T55</f>
        <v>1.8000000000000001E-4</v>
      </c>
      <c r="BE55" s="245">
        <f>[31]Temporaries!U55</f>
        <v>6.4200000000000004E-3</v>
      </c>
      <c r="BF55" s="245">
        <v>0.24073</v>
      </c>
      <c r="BG55" s="245"/>
      <c r="BH55" s="244">
        <f t="shared" si="53"/>
        <v>0</v>
      </c>
      <c r="BI55" s="243">
        <f t="shared" si="54"/>
        <v>0.25281000000000003</v>
      </c>
      <c r="BJ55" s="243">
        <f t="shared" si="55"/>
        <v>7.8350000000000017E-2</v>
      </c>
    </row>
    <row r="56" spans="1:62" x14ac:dyDescent="0.25">
      <c r="A56" s="233">
        <f t="shared" si="28"/>
        <v>50</v>
      </c>
      <c r="B56" s="233"/>
      <c r="C56" s="261" t="s">
        <v>62</v>
      </c>
      <c r="D56" s="259">
        <v>0.10666</v>
      </c>
      <c r="E56" s="259">
        <v>-0.16173000000000001</v>
      </c>
      <c r="F56" s="259">
        <f>+' Increments  equal ¢ per therm'!H56</f>
        <v>-0.14299000000000001</v>
      </c>
      <c r="G56" s="259">
        <f>+' Increments  equal ¢ per therm'!K56</f>
        <v>0</v>
      </c>
      <c r="H56" s="259">
        <f>+' Increments  equal ¢ per therm'!N56</f>
        <v>-3.1469999999999998E-2</v>
      </c>
      <c r="I56" s="259">
        <f t="shared" si="29"/>
        <v>-0.17446</v>
      </c>
      <c r="J56" s="259">
        <f t="shared" si="30"/>
        <v>-1.2729999999999991E-2</v>
      </c>
      <c r="K56" s="243">
        <f>+'[9]Allocation = % of margin'!P56</f>
        <v>1.7479999999999999E-2</v>
      </c>
      <c r="L56" s="243">
        <f>+'[9]Allocation = % of margin'!S56</f>
        <v>-2.2000000000000001E-4</v>
      </c>
      <c r="M56" s="243">
        <f>+'[9]Allocation = % of margin'!V56</f>
        <v>0</v>
      </c>
      <c r="N56" s="243">
        <f>+'[9]Allocation = % of margin'!Y56</f>
        <v>2.4399999999999999E-3</v>
      </c>
      <c r="O56" s="243">
        <f>+'[9]Allocation = % of margin'!AB56</f>
        <v>3.8999999999999999E-4</v>
      </c>
      <c r="P56" s="243">
        <f>'[9]Allocation = % of margin'!AE56</f>
        <v>-3.0000000000000001E-5</v>
      </c>
      <c r="Q56" s="243">
        <f>' Increments  equal ¢ per therm'!Q56</f>
        <v>0</v>
      </c>
      <c r="R56" s="243">
        <f>'[9]Allocation = % of margin'!AH56</f>
        <v>2.2599999999999999E-3</v>
      </c>
      <c r="S56" s="243">
        <f>' Increments  equal ¢ per therm'!T56</f>
        <v>0</v>
      </c>
      <c r="T56" s="243">
        <f>'[9]Allocation = % of revenue'!M56</f>
        <v>1.0000000000000001E-5</v>
      </c>
      <c r="U56" s="243">
        <f>'[9]Allocation = % of margin'!AK56</f>
        <v>5.7499999999999999E-3</v>
      </c>
      <c r="V56" s="243">
        <f>' Increments  equal ¢ per therm'!W56</f>
        <v>0.24073</v>
      </c>
      <c r="W56" s="243">
        <f t="shared" si="31"/>
        <v>9.4349999999999989E-2</v>
      </c>
      <c r="X56" s="243">
        <f t="shared" si="32"/>
        <v>-1.2310000000000015E-2</v>
      </c>
      <c r="Y56" s="243"/>
      <c r="Z56" s="248">
        <f t="shared" si="33"/>
        <v>7.7089999999999992E-2</v>
      </c>
      <c r="AA56" s="248">
        <f t="shared" si="34"/>
        <v>1.0849999999999999E-2</v>
      </c>
      <c r="AB56" s="248">
        <f t="shared" si="35"/>
        <v>-0.14299000000000001</v>
      </c>
      <c r="AC56" s="248">
        <f t="shared" si="36"/>
        <v>-3.1469999999999998E-2</v>
      </c>
      <c r="AD56" s="248">
        <f t="shared" si="37"/>
        <v>0.26880999999999999</v>
      </c>
      <c r="AE56" s="248">
        <f t="shared" si="38"/>
        <v>9.4349999999999989E-2</v>
      </c>
      <c r="AF56" s="248">
        <f>[9]Permanents!G56</f>
        <v>0.15105999999999983</v>
      </c>
      <c r="AG56" s="247">
        <f t="shared" si="39"/>
        <v>0</v>
      </c>
      <c r="AH56" s="243">
        <f t="shared" si="40"/>
        <v>-0.17446</v>
      </c>
      <c r="AI56" s="243">
        <f t="shared" si="41"/>
        <v>0</v>
      </c>
      <c r="AJ56" s="243">
        <f t="shared" si="42"/>
        <v>2.2599999999999999E-3</v>
      </c>
      <c r="AK56" s="243">
        <f t="shared" si="43"/>
        <v>0</v>
      </c>
      <c r="AL56" s="243">
        <f t="shared" si="44"/>
        <v>1.7259999999999998E-2</v>
      </c>
      <c r="AM56" s="243">
        <f t="shared" si="45"/>
        <v>-3.0000000000000001E-5</v>
      </c>
      <c r="AN56" s="243">
        <f t="shared" si="46"/>
        <v>1.0000000000000001E-5</v>
      </c>
      <c r="AO56" s="243">
        <f>[9]Permanents!F56</f>
        <v>3.0000000000000001E-5</v>
      </c>
      <c r="AP56" s="243">
        <f t="shared" si="47"/>
        <v>5.7499999999999999E-3</v>
      </c>
      <c r="AQ56" s="243">
        <f t="shared" si="48"/>
        <v>0.24073</v>
      </c>
      <c r="AR56" s="243"/>
      <c r="AS56" s="243"/>
      <c r="AT56" s="243">
        <f t="shared" si="49"/>
        <v>2.4399999999999999E-3</v>
      </c>
      <c r="AU56" s="243">
        <f t="shared" si="50"/>
        <v>3.8999999999999999E-4</v>
      </c>
      <c r="AV56" s="243">
        <f t="shared" si="51"/>
        <v>2.8300000000000001E-3</v>
      </c>
      <c r="AW56" s="246">
        <f>[31]Temporaries!Q56</f>
        <v>0</v>
      </c>
      <c r="AX56" s="246">
        <f>SUM([31]Temporaries!K56:M56)</f>
        <v>1.6740000000000001E-2</v>
      </c>
      <c r="AY56" s="246">
        <f>SUM([31]Temporaries!N56:O56)</f>
        <v>3.0400000000000002E-3</v>
      </c>
      <c r="AZ56" s="245">
        <f>[31]Temporaries!R56</f>
        <v>2.1199999999999999E-3</v>
      </c>
      <c r="BA56" s="245">
        <f t="shared" si="52"/>
        <v>-0.16173000000000001</v>
      </c>
      <c r="BB56" s="255">
        <f>[31]Temporaries!P56</f>
        <v>-1.7000000000000001E-4</v>
      </c>
      <c r="BC56" s="245">
        <f>[31]Temporaries!S56</f>
        <v>0</v>
      </c>
      <c r="BD56" s="245">
        <f>[31]Temporaries!T56</f>
        <v>1.8000000000000001E-4</v>
      </c>
      <c r="BE56" s="245">
        <f>[31]Temporaries!U56</f>
        <v>5.7499999999999999E-3</v>
      </c>
      <c r="BF56" s="245">
        <v>0.24073</v>
      </c>
      <c r="BG56" s="245"/>
      <c r="BH56" s="244">
        <f t="shared" si="53"/>
        <v>0</v>
      </c>
      <c r="BI56" s="243">
        <f t="shared" si="54"/>
        <v>0.25155</v>
      </c>
      <c r="BJ56" s="243">
        <f t="shared" si="55"/>
        <v>7.7089999999999992E-2</v>
      </c>
    </row>
    <row r="57" spans="1:62" x14ac:dyDescent="0.25">
      <c r="A57" s="233">
        <f t="shared" si="28"/>
        <v>51</v>
      </c>
      <c r="B57" s="233"/>
      <c r="C57" s="261" t="s">
        <v>69</v>
      </c>
      <c r="D57" s="259">
        <v>0.10023999999999997</v>
      </c>
      <c r="E57" s="259">
        <v>-0.16173000000000001</v>
      </c>
      <c r="F57" s="259">
        <f>+' Increments  equal ¢ per therm'!H57</f>
        <v>-0.14299000000000001</v>
      </c>
      <c r="G57" s="259">
        <f>+' Increments  equal ¢ per therm'!K57</f>
        <v>0</v>
      </c>
      <c r="H57" s="259">
        <f>+' Increments  equal ¢ per therm'!N57</f>
        <v>-3.1469999999999998E-2</v>
      </c>
      <c r="I57" s="259">
        <f t="shared" si="29"/>
        <v>-0.17446</v>
      </c>
      <c r="J57" s="259">
        <f t="shared" si="30"/>
        <v>-1.2729999999999991E-2</v>
      </c>
      <c r="K57" s="243">
        <f>+'[9]Allocation = % of margin'!P57</f>
        <v>1.34E-2</v>
      </c>
      <c r="L57" s="243">
        <f>+'[9]Allocation = % of margin'!S57</f>
        <v>-1.7000000000000001E-4</v>
      </c>
      <c r="M57" s="243">
        <f>+'[9]Allocation = % of margin'!V57</f>
        <v>0</v>
      </c>
      <c r="N57" s="243">
        <f>+'[9]Allocation = % of margin'!Y57</f>
        <v>1.8699999999999999E-3</v>
      </c>
      <c r="O57" s="243">
        <f>+'[9]Allocation = % of margin'!AB57</f>
        <v>2.9999999999999997E-4</v>
      </c>
      <c r="P57" s="243">
        <f>'[9]Allocation = % of margin'!AE57</f>
        <v>-2.0000000000000002E-5</v>
      </c>
      <c r="Q57" s="243">
        <f>' Increments  equal ¢ per therm'!Q57</f>
        <v>0</v>
      </c>
      <c r="R57" s="243">
        <f>'[9]Allocation = % of margin'!AH57</f>
        <v>1.73E-3</v>
      </c>
      <c r="S57" s="243">
        <f>' Increments  equal ¢ per therm'!T57</f>
        <v>0</v>
      </c>
      <c r="T57" s="243">
        <f>'[9]Allocation = % of revenue'!M57</f>
        <v>1.0000000000000001E-5</v>
      </c>
      <c r="U57" s="243">
        <f>'[9]Allocation = % of margin'!AK57</f>
        <v>4.4099999999999999E-3</v>
      </c>
      <c r="V57" s="243">
        <f>' Increments  equal ¢ per therm'!W57</f>
        <v>0.24073</v>
      </c>
      <c r="W57" s="243">
        <f t="shared" si="31"/>
        <v>8.7799999999999989E-2</v>
      </c>
      <c r="X57" s="243">
        <f t="shared" si="32"/>
        <v>-1.2439999999999979E-2</v>
      </c>
      <c r="Y57" s="243"/>
      <c r="Z57" s="248">
        <f t="shared" si="33"/>
        <v>7.4569999999999997E-2</v>
      </c>
      <c r="AA57" s="248">
        <f t="shared" si="34"/>
        <v>8.3199999999999993E-3</v>
      </c>
      <c r="AB57" s="248">
        <f t="shared" si="35"/>
        <v>-0.14299000000000001</v>
      </c>
      <c r="AC57" s="248">
        <f t="shared" si="36"/>
        <v>-3.1469999999999998E-2</v>
      </c>
      <c r="AD57" s="248">
        <f t="shared" si="37"/>
        <v>0.26225999999999999</v>
      </c>
      <c r="AE57" s="248">
        <f t="shared" si="38"/>
        <v>8.7799999999999989E-2</v>
      </c>
      <c r="AF57" s="248">
        <f>[9]Permanents!G57</f>
        <v>0.11582000000000012</v>
      </c>
      <c r="AG57" s="247">
        <f t="shared" si="39"/>
        <v>0</v>
      </c>
      <c r="AH57" s="243">
        <f t="shared" si="40"/>
        <v>-0.17446</v>
      </c>
      <c r="AI57" s="243">
        <f t="shared" si="41"/>
        <v>0</v>
      </c>
      <c r="AJ57" s="243">
        <f t="shared" si="42"/>
        <v>1.73E-3</v>
      </c>
      <c r="AK57" s="243">
        <f t="shared" si="43"/>
        <v>0</v>
      </c>
      <c r="AL57" s="243">
        <f t="shared" si="44"/>
        <v>1.323E-2</v>
      </c>
      <c r="AM57" s="243">
        <f t="shared" si="45"/>
        <v>-2.0000000000000002E-5</v>
      </c>
      <c r="AN57" s="243">
        <f t="shared" si="46"/>
        <v>1.0000000000000001E-5</v>
      </c>
      <c r="AO57" s="243">
        <f>[9]Permanents!F57</f>
        <v>2.0000000000000002E-5</v>
      </c>
      <c r="AP57" s="243">
        <f t="shared" si="47"/>
        <v>4.4099999999999999E-3</v>
      </c>
      <c r="AQ57" s="243">
        <f t="shared" si="48"/>
        <v>0.24073</v>
      </c>
      <c r="AR57" s="243"/>
      <c r="AS57" s="243"/>
      <c r="AT57" s="243">
        <f t="shared" si="49"/>
        <v>1.8699999999999999E-3</v>
      </c>
      <c r="AU57" s="243">
        <f t="shared" si="50"/>
        <v>2.9999999999999997E-4</v>
      </c>
      <c r="AV57" s="243">
        <f t="shared" si="51"/>
        <v>2.1700000000000001E-3</v>
      </c>
      <c r="AW57" s="246">
        <f>[31]Temporaries!Q57</f>
        <v>0</v>
      </c>
      <c r="AX57" s="246">
        <f>SUM([31]Temporaries!K57:M57)</f>
        <v>1.2840000000000001E-2</v>
      </c>
      <c r="AY57" s="246">
        <f>SUM([31]Temporaries!N57:O57)</f>
        <v>2.33E-3</v>
      </c>
      <c r="AZ57" s="245">
        <f>[31]Temporaries!R57</f>
        <v>1.6199999999999999E-3</v>
      </c>
      <c r="BA57" s="245">
        <f t="shared" si="52"/>
        <v>-0.16173000000000001</v>
      </c>
      <c r="BB57" s="255">
        <f>[31]Temporaries!P57</f>
        <v>-1.2999999999999999E-4</v>
      </c>
      <c r="BC57" s="245">
        <f>[31]Temporaries!S57</f>
        <v>0</v>
      </c>
      <c r="BD57" s="245">
        <f>[31]Temporaries!T57</f>
        <v>1.7000000000000001E-4</v>
      </c>
      <c r="BE57" s="245">
        <f>[31]Temporaries!U57</f>
        <v>4.4099999999999999E-3</v>
      </c>
      <c r="BF57" s="245">
        <v>0.24073</v>
      </c>
      <c r="BG57" s="245"/>
      <c r="BH57" s="244">
        <f t="shared" si="53"/>
        <v>0</v>
      </c>
      <c r="BI57" s="243">
        <f t="shared" si="54"/>
        <v>0.24903</v>
      </c>
      <c r="BJ57" s="243">
        <f t="shared" si="55"/>
        <v>7.4569999999999997E-2</v>
      </c>
    </row>
    <row r="58" spans="1:62" x14ac:dyDescent="0.25">
      <c r="A58" s="233">
        <f t="shared" si="28"/>
        <v>52</v>
      </c>
      <c r="B58" s="233"/>
      <c r="C58" s="261" t="s">
        <v>70</v>
      </c>
      <c r="D58" s="259">
        <v>9.6029999999999976E-2</v>
      </c>
      <c r="E58" s="259">
        <v>-0.16173000000000001</v>
      </c>
      <c r="F58" s="259">
        <f>+' Increments  equal ¢ per therm'!H58</f>
        <v>-0.14299000000000001</v>
      </c>
      <c r="G58" s="259">
        <f>+' Increments  equal ¢ per therm'!K58</f>
        <v>0</v>
      </c>
      <c r="H58" s="259">
        <f>+' Increments  equal ¢ per therm'!N58</f>
        <v>-3.1469999999999998E-2</v>
      </c>
      <c r="I58" s="259">
        <f t="shared" si="29"/>
        <v>-0.17446</v>
      </c>
      <c r="J58" s="259">
        <f t="shared" si="30"/>
        <v>-1.2729999999999991E-2</v>
      </c>
      <c r="K58" s="243">
        <f>+'[9]Allocation = % of margin'!P58</f>
        <v>1.072E-2</v>
      </c>
      <c r="L58" s="243">
        <f>+'[9]Allocation = % of margin'!S58</f>
        <v>-1.2999999999999999E-4</v>
      </c>
      <c r="M58" s="243">
        <f>+'[9]Allocation = % of margin'!V58</f>
        <v>0</v>
      </c>
      <c r="N58" s="243">
        <f>+'[9]Allocation = % of margin'!Y58</f>
        <v>1.49E-3</v>
      </c>
      <c r="O58" s="243">
        <f>+'[9]Allocation = % of margin'!AB58</f>
        <v>2.4000000000000001E-4</v>
      </c>
      <c r="P58" s="243">
        <f>'[9]Allocation = % of margin'!AE58</f>
        <v>-2.0000000000000002E-5</v>
      </c>
      <c r="Q58" s="243">
        <f>' Increments  equal ¢ per therm'!Q58</f>
        <v>0</v>
      </c>
      <c r="R58" s="243">
        <f>'[9]Allocation = % of margin'!AH58</f>
        <v>1.3799999999999999E-3</v>
      </c>
      <c r="S58" s="243">
        <f>' Increments  equal ¢ per therm'!T58</f>
        <v>0</v>
      </c>
      <c r="T58" s="243">
        <f>'[9]Allocation = % of revenue'!M58</f>
        <v>1.0000000000000001E-5</v>
      </c>
      <c r="U58" s="243">
        <f>'[9]Allocation = % of margin'!AK58</f>
        <v>3.5300000000000002E-3</v>
      </c>
      <c r="V58" s="243">
        <f>' Increments  equal ¢ per therm'!W58</f>
        <v>0.24073</v>
      </c>
      <c r="W58" s="243">
        <f t="shared" si="31"/>
        <v>8.3490000000000009E-2</v>
      </c>
      <c r="X58" s="243">
        <f t="shared" si="32"/>
        <v>-1.2539999999999968E-2</v>
      </c>
      <c r="Y58" s="243"/>
      <c r="Z58" s="248">
        <f t="shared" si="33"/>
        <v>7.2900000000000006E-2</v>
      </c>
      <c r="AA58" s="248">
        <f t="shared" si="34"/>
        <v>6.6499999999999997E-3</v>
      </c>
      <c r="AB58" s="248">
        <f t="shared" si="35"/>
        <v>-0.14299000000000001</v>
      </c>
      <c r="AC58" s="248">
        <f t="shared" si="36"/>
        <v>-3.1469999999999998E-2</v>
      </c>
      <c r="AD58" s="248">
        <f t="shared" si="37"/>
        <v>0.25795000000000001</v>
      </c>
      <c r="AE58" s="248">
        <f t="shared" si="38"/>
        <v>8.3490000000000009E-2</v>
      </c>
      <c r="AF58" s="248">
        <f>[9]Permanents!G58</f>
        <v>9.2659999999999937E-2</v>
      </c>
      <c r="AG58" s="247">
        <f t="shared" si="39"/>
        <v>0</v>
      </c>
      <c r="AH58" s="243">
        <f t="shared" si="40"/>
        <v>-0.17446</v>
      </c>
      <c r="AI58" s="243">
        <f t="shared" si="41"/>
        <v>0</v>
      </c>
      <c r="AJ58" s="243">
        <f t="shared" si="42"/>
        <v>1.3799999999999999E-3</v>
      </c>
      <c r="AK58" s="243">
        <f t="shared" si="43"/>
        <v>0</v>
      </c>
      <c r="AL58" s="243">
        <f t="shared" si="44"/>
        <v>1.059E-2</v>
      </c>
      <c r="AM58" s="243">
        <f t="shared" si="45"/>
        <v>-2.0000000000000002E-5</v>
      </c>
      <c r="AN58" s="243">
        <f t="shared" si="46"/>
        <v>1.0000000000000001E-5</v>
      </c>
      <c r="AO58" s="243">
        <f>[9]Permanents!F58</f>
        <v>2.0000000000000002E-5</v>
      </c>
      <c r="AP58" s="243">
        <f t="shared" si="47"/>
        <v>3.5300000000000002E-3</v>
      </c>
      <c r="AQ58" s="243">
        <f t="shared" si="48"/>
        <v>0.24073</v>
      </c>
      <c r="AR58" s="243"/>
      <c r="AS58" s="243"/>
      <c r="AT58" s="243">
        <f t="shared" si="49"/>
        <v>1.49E-3</v>
      </c>
      <c r="AU58" s="243">
        <f t="shared" si="50"/>
        <v>2.4000000000000001E-4</v>
      </c>
      <c r="AV58" s="243">
        <f t="shared" si="51"/>
        <v>1.73E-3</v>
      </c>
      <c r="AW58" s="246">
        <f>[31]Temporaries!Q58</f>
        <v>0</v>
      </c>
      <c r="AX58" s="246">
        <f>SUM([31]Temporaries!K58:M58)</f>
        <v>1.026E-2</v>
      </c>
      <c r="AY58" s="246">
        <f>SUM([31]Temporaries!N58:O58)</f>
        <v>1.8699999999999999E-3</v>
      </c>
      <c r="AZ58" s="245">
        <f>[31]Temporaries!R58</f>
        <v>1.2999999999999999E-3</v>
      </c>
      <c r="BA58" s="245">
        <f t="shared" si="52"/>
        <v>-0.16173000000000001</v>
      </c>
      <c r="BB58" s="255">
        <f>[31]Temporaries!P58</f>
        <v>-1E-4</v>
      </c>
      <c r="BC58" s="245">
        <f>[31]Temporaries!S58</f>
        <v>0</v>
      </c>
      <c r="BD58" s="245">
        <f>[31]Temporaries!T58</f>
        <v>1.7000000000000001E-4</v>
      </c>
      <c r="BE58" s="245">
        <f>[31]Temporaries!U58</f>
        <v>3.5300000000000002E-3</v>
      </c>
      <c r="BF58" s="245">
        <v>0.24073</v>
      </c>
      <c r="BG58" s="245"/>
      <c r="BH58" s="244">
        <f t="shared" si="53"/>
        <v>0</v>
      </c>
      <c r="BI58" s="243">
        <f t="shared" si="54"/>
        <v>0.24736</v>
      </c>
      <c r="BJ58" s="243">
        <f t="shared" si="55"/>
        <v>7.2900000000000006E-2</v>
      </c>
    </row>
    <row r="59" spans="1:62" x14ac:dyDescent="0.25">
      <c r="A59" s="233">
        <f t="shared" si="28"/>
        <v>53</v>
      </c>
      <c r="B59" s="233"/>
      <c r="C59" s="261" t="s">
        <v>71</v>
      </c>
      <c r="D59" s="259">
        <v>9.0409999999999963E-2</v>
      </c>
      <c r="E59" s="259">
        <v>-0.16173000000000001</v>
      </c>
      <c r="F59" s="259">
        <f>+' Increments  equal ¢ per therm'!H59</f>
        <v>-0.14299000000000001</v>
      </c>
      <c r="G59" s="259">
        <f>+' Increments  equal ¢ per therm'!K59</f>
        <v>0</v>
      </c>
      <c r="H59" s="259">
        <f>+' Increments  equal ¢ per therm'!N59</f>
        <v>-3.1469999999999998E-2</v>
      </c>
      <c r="I59" s="259">
        <f t="shared" si="29"/>
        <v>-0.17446</v>
      </c>
      <c r="J59" s="259">
        <f t="shared" si="30"/>
        <v>-1.2729999999999991E-2</v>
      </c>
      <c r="K59" s="243">
        <f>+'[9]Allocation = % of margin'!P59</f>
        <v>7.1500000000000001E-3</v>
      </c>
      <c r="L59" s="243">
        <f>+'[9]Allocation = % of margin'!S59</f>
        <v>-9.0000000000000006E-5</v>
      </c>
      <c r="M59" s="243">
        <f>+'[9]Allocation = % of margin'!V59</f>
        <v>0</v>
      </c>
      <c r="N59" s="243">
        <f>+'[9]Allocation = % of margin'!Y59</f>
        <v>1E-3</v>
      </c>
      <c r="O59" s="243">
        <f>+'[9]Allocation = % of margin'!AB59</f>
        <v>1.6000000000000001E-4</v>
      </c>
      <c r="P59" s="243">
        <f>'[9]Allocation = % of margin'!AE59</f>
        <v>-1.0000000000000001E-5</v>
      </c>
      <c r="Q59" s="243">
        <f>' Increments  equal ¢ per therm'!Q59</f>
        <v>0</v>
      </c>
      <c r="R59" s="243">
        <f>'[9]Allocation = % of margin'!AH59</f>
        <v>9.2000000000000003E-4</v>
      </c>
      <c r="S59" s="243">
        <f>' Increments  equal ¢ per therm'!T59</f>
        <v>0</v>
      </c>
      <c r="T59" s="243">
        <f>'[9]Allocation = % of revenue'!M59</f>
        <v>1.0000000000000001E-5</v>
      </c>
      <c r="U59" s="243">
        <f>'[9]Allocation = % of margin'!AK59</f>
        <v>2.3500000000000001E-3</v>
      </c>
      <c r="V59" s="243">
        <f>' Increments  equal ¢ per therm'!W59</f>
        <v>0.24073</v>
      </c>
      <c r="W59" s="243">
        <f t="shared" si="31"/>
        <v>7.7759999999999996E-2</v>
      </c>
      <c r="X59" s="243">
        <f t="shared" si="32"/>
        <v>-1.2649999999999967E-2</v>
      </c>
      <c r="Y59" s="243"/>
      <c r="Z59" s="248">
        <f t="shared" si="33"/>
        <v>7.0699999999999999E-2</v>
      </c>
      <c r="AA59" s="248">
        <f t="shared" si="34"/>
        <v>4.4400000000000004E-3</v>
      </c>
      <c r="AB59" s="248">
        <f t="shared" si="35"/>
        <v>-0.14299000000000001</v>
      </c>
      <c r="AC59" s="248">
        <f t="shared" si="36"/>
        <v>-3.1469999999999998E-2</v>
      </c>
      <c r="AD59" s="248">
        <f t="shared" si="37"/>
        <v>0.25222</v>
      </c>
      <c r="AE59" s="248">
        <f t="shared" si="38"/>
        <v>7.7759999999999996E-2</v>
      </c>
      <c r="AF59" s="248">
        <f>[9]Permanents!G59</f>
        <v>6.1790000000000067E-2</v>
      </c>
      <c r="AG59" s="247">
        <f t="shared" si="39"/>
        <v>0</v>
      </c>
      <c r="AH59" s="243">
        <f t="shared" si="40"/>
        <v>-0.17446</v>
      </c>
      <c r="AI59" s="243">
        <f t="shared" si="41"/>
        <v>0</v>
      </c>
      <c r="AJ59" s="243">
        <f t="shared" si="42"/>
        <v>9.2000000000000003E-4</v>
      </c>
      <c r="AK59" s="243">
        <f t="shared" si="43"/>
        <v>0</v>
      </c>
      <c r="AL59" s="243">
        <f t="shared" si="44"/>
        <v>7.0600000000000003E-3</v>
      </c>
      <c r="AM59" s="243">
        <f t="shared" si="45"/>
        <v>-1.0000000000000001E-5</v>
      </c>
      <c r="AN59" s="243">
        <f t="shared" si="46"/>
        <v>1.0000000000000001E-5</v>
      </c>
      <c r="AO59" s="243">
        <f>[9]Permanents!F59</f>
        <v>1.0000000000000001E-5</v>
      </c>
      <c r="AP59" s="243">
        <f t="shared" si="47"/>
        <v>2.3500000000000001E-3</v>
      </c>
      <c r="AQ59" s="243">
        <f t="shared" si="48"/>
        <v>0.24073</v>
      </c>
      <c r="AR59" s="243"/>
      <c r="AS59" s="243"/>
      <c r="AT59" s="243">
        <f t="shared" si="49"/>
        <v>1E-3</v>
      </c>
      <c r="AU59" s="243">
        <f t="shared" si="50"/>
        <v>1.6000000000000001E-4</v>
      </c>
      <c r="AV59" s="243">
        <f t="shared" si="51"/>
        <v>1.16E-3</v>
      </c>
      <c r="AW59" s="246">
        <f>[31]Temporaries!Q59</f>
        <v>0</v>
      </c>
      <c r="AX59" s="246">
        <f>SUM([31]Temporaries!K59:M59)</f>
        <v>6.8499999999999993E-3</v>
      </c>
      <c r="AY59" s="246">
        <f>SUM([31]Temporaries!N59:O59)</f>
        <v>1.25E-3</v>
      </c>
      <c r="AZ59" s="245">
        <f>[31]Temporaries!R59</f>
        <v>8.7000000000000001E-4</v>
      </c>
      <c r="BA59" s="245">
        <f t="shared" si="52"/>
        <v>-0.16173000000000001</v>
      </c>
      <c r="BB59" s="255">
        <f>[31]Temporaries!P59</f>
        <v>-6.9999999999999994E-5</v>
      </c>
      <c r="BC59" s="245">
        <f>[31]Temporaries!S59</f>
        <v>0</v>
      </c>
      <c r="BD59" s="245">
        <f>[31]Temporaries!T59</f>
        <v>1.6000000000000001E-4</v>
      </c>
      <c r="BE59" s="245">
        <f>[31]Temporaries!U59</f>
        <v>2.3500000000000001E-3</v>
      </c>
      <c r="BF59" s="245">
        <v>0.24073</v>
      </c>
      <c r="BG59" s="245"/>
      <c r="BH59" s="244">
        <f t="shared" si="53"/>
        <v>0</v>
      </c>
      <c r="BI59" s="243">
        <f t="shared" si="54"/>
        <v>0.24516000000000002</v>
      </c>
      <c r="BJ59" s="243">
        <f t="shared" si="55"/>
        <v>7.0699999999999999E-2</v>
      </c>
    </row>
    <row r="60" spans="1:62" x14ac:dyDescent="0.25">
      <c r="A60" s="233">
        <f t="shared" si="28"/>
        <v>54</v>
      </c>
      <c r="B60" s="258"/>
      <c r="C60" s="260" t="s">
        <v>72</v>
      </c>
      <c r="D60" s="251">
        <v>8.3339999999999997E-2</v>
      </c>
      <c r="E60" s="251">
        <v>-0.16173000000000001</v>
      </c>
      <c r="F60" s="251">
        <f>+' Increments  equal ¢ per therm'!H60</f>
        <v>-0.14299000000000001</v>
      </c>
      <c r="G60" s="251">
        <f>+' Increments  equal ¢ per therm'!K60</f>
        <v>0</v>
      </c>
      <c r="H60" s="251">
        <f>+' Increments  equal ¢ per therm'!N60</f>
        <v>-3.1469999999999998E-2</v>
      </c>
      <c r="I60" s="251">
        <f t="shared" si="29"/>
        <v>-0.17446</v>
      </c>
      <c r="J60" s="251">
        <f t="shared" si="30"/>
        <v>-1.2729999999999991E-2</v>
      </c>
      <c r="K60" s="249">
        <f>+'[9]Allocation = % of margin'!P60</f>
        <v>2.6800000000000001E-3</v>
      </c>
      <c r="L60" s="249">
        <f>+'[9]Allocation = % of margin'!S60</f>
        <v>-3.0000000000000001E-5</v>
      </c>
      <c r="M60" s="249">
        <f>+'[9]Allocation = % of margin'!V60</f>
        <v>0</v>
      </c>
      <c r="N60" s="249">
        <f>+'[9]Allocation = % of margin'!Y60</f>
        <v>3.6999999999999999E-4</v>
      </c>
      <c r="O60" s="249">
        <f>+'[9]Allocation = % of margin'!AB60</f>
        <v>6.0000000000000002E-5</v>
      </c>
      <c r="P60" s="249">
        <f>'[9]Allocation = % of margin'!AE60</f>
        <v>0</v>
      </c>
      <c r="Q60" s="249">
        <f>' Increments  equal ¢ per therm'!Q60</f>
        <v>0</v>
      </c>
      <c r="R60" s="249">
        <f>'[9]Allocation = % of margin'!AH60</f>
        <v>3.5E-4</v>
      </c>
      <c r="S60" s="249">
        <f>' Increments  equal ¢ per therm'!T60</f>
        <v>0</v>
      </c>
      <c r="T60" s="249">
        <f>'[9]Allocation = % of revenue'!M60</f>
        <v>1.0000000000000001E-5</v>
      </c>
      <c r="U60" s="249">
        <f>'[9]Allocation = % of margin'!AK60</f>
        <v>8.8000000000000003E-4</v>
      </c>
      <c r="V60" s="249">
        <f>' Increments  equal ¢ per therm'!W60</f>
        <v>0.24073</v>
      </c>
      <c r="W60" s="249">
        <f t="shared" si="31"/>
        <v>7.0589999999999986E-2</v>
      </c>
      <c r="X60" s="249">
        <f t="shared" si="32"/>
        <v>-1.2750000000000011E-2</v>
      </c>
      <c r="Y60" s="243"/>
      <c r="Z60" s="248">
        <f t="shared" si="33"/>
        <v>6.7939999999999987E-2</v>
      </c>
      <c r="AA60" s="248">
        <f t="shared" si="34"/>
        <v>1.67E-3</v>
      </c>
      <c r="AB60" s="248">
        <f t="shared" si="35"/>
        <v>-0.14299000000000001</v>
      </c>
      <c r="AC60" s="248">
        <f t="shared" si="36"/>
        <v>-3.1469999999999998E-2</v>
      </c>
      <c r="AD60" s="248">
        <f t="shared" si="37"/>
        <v>0.24504999999999999</v>
      </c>
      <c r="AE60" s="248">
        <f t="shared" si="38"/>
        <v>7.0589999999999986E-2</v>
      </c>
      <c r="AF60" s="248">
        <f>[9]Permanents!G60</f>
        <v>2.316999999999993E-2</v>
      </c>
      <c r="AG60" s="247">
        <f t="shared" si="39"/>
        <v>0</v>
      </c>
      <c r="AH60" s="243">
        <f t="shared" si="40"/>
        <v>-0.17446</v>
      </c>
      <c r="AI60" s="243">
        <f t="shared" si="41"/>
        <v>0</v>
      </c>
      <c r="AJ60" s="243">
        <f t="shared" si="42"/>
        <v>3.5E-4</v>
      </c>
      <c r="AK60" s="243">
        <f t="shared" si="43"/>
        <v>0</v>
      </c>
      <c r="AL60" s="243">
        <f t="shared" si="44"/>
        <v>2.65E-3</v>
      </c>
      <c r="AM60" s="243">
        <f t="shared" si="45"/>
        <v>0</v>
      </c>
      <c r="AN60" s="243">
        <f t="shared" si="46"/>
        <v>1.0000000000000001E-5</v>
      </c>
      <c r="AO60" s="243">
        <f>[9]Permanents!F60</f>
        <v>0</v>
      </c>
      <c r="AP60" s="243">
        <f t="shared" si="47"/>
        <v>8.8000000000000003E-4</v>
      </c>
      <c r="AQ60" s="243">
        <f t="shared" si="48"/>
        <v>0.24073</v>
      </c>
      <c r="AR60" s="243"/>
      <c r="AS60" s="243"/>
      <c r="AT60" s="243">
        <f t="shared" si="49"/>
        <v>3.6999999999999999E-4</v>
      </c>
      <c r="AU60" s="243">
        <f t="shared" si="50"/>
        <v>6.0000000000000002E-5</v>
      </c>
      <c r="AV60" s="243">
        <f t="shared" si="51"/>
        <v>4.2999999999999999E-4</v>
      </c>
      <c r="AW60" s="246">
        <f>[31]Temporaries!Q60</f>
        <v>0</v>
      </c>
      <c r="AX60" s="246">
        <f>SUM([31]Temporaries!K60:M60)</f>
        <v>2.5600000000000002E-3</v>
      </c>
      <c r="AY60" s="246">
        <f>SUM([31]Temporaries!N60:O60)</f>
        <v>4.6000000000000001E-4</v>
      </c>
      <c r="AZ60" s="245">
        <f>[31]Temporaries!R60</f>
        <v>3.2000000000000003E-4</v>
      </c>
      <c r="BA60" s="245">
        <f t="shared" si="52"/>
        <v>-0.16173000000000001</v>
      </c>
      <c r="BB60" s="255">
        <f>[31]Temporaries!P60</f>
        <v>-3.0000000000000001E-5</v>
      </c>
      <c r="BC60" s="245">
        <f>[31]Temporaries!S60</f>
        <v>0</v>
      </c>
      <c r="BD60" s="245">
        <f>[31]Temporaries!T60</f>
        <v>1.4999999999999999E-4</v>
      </c>
      <c r="BE60" s="245">
        <f>[31]Temporaries!U60</f>
        <v>8.8000000000000003E-4</v>
      </c>
      <c r="BF60" s="245">
        <v>0.24073</v>
      </c>
      <c r="BG60" s="245"/>
      <c r="BH60" s="244">
        <f t="shared" si="53"/>
        <v>0</v>
      </c>
      <c r="BI60" s="243">
        <f t="shared" si="54"/>
        <v>0.2424</v>
      </c>
      <c r="BJ60" s="243">
        <f t="shared" si="55"/>
        <v>6.7939999999999987E-2</v>
      </c>
    </row>
    <row r="61" spans="1:62" x14ac:dyDescent="0.25">
      <c r="A61" s="233">
        <f t="shared" si="28"/>
        <v>55</v>
      </c>
      <c r="B61" s="233" t="s">
        <v>77</v>
      </c>
      <c r="C61" s="261" t="s">
        <v>61</v>
      </c>
      <c r="D61" s="259">
        <v>9.4369999999999982E-2</v>
      </c>
      <c r="E61" s="259">
        <v>-0.16173000000000001</v>
      </c>
      <c r="F61" s="259">
        <f>+' Increments  equal ¢ per therm'!H61</f>
        <v>-0.14299000000000001</v>
      </c>
      <c r="G61" s="259">
        <f>+' Increments  equal ¢ per therm'!K61</f>
        <v>0</v>
      </c>
      <c r="H61" s="259">
        <f>+' Increments  equal ¢ per therm'!N61</f>
        <v>-3.1469999999999998E-2</v>
      </c>
      <c r="I61" s="259">
        <f t="shared" si="29"/>
        <v>-0.17446</v>
      </c>
      <c r="J61" s="259">
        <f t="shared" si="30"/>
        <v>-1.2729999999999991E-2</v>
      </c>
      <c r="K61" s="243">
        <f>+'[9]Allocation = % of margin'!P61</f>
        <v>0</v>
      </c>
      <c r="L61" s="243">
        <f>+'[9]Allocation = % of margin'!S61</f>
        <v>0</v>
      </c>
      <c r="M61" s="243">
        <f>+'[9]Allocation = % of margin'!V61</f>
        <v>0</v>
      </c>
      <c r="N61" s="243">
        <f>+'[9]Allocation = % of margin'!Y61</f>
        <v>3.1900000000000001E-3</v>
      </c>
      <c r="O61" s="243">
        <f>+'[9]Allocation = % of margin'!AB61</f>
        <v>5.1999999999999995E-4</v>
      </c>
      <c r="P61" s="243">
        <f>'[9]Allocation = % of margin'!AE61</f>
        <v>-4.0000000000000003E-5</v>
      </c>
      <c r="Q61" s="243">
        <f>' Increments  equal ¢ per therm'!Q61</f>
        <v>0</v>
      </c>
      <c r="R61" s="243">
        <f>'[9]Allocation = % of margin'!AH61</f>
        <v>2.96E-3</v>
      </c>
      <c r="S61" s="243">
        <f>' Increments  equal ¢ per therm'!T61</f>
        <v>3.5E-4</v>
      </c>
      <c r="T61" s="243">
        <f>'[9]Allocation = % of revenue'!M61</f>
        <v>1.0000000000000001E-5</v>
      </c>
      <c r="U61" s="243">
        <f>'[9]Allocation = % of margin'!AK61</f>
        <v>7.6400000000000001E-3</v>
      </c>
      <c r="V61" s="243">
        <f>' Increments  equal ¢ per therm'!W61</f>
        <v>0.24073</v>
      </c>
      <c r="W61" s="243">
        <f t="shared" si="31"/>
        <v>8.0899999999999972E-2</v>
      </c>
      <c r="X61" s="243">
        <f t="shared" si="32"/>
        <v>-1.347000000000001E-2</v>
      </c>
      <c r="Y61" s="243"/>
      <c r="Z61" s="248">
        <f t="shared" si="33"/>
        <v>8.0899999999999972E-2</v>
      </c>
      <c r="AA61" s="248">
        <f t="shared" si="34"/>
        <v>1.4669999999999999E-2</v>
      </c>
      <c r="AB61" s="248">
        <f t="shared" si="35"/>
        <v>-0.14299000000000001</v>
      </c>
      <c r="AC61" s="248">
        <f t="shared" si="36"/>
        <v>-3.1469999999999998E-2</v>
      </c>
      <c r="AD61" s="248">
        <f t="shared" si="37"/>
        <v>0.25535999999999998</v>
      </c>
      <c r="AE61" s="248">
        <f t="shared" si="38"/>
        <v>8.0899999999999972E-2</v>
      </c>
      <c r="AF61" s="248">
        <f>[9]Permanents!G61</f>
        <v>0.16356999999999991</v>
      </c>
      <c r="AG61" s="247">
        <f t="shared" si="39"/>
        <v>0</v>
      </c>
      <c r="AH61" s="243">
        <f t="shared" si="40"/>
        <v>-0.17446</v>
      </c>
      <c r="AI61" s="243">
        <f t="shared" si="41"/>
        <v>0</v>
      </c>
      <c r="AJ61" s="243">
        <f t="shared" si="42"/>
        <v>2.96E-3</v>
      </c>
      <c r="AK61" s="243">
        <f t="shared" si="43"/>
        <v>3.5E-4</v>
      </c>
      <c r="AL61" s="243">
        <f t="shared" si="44"/>
        <v>0</v>
      </c>
      <c r="AM61" s="243">
        <f t="shared" si="45"/>
        <v>-4.0000000000000003E-5</v>
      </c>
      <c r="AN61" s="243">
        <f t="shared" si="46"/>
        <v>1.0000000000000001E-5</v>
      </c>
      <c r="AO61" s="243">
        <f>[9]Permanents!F61</f>
        <v>4.0000000000000003E-5</v>
      </c>
      <c r="AP61" s="243">
        <f t="shared" si="47"/>
        <v>7.6400000000000001E-3</v>
      </c>
      <c r="AQ61" s="243">
        <f t="shared" si="48"/>
        <v>0.24073</v>
      </c>
      <c r="AR61" s="243"/>
      <c r="AS61" s="243"/>
      <c r="AT61" s="243">
        <f t="shared" si="49"/>
        <v>3.1900000000000001E-3</v>
      </c>
      <c r="AU61" s="243">
        <f t="shared" si="50"/>
        <v>5.1999999999999995E-4</v>
      </c>
      <c r="AV61" s="243">
        <f t="shared" si="51"/>
        <v>3.7100000000000002E-3</v>
      </c>
      <c r="AW61" s="246">
        <f>[31]Temporaries!Q61</f>
        <v>0</v>
      </c>
      <c r="AX61" s="246">
        <f>SUM([31]Temporaries!K61:M61)</f>
        <v>0</v>
      </c>
      <c r="AY61" s="246">
        <f>SUM([31]Temporaries!N61:O61)</f>
        <v>4.0400000000000002E-3</v>
      </c>
      <c r="AZ61" s="245">
        <f>[31]Temporaries!R61</f>
        <v>2.81E-3</v>
      </c>
      <c r="BA61" s="245">
        <f t="shared" si="52"/>
        <v>-0.16173000000000001</v>
      </c>
      <c r="BB61" s="255">
        <f>[31]Temporaries!P61</f>
        <v>-2.2000000000000001E-4</v>
      </c>
      <c r="BC61" s="245">
        <f>[31]Temporaries!S61</f>
        <v>1.0300000000000001E-3</v>
      </c>
      <c r="BD61" s="245">
        <f>[31]Temporaries!T61</f>
        <v>6.9999999999999994E-5</v>
      </c>
      <c r="BE61" s="245">
        <f>[31]Temporaries!U61</f>
        <v>7.6400000000000001E-3</v>
      </c>
      <c r="BF61" s="245">
        <v>0.24073</v>
      </c>
      <c r="BG61" s="245"/>
      <c r="BH61" s="244">
        <f t="shared" si="53"/>
        <v>0</v>
      </c>
      <c r="BI61" s="243">
        <f t="shared" si="54"/>
        <v>0.25535999999999998</v>
      </c>
      <c r="BJ61" s="243">
        <f t="shared" si="55"/>
        <v>8.0899999999999972E-2</v>
      </c>
    </row>
    <row r="62" spans="1:62" x14ac:dyDescent="0.25">
      <c r="A62" s="233">
        <f t="shared" si="28"/>
        <v>56</v>
      </c>
      <c r="B62" s="233"/>
      <c r="C62" s="261" t="s">
        <v>62</v>
      </c>
      <c r="D62" s="259">
        <v>9.286999999999998E-2</v>
      </c>
      <c r="E62" s="259">
        <v>-0.16173000000000001</v>
      </c>
      <c r="F62" s="259">
        <f>+' Increments  equal ¢ per therm'!H62</f>
        <v>-0.14299000000000001</v>
      </c>
      <c r="G62" s="259">
        <f>+' Increments  equal ¢ per therm'!K62</f>
        <v>0</v>
      </c>
      <c r="H62" s="259">
        <f>+' Increments  equal ¢ per therm'!N62</f>
        <v>-3.1469999999999998E-2</v>
      </c>
      <c r="I62" s="259">
        <f t="shared" si="29"/>
        <v>-0.17446</v>
      </c>
      <c r="J62" s="259">
        <f t="shared" si="30"/>
        <v>-1.2729999999999991E-2</v>
      </c>
      <c r="K62" s="243">
        <f>+'[9]Allocation = % of margin'!P62</f>
        <v>0</v>
      </c>
      <c r="L62" s="243">
        <f>+'[9]Allocation = % of margin'!S62</f>
        <v>0</v>
      </c>
      <c r="M62" s="243">
        <f>+'[9]Allocation = % of margin'!V62</f>
        <v>0</v>
      </c>
      <c r="N62" s="243">
        <f>+'[9]Allocation = % of margin'!Y62</f>
        <v>2.8600000000000001E-3</v>
      </c>
      <c r="O62" s="243">
        <f>+'[9]Allocation = % of margin'!AB62</f>
        <v>4.6000000000000001E-4</v>
      </c>
      <c r="P62" s="243">
        <f>'[9]Allocation = % of margin'!AE62</f>
        <v>-3.0000000000000001E-5</v>
      </c>
      <c r="Q62" s="243">
        <f>' Increments  equal ¢ per therm'!Q62</f>
        <v>0</v>
      </c>
      <c r="R62" s="243">
        <f>'[9]Allocation = % of margin'!AH62</f>
        <v>2.65E-3</v>
      </c>
      <c r="S62" s="243">
        <f>' Increments  equal ¢ per therm'!T62</f>
        <v>3.5E-4</v>
      </c>
      <c r="T62" s="243">
        <f>'[9]Allocation = % of revenue'!M62</f>
        <v>0</v>
      </c>
      <c r="U62" s="243">
        <f>'[9]Allocation = % of margin'!AK62</f>
        <v>6.8300000000000001E-3</v>
      </c>
      <c r="V62" s="243">
        <f>' Increments  equal ¢ per therm'!W62</f>
        <v>0.24073</v>
      </c>
      <c r="W62" s="243">
        <f t="shared" si="31"/>
        <v>7.9390000000000016E-2</v>
      </c>
      <c r="X62" s="243">
        <f t="shared" si="32"/>
        <v>-1.3479999999999964E-2</v>
      </c>
      <c r="Y62" s="243"/>
      <c r="Z62" s="248">
        <f t="shared" si="33"/>
        <v>7.9390000000000016E-2</v>
      </c>
      <c r="AA62" s="248">
        <f t="shared" si="34"/>
        <v>1.3149999999999998E-2</v>
      </c>
      <c r="AB62" s="248">
        <f t="shared" si="35"/>
        <v>-0.14299000000000001</v>
      </c>
      <c r="AC62" s="248">
        <f t="shared" si="36"/>
        <v>-3.1469999999999998E-2</v>
      </c>
      <c r="AD62" s="248">
        <f t="shared" si="37"/>
        <v>0.25385000000000002</v>
      </c>
      <c r="AE62" s="248">
        <f t="shared" si="38"/>
        <v>7.9390000000000016E-2</v>
      </c>
      <c r="AF62" s="248">
        <f>[9]Permanents!G62</f>
        <v>0.14641999999999997</v>
      </c>
      <c r="AG62" s="247">
        <f t="shared" si="39"/>
        <v>0</v>
      </c>
      <c r="AH62" s="243">
        <f t="shared" si="40"/>
        <v>-0.17446</v>
      </c>
      <c r="AI62" s="243">
        <f t="shared" si="41"/>
        <v>0</v>
      </c>
      <c r="AJ62" s="243">
        <f t="shared" si="42"/>
        <v>2.65E-3</v>
      </c>
      <c r="AK62" s="243">
        <f t="shared" si="43"/>
        <v>3.5E-4</v>
      </c>
      <c r="AL62" s="243">
        <f t="shared" si="44"/>
        <v>0</v>
      </c>
      <c r="AM62" s="243">
        <f t="shared" si="45"/>
        <v>-3.0000000000000001E-5</v>
      </c>
      <c r="AN62" s="243">
        <f t="shared" si="46"/>
        <v>0</v>
      </c>
      <c r="AO62" s="243">
        <f>[9]Permanents!F62</f>
        <v>4.0000000000000003E-5</v>
      </c>
      <c r="AP62" s="243">
        <f t="shared" si="47"/>
        <v>6.8300000000000001E-3</v>
      </c>
      <c r="AQ62" s="243">
        <f t="shared" si="48"/>
        <v>0.24073</v>
      </c>
      <c r="AR62" s="243"/>
      <c r="AS62" s="243"/>
      <c r="AT62" s="243">
        <f t="shared" si="49"/>
        <v>2.8600000000000001E-3</v>
      </c>
      <c r="AU62" s="243">
        <f t="shared" si="50"/>
        <v>4.6000000000000001E-4</v>
      </c>
      <c r="AV62" s="243">
        <f t="shared" si="51"/>
        <v>3.32E-3</v>
      </c>
      <c r="AW62" s="246">
        <f>[31]Temporaries!Q62</f>
        <v>0</v>
      </c>
      <c r="AX62" s="246">
        <f>SUM([31]Temporaries!K62:M62)</f>
        <v>0</v>
      </c>
      <c r="AY62" s="246">
        <f>SUM([31]Temporaries!N62:O62)</f>
        <v>3.62E-3</v>
      </c>
      <c r="AZ62" s="245">
        <f>[31]Temporaries!R62</f>
        <v>2.5200000000000001E-3</v>
      </c>
      <c r="BA62" s="245">
        <f t="shared" si="52"/>
        <v>-0.16173000000000001</v>
      </c>
      <c r="BB62" s="255">
        <f>[31]Temporaries!P62</f>
        <v>-2.0000000000000001E-4</v>
      </c>
      <c r="BC62" s="245">
        <f>[31]Temporaries!S62</f>
        <v>1.0300000000000001E-3</v>
      </c>
      <c r="BD62" s="245">
        <f>[31]Temporaries!T62</f>
        <v>6.9999999999999994E-5</v>
      </c>
      <c r="BE62" s="245">
        <f>[31]Temporaries!U62</f>
        <v>6.8300000000000001E-3</v>
      </c>
      <c r="BF62" s="245">
        <v>0.24073</v>
      </c>
      <c r="BG62" s="245"/>
      <c r="BH62" s="244">
        <f t="shared" si="53"/>
        <v>0</v>
      </c>
      <c r="BI62" s="243">
        <f t="shared" si="54"/>
        <v>0.25385000000000002</v>
      </c>
      <c r="BJ62" s="243">
        <f t="shared" si="55"/>
        <v>7.9390000000000016E-2</v>
      </c>
    </row>
    <row r="63" spans="1:62" x14ac:dyDescent="0.25">
      <c r="A63" s="233">
        <f t="shared" si="28"/>
        <v>57</v>
      </c>
      <c r="B63" s="233"/>
      <c r="C63" s="261" t="s">
        <v>69</v>
      </c>
      <c r="D63" s="259">
        <v>8.9900000000000008E-2</v>
      </c>
      <c r="E63" s="259">
        <v>-0.16173000000000001</v>
      </c>
      <c r="F63" s="259">
        <f>+' Increments  equal ¢ per therm'!H63</f>
        <v>-0.14299000000000001</v>
      </c>
      <c r="G63" s="259">
        <f>+' Increments  equal ¢ per therm'!K63</f>
        <v>0</v>
      </c>
      <c r="H63" s="259">
        <f>+' Increments  equal ¢ per therm'!N63</f>
        <v>-3.1469999999999998E-2</v>
      </c>
      <c r="I63" s="259">
        <f t="shared" si="29"/>
        <v>-0.17446</v>
      </c>
      <c r="J63" s="259">
        <f t="shared" si="30"/>
        <v>-1.2729999999999991E-2</v>
      </c>
      <c r="K63" s="243">
        <f>+'[9]Allocation = % of margin'!P63</f>
        <v>0</v>
      </c>
      <c r="L63" s="243">
        <f>+'[9]Allocation = % of margin'!S63</f>
        <v>0</v>
      </c>
      <c r="M63" s="243">
        <f>+'[9]Allocation = % of margin'!V63</f>
        <v>0</v>
      </c>
      <c r="N63" s="243">
        <f>+'[9]Allocation = % of margin'!Y63</f>
        <v>2.1900000000000001E-3</v>
      </c>
      <c r="O63" s="243">
        <f>+'[9]Allocation = % of margin'!AB63</f>
        <v>3.5E-4</v>
      </c>
      <c r="P63" s="243">
        <f>'[9]Allocation = % of margin'!AE63</f>
        <v>-2.0000000000000002E-5</v>
      </c>
      <c r="Q63" s="243">
        <f>' Increments  equal ¢ per therm'!Q63</f>
        <v>0</v>
      </c>
      <c r="R63" s="243">
        <f>'[9]Allocation = % of margin'!AH63</f>
        <v>2.0300000000000001E-3</v>
      </c>
      <c r="S63" s="243">
        <f>' Increments  equal ¢ per therm'!T63</f>
        <v>3.5E-4</v>
      </c>
      <c r="T63" s="243">
        <f>'[9]Allocation = % of revenue'!M63</f>
        <v>0</v>
      </c>
      <c r="U63" s="243">
        <f>'[9]Allocation = % of margin'!AK63</f>
        <v>5.2399999999999999E-3</v>
      </c>
      <c r="V63" s="243">
        <f>' Increments  equal ¢ per therm'!W63</f>
        <v>0.24073</v>
      </c>
      <c r="W63" s="243">
        <f t="shared" si="31"/>
        <v>7.6409999999999978E-2</v>
      </c>
      <c r="X63" s="243">
        <f t="shared" si="32"/>
        <v>-1.349000000000003E-2</v>
      </c>
      <c r="Y63" s="243"/>
      <c r="Z63" s="248">
        <f t="shared" si="33"/>
        <v>7.6409999999999978E-2</v>
      </c>
      <c r="AA63" s="248">
        <f t="shared" si="34"/>
        <v>1.0159999999999999E-2</v>
      </c>
      <c r="AB63" s="248">
        <f t="shared" si="35"/>
        <v>-0.14299000000000001</v>
      </c>
      <c r="AC63" s="248">
        <f t="shared" si="36"/>
        <v>-3.1469999999999998E-2</v>
      </c>
      <c r="AD63" s="248">
        <f t="shared" si="37"/>
        <v>0.25086999999999998</v>
      </c>
      <c r="AE63" s="248">
        <f t="shared" si="38"/>
        <v>7.6409999999999978E-2</v>
      </c>
      <c r="AF63" s="248">
        <f>[9]Permanents!G63</f>
        <v>0.11228000000000012</v>
      </c>
      <c r="AG63" s="247">
        <f t="shared" si="39"/>
        <v>0</v>
      </c>
      <c r="AH63" s="243">
        <f t="shared" si="40"/>
        <v>-0.17446</v>
      </c>
      <c r="AI63" s="243">
        <f t="shared" si="41"/>
        <v>0</v>
      </c>
      <c r="AJ63" s="243">
        <f t="shared" si="42"/>
        <v>2.0300000000000001E-3</v>
      </c>
      <c r="AK63" s="243">
        <f t="shared" si="43"/>
        <v>3.5E-4</v>
      </c>
      <c r="AL63" s="243">
        <f t="shared" si="44"/>
        <v>0</v>
      </c>
      <c r="AM63" s="243">
        <f t="shared" si="45"/>
        <v>-2.0000000000000002E-5</v>
      </c>
      <c r="AN63" s="243">
        <f t="shared" si="46"/>
        <v>0</v>
      </c>
      <c r="AO63" s="243">
        <f>[9]Permanents!F63</f>
        <v>3.0000000000000001E-5</v>
      </c>
      <c r="AP63" s="243">
        <f t="shared" si="47"/>
        <v>5.2399999999999999E-3</v>
      </c>
      <c r="AQ63" s="243">
        <f t="shared" si="48"/>
        <v>0.24073</v>
      </c>
      <c r="AR63" s="243"/>
      <c r="AS63" s="243"/>
      <c r="AT63" s="243">
        <f t="shared" si="49"/>
        <v>2.1900000000000001E-3</v>
      </c>
      <c r="AU63" s="243">
        <f t="shared" si="50"/>
        <v>3.5E-4</v>
      </c>
      <c r="AV63" s="243">
        <f t="shared" si="51"/>
        <v>2.5400000000000002E-3</v>
      </c>
      <c r="AW63" s="246">
        <f>[31]Temporaries!Q63</f>
        <v>0</v>
      </c>
      <c r="AX63" s="246">
        <f>SUM([31]Temporaries!K63:M63)</f>
        <v>0</v>
      </c>
      <c r="AY63" s="246">
        <f>SUM([31]Temporaries!N63:O63)</f>
        <v>2.7799999999999999E-3</v>
      </c>
      <c r="AZ63" s="245">
        <f>[31]Temporaries!R63</f>
        <v>1.9300000000000001E-3</v>
      </c>
      <c r="BA63" s="245">
        <f t="shared" si="52"/>
        <v>-0.16173000000000001</v>
      </c>
      <c r="BB63" s="255">
        <f>[31]Temporaries!P63</f>
        <v>-1.4999999999999999E-4</v>
      </c>
      <c r="BC63" s="245">
        <f>[31]Temporaries!S63</f>
        <v>1.0300000000000001E-3</v>
      </c>
      <c r="BD63" s="245">
        <f>[31]Temporaries!T63</f>
        <v>6.9999999999999994E-5</v>
      </c>
      <c r="BE63" s="245">
        <f>[31]Temporaries!U63</f>
        <v>5.2399999999999999E-3</v>
      </c>
      <c r="BF63" s="245">
        <v>0.24073</v>
      </c>
      <c r="BG63" s="245"/>
      <c r="BH63" s="244">
        <f t="shared" si="53"/>
        <v>0</v>
      </c>
      <c r="BI63" s="243">
        <f t="shared" si="54"/>
        <v>0.25086999999999998</v>
      </c>
      <c r="BJ63" s="243">
        <f t="shared" si="55"/>
        <v>7.6409999999999978E-2</v>
      </c>
    </row>
    <row r="64" spans="1:62" x14ac:dyDescent="0.25">
      <c r="A64" s="233">
        <f t="shared" si="28"/>
        <v>58</v>
      </c>
      <c r="B64" s="233"/>
      <c r="C64" s="261" t="s">
        <v>70</v>
      </c>
      <c r="D64" s="259">
        <v>8.792999999999998E-2</v>
      </c>
      <c r="E64" s="259">
        <v>-0.16173000000000001</v>
      </c>
      <c r="F64" s="259">
        <f>+' Increments  equal ¢ per therm'!H64</f>
        <v>-0.14299000000000001</v>
      </c>
      <c r="G64" s="259">
        <f>+' Increments  equal ¢ per therm'!K64</f>
        <v>0</v>
      </c>
      <c r="H64" s="259">
        <f>+' Increments  equal ¢ per therm'!N64</f>
        <v>-3.1469999999999998E-2</v>
      </c>
      <c r="I64" s="259">
        <f t="shared" si="29"/>
        <v>-0.17446</v>
      </c>
      <c r="J64" s="259">
        <f t="shared" si="30"/>
        <v>-1.2729999999999991E-2</v>
      </c>
      <c r="K64" s="243">
        <f>+'[9]Allocation = % of margin'!P64</f>
        <v>0</v>
      </c>
      <c r="L64" s="243">
        <f>+'[9]Allocation = % of margin'!S64</f>
        <v>0</v>
      </c>
      <c r="M64" s="243">
        <f>+'[9]Allocation = % of margin'!V64</f>
        <v>0</v>
      </c>
      <c r="N64" s="243">
        <f>+'[9]Allocation = % of margin'!Y64</f>
        <v>1.75E-3</v>
      </c>
      <c r="O64" s="243">
        <f>+'[9]Allocation = % of margin'!AB64</f>
        <v>2.7999999999999998E-4</v>
      </c>
      <c r="P64" s="243">
        <f>'[9]Allocation = % of margin'!AE64</f>
        <v>-2.0000000000000002E-5</v>
      </c>
      <c r="Q64" s="243">
        <f>' Increments  equal ¢ per therm'!Q64</f>
        <v>0</v>
      </c>
      <c r="R64" s="243">
        <f>'[9]Allocation = % of margin'!AH64</f>
        <v>1.6299999999999999E-3</v>
      </c>
      <c r="S64" s="243">
        <f>' Increments  equal ¢ per therm'!T64</f>
        <v>3.5E-4</v>
      </c>
      <c r="T64" s="243">
        <f>'[9]Allocation = % of revenue'!M64</f>
        <v>0</v>
      </c>
      <c r="U64" s="243">
        <f>'[9]Allocation = % of margin'!AK64</f>
        <v>4.1900000000000001E-3</v>
      </c>
      <c r="V64" s="243">
        <f>' Increments  equal ¢ per therm'!W64</f>
        <v>0.24073</v>
      </c>
      <c r="W64" s="243">
        <f t="shared" si="31"/>
        <v>7.4449999999999988E-2</v>
      </c>
      <c r="X64" s="243">
        <f t="shared" si="32"/>
        <v>-1.3479999999999992E-2</v>
      </c>
      <c r="Y64" s="243"/>
      <c r="Z64" s="248">
        <f t="shared" si="33"/>
        <v>7.4449999999999988E-2</v>
      </c>
      <c r="AA64" s="248">
        <f t="shared" si="34"/>
        <v>8.199999999999999E-3</v>
      </c>
      <c r="AB64" s="248">
        <f t="shared" si="35"/>
        <v>-0.14299000000000001</v>
      </c>
      <c r="AC64" s="248">
        <f t="shared" si="36"/>
        <v>-3.1469999999999998E-2</v>
      </c>
      <c r="AD64" s="248">
        <f t="shared" si="37"/>
        <v>0.24890999999999999</v>
      </c>
      <c r="AE64" s="248">
        <f t="shared" si="38"/>
        <v>7.4449999999999988E-2</v>
      </c>
      <c r="AF64" s="248">
        <f>[9]Permanents!G64</f>
        <v>8.9829999999999688E-2</v>
      </c>
      <c r="AG64" s="247">
        <f t="shared" si="39"/>
        <v>0</v>
      </c>
      <c r="AH64" s="243">
        <f t="shared" si="40"/>
        <v>-0.17446</v>
      </c>
      <c r="AI64" s="243">
        <f t="shared" si="41"/>
        <v>0</v>
      </c>
      <c r="AJ64" s="243">
        <f t="shared" si="42"/>
        <v>1.6299999999999999E-3</v>
      </c>
      <c r="AK64" s="243">
        <f t="shared" si="43"/>
        <v>3.5E-4</v>
      </c>
      <c r="AL64" s="243">
        <f t="shared" si="44"/>
        <v>0</v>
      </c>
      <c r="AM64" s="243">
        <f t="shared" si="45"/>
        <v>-2.0000000000000002E-5</v>
      </c>
      <c r="AN64" s="243">
        <f t="shared" si="46"/>
        <v>0</v>
      </c>
      <c r="AO64" s="243">
        <f>[9]Permanents!F64</f>
        <v>2.0000000000000002E-5</v>
      </c>
      <c r="AP64" s="243">
        <f t="shared" si="47"/>
        <v>4.1900000000000001E-3</v>
      </c>
      <c r="AQ64" s="243">
        <f t="shared" si="48"/>
        <v>0.24073</v>
      </c>
      <c r="AR64" s="243"/>
      <c r="AS64" s="243"/>
      <c r="AT64" s="243">
        <f t="shared" si="49"/>
        <v>1.75E-3</v>
      </c>
      <c r="AU64" s="243">
        <f t="shared" si="50"/>
        <v>2.7999999999999998E-4</v>
      </c>
      <c r="AV64" s="243">
        <f t="shared" si="51"/>
        <v>2.0300000000000001E-3</v>
      </c>
      <c r="AW64" s="246">
        <f>[31]Temporaries!Q64</f>
        <v>0</v>
      </c>
      <c r="AX64" s="246">
        <f>SUM([31]Temporaries!K64:M64)</f>
        <v>0</v>
      </c>
      <c r="AY64" s="246">
        <f>SUM([31]Temporaries!N64:O64)</f>
        <v>2.2199999999999998E-3</v>
      </c>
      <c r="AZ64" s="245">
        <f>[31]Temporaries!R64</f>
        <v>1.5399999999999999E-3</v>
      </c>
      <c r="BA64" s="245">
        <f t="shared" si="52"/>
        <v>-0.16173000000000001</v>
      </c>
      <c r="BB64" s="255">
        <f>[31]Temporaries!P64</f>
        <v>-1.2E-4</v>
      </c>
      <c r="BC64" s="245">
        <f>[31]Temporaries!S64</f>
        <v>1.0300000000000001E-3</v>
      </c>
      <c r="BD64" s="245">
        <f>[31]Temporaries!T64</f>
        <v>6.9999999999999994E-5</v>
      </c>
      <c r="BE64" s="245">
        <f>[31]Temporaries!U64</f>
        <v>4.1900000000000001E-3</v>
      </c>
      <c r="BF64" s="245">
        <v>0.24073</v>
      </c>
      <c r="BG64" s="245"/>
      <c r="BH64" s="244">
        <f t="shared" si="53"/>
        <v>0</v>
      </c>
      <c r="BI64" s="243">
        <f t="shared" si="54"/>
        <v>0.24890999999999999</v>
      </c>
      <c r="BJ64" s="243">
        <f t="shared" si="55"/>
        <v>7.4449999999999988E-2</v>
      </c>
    </row>
    <row r="65" spans="1:62" x14ac:dyDescent="0.25">
      <c r="A65" s="233">
        <f t="shared" si="28"/>
        <v>59</v>
      </c>
      <c r="B65" s="233"/>
      <c r="C65" s="261" t="s">
        <v>71</v>
      </c>
      <c r="D65" s="259">
        <v>8.5309999999999997E-2</v>
      </c>
      <c r="E65" s="259">
        <v>-0.16173000000000001</v>
      </c>
      <c r="F65" s="259">
        <f>+' Increments  equal ¢ per therm'!H65</f>
        <v>-0.14299000000000001</v>
      </c>
      <c r="G65" s="259">
        <f>+' Increments  equal ¢ per therm'!K65</f>
        <v>0</v>
      </c>
      <c r="H65" s="259">
        <f>+' Increments  equal ¢ per therm'!N65</f>
        <v>-3.1469999999999998E-2</v>
      </c>
      <c r="I65" s="259">
        <f t="shared" si="29"/>
        <v>-0.17446</v>
      </c>
      <c r="J65" s="259">
        <f t="shared" si="30"/>
        <v>-1.2729999999999991E-2</v>
      </c>
      <c r="K65" s="243">
        <f>+'[9]Allocation = % of margin'!P65</f>
        <v>0</v>
      </c>
      <c r="L65" s="243">
        <f>+'[9]Allocation = % of margin'!S65</f>
        <v>0</v>
      </c>
      <c r="M65" s="243">
        <f>+'[9]Allocation = % of margin'!V65</f>
        <v>0</v>
      </c>
      <c r="N65" s="243">
        <f>+'[9]Allocation = % of margin'!Y65</f>
        <v>1.17E-3</v>
      </c>
      <c r="O65" s="243">
        <f>+'[9]Allocation = % of margin'!AB65</f>
        <v>1.9000000000000001E-4</v>
      </c>
      <c r="P65" s="243">
        <f>'[9]Allocation = % of margin'!AE65</f>
        <v>-1.0000000000000001E-5</v>
      </c>
      <c r="Q65" s="243">
        <f>' Increments  equal ¢ per therm'!Q65</f>
        <v>0</v>
      </c>
      <c r="R65" s="243">
        <f>'[9]Allocation = % of margin'!AH65</f>
        <v>1.08E-3</v>
      </c>
      <c r="S65" s="243">
        <f>' Increments  equal ¢ per therm'!T65</f>
        <v>3.5E-4</v>
      </c>
      <c r="T65" s="243">
        <f>'[9]Allocation = % of revenue'!M65</f>
        <v>0</v>
      </c>
      <c r="U65" s="243">
        <f>'[9]Allocation = % of margin'!AK65</f>
        <v>2.7899999999999999E-3</v>
      </c>
      <c r="V65" s="243">
        <f>' Increments  equal ¢ per therm'!W65</f>
        <v>0.24073</v>
      </c>
      <c r="W65" s="243">
        <f t="shared" si="31"/>
        <v>7.1839999999999987E-2</v>
      </c>
      <c r="X65" s="243">
        <f t="shared" si="32"/>
        <v>-1.347000000000001E-2</v>
      </c>
      <c r="Y65" s="243"/>
      <c r="Z65" s="248">
        <f t="shared" si="33"/>
        <v>7.1839999999999987E-2</v>
      </c>
      <c r="AA65" s="248">
        <f t="shared" si="34"/>
        <v>5.5799999999999999E-3</v>
      </c>
      <c r="AB65" s="248">
        <f t="shared" si="35"/>
        <v>-0.14299000000000001</v>
      </c>
      <c r="AC65" s="248">
        <f t="shared" si="36"/>
        <v>-3.1469999999999998E-2</v>
      </c>
      <c r="AD65" s="248">
        <f t="shared" si="37"/>
        <v>0.24629999999999999</v>
      </c>
      <c r="AE65" s="248">
        <f t="shared" si="38"/>
        <v>7.1839999999999987E-2</v>
      </c>
      <c r="AF65" s="248">
        <f>[9]Permanents!G65</f>
        <v>5.9870000000000007E-2</v>
      </c>
      <c r="AG65" s="247">
        <f t="shared" si="39"/>
        <v>0</v>
      </c>
      <c r="AH65" s="243">
        <f t="shared" si="40"/>
        <v>-0.17446</v>
      </c>
      <c r="AI65" s="243">
        <f t="shared" si="41"/>
        <v>0</v>
      </c>
      <c r="AJ65" s="243">
        <f t="shared" si="42"/>
        <v>1.08E-3</v>
      </c>
      <c r="AK65" s="243">
        <f t="shared" si="43"/>
        <v>3.5E-4</v>
      </c>
      <c r="AL65" s="243">
        <f t="shared" si="44"/>
        <v>0</v>
      </c>
      <c r="AM65" s="243">
        <f t="shared" si="45"/>
        <v>-1.0000000000000001E-5</v>
      </c>
      <c r="AN65" s="243">
        <f t="shared" si="46"/>
        <v>0</v>
      </c>
      <c r="AO65" s="243">
        <f>[9]Permanents!F65</f>
        <v>1.0000000000000001E-5</v>
      </c>
      <c r="AP65" s="243">
        <f t="shared" si="47"/>
        <v>2.7899999999999999E-3</v>
      </c>
      <c r="AQ65" s="243">
        <f t="shared" si="48"/>
        <v>0.24073</v>
      </c>
      <c r="AR65" s="243"/>
      <c r="AS65" s="243"/>
      <c r="AT65" s="243">
        <f t="shared" si="49"/>
        <v>1.17E-3</v>
      </c>
      <c r="AU65" s="243">
        <f t="shared" si="50"/>
        <v>1.9000000000000001E-4</v>
      </c>
      <c r="AV65" s="243">
        <f t="shared" si="51"/>
        <v>1.3600000000000001E-3</v>
      </c>
      <c r="AW65" s="246">
        <f>[31]Temporaries!Q65</f>
        <v>0</v>
      </c>
      <c r="AX65" s="246">
        <f>SUM([31]Temporaries!K65:M65)</f>
        <v>0</v>
      </c>
      <c r="AY65" s="246">
        <f>SUM([31]Temporaries!N65:O65)</f>
        <v>1.47E-3</v>
      </c>
      <c r="AZ65" s="245">
        <f>[31]Temporaries!R65</f>
        <v>1.0300000000000001E-3</v>
      </c>
      <c r="BA65" s="245">
        <f t="shared" si="52"/>
        <v>-0.16173000000000001</v>
      </c>
      <c r="BB65" s="255">
        <f>[31]Temporaries!P65</f>
        <v>-8.0000000000000007E-5</v>
      </c>
      <c r="BC65" s="245">
        <f>[31]Temporaries!S65</f>
        <v>1.0300000000000001E-3</v>
      </c>
      <c r="BD65" s="245">
        <f>[31]Temporaries!T65</f>
        <v>6.9999999999999994E-5</v>
      </c>
      <c r="BE65" s="245">
        <f>[31]Temporaries!U65</f>
        <v>2.7899999999999999E-3</v>
      </c>
      <c r="BF65" s="245">
        <v>0.24073</v>
      </c>
      <c r="BG65" s="245"/>
      <c r="BH65" s="244">
        <f t="shared" si="53"/>
        <v>0</v>
      </c>
      <c r="BI65" s="243">
        <f t="shared" si="54"/>
        <v>0.24629999999999999</v>
      </c>
      <c r="BJ65" s="243">
        <f t="shared" si="55"/>
        <v>7.1839999999999987E-2</v>
      </c>
    </row>
    <row r="66" spans="1:62" x14ac:dyDescent="0.25">
      <c r="A66" s="233">
        <f t="shared" si="28"/>
        <v>60</v>
      </c>
      <c r="B66" s="258"/>
      <c r="C66" s="260" t="s">
        <v>72</v>
      </c>
      <c r="D66" s="251">
        <v>8.2059999999999994E-2</v>
      </c>
      <c r="E66" s="251">
        <v>-0.16173000000000001</v>
      </c>
      <c r="F66" s="251">
        <f>+' Increments  equal ¢ per therm'!H66</f>
        <v>-0.14299000000000001</v>
      </c>
      <c r="G66" s="251">
        <f>+' Increments  equal ¢ per therm'!K66</f>
        <v>0</v>
      </c>
      <c r="H66" s="251">
        <f>+' Increments  equal ¢ per therm'!N66</f>
        <v>-3.1469999999999998E-2</v>
      </c>
      <c r="I66" s="251">
        <f t="shared" si="29"/>
        <v>-0.17446</v>
      </c>
      <c r="J66" s="251">
        <f t="shared" si="30"/>
        <v>-1.2729999999999991E-2</v>
      </c>
      <c r="K66" s="249">
        <f>+'[9]Allocation = % of margin'!P66</f>
        <v>0</v>
      </c>
      <c r="L66" s="249">
        <f>+'[9]Allocation = % of margin'!S66</f>
        <v>0</v>
      </c>
      <c r="M66" s="249">
        <f>+'[9]Allocation = % of margin'!V66</f>
        <v>0</v>
      </c>
      <c r="N66" s="249">
        <f>+'[9]Allocation = % of margin'!Y66</f>
        <v>4.4000000000000002E-4</v>
      </c>
      <c r="O66" s="249">
        <f>+'[9]Allocation = % of margin'!AB66</f>
        <v>6.9999999999999994E-5</v>
      </c>
      <c r="P66" s="249">
        <f>'[9]Allocation = % of margin'!AE66</f>
        <v>0</v>
      </c>
      <c r="Q66" s="249">
        <f>' Increments  equal ¢ per therm'!Q66</f>
        <v>0</v>
      </c>
      <c r="R66" s="249">
        <f>'[9]Allocation = % of margin'!AH66</f>
        <v>4.0999999999999999E-4</v>
      </c>
      <c r="S66" s="249">
        <f>' Increments  equal ¢ per therm'!T66</f>
        <v>3.5E-4</v>
      </c>
      <c r="T66" s="249">
        <f>'[9]Allocation = % of revenue'!M66</f>
        <v>0</v>
      </c>
      <c r="U66" s="249">
        <f>'[9]Allocation = % of margin'!AK66</f>
        <v>1.0499999999999999E-3</v>
      </c>
      <c r="V66" s="249">
        <f>' Increments  equal ¢ per therm'!W66</f>
        <v>0.24073</v>
      </c>
      <c r="W66" s="249">
        <f t="shared" si="31"/>
        <v>6.8589999999999984E-2</v>
      </c>
      <c r="X66" s="249">
        <f t="shared" si="32"/>
        <v>-1.347000000000001E-2</v>
      </c>
      <c r="Y66" s="243"/>
      <c r="Z66" s="248">
        <f t="shared" si="33"/>
        <v>6.8589999999999984E-2</v>
      </c>
      <c r="AA66" s="248">
        <f t="shared" si="34"/>
        <v>2.32E-3</v>
      </c>
      <c r="AB66" s="248">
        <f t="shared" si="35"/>
        <v>-0.14299000000000001</v>
      </c>
      <c r="AC66" s="248">
        <f t="shared" si="36"/>
        <v>-3.1469999999999998E-2</v>
      </c>
      <c r="AD66" s="248">
        <f t="shared" si="37"/>
        <v>0.24304999999999999</v>
      </c>
      <c r="AE66" s="248">
        <f t="shared" si="38"/>
        <v>6.8589999999999984E-2</v>
      </c>
      <c r="AF66" s="248">
        <f>[9]Permanents!G66</f>
        <v>2.2449999999999973E-2</v>
      </c>
      <c r="AG66" s="247">
        <f t="shared" si="39"/>
        <v>0</v>
      </c>
      <c r="AH66" s="243">
        <f t="shared" si="40"/>
        <v>-0.17446</v>
      </c>
      <c r="AI66" s="243">
        <f t="shared" si="41"/>
        <v>0</v>
      </c>
      <c r="AJ66" s="243">
        <f t="shared" si="42"/>
        <v>4.0999999999999999E-4</v>
      </c>
      <c r="AK66" s="243">
        <f t="shared" si="43"/>
        <v>3.5E-4</v>
      </c>
      <c r="AL66" s="243">
        <f t="shared" si="44"/>
        <v>0</v>
      </c>
      <c r="AM66" s="243">
        <f t="shared" si="45"/>
        <v>0</v>
      </c>
      <c r="AN66" s="243">
        <f t="shared" si="46"/>
        <v>0</v>
      </c>
      <c r="AO66" s="243">
        <f>[9]Permanents!F66</f>
        <v>1.0000000000000001E-5</v>
      </c>
      <c r="AP66" s="243">
        <f t="shared" si="47"/>
        <v>1.0499999999999999E-3</v>
      </c>
      <c r="AQ66" s="243">
        <f t="shared" si="48"/>
        <v>0.24073</v>
      </c>
      <c r="AR66" s="243"/>
      <c r="AS66" s="243"/>
      <c r="AT66" s="243">
        <f t="shared" si="49"/>
        <v>4.4000000000000002E-4</v>
      </c>
      <c r="AU66" s="243">
        <f t="shared" si="50"/>
        <v>6.9999999999999994E-5</v>
      </c>
      <c r="AV66" s="243">
        <f t="shared" si="51"/>
        <v>5.1000000000000004E-4</v>
      </c>
      <c r="AW66" s="246">
        <f>[31]Temporaries!Q66</f>
        <v>0</v>
      </c>
      <c r="AX66" s="246">
        <f>SUM([31]Temporaries!K66:M66)</f>
        <v>0</v>
      </c>
      <c r="AY66" s="246">
        <f>SUM([31]Temporaries!N66:O66)</f>
        <v>5.5999999999999995E-4</v>
      </c>
      <c r="AZ66" s="245">
        <f>[31]Temporaries!R66</f>
        <v>3.8999999999999999E-4</v>
      </c>
      <c r="BA66" s="245">
        <f t="shared" si="52"/>
        <v>-0.16173000000000001</v>
      </c>
      <c r="BB66" s="255">
        <f>[31]Temporaries!P66</f>
        <v>-3.0000000000000001E-5</v>
      </c>
      <c r="BC66" s="245">
        <f>[31]Temporaries!S66</f>
        <v>1.0300000000000001E-3</v>
      </c>
      <c r="BD66" s="245">
        <f>[31]Temporaries!T66</f>
        <v>6.0000000000000002E-5</v>
      </c>
      <c r="BE66" s="245">
        <f>[31]Temporaries!U66</f>
        <v>1.0499999999999999E-3</v>
      </c>
      <c r="BF66" s="245">
        <v>0.24073</v>
      </c>
      <c r="BG66" s="245"/>
      <c r="BH66" s="244">
        <f t="shared" si="53"/>
        <v>0</v>
      </c>
      <c r="BI66" s="243">
        <f t="shared" si="54"/>
        <v>0.24304999999999999</v>
      </c>
      <c r="BJ66" s="243">
        <f t="shared" si="55"/>
        <v>6.8589999999999984E-2</v>
      </c>
    </row>
    <row r="67" spans="1:62" x14ac:dyDescent="0.25">
      <c r="A67" s="233">
        <f t="shared" si="28"/>
        <v>61</v>
      </c>
      <c r="B67" s="233" t="s">
        <v>78</v>
      </c>
      <c r="C67" s="261" t="s">
        <v>61</v>
      </c>
      <c r="D67" s="259">
        <v>0.24907000000000001</v>
      </c>
      <c r="E67" s="259">
        <v>0</v>
      </c>
      <c r="F67" s="259">
        <f>+' Increments  equal ¢ per therm'!H67</f>
        <v>0</v>
      </c>
      <c r="G67" s="259">
        <f>+' Increments  equal ¢ per therm'!K67</f>
        <v>0</v>
      </c>
      <c r="H67" s="259">
        <f>+' Increments  equal ¢ per therm'!N67</f>
        <v>0</v>
      </c>
      <c r="I67" s="259">
        <f t="shared" si="29"/>
        <v>0</v>
      </c>
      <c r="J67" s="259">
        <f t="shared" si="30"/>
        <v>0</v>
      </c>
      <c r="K67" s="243">
        <f>+'[9]Allocation = % of margin'!P67</f>
        <v>0</v>
      </c>
      <c r="L67" s="243">
        <f>+'[9]Allocation = % of margin'!S67</f>
        <v>0</v>
      </c>
      <c r="M67" s="243">
        <f>+'[9]Allocation = % of margin'!V67</f>
        <v>0</v>
      </c>
      <c r="N67" s="243">
        <f>+'[9]Allocation = % of margin'!Y67</f>
        <v>0</v>
      </c>
      <c r="O67" s="243">
        <f>+'[9]Allocation = % of margin'!AB67</f>
        <v>0</v>
      </c>
      <c r="P67" s="243">
        <f>'[9]Allocation = % of margin'!AE67</f>
        <v>-3.0000000000000001E-5</v>
      </c>
      <c r="Q67" s="243">
        <f>' Increments  equal ¢ per therm'!Q67</f>
        <v>0</v>
      </c>
      <c r="R67" s="243">
        <f>'[9]Allocation = % of margin'!AH67</f>
        <v>2.1299999999999999E-3</v>
      </c>
      <c r="S67" s="243">
        <f>' Increments  equal ¢ per therm'!T67</f>
        <v>3.5E-4</v>
      </c>
      <c r="T67" s="243">
        <f>'[9]Allocation = % of revenue'!M67</f>
        <v>0</v>
      </c>
      <c r="U67" s="243">
        <f>'[9]Allocation = % of margin'!AK67</f>
        <v>5.4599999999999996E-3</v>
      </c>
      <c r="V67" s="243">
        <f>' Increments  equal ¢ per therm'!W67</f>
        <v>0.24073</v>
      </c>
      <c r="W67" s="243">
        <f t="shared" si="31"/>
        <v>0.24864</v>
      </c>
      <c r="X67" s="243">
        <f t="shared" si="32"/>
        <v>-4.300000000000137E-4</v>
      </c>
      <c r="Y67" s="243"/>
      <c r="Z67" s="248">
        <f t="shared" si="33"/>
        <v>0.24864</v>
      </c>
      <c r="AA67" s="248">
        <f t="shared" si="34"/>
        <v>7.9399999999999991E-3</v>
      </c>
      <c r="AB67" s="248">
        <f t="shared" si="35"/>
        <v>0</v>
      </c>
      <c r="AC67" s="248">
        <f t="shared" si="36"/>
        <v>0</v>
      </c>
      <c r="AD67" s="248">
        <f t="shared" si="37"/>
        <v>0.24864</v>
      </c>
      <c r="AE67" s="248">
        <f t="shared" si="38"/>
        <v>0.24864</v>
      </c>
      <c r="AF67" s="248">
        <f>[9]Permanents!G67</f>
        <v>0.14168999999999998</v>
      </c>
      <c r="AG67" s="247">
        <f t="shared" si="39"/>
        <v>0</v>
      </c>
      <c r="AH67" s="243">
        <f t="shared" si="40"/>
        <v>0</v>
      </c>
      <c r="AI67" s="243">
        <f t="shared" si="41"/>
        <v>0</v>
      </c>
      <c r="AJ67" s="243">
        <f t="shared" si="42"/>
        <v>2.1299999999999999E-3</v>
      </c>
      <c r="AK67" s="243">
        <f t="shared" si="43"/>
        <v>3.5E-4</v>
      </c>
      <c r="AL67" s="243">
        <f t="shared" si="44"/>
        <v>0</v>
      </c>
      <c r="AM67" s="243">
        <f t="shared" si="45"/>
        <v>-3.0000000000000001E-5</v>
      </c>
      <c r="AN67" s="243">
        <f t="shared" si="46"/>
        <v>0</v>
      </c>
      <c r="AO67" s="243">
        <f>[9]Permanents!F67</f>
        <v>0</v>
      </c>
      <c r="AP67" s="243">
        <f t="shared" si="47"/>
        <v>5.4599999999999996E-3</v>
      </c>
      <c r="AQ67" s="243">
        <f t="shared" si="48"/>
        <v>0.24073</v>
      </c>
      <c r="AR67" s="243"/>
      <c r="AS67" s="243"/>
      <c r="AT67" s="243">
        <f t="shared" si="49"/>
        <v>0</v>
      </c>
      <c r="AU67" s="243">
        <f t="shared" si="50"/>
        <v>0</v>
      </c>
      <c r="AV67" s="243">
        <f t="shared" si="51"/>
        <v>0</v>
      </c>
      <c r="AW67" s="246">
        <f>[31]Temporaries!Q67</f>
        <v>0</v>
      </c>
      <c r="AX67" s="246">
        <f>SUM([31]Temporaries!K67:M67)</f>
        <v>0</v>
      </c>
      <c r="AY67" s="246">
        <f>SUM([31]Temporaries!N67:O67)</f>
        <v>0</v>
      </c>
      <c r="AZ67" s="245">
        <f>[31]Temporaries!R67</f>
        <v>2.0100000000000001E-3</v>
      </c>
      <c r="BA67" s="245">
        <f t="shared" si="52"/>
        <v>0</v>
      </c>
      <c r="BB67" s="255">
        <f>[31]Temporaries!P67</f>
        <v>-1.6000000000000001E-4</v>
      </c>
      <c r="BC67" s="245">
        <f>[31]Temporaries!S67</f>
        <v>1.0300000000000001E-3</v>
      </c>
      <c r="BD67" s="245">
        <f>[31]Temporaries!T67</f>
        <v>0</v>
      </c>
      <c r="BE67" s="245">
        <f>[31]Temporaries!U67</f>
        <v>5.4599999999999996E-3</v>
      </c>
      <c r="BF67" s="245">
        <v>0.24073</v>
      </c>
      <c r="BG67" s="245"/>
      <c r="BH67" s="244">
        <f t="shared" si="53"/>
        <v>0</v>
      </c>
      <c r="BI67" s="243">
        <f t="shared" si="54"/>
        <v>0.24864</v>
      </c>
      <c r="BJ67" s="243">
        <f t="shared" si="55"/>
        <v>0.24864</v>
      </c>
    </row>
    <row r="68" spans="1:62" x14ac:dyDescent="0.25">
      <c r="A68" s="233">
        <f t="shared" si="28"/>
        <v>62</v>
      </c>
      <c r="B68" s="233"/>
      <c r="C68" s="261" t="s">
        <v>62</v>
      </c>
      <c r="D68" s="259">
        <v>0.24831</v>
      </c>
      <c r="E68" s="259">
        <v>0</v>
      </c>
      <c r="F68" s="259">
        <f>+' Increments  equal ¢ per therm'!H68</f>
        <v>0</v>
      </c>
      <c r="G68" s="259">
        <f>+' Increments  equal ¢ per therm'!K68</f>
        <v>0</v>
      </c>
      <c r="H68" s="259">
        <f>+' Increments  equal ¢ per therm'!N68</f>
        <v>0</v>
      </c>
      <c r="I68" s="259">
        <f t="shared" si="29"/>
        <v>0</v>
      </c>
      <c r="J68" s="259">
        <f t="shared" si="30"/>
        <v>0</v>
      </c>
      <c r="K68" s="243">
        <f>+'[9]Allocation = % of margin'!P68</f>
        <v>0</v>
      </c>
      <c r="L68" s="243">
        <f>+'[9]Allocation = % of margin'!S68</f>
        <v>0</v>
      </c>
      <c r="M68" s="243">
        <f>+'[9]Allocation = % of margin'!V68</f>
        <v>0</v>
      </c>
      <c r="N68" s="243">
        <f>+'[9]Allocation = % of margin'!Y68</f>
        <v>0</v>
      </c>
      <c r="O68" s="243">
        <f>+'[9]Allocation = % of margin'!AB68</f>
        <v>0</v>
      </c>
      <c r="P68" s="243">
        <f>'[9]Allocation = % of margin'!AE68</f>
        <v>-2.0000000000000002E-5</v>
      </c>
      <c r="Q68" s="243">
        <f>' Increments  equal ¢ per therm'!Q68</f>
        <v>0</v>
      </c>
      <c r="R68" s="243">
        <f>'[9]Allocation = % of margin'!AH68</f>
        <v>1.91E-3</v>
      </c>
      <c r="S68" s="243">
        <f>' Increments  equal ¢ per therm'!T68</f>
        <v>3.5E-4</v>
      </c>
      <c r="T68" s="243">
        <f>'[9]Allocation = % of revenue'!M68</f>
        <v>0</v>
      </c>
      <c r="U68" s="243">
        <f>'[9]Allocation = % of margin'!AK68</f>
        <v>4.8900000000000002E-3</v>
      </c>
      <c r="V68" s="243">
        <f>' Increments  equal ¢ per therm'!W68</f>
        <v>0.24073</v>
      </c>
      <c r="W68" s="243">
        <f t="shared" si="31"/>
        <v>0.24786</v>
      </c>
      <c r="X68" s="243">
        <f t="shared" si="32"/>
        <v>-4.5000000000000595E-4</v>
      </c>
      <c r="Y68" s="243"/>
      <c r="Z68" s="248">
        <f t="shared" si="33"/>
        <v>0.24786</v>
      </c>
      <c r="AA68" s="248">
        <f t="shared" si="34"/>
        <v>7.1500000000000001E-3</v>
      </c>
      <c r="AB68" s="248">
        <f t="shared" si="35"/>
        <v>0</v>
      </c>
      <c r="AC68" s="248">
        <f t="shared" si="36"/>
        <v>0</v>
      </c>
      <c r="AD68" s="248">
        <f t="shared" si="37"/>
        <v>0.24786</v>
      </c>
      <c r="AE68" s="248">
        <f t="shared" si="38"/>
        <v>0.24786</v>
      </c>
      <c r="AF68" s="248">
        <f>[9]Permanents!G68</f>
        <v>0.12684999999999999</v>
      </c>
      <c r="AG68" s="247">
        <f t="shared" si="39"/>
        <v>0</v>
      </c>
      <c r="AH68" s="243">
        <f t="shared" si="40"/>
        <v>0</v>
      </c>
      <c r="AI68" s="243">
        <f t="shared" si="41"/>
        <v>0</v>
      </c>
      <c r="AJ68" s="243">
        <f t="shared" si="42"/>
        <v>1.91E-3</v>
      </c>
      <c r="AK68" s="243">
        <f t="shared" si="43"/>
        <v>3.5E-4</v>
      </c>
      <c r="AL68" s="243">
        <f t="shared" si="44"/>
        <v>0</v>
      </c>
      <c r="AM68" s="243">
        <f t="shared" si="45"/>
        <v>-2.0000000000000002E-5</v>
      </c>
      <c r="AN68" s="243">
        <f t="shared" si="46"/>
        <v>0</v>
      </c>
      <c r="AO68" s="243">
        <f>[9]Permanents!F68</f>
        <v>0</v>
      </c>
      <c r="AP68" s="243">
        <f t="shared" si="47"/>
        <v>4.8900000000000002E-3</v>
      </c>
      <c r="AQ68" s="243">
        <f t="shared" si="48"/>
        <v>0.24073</v>
      </c>
      <c r="AR68" s="243"/>
      <c r="AS68" s="243"/>
      <c r="AT68" s="243">
        <f t="shared" si="49"/>
        <v>0</v>
      </c>
      <c r="AU68" s="243">
        <f t="shared" si="50"/>
        <v>0</v>
      </c>
      <c r="AV68" s="243">
        <f t="shared" si="51"/>
        <v>0</v>
      </c>
      <c r="AW68" s="246">
        <f>[31]Temporaries!Q68</f>
        <v>0</v>
      </c>
      <c r="AX68" s="246">
        <f>SUM([31]Temporaries!K68:M68)</f>
        <v>0</v>
      </c>
      <c r="AY68" s="246">
        <f>SUM([31]Temporaries!N68:O68)</f>
        <v>0</v>
      </c>
      <c r="AZ68" s="245">
        <f>[31]Temporaries!R68</f>
        <v>1.8E-3</v>
      </c>
      <c r="BA68" s="245">
        <f t="shared" si="52"/>
        <v>0</v>
      </c>
      <c r="BB68" s="255">
        <f>[31]Temporaries!P68</f>
        <v>-1.3999999999999999E-4</v>
      </c>
      <c r="BC68" s="245">
        <f>[31]Temporaries!S68</f>
        <v>1.0300000000000001E-3</v>
      </c>
      <c r="BD68" s="245">
        <f>[31]Temporaries!T68</f>
        <v>0</v>
      </c>
      <c r="BE68" s="245">
        <f>[31]Temporaries!U68</f>
        <v>4.8900000000000002E-3</v>
      </c>
      <c r="BF68" s="245">
        <v>0.24073</v>
      </c>
      <c r="BG68" s="245"/>
      <c r="BH68" s="244">
        <f t="shared" si="53"/>
        <v>0</v>
      </c>
      <c r="BI68" s="243">
        <f t="shared" si="54"/>
        <v>0.24786</v>
      </c>
      <c r="BJ68" s="243">
        <f t="shared" si="55"/>
        <v>0.24786</v>
      </c>
    </row>
    <row r="69" spans="1:62" x14ac:dyDescent="0.25">
      <c r="A69" s="233">
        <f t="shared" si="28"/>
        <v>63</v>
      </c>
      <c r="B69" s="233"/>
      <c r="C69" s="261" t="s">
        <v>69</v>
      </c>
      <c r="D69" s="259">
        <v>0.24678</v>
      </c>
      <c r="E69" s="259">
        <v>0</v>
      </c>
      <c r="F69" s="259">
        <f>+' Increments  equal ¢ per therm'!H69</f>
        <v>0</v>
      </c>
      <c r="G69" s="259">
        <f>+' Increments  equal ¢ per therm'!K69</f>
        <v>0</v>
      </c>
      <c r="H69" s="259">
        <f>+' Increments  equal ¢ per therm'!N69</f>
        <v>0</v>
      </c>
      <c r="I69" s="259">
        <f t="shared" si="29"/>
        <v>0</v>
      </c>
      <c r="J69" s="259">
        <f t="shared" si="30"/>
        <v>0</v>
      </c>
      <c r="K69" s="243">
        <f>+'[9]Allocation = % of margin'!P69</f>
        <v>0</v>
      </c>
      <c r="L69" s="243">
        <f>+'[9]Allocation = % of margin'!S69</f>
        <v>0</v>
      </c>
      <c r="M69" s="243">
        <f>+'[9]Allocation = % of margin'!V69</f>
        <v>0</v>
      </c>
      <c r="N69" s="243">
        <f>+'[9]Allocation = % of margin'!Y69</f>
        <v>0</v>
      </c>
      <c r="O69" s="243">
        <f>+'[9]Allocation = % of margin'!AB69</f>
        <v>0</v>
      </c>
      <c r="P69" s="243">
        <f>'[9]Allocation = % of margin'!AE69</f>
        <v>-2.0000000000000002E-5</v>
      </c>
      <c r="Q69" s="243">
        <f>' Increments  equal ¢ per therm'!Q69</f>
        <v>0</v>
      </c>
      <c r="R69" s="243">
        <f>'[9]Allocation = % of margin'!AH69</f>
        <v>1.4599999999999999E-3</v>
      </c>
      <c r="S69" s="243">
        <f>' Increments  equal ¢ per therm'!T69</f>
        <v>3.5E-4</v>
      </c>
      <c r="T69" s="243">
        <f>'[9]Allocation = % of revenue'!M69</f>
        <v>0</v>
      </c>
      <c r="U69" s="243">
        <f>'[9]Allocation = % of margin'!AK69</f>
        <v>3.7499999999999999E-3</v>
      </c>
      <c r="V69" s="243">
        <f>' Increments  equal ¢ per therm'!W69</f>
        <v>0.24073</v>
      </c>
      <c r="W69" s="243">
        <f t="shared" si="31"/>
        <v>0.24626999999999999</v>
      </c>
      <c r="X69" s="243">
        <f t="shared" si="32"/>
        <v>-5.1000000000001044E-4</v>
      </c>
      <c r="Y69" s="243"/>
      <c r="Z69" s="248">
        <f t="shared" si="33"/>
        <v>0.24626999999999999</v>
      </c>
      <c r="AA69" s="248">
        <f t="shared" si="34"/>
        <v>5.5599999999999998E-3</v>
      </c>
      <c r="AB69" s="248">
        <f t="shared" si="35"/>
        <v>0</v>
      </c>
      <c r="AC69" s="248">
        <f t="shared" si="36"/>
        <v>0</v>
      </c>
      <c r="AD69" s="248">
        <f t="shared" si="37"/>
        <v>0.24626999999999999</v>
      </c>
      <c r="AE69" s="248">
        <f t="shared" si="38"/>
        <v>0.24626999999999999</v>
      </c>
      <c r="AF69" s="248">
        <f>[9]Permanents!G69</f>
        <v>9.7269999999999995E-2</v>
      </c>
      <c r="AG69" s="247">
        <f t="shared" si="39"/>
        <v>0</v>
      </c>
      <c r="AH69" s="243">
        <f t="shared" si="40"/>
        <v>0</v>
      </c>
      <c r="AI69" s="243">
        <f t="shared" si="41"/>
        <v>0</v>
      </c>
      <c r="AJ69" s="243">
        <f t="shared" si="42"/>
        <v>1.4599999999999999E-3</v>
      </c>
      <c r="AK69" s="243">
        <f t="shared" si="43"/>
        <v>3.5E-4</v>
      </c>
      <c r="AL69" s="243">
        <f t="shared" si="44"/>
        <v>0</v>
      </c>
      <c r="AM69" s="243">
        <f t="shared" si="45"/>
        <v>-2.0000000000000002E-5</v>
      </c>
      <c r="AN69" s="243">
        <f t="shared" si="46"/>
        <v>0</v>
      </c>
      <c r="AO69" s="243">
        <f>[9]Permanents!F69</f>
        <v>0</v>
      </c>
      <c r="AP69" s="243">
        <f t="shared" si="47"/>
        <v>3.7499999999999999E-3</v>
      </c>
      <c r="AQ69" s="243">
        <f t="shared" si="48"/>
        <v>0.24073</v>
      </c>
      <c r="AR69" s="243"/>
      <c r="AS69" s="243"/>
      <c r="AT69" s="243">
        <f t="shared" si="49"/>
        <v>0</v>
      </c>
      <c r="AU69" s="243">
        <f t="shared" si="50"/>
        <v>0</v>
      </c>
      <c r="AV69" s="243">
        <f t="shared" si="51"/>
        <v>0</v>
      </c>
      <c r="AW69" s="246">
        <f>[31]Temporaries!Q69</f>
        <v>0</v>
      </c>
      <c r="AX69" s="246">
        <f>SUM([31]Temporaries!K69:M69)</f>
        <v>0</v>
      </c>
      <c r="AY69" s="246">
        <f>SUM([31]Temporaries!N69:O69)</f>
        <v>0</v>
      </c>
      <c r="AZ69" s="245">
        <f>[31]Temporaries!R69</f>
        <v>1.3799999999999999E-3</v>
      </c>
      <c r="BA69" s="245">
        <f t="shared" si="52"/>
        <v>0</v>
      </c>
      <c r="BB69" s="255">
        <f>[31]Temporaries!P69</f>
        <v>-1.1E-4</v>
      </c>
      <c r="BC69" s="245">
        <f>[31]Temporaries!S69</f>
        <v>1.0300000000000001E-3</v>
      </c>
      <c r="BD69" s="245">
        <f>[31]Temporaries!T69</f>
        <v>0</v>
      </c>
      <c r="BE69" s="245">
        <f>[31]Temporaries!U69</f>
        <v>3.7499999999999999E-3</v>
      </c>
      <c r="BF69" s="245">
        <v>0.24073</v>
      </c>
      <c r="BG69" s="245"/>
      <c r="BH69" s="244">
        <f t="shared" si="53"/>
        <v>0</v>
      </c>
      <c r="BI69" s="243">
        <f t="shared" si="54"/>
        <v>0.24626999999999999</v>
      </c>
      <c r="BJ69" s="243">
        <f t="shared" si="55"/>
        <v>0.24626999999999999</v>
      </c>
    </row>
    <row r="70" spans="1:62" x14ac:dyDescent="0.25">
      <c r="A70" s="233">
        <f t="shared" si="28"/>
        <v>64</v>
      </c>
      <c r="B70" s="233"/>
      <c r="C70" s="261" t="s">
        <v>70</v>
      </c>
      <c r="D70" s="259">
        <v>0.24578</v>
      </c>
      <c r="E70" s="259">
        <v>0</v>
      </c>
      <c r="F70" s="259">
        <f>+' Increments  equal ¢ per therm'!H70</f>
        <v>0</v>
      </c>
      <c r="G70" s="259">
        <f>+' Increments  equal ¢ per therm'!K70</f>
        <v>0</v>
      </c>
      <c r="H70" s="259">
        <f>+' Increments  equal ¢ per therm'!N70</f>
        <v>0</v>
      </c>
      <c r="I70" s="259">
        <f t="shared" si="29"/>
        <v>0</v>
      </c>
      <c r="J70" s="259">
        <f t="shared" si="30"/>
        <v>0</v>
      </c>
      <c r="K70" s="243">
        <f>+'[9]Allocation = % of margin'!P70</f>
        <v>0</v>
      </c>
      <c r="L70" s="243">
        <f>+'[9]Allocation = % of margin'!S70</f>
        <v>0</v>
      </c>
      <c r="M70" s="243">
        <f>+'[9]Allocation = % of margin'!V70</f>
        <v>0</v>
      </c>
      <c r="N70" s="243">
        <f>+'[9]Allocation = % of margin'!Y70</f>
        <v>0</v>
      </c>
      <c r="O70" s="243">
        <f>+'[9]Allocation = % of margin'!AB70</f>
        <v>0</v>
      </c>
      <c r="P70" s="243">
        <f>'[9]Allocation = % of margin'!AE70</f>
        <v>-1.0000000000000001E-5</v>
      </c>
      <c r="Q70" s="243">
        <f>' Increments  equal ¢ per therm'!Q70</f>
        <v>0</v>
      </c>
      <c r="R70" s="243">
        <f>'[9]Allocation = % of margin'!AH70</f>
        <v>1.17E-3</v>
      </c>
      <c r="S70" s="243">
        <f>' Increments  equal ¢ per therm'!T70</f>
        <v>3.5E-4</v>
      </c>
      <c r="T70" s="243">
        <f>'[9]Allocation = % of revenue'!M70</f>
        <v>0</v>
      </c>
      <c r="U70" s="243">
        <f>'[9]Allocation = % of margin'!AK70</f>
        <v>3.0000000000000001E-3</v>
      </c>
      <c r="V70" s="243">
        <f>' Increments  equal ¢ per therm'!W70</f>
        <v>0.24073</v>
      </c>
      <c r="W70" s="243">
        <f t="shared" si="31"/>
        <v>0.24524000000000001</v>
      </c>
      <c r="X70" s="243">
        <f t="shared" si="32"/>
        <v>-5.3999999999998494E-4</v>
      </c>
      <c r="Y70" s="243"/>
      <c r="Z70" s="248">
        <f t="shared" si="33"/>
        <v>0.24524000000000001</v>
      </c>
      <c r="AA70" s="248">
        <f t="shared" si="34"/>
        <v>4.5199999999999997E-3</v>
      </c>
      <c r="AB70" s="248">
        <f t="shared" si="35"/>
        <v>0</v>
      </c>
      <c r="AC70" s="248">
        <f t="shared" si="36"/>
        <v>0</v>
      </c>
      <c r="AD70" s="248">
        <f t="shared" si="37"/>
        <v>0.24524000000000001</v>
      </c>
      <c r="AE70" s="248">
        <f t="shared" si="38"/>
        <v>0.24524000000000001</v>
      </c>
      <c r="AF70" s="248">
        <f>[9]Permanents!G70</f>
        <v>7.782E-2</v>
      </c>
      <c r="AG70" s="247">
        <f t="shared" si="39"/>
        <v>0</v>
      </c>
      <c r="AH70" s="243">
        <f t="shared" si="40"/>
        <v>0</v>
      </c>
      <c r="AI70" s="243">
        <f t="shared" si="41"/>
        <v>0</v>
      </c>
      <c r="AJ70" s="243">
        <f t="shared" si="42"/>
        <v>1.17E-3</v>
      </c>
      <c r="AK70" s="243">
        <f t="shared" si="43"/>
        <v>3.5E-4</v>
      </c>
      <c r="AL70" s="243">
        <f t="shared" si="44"/>
        <v>0</v>
      </c>
      <c r="AM70" s="243">
        <f t="shared" si="45"/>
        <v>-1.0000000000000001E-5</v>
      </c>
      <c r="AN70" s="243">
        <f t="shared" si="46"/>
        <v>0</v>
      </c>
      <c r="AO70" s="243">
        <f>[9]Permanents!F70</f>
        <v>0</v>
      </c>
      <c r="AP70" s="243">
        <f t="shared" si="47"/>
        <v>3.0000000000000001E-3</v>
      </c>
      <c r="AQ70" s="243">
        <f t="shared" si="48"/>
        <v>0.24073</v>
      </c>
      <c r="AR70" s="243"/>
      <c r="AS70" s="243"/>
      <c r="AT70" s="243">
        <f t="shared" si="49"/>
        <v>0</v>
      </c>
      <c r="AU70" s="243">
        <f t="shared" si="50"/>
        <v>0</v>
      </c>
      <c r="AV70" s="243">
        <f t="shared" si="51"/>
        <v>0</v>
      </c>
      <c r="AW70" s="246">
        <f>[31]Temporaries!Q70</f>
        <v>0</v>
      </c>
      <c r="AX70" s="246">
        <f>SUM([31]Temporaries!K70:M70)</f>
        <v>0</v>
      </c>
      <c r="AY70" s="246">
        <f>SUM([31]Temporaries!N70:O70)</f>
        <v>0</v>
      </c>
      <c r="AZ70" s="245">
        <f>[31]Temporaries!R70</f>
        <v>1.1100000000000001E-3</v>
      </c>
      <c r="BA70" s="245">
        <f t="shared" si="52"/>
        <v>0</v>
      </c>
      <c r="BB70" s="255">
        <f>[31]Temporaries!P70</f>
        <v>-9.0000000000000006E-5</v>
      </c>
      <c r="BC70" s="245">
        <f>[31]Temporaries!S70</f>
        <v>1.0300000000000001E-3</v>
      </c>
      <c r="BD70" s="245">
        <f>[31]Temporaries!T70</f>
        <v>0</v>
      </c>
      <c r="BE70" s="245">
        <f>[31]Temporaries!U70</f>
        <v>3.0000000000000001E-3</v>
      </c>
      <c r="BF70" s="245">
        <v>0.24073</v>
      </c>
      <c r="BG70" s="245"/>
      <c r="BH70" s="244">
        <f t="shared" si="53"/>
        <v>0</v>
      </c>
      <c r="BI70" s="243">
        <f t="shared" si="54"/>
        <v>0.24524000000000001</v>
      </c>
      <c r="BJ70" s="243">
        <f t="shared" si="55"/>
        <v>0.24524000000000001</v>
      </c>
    </row>
    <row r="71" spans="1:62" x14ac:dyDescent="0.25">
      <c r="A71" s="233">
        <f t="shared" si="28"/>
        <v>65</v>
      </c>
      <c r="B71" s="233"/>
      <c r="C71" s="261" t="s">
        <v>71</v>
      </c>
      <c r="D71" s="259">
        <v>0.24443999999999999</v>
      </c>
      <c r="E71" s="259">
        <v>0</v>
      </c>
      <c r="F71" s="259">
        <f>+' Increments  equal ¢ per therm'!H71</f>
        <v>0</v>
      </c>
      <c r="G71" s="259">
        <f>+' Increments  equal ¢ per therm'!K71</f>
        <v>0</v>
      </c>
      <c r="H71" s="259">
        <f>+' Increments  equal ¢ per therm'!N71</f>
        <v>0</v>
      </c>
      <c r="I71" s="259">
        <f t="shared" si="29"/>
        <v>0</v>
      </c>
      <c r="J71" s="259">
        <f t="shared" si="30"/>
        <v>0</v>
      </c>
      <c r="K71" s="243">
        <f>+'[9]Allocation = % of margin'!P71</f>
        <v>0</v>
      </c>
      <c r="L71" s="243">
        <f>+'[9]Allocation = % of margin'!S71</f>
        <v>0</v>
      </c>
      <c r="M71" s="243">
        <f>+'[9]Allocation = % of margin'!V71</f>
        <v>0</v>
      </c>
      <c r="N71" s="243">
        <f>+'[9]Allocation = % of margin'!Y71</f>
        <v>0</v>
      </c>
      <c r="O71" s="243">
        <f>+'[9]Allocation = % of margin'!AB71</f>
        <v>0</v>
      </c>
      <c r="P71" s="243">
        <f>'[9]Allocation = % of margin'!AE71</f>
        <v>-1.0000000000000001E-5</v>
      </c>
      <c r="Q71" s="243">
        <f>' Increments  equal ¢ per therm'!Q71</f>
        <v>0</v>
      </c>
      <c r="R71" s="243">
        <f>'[9]Allocation = % of margin'!AH71</f>
        <v>7.7999999999999999E-4</v>
      </c>
      <c r="S71" s="243">
        <f>' Increments  equal ¢ per therm'!T71</f>
        <v>3.5E-4</v>
      </c>
      <c r="T71" s="243">
        <f>'[9]Allocation = % of revenue'!M71</f>
        <v>0</v>
      </c>
      <c r="U71" s="243">
        <f>'[9]Allocation = % of margin'!AK71</f>
        <v>2E-3</v>
      </c>
      <c r="V71" s="243">
        <f>' Increments  equal ¢ per therm'!W71</f>
        <v>0.24073</v>
      </c>
      <c r="W71" s="243">
        <f t="shared" si="31"/>
        <v>0.24385000000000001</v>
      </c>
      <c r="X71" s="243">
        <f t="shared" si="32"/>
        <v>-5.8999999999997943E-4</v>
      </c>
      <c r="Y71" s="243"/>
      <c r="Z71" s="248">
        <f t="shared" si="33"/>
        <v>0.24385000000000001</v>
      </c>
      <c r="AA71" s="248">
        <f t="shared" si="34"/>
        <v>3.13E-3</v>
      </c>
      <c r="AB71" s="248">
        <f t="shared" si="35"/>
        <v>0</v>
      </c>
      <c r="AC71" s="248">
        <f t="shared" si="36"/>
        <v>0</v>
      </c>
      <c r="AD71" s="248">
        <f t="shared" si="37"/>
        <v>0.24385000000000001</v>
      </c>
      <c r="AE71" s="248">
        <f t="shared" si="38"/>
        <v>0.24385000000000001</v>
      </c>
      <c r="AF71" s="248">
        <f>[9]Permanents!G71</f>
        <v>5.1889999999999999E-2</v>
      </c>
      <c r="AG71" s="247">
        <f t="shared" si="39"/>
        <v>0</v>
      </c>
      <c r="AH71" s="243">
        <f t="shared" si="40"/>
        <v>0</v>
      </c>
      <c r="AI71" s="243">
        <f t="shared" si="41"/>
        <v>0</v>
      </c>
      <c r="AJ71" s="243">
        <f t="shared" si="42"/>
        <v>7.7999999999999999E-4</v>
      </c>
      <c r="AK71" s="243">
        <f t="shared" si="43"/>
        <v>3.5E-4</v>
      </c>
      <c r="AL71" s="243">
        <f t="shared" si="44"/>
        <v>0</v>
      </c>
      <c r="AM71" s="243">
        <f t="shared" si="45"/>
        <v>-1.0000000000000001E-5</v>
      </c>
      <c r="AN71" s="243">
        <f t="shared" si="46"/>
        <v>0</v>
      </c>
      <c r="AO71" s="243">
        <f>[9]Permanents!F71</f>
        <v>0</v>
      </c>
      <c r="AP71" s="243">
        <f t="shared" si="47"/>
        <v>2E-3</v>
      </c>
      <c r="AQ71" s="243">
        <f t="shared" si="48"/>
        <v>0.24073</v>
      </c>
      <c r="AR71" s="243"/>
      <c r="AS71" s="243"/>
      <c r="AT71" s="243">
        <f t="shared" si="49"/>
        <v>0</v>
      </c>
      <c r="AU71" s="243">
        <f t="shared" si="50"/>
        <v>0</v>
      </c>
      <c r="AV71" s="243">
        <f t="shared" si="51"/>
        <v>0</v>
      </c>
      <c r="AW71" s="246">
        <f>[31]Temporaries!Q71</f>
        <v>0</v>
      </c>
      <c r="AX71" s="246">
        <f>SUM([31]Temporaries!K71:M71)</f>
        <v>0</v>
      </c>
      <c r="AY71" s="246">
        <f>SUM([31]Temporaries!N71:O71)</f>
        <v>0</v>
      </c>
      <c r="AZ71" s="245">
        <f>[31]Temporaries!R71</f>
        <v>7.3999999999999999E-4</v>
      </c>
      <c r="BA71" s="245">
        <f t="shared" si="52"/>
        <v>0</v>
      </c>
      <c r="BB71" s="255">
        <f>[31]Temporaries!P71</f>
        <v>-6.0000000000000002E-5</v>
      </c>
      <c r="BC71" s="245">
        <f>[31]Temporaries!S71</f>
        <v>1.0300000000000001E-3</v>
      </c>
      <c r="BD71" s="245">
        <f>[31]Temporaries!T71</f>
        <v>0</v>
      </c>
      <c r="BE71" s="245">
        <f>[31]Temporaries!U71</f>
        <v>2E-3</v>
      </c>
      <c r="BF71" s="245">
        <v>0.24073</v>
      </c>
      <c r="BG71" s="245"/>
      <c r="BH71" s="244">
        <f t="shared" si="53"/>
        <v>0</v>
      </c>
      <c r="BI71" s="243">
        <f t="shared" si="54"/>
        <v>0.24385000000000001</v>
      </c>
      <c r="BJ71" s="243">
        <f t="shared" si="55"/>
        <v>0.24385000000000001</v>
      </c>
    </row>
    <row r="72" spans="1:62" x14ac:dyDescent="0.25">
      <c r="A72" s="233">
        <f t="shared" ref="A72:A90" si="56">+A71+1</f>
        <v>66</v>
      </c>
      <c r="B72" s="258"/>
      <c r="C72" s="260" t="s">
        <v>72</v>
      </c>
      <c r="D72" s="251">
        <v>0.24276999999999999</v>
      </c>
      <c r="E72" s="259">
        <v>0</v>
      </c>
      <c r="F72" s="251">
        <f>+' Increments  equal ¢ per therm'!H72</f>
        <v>0</v>
      </c>
      <c r="G72" s="251">
        <f>+' Increments  equal ¢ per therm'!K72</f>
        <v>0</v>
      </c>
      <c r="H72" s="251">
        <f>+' Increments  equal ¢ per therm'!N72</f>
        <v>0</v>
      </c>
      <c r="I72" s="251">
        <f t="shared" si="29"/>
        <v>0</v>
      </c>
      <c r="J72" s="251">
        <f t="shared" si="30"/>
        <v>0</v>
      </c>
      <c r="K72" s="249">
        <f>+'[9]Allocation = % of margin'!P72</f>
        <v>0</v>
      </c>
      <c r="L72" s="249">
        <f>+'[9]Allocation = % of margin'!S72</f>
        <v>0</v>
      </c>
      <c r="M72" s="249">
        <f>+'[9]Allocation = % of margin'!V72</f>
        <v>0</v>
      </c>
      <c r="N72" s="249">
        <f>+'[9]Allocation = % of margin'!Y72</f>
        <v>0</v>
      </c>
      <c r="O72" s="249">
        <f>+'[9]Allocation = % of margin'!AB72</f>
        <v>0</v>
      </c>
      <c r="P72" s="249">
        <f>'[9]Allocation = % of margin'!AE72</f>
        <v>0</v>
      </c>
      <c r="Q72" s="249">
        <f>' Increments  equal ¢ per therm'!Q72</f>
        <v>0</v>
      </c>
      <c r="R72" s="249">
        <f>'[9]Allocation = % of margin'!AH72</f>
        <v>2.9E-4</v>
      </c>
      <c r="S72" s="249">
        <f>' Increments  equal ¢ per therm'!T72</f>
        <v>3.5E-4</v>
      </c>
      <c r="T72" s="249">
        <f>'[9]Allocation = % of revenue'!M72</f>
        <v>0</v>
      </c>
      <c r="U72" s="249">
        <f>'[9]Allocation = % of margin'!AK72</f>
        <v>7.5000000000000002E-4</v>
      </c>
      <c r="V72" s="249">
        <f>' Increments  equal ¢ per therm'!W72</f>
        <v>0.24073</v>
      </c>
      <c r="W72" s="249">
        <f t="shared" si="31"/>
        <v>0.24212</v>
      </c>
      <c r="X72" s="249">
        <f t="shared" si="32"/>
        <v>-6.4999999999998392E-4</v>
      </c>
      <c r="Y72" s="243"/>
      <c r="Z72" s="248">
        <f t="shared" si="33"/>
        <v>0.24212</v>
      </c>
      <c r="AA72" s="248">
        <f t="shared" si="34"/>
        <v>1.39E-3</v>
      </c>
      <c r="AB72" s="248">
        <f t="shared" si="35"/>
        <v>0</v>
      </c>
      <c r="AC72" s="248">
        <f t="shared" si="36"/>
        <v>0</v>
      </c>
      <c r="AD72" s="248">
        <f t="shared" si="37"/>
        <v>0.24212</v>
      </c>
      <c r="AE72" s="248">
        <f t="shared" si="38"/>
        <v>0.24212</v>
      </c>
      <c r="AF72" s="248">
        <f>[9]Permanents!G72</f>
        <v>1.9439999999999999E-2</v>
      </c>
      <c r="AG72" s="247">
        <f t="shared" si="39"/>
        <v>0</v>
      </c>
      <c r="AH72" s="243">
        <f t="shared" si="40"/>
        <v>0</v>
      </c>
      <c r="AI72" s="243">
        <f t="shared" si="41"/>
        <v>0</v>
      </c>
      <c r="AJ72" s="243">
        <f t="shared" si="42"/>
        <v>2.9E-4</v>
      </c>
      <c r="AK72" s="243">
        <f t="shared" si="43"/>
        <v>3.5E-4</v>
      </c>
      <c r="AL72" s="243">
        <f t="shared" si="44"/>
        <v>0</v>
      </c>
      <c r="AM72" s="243">
        <f t="shared" si="45"/>
        <v>0</v>
      </c>
      <c r="AN72" s="243">
        <f t="shared" si="46"/>
        <v>0</v>
      </c>
      <c r="AO72" s="243">
        <f>[9]Permanents!F72</f>
        <v>0</v>
      </c>
      <c r="AP72" s="243">
        <f t="shared" si="47"/>
        <v>7.5000000000000002E-4</v>
      </c>
      <c r="AQ72" s="243">
        <f t="shared" si="48"/>
        <v>0.24073</v>
      </c>
      <c r="AR72" s="243"/>
      <c r="AS72" s="243"/>
      <c r="AT72" s="243">
        <f t="shared" si="49"/>
        <v>0</v>
      </c>
      <c r="AU72" s="243">
        <f t="shared" si="50"/>
        <v>0</v>
      </c>
      <c r="AV72" s="243">
        <f t="shared" si="51"/>
        <v>0</v>
      </c>
      <c r="AW72" s="246">
        <f>[31]Temporaries!Q72</f>
        <v>0</v>
      </c>
      <c r="AX72" s="246">
        <f>SUM([31]Temporaries!K72:M72)</f>
        <v>0</v>
      </c>
      <c r="AY72" s="246">
        <f>SUM([31]Temporaries!N72:O72)</f>
        <v>0</v>
      </c>
      <c r="AZ72" s="245">
        <f>[31]Temporaries!R72</f>
        <v>2.7999999999999998E-4</v>
      </c>
      <c r="BA72" s="245">
        <f t="shared" si="52"/>
        <v>0</v>
      </c>
      <c r="BB72" s="255">
        <f>[31]Temporaries!P72</f>
        <v>-2.0000000000000002E-5</v>
      </c>
      <c r="BC72" s="245">
        <f>[31]Temporaries!S72</f>
        <v>1.0300000000000001E-3</v>
      </c>
      <c r="BD72" s="245">
        <f>[31]Temporaries!T72</f>
        <v>0</v>
      </c>
      <c r="BE72" s="245">
        <f>[31]Temporaries!U72</f>
        <v>7.5000000000000002E-4</v>
      </c>
      <c r="BF72" s="245">
        <v>0.24073</v>
      </c>
      <c r="BG72" s="245"/>
      <c r="BH72" s="244">
        <f t="shared" si="53"/>
        <v>0</v>
      </c>
      <c r="BI72" s="243">
        <f t="shared" si="54"/>
        <v>0.24212</v>
      </c>
      <c r="BJ72" s="243">
        <f t="shared" si="55"/>
        <v>0.24212</v>
      </c>
    </row>
    <row r="73" spans="1:62" x14ac:dyDescent="0.25">
      <c r="A73" s="233">
        <f t="shared" si="56"/>
        <v>67</v>
      </c>
      <c r="B73" s="233" t="s">
        <v>79</v>
      </c>
      <c r="C73" s="261" t="s">
        <v>61</v>
      </c>
      <c r="D73" s="259">
        <v>0.24917</v>
      </c>
      <c r="E73" s="256">
        <v>0</v>
      </c>
      <c r="F73" s="259">
        <f>+' Increments  equal ¢ per therm'!H73</f>
        <v>0</v>
      </c>
      <c r="G73" s="259">
        <f>+' Increments  equal ¢ per therm'!I73</f>
        <v>0</v>
      </c>
      <c r="H73" s="259">
        <f>+' Increments  equal ¢ per therm'!J73</f>
        <v>0</v>
      </c>
      <c r="I73" s="259">
        <f t="shared" si="29"/>
        <v>0</v>
      </c>
      <c r="J73" s="259">
        <f t="shared" si="30"/>
        <v>0</v>
      </c>
      <c r="K73" s="243">
        <f>+'[9]Allocation = % of margin'!P73</f>
        <v>0</v>
      </c>
      <c r="L73" s="243">
        <f>+'[9]Allocation = % of margin'!Q73</f>
        <v>0</v>
      </c>
      <c r="M73" s="243">
        <f>+'[9]Allocation = % of margin'!R73</f>
        <v>0</v>
      </c>
      <c r="N73" s="243">
        <f>+'[9]Allocation = % of margin'!S73</f>
        <v>0</v>
      </c>
      <c r="O73" s="243">
        <f>+'[9]Allocation = % of margin'!T73</f>
        <v>0</v>
      </c>
      <c r="P73" s="243">
        <f>'[9]Allocation = % of margin'!AE73</f>
        <v>-3.0000000000000001E-5</v>
      </c>
      <c r="Q73" s="243">
        <f>' Increments  equal ¢ per therm'!Q73</f>
        <v>0</v>
      </c>
      <c r="R73" s="243">
        <f>'[9]Allocation = % of margin'!AH73</f>
        <v>2.1099999999999999E-3</v>
      </c>
      <c r="S73" s="243">
        <f>' Increments  equal ¢ per therm'!T73</f>
        <v>3.5E-4</v>
      </c>
      <c r="T73" s="243">
        <f>'[9]Allocation = % of revenue'!M73</f>
        <v>1.0000000000000001E-5</v>
      </c>
      <c r="U73" s="243">
        <f>'[9]Allocation = % of margin'!AK73</f>
        <v>5.4599999999999996E-3</v>
      </c>
      <c r="V73" s="243">
        <f>' Increments  equal ¢ per therm'!W73</f>
        <v>0.24073</v>
      </c>
      <c r="W73" s="243">
        <f t="shared" si="31"/>
        <v>0.24862999999999999</v>
      </c>
      <c r="X73" s="243">
        <f t="shared" si="32"/>
        <v>-5.4000000000001269E-4</v>
      </c>
      <c r="Y73" s="243"/>
      <c r="Z73" s="248">
        <f t="shared" si="33"/>
        <v>0.24862999999999999</v>
      </c>
      <c r="AA73" s="248">
        <f t="shared" si="34"/>
        <v>7.9299999999999995E-3</v>
      </c>
      <c r="AB73" s="248">
        <f t="shared" si="35"/>
        <v>0</v>
      </c>
      <c r="AC73" s="248">
        <f t="shared" si="36"/>
        <v>0</v>
      </c>
      <c r="AD73" s="248">
        <f t="shared" si="37"/>
        <v>0.24862999999999999</v>
      </c>
      <c r="AE73" s="248">
        <f t="shared" si="38"/>
        <v>0.24862999999999999</v>
      </c>
      <c r="AF73" s="248">
        <f>[9]Permanents!G73</f>
        <v>0.14429999999999998</v>
      </c>
      <c r="AG73" s="247">
        <f t="shared" si="39"/>
        <v>0</v>
      </c>
      <c r="AH73" s="243">
        <f t="shared" si="40"/>
        <v>0</v>
      </c>
      <c r="AI73" s="243">
        <f t="shared" si="41"/>
        <v>0</v>
      </c>
      <c r="AJ73" s="243">
        <f t="shared" si="42"/>
        <v>2.1099999999999999E-3</v>
      </c>
      <c r="AK73" s="243">
        <f t="shared" si="43"/>
        <v>3.5E-4</v>
      </c>
      <c r="AL73" s="243">
        <f t="shared" si="44"/>
        <v>0</v>
      </c>
      <c r="AM73" s="243">
        <f t="shared" si="45"/>
        <v>-3.0000000000000001E-5</v>
      </c>
      <c r="AN73" s="243">
        <f t="shared" si="46"/>
        <v>1.0000000000000001E-5</v>
      </c>
      <c r="AO73" s="243">
        <f>[9]Permanents!F73</f>
        <v>0</v>
      </c>
      <c r="AP73" s="243">
        <f t="shared" si="47"/>
        <v>5.4599999999999996E-3</v>
      </c>
      <c r="AQ73" s="243">
        <f t="shared" si="48"/>
        <v>0.24073</v>
      </c>
      <c r="AR73" s="243"/>
      <c r="AS73" s="243"/>
      <c r="AT73" s="243">
        <f t="shared" si="49"/>
        <v>0</v>
      </c>
      <c r="AU73" s="243">
        <f t="shared" si="50"/>
        <v>0</v>
      </c>
      <c r="AV73" s="243">
        <f t="shared" si="51"/>
        <v>0</v>
      </c>
      <c r="AW73" s="246">
        <f>[31]Temporaries!Q73</f>
        <v>0</v>
      </c>
      <c r="AX73" s="246">
        <f>SUM([31]Temporaries!K73:M73)</f>
        <v>0</v>
      </c>
      <c r="AY73" s="246">
        <f>SUM([31]Temporaries!N73:O73)</f>
        <v>0</v>
      </c>
      <c r="AZ73" s="245">
        <f>[31]Temporaries!R73</f>
        <v>2.0100000000000001E-3</v>
      </c>
      <c r="BA73" s="245">
        <f t="shared" si="52"/>
        <v>0</v>
      </c>
      <c r="BB73" s="255">
        <f>[31]Temporaries!P73</f>
        <v>-1.6000000000000001E-4</v>
      </c>
      <c r="BC73" s="245">
        <f>[31]Temporaries!S73</f>
        <v>1.0300000000000001E-3</v>
      </c>
      <c r="BD73" s="245">
        <f>[31]Temporaries!T73</f>
        <v>1E-4</v>
      </c>
      <c r="BE73" s="245">
        <f>[31]Temporaries!U73</f>
        <v>5.4599999999999996E-3</v>
      </c>
      <c r="BF73" s="245">
        <v>0.24073</v>
      </c>
      <c r="BG73" s="245"/>
      <c r="BH73" s="244">
        <f t="shared" si="53"/>
        <v>0</v>
      </c>
      <c r="BI73" s="243">
        <f t="shared" si="54"/>
        <v>0.24862999999999999</v>
      </c>
      <c r="BJ73" s="243">
        <f t="shared" si="55"/>
        <v>0.24862999999999999</v>
      </c>
    </row>
    <row r="74" spans="1:62" x14ac:dyDescent="0.25">
      <c r="A74" s="233">
        <f t="shared" si="56"/>
        <v>68</v>
      </c>
      <c r="B74" s="233"/>
      <c r="C74" s="261" t="s">
        <v>62</v>
      </c>
      <c r="D74" s="259">
        <v>0.24840999999999999</v>
      </c>
      <c r="E74" s="259">
        <v>0</v>
      </c>
      <c r="F74" s="259">
        <f>+' Increments  equal ¢ per therm'!H74</f>
        <v>0</v>
      </c>
      <c r="G74" s="259">
        <f>+' Increments  equal ¢ per therm'!I74</f>
        <v>0</v>
      </c>
      <c r="H74" s="259">
        <f>+' Increments  equal ¢ per therm'!J74</f>
        <v>0</v>
      </c>
      <c r="I74" s="259">
        <f t="shared" si="29"/>
        <v>0</v>
      </c>
      <c r="J74" s="259">
        <f t="shared" si="30"/>
        <v>0</v>
      </c>
      <c r="K74" s="243">
        <f>+'[9]Allocation = % of margin'!P74</f>
        <v>0</v>
      </c>
      <c r="L74" s="243">
        <f>+'[9]Allocation = % of margin'!Q74</f>
        <v>0</v>
      </c>
      <c r="M74" s="243">
        <f>+'[9]Allocation = % of margin'!R74</f>
        <v>0</v>
      </c>
      <c r="N74" s="243">
        <f>+'[9]Allocation = % of margin'!S74</f>
        <v>0</v>
      </c>
      <c r="O74" s="243">
        <f>+'[9]Allocation = % of margin'!T74</f>
        <v>0</v>
      </c>
      <c r="P74" s="243">
        <f>'[9]Allocation = % of margin'!AE74</f>
        <v>-2.0000000000000002E-5</v>
      </c>
      <c r="Q74" s="243">
        <f>' Increments  equal ¢ per therm'!Q74</f>
        <v>0</v>
      </c>
      <c r="R74" s="243">
        <f>'[9]Allocation = % of margin'!AH74</f>
        <v>1.89E-3</v>
      </c>
      <c r="S74" s="243">
        <f>' Increments  equal ¢ per therm'!T74</f>
        <v>3.5E-4</v>
      </c>
      <c r="T74" s="243">
        <f>'[9]Allocation = % of revenue'!M74</f>
        <v>1.0000000000000001E-5</v>
      </c>
      <c r="U74" s="243">
        <f>'[9]Allocation = % of margin'!AK74</f>
        <v>4.8900000000000002E-3</v>
      </c>
      <c r="V74" s="243">
        <f>' Increments  equal ¢ per therm'!W74</f>
        <v>0.24073</v>
      </c>
      <c r="W74" s="243">
        <f t="shared" si="31"/>
        <v>0.24784999999999999</v>
      </c>
      <c r="X74" s="243">
        <f t="shared" si="32"/>
        <v>-5.6000000000000494E-4</v>
      </c>
      <c r="Y74" s="243"/>
      <c r="Z74" s="248">
        <f t="shared" si="33"/>
        <v>0.24784999999999999</v>
      </c>
      <c r="AA74" s="248">
        <f t="shared" si="34"/>
        <v>7.1400000000000005E-3</v>
      </c>
      <c r="AB74" s="248">
        <f t="shared" si="35"/>
        <v>0</v>
      </c>
      <c r="AC74" s="248">
        <f t="shared" si="36"/>
        <v>0</v>
      </c>
      <c r="AD74" s="248">
        <f t="shared" si="37"/>
        <v>0.24784999999999999</v>
      </c>
      <c r="AE74" s="248">
        <f t="shared" si="38"/>
        <v>0.24784999999999999</v>
      </c>
      <c r="AF74" s="248">
        <f>[9]Permanents!G74</f>
        <v>0.12916999999999998</v>
      </c>
      <c r="AG74" s="247">
        <f t="shared" si="39"/>
        <v>0</v>
      </c>
      <c r="AH74" s="243">
        <f t="shared" si="40"/>
        <v>0</v>
      </c>
      <c r="AI74" s="243">
        <f t="shared" si="41"/>
        <v>0</v>
      </c>
      <c r="AJ74" s="243">
        <f t="shared" si="42"/>
        <v>1.89E-3</v>
      </c>
      <c r="AK74" s="243">
        <f t="shared" si="43"/>
        <v>3.5E-4</v>
      </c>
      <c r="AL74" s="243">
        <f t="shared" si="44"/>
        <v>0</v>
      </c>
      <c r="AM74" s="243">
        <f t="shared" si="45"/>
        <v>-2.0000000000000002E-5</v>
      </c>
      <c r="AN74" s="243">
        <f t="shared" si="46"/>
        <v>1.0000000000000001E-5</v>
      </c>
      <c r="AO74" s="243">
        <f>[9]Permanents!F74</f>
        <v>0</v>
      </c>
      <c r="AP74" s="243">
        <f t="shared" si="47"/>
        <v>4.8900000000000002E-3</v>
      </c>
      <c r="AQ74" s="243">
        <f t="shared" si="48"/>
        <v>0.24073</v>
      </c>
      <c r="AR74" s="243"/>
      <c r="AS74" s="243"/>
      <c r="AT74" s="243">
        <f t="shared" si="49"/>
        <v>0</v>
      </c>
      <c r="AU74" s="243">
        <f t="shared" si="50"/>
        <v>0</v>
      </c>
      <c r="AV74" s="243">
        <f t="shared" si="51"/>
        <v>0</v>
      </c>
      <c r="AW74" s="246">
        <f>[31]Temporaries!Q74</f>
        <v>0</v>
      </c>
      <c r="AX74" s="246">
        <f>SUM([31]Temporaries!K74:M74)</f>
        <v>0</v>
      </c>
      <c r="AY74" s="246">
        <f>SUM([31]Temporaries!N74:O74)</f>
        <v>0</v>
      </c>
      <c r="AZ74" s="245">
        <f>[31]Temporaries!R74</f>
        <v>1.8E-3</v>
      </c>
      <c r="BA74" s="245">
        <f t="shared" si="52"/>
        <v>0</v>
      </c>
      <c r="BB74" s="255">
        <f>[31]Temporaries!P74</f>
        <v>-1.3999999999999999E-4</v>
      </c>
      <c r="BC74" s="245">
        <f>[31]Temporaries!S74</f>
        <v>1.0300000000000001E-3</v>
      </c>
      <c r="BD74" s="245">
        <f>[31]Temporaries!T74</f>
        <v>1E-4</v>
      </c>
      <c r="BE74" s="245">
        <f>[31]Temporaries!U74</f>
        <v>4.8900000000000002E-3</v>
      </c>
      <c r="BF74" s="245">
        <v>0.24073</v>
      </c>
      <c r="BG74" s="245"/>
      <c r="BH74" s="244">
        <f t="shared" si="53"/>
        <v>0</v>
      </c>
      <c r="BI74" s="243">
        <f t="shared" si="54"/>
        <v>0.24784999999999999</v>
      </c>
      <c r="BJ74" s="243">
        <f t="shared" si="55"/>
        <v>0.24784999999999999</v>
      </c>
    </row>
    <row r="75" spans="1:62" x14ac:dyDescent="0.25">
      <c r="A75" s="233">
        <f t="shared" si="56"/>
        <v>69</v>
      </c>
      <c r="B75" s="233"/>
      <c r="C75" s="261" t="s">
        <v>69</v>
      </c>
      <c r="D75" s="259">
        <v>0.24687000000000001</v>
      </c>
      <c r="E75" s="259">
        <v>0</v>
      </c>
      <c r="F75" s="259">
        <f>+' Increments  equal ¢ per therm'!H75</f>
        <v>0</v>
      </c>
      <c r="G75" s="259">
        <f>+' Increments  equal ¢ per therm'!I75</f>
        <v>0</v>
      </c>
      <c r="H75" s="259">
        <f>+' Increments  equal ¢ per therm'!J75</f>
        <v>0</v>
      </c>
      <c r="I75" s="259">
        <f t="shared" si="29"/>
        <v>0</v>
      </c>
      <c r="J75" s="259">
        <f t="shared" si="30"/>
        <v>0</v>
      </c>
      <c r="K75" s="243">
        <f>+'[9]Allocation = % of margin'!P75</f>
        <v>0</v>
      </c>
      <c r="L75" s="243">
        <f>+'[9]Allocation = % of margin'!Q75</f>
        <v>0</v>
      </c>
      <c r="M75" s="243">
        <f>+'[9]Allocation = % of margin'!R75</f>
        <v>0</v>
      </c>
      <c r="N75" s="243">
        <f>+'[9]Allocation = % of margin'!S75</f>
        <v>0</v>
      </c>
      <c r="O75" s="243">
        <f>+'[9]Allocation = % of margin'!T75</f>
        <v>0</v>
      </c>
      <c r="P75" s="243">
        <f>'[9]Allocation = % of margin'!AE75</f>
        <v>-2.0000000000000002E-5</v>
      </c>
      <c r="Q75" s="243">
        <f>' Increments  equal ¢ per therm'!Q75</f>
        <v>0</v>
      </c>
      <c r="R75" s="243">
        <f>'[9]Allocation = % of margin'!AH75</f>
        <v>1.4499999999999999E-3</v>
      </c>
      <c r="S75" s="243">
        <f>' Increments  equal ¢ per therm'!T75</f>
        <v>3.5E-4</v>
      </c>
      <c r="T75" s="243">
        <f>'[9]Allocation = % of revenue'!M75</f>
        <v>1.0000000000000001E-5</v>
      </c>
      <c r="U75" s="243">
        <f>'[9]Allocation = % of margin'!AK75</f>
        <v>3.7499999999999999E-3</v>
      </c>
      <c r="V75" s="243">
        <f>' Increments  equal ¢ per therm'!W75</f>
        <v>0.24073</v>
      </c>
      <c r="W75" s="243">
        <f t="shared" si="31"/>
        <v>0.24626999999999999</v>
      </c>
      <c r="X75" s="243">
        <f t="shared" si="32"/>
        <v>-6.0000000000001719E-4</v>
      </c>
      <c r="Y75" s="243"/>
      <c r="Z75" s="248">
        <f t="shared" si="33"/>
        <v>0.24626999999999999</v>
      </c>
      <c r="AA75" s="248">
        <f t="shared" si="34"/>
        <v>5.5599999999999998E-3</v>
      </c>
      <c r="AB75" s="248">
        <f t="shared" si="35"/>
        <v>0</v>
      </c>
      <c r="AC75" s="248">
        <f t="shared" si="36"/>
        <v>0</v>
      </c>
      <c r="AD75" s="248">
        <f t="shared" si="37"/>
        <v>0.24626999999999999</v>
      </c>
      <c r="AE75" s="248">
        <f t="shared" si="38"/>
        <v>0.24626999999999999</v>
      </c>
      <c r="AF75" s="248">
        <f>[9]Permanents!G75</f>
        <v>9.9049999999999985E-2</v>
      </c>
      <c r="AG75" s="247">
        <f t="shared" si="39"/>
        <v>0</v>
      </c>
      <c r="AH75" s="243">
        <f t="shared" si="40"/>
        <v>0</v>
      </c>
      <c r="AI75" s="243">
        <f t="shared" si="41"/>
        <v>0</v>
      </c>
      <c r="AJ75" s="243">
        <f t="shared" si="42"/>
        <v>1.4499999999999999E-3</v>
      </c>
      <c r="AK75" s="243">
        <f t="shared" si="43"/>
        <v>3.5E-4</v>
      </c>
      <c r="AL75" s="243">
        <f t="shared" si="44"/>
        <v>0</v>
      </c>
      <c r="AM75" s="243">
        <f t="shared" si="45"/>
        <v>-2.0000000000000002E-5</v>
      </c>
      <c r="AN75" s="243">
        <f t="shared" si="46"/>
        <v>1.0000000000000001E-5</v>
      </c>
      <c r="AO75" s="243">
        <f>[9]Permanents!F75</f>
        <v>0</v>
      </c>
      <c r="AP75" s="243">
        <f t="shared" si="47"/>
        <v>3.7499999999999999E-3</v>
      </c>
      <c r="AQ75" s="243">
        <f t="shared" si="48"/>
        <v>0.24073</v>
      </c>
      <c r="AR75" s="243"/>
      <c r="AS75" s="243"/>
      <c r="AT75" s="243">
        <f t="shared" si="49"/>
        <v>0</v>
      </c>
      <c r="AU75" s="243">
        <f t="shared" si="50"/>
        <v>0</v>
      </c>
      <c r="AV75" s="243">
        <f t="shared" si="51"/>
        <v>0</v>
      </c>
      <c r="AW75" s="246">
        <f>[31]Temporaries!Q75</f>
        <v>0</v>
      </c>
      <c r="AX75" s="246">
        <f>SUM([31]Temporaries!K75:M75)</f>
        <v>0</v>
      </c>
      <c r="AY75" s="246">
        <f>SUM([31]Temporaries!N75:O75)</f>
        <v>0</v>
      </c>
      <c r="AZ75" s="245">
        <f>[31]Temporaries!R75</f>
        <v>1.3799999999999999E-3</v>
      </c>
      <c r="BA75" s="245">
        <f t="shared" si="52"/>
        <v>0</v>
      </c>
      <c r="BB75" s="255">
        <f>[31]Temporaries!P75</f>
        <v>-1.1E-4</v>
      </c>
      <c r="BC75" s="245">
        <f>[31]Temporaries!S75</f>
        <v>1.0300000000000001E-3</v>
      </c>
      <c r="BD75" s="245">
        <f>[31]Temporaries!T75</f>
        <v>9.0000000000000006E-5</v>
      </c>
      <c r="BE75" s="245">
        <f>[31]Temporaries!U75</f>
        <v>3.7499999999999999E-3</v>
      </c>
      <c r="BF75" s="245">
        <v>0.24073</v>
      </c>
      <c r="BG75" s="245"/>
      <c r="BH75" s="244">
        <f t="shared" si="53"/>
        <v>0</v>
      </c>
      <c r="BI75" s="243">
        <f t="shared" si="54"/>
        <v>0.24626999999999999</v>
      </c>
      <c r="BJ75" s="243">
        <f t="shared" si="55"/>
        <v>0.24626999999999999</v>
      </c>
    </row>
    <row r="76" spans="1:62" x14ac:dyDescent="0.25">
      <c r="A76" s="233">
        <f t="shared" si="56"/>
        <v>70</v>
      </c>
      <c r="B76" s="233"/>
      <c r="C76" s="261" t="s">
        <v>70</v>
      </c>
      <c r="D76" s="259">
        <v>0.24586</v>
      </c>
      <c r="E76" s="259">
        <v>0</v>
      </c>
      <c r="F76" s="259">
        <f>+' Increments  equal ¢ per therm'!H76</f>
        <v>0</v>
      </c>
      <c r="G76" s="259">
        <f>+' Increments  equal ¢ per therm'!I76</f>
        <v>0</v>
      </c>
      <c r="H76" s="259">
        <f>+' Increments  equal ¢ per therm'!J76</f>
        <v>0</v>
      </c>
      <c r="I76" s="259">
        <f t="shared" si="29"/>
        <v>0</v>
      </c>
      <c r="J76" s="259">
        <f t="shared" si="30"/>
        <v>0</v>
      </c>
      <c r="K76" s="243">
        <f>+'[9]Allocation = % of margin'!P76</f>
        <v>0</v>
      </c>
      <c r="L76" s="243">
        <f>+'[9]Allocation = % of margin'!Q76</f>
        <v>0</v>
      </c>
      <c r="M76" s="243">
        <f>+'[9]Allocation = % of margin'!R76</f>
        <v>0</v>
      </c>
      <c r="N76" s="243">
        <f>+'[9]Allocation = % of margin'!S76</f>
        <v>0</v>
      </c>
      <c r="O76" s="243">
        <f>+'[9]Allocation = % of margin'!T76</f>
        <v>0</v>
      </c>
      <c r="P76" s="243">
        <f>'[9]Allocation = % of margin'!AE76</f>
        <v>-1.0000000000000001E-5</v>
      </c>
      <c r="Q76" s="243">
        <f>' Increments  equal ¢ per therm'!Q76</f>
        <v>0</v>
      </c>
      <c r="R76" s="243">
        <f>'[9]Allocation = % of margin'!AH76</f>
        <v>1.16E-3</v>
      </c>
      <c r="S76" s="243">
        <f>' Increments  equal ¢ per therm'!T76</f>
        <v>3.5E-4</v>
      </c>
      <c r="T76" s="243">
        <f>'[9]Allocation = % of revenue'!M76</f>
        <v>1.0000000000000001E-5</v>
      </c>
      <c r="U76" s="243">
        <f>'[9]Allocation = % of margin'!AK76</f>
        <v>3.0000000000000001E-3</v>
      </c>
      <c r="V76" s="243">
        <f>' Increments  equal ¢ per therm'!W76</f>
        <v>0.24073</v>
      </c>
      <c r="W76" s="243">
        <f t="shared" si="31"/>
        <v>0.24524000000000001</v>
      </c>
      <c r="X76" s="243">
        <f t="shared" si="32"/>
        <v>-6.1999999999998168E-4</v>
      </c>
      <c r="Y76" s="243"/>
      <c r="Z76" s="248">
        <f t="shared" si="33"/>
        <v>0.24524000000000001</v>
      </c>
      <c r="AA76" s="248">
        <f t="shared" si="34"/>
        <v>4.5199999999999997E-3</v>
      </c>
      <c r="AB76" s="248">
        <f t="shared" si="35"/>
        <v>0</v>
      </c>
      <c r="AC76" s="248">
        <f t="shared" si="36"/>
        <v>0</v>
      </c>
      <c r="AD76" s="248">
        <f t="shared" si="37"/>
        <v>0.24524000000000001</v>
      </c>
      <c r="AE76" s="248">
        <f t="shared" si="38"/>
        <v>0.24524000000000001</v>
      </c>
      <c r="AF76" s="248">
        <f>[9]Permanents!G76</f>
        <v>7.9250000000000001E-2</v>
      </c>
      <c r="AG76" s="247">
        <f t="shared" si="39"/>
        <v>0</v>
      </c>
      <c r="AH76" s="243">
        <f t="shared" si="40"/>
        <v>0</v>
      </c>
      <c r="AI76" s="243">
        <f t="shared" si="41"/>
        <v>0</v>
      </c>
      <c r="AJ76" s="243">
        <f t="shared" si="42"/>
        <v>1.16E-3</v>
      </c>
      <c r="AK76" s="243">
        <f t="shared" si="43"/>
        <v>3.5E-4</v>
      </c>
      <c r="AL76" s="243">
        <f t="shared" si="44"/>
        <v>0</v>
      </c>
      <c r="AM76" s="243">
        <f t="shared" si="45"/>
        <v>-1.0000000000000001E-5</v>
      </c>
      <c r="AN76" s="243">
        <f t="shared" si="46"/>
        <v>1.0000000000000001E-5</v>
      </c>
      <c r="AO76" s="243">
        <f>[9]Permanents!F76</f>
        <v>0</v>
      </c>
      <c r="AP76" s="243">
        <f t="shared" si="47"/>
        <v>3.0000000000000001E-3</v>
      </c>
      <c r="AQ76" s="243">
        <f t="shared" si="48"/>
        <v>0.24073</v>
      </c>
      <c r="AR76" s="243"/>
      <c r="AS76" s="243"/>
      <c r="AT76" s="243">
        <f t="shared" si="49"/>
        <v>0</v>
      </c>
      <c r="AU76" s="243">
        <f t="shared" si="50"/>
        <v>0</v>
      </c>
      <c r="AV76" s="243">
        <f t="shared" si="51"/>
        <v>0</v>
      </c>
      <c r="AW76" s="246">
        <f>[31]Temporaries!Q76</f>
        <v>0</v>
      </c>
      <c r="AX76" s="246">
        <f>SUM([31]Temporaries!K76:M76)</f>
        <v>0</v>
      </c>
      <c r="AY76" s="246">
        <f>SUM([31]Temporaries!N76:O76)</f>
        <v>0</v>
      </c>
      <c r="AZ76" s="245">
        <f>[31]Temporaries!R76</f>
        <v>1.1000000000000001E-3</v>
      </c>
      <c r="BA76" s="245">
        <f t="shared" si="52"/>
        <v>0</v>
      </c>
      <c r="BB76" s="255">
        <f>[31]Temporaries!P76</f>
        <v>-9.0000000000000006E-5</v>
      </c>
      <c r="BC76" s="245">
        <f>[31]Temporaries!S76</f>
        <v>1.0300000000000001E-3</v>
      </c>
      <c r="BD76" s="245">
        <f>[31]Temporaries!T76</f>
        <v>9.0000000000000006E-5</v>
      </c>
      <c r="BE76" s="245">
        <f>[31]Temporaries!U76</f>
        <v>3.0000000000000001E-3</v>
      </c>
      <c r="BF76" s="245">
        <v>0.24073</v>
      </c>
      <c r="BG76" s="245"/>
      <c r="BH76" s="244">
        <f t="shared" si="53"/>
        <v>0</v>
      </c>
      <c r="BI76" s="243">
        <f t="shared" si="54"/>
        <v>0.24524000000000001</v>
      </c>
      <c r="BJ76" s="243">
        <f t="shared" si="55"/>
        <v>0.24524000000000001</v>
      </c>
    </row>
    <row r="77" spans="1:62" x14ac:dyDescent="0.25">
      <c r="A77" s="233">
        <f t="shared" si="56"/>
        <v>71</v>
      </c>
      <c r="B77" s="233"/>
      <c r="C77" s="261" t="s">
        <v>71</v>
      </c>
      <c r="D77" s="259">
        <v>0.24451999999999999</v>
      </c>
      <c r="E77" s="259">
        <v>0</v>
      </c>
      <c r="F77" s="259">
        <f>+' Increments  equal ¢ per therm'!H77</f>
        <v>0</v>
      </c>
      <c r="G77" s="259">
        <f>+' Increments  equal ¢ per therm'!I77</f>
        <v>0</v>
      </c>
      <c r="H77" s="259">
        <f>+' Increments  equal ¢ per therm'!J77</f>
        <v>0</v>
      </c>
      <c r="I77" s="259">
        <f t="shared" ref="I77:I108" si="57">SUM(F77:H77)</f>
        <v>0</v>
      </c>
      <c r="J77" s="259">
        <f t="shared" ref="J77:J108" si="58">I77-E77</f>
        <v>0</v>
      </c>
      <c r="K77" s="243">
        <f>+'[9]Allocation = % of margin'!P77</f>
        <v>0</v>
      </c>
      <c r="L77" s="243">
        <f>+'[9]Allocation = % of margin'!Q77</f>
        <v>0</v>
      </c>
      <c r="M77" s="243">
        <f>+'[9]Allocation = % of margin'!R77</f>
        <v>0</v>
      </c>
      <c r="N77" s="243">
        <f>+'[9]Allocation = % of margin'!S77</f>
        <v>0</v>
      </c>
      <c r="O77" s="243">
        <f>+'[9]Allocation = % of margin'!T77</f>
        <v>0</v>
      </c>
      <c r="P77" s="243">
        <f>'[9]Allocation = % of margin'!AE77</f>
        <v>-1.0000000000000001E-5</v>
      </c>
      <c r="Q77" s="243">
        <f>' Increments  equal ¢ per therm'!Q77</f>
        <v>0</v>
      </c>
      <c r="R77" s="243">
        <f>'[9]Allocation = % of margin'!AH77</f>
        <v>7.6999999999999996E-4</v>
      </c>
      <c r="S77" s="243">
        <f>' Increments  equal ¢ per therm'!T77</f>
        <v>3.5E-4</v>
      </c>
      <c r="T77" s="243">
        <f>'[9]Allocation = % of revenue'!M77</f>
        <v>1.0000000000000001E-5</v>
      </c>
      <c r="U77" s="243">
        <f>'[9]Allocation = % of margin'!AK77</f>
        <v>2E-3</v>
      </c>
      <c r="V77" s="243">
        <f>' Increments  equal ¢ per therm'!W77</f>
        <v>0.24073</v>
      </c>
      <c r="W77" s="243">
        <f t="shared" ref="W77:W108" si="59">I77+SUM(K77:V77)</f>
        <v>0.24385000000000001</v>
      </c>
      <c r="X77" s="243">
        <f t="shared" ref="X77:X108" si="60">+W77-D77</f>
        <v>-6.6999999999997617E-4</v>
      </c>
      <c r="Y77" s="243"/>
      <c r="Z77" s="248">
        <f t="shared" si="33"/>
        <v>0.24385000000000001</v>
      </c>
      <c r="AA77" s="248">
        <f t="shared" si="34"/>
        <v>3.13E-3</v>
      </c>
      <c r="AB77" s="248">
        <f t="shared" si="35"/>
        <v>0</v>
      </c>
      <c r="AC77" s="248">
        <f t="shared" si="36"/>
        <v>0</v>
      </c>
      <c r="AD77" s="248">
        <f t="shared" si="37"/>
        <v>0.24385000000000001</v>
      </c>
      <c r="AE77" s="248">
        <f t="shared" ref="AE77:AE108" si="61">SUM(AB77:AD77)</f>
        <v>0.24385000000000001</v>
      </c>
      <c r="AF77" s="248">
        <f>[9]Permanents!G77</f>
        <v>5.2839999999999998E-2</v>
      </c>
      <c r="AG77" s="247">
        <f t="shared" si="39"/>
        <v>0</v>
      </c>
      <c r="AH77" s="243">
        <f t="shared" si="40"/>
        <v>0</v>
      </c>
      <c r="AI77" s="243">
        <f t="shared" si="41"/>
        <v>0</v>
      </c>
      <c r="AJ77" s="243">
        <f t="shared" si="42"/>
        <v>7.6999999999999996E-4</v>
      </c>
      <c r="AK77" s="243">
        <f t="shared" si="43"/>
        <v>3.5E-4</v>
      </c>
      <c r="AL77" s="243">
        <f t="shared" si="44"/>
        <v>0</v>
      </c>
      <c r="AM77" s="243">
        <f t="shared" si="45"/>
        <v>-1.0000000000000001E-5</v>
      </c>
      <c r="AN77" s="243">
        <f t="shared" si="46"/>
        <v>1.0000000000000001E-5</v>
      </c>
      <c r="AO77" s="243">
        <f>[9]Permanents!F77</f>
        <v>0</v>
      </c>
      <c r="AP77" s="243">
        <f t="shared" si="47"/>
        <v>2E-3</v>
      </c>
      <c r="AQ77" s="243">
        <f t="shared" si="48"/>
        <v>0.24073</v>
      </c>
      <c r="AR77" s="243"/>
      <c r="AS77" s="243"/>
      <c r="AT77" s="243">
        <f t="shared" si="49"/>
        <v>0</v>
      </c>
      <c r="AU77" s="243">
        <f t="shared" si="50"/>
        <v>0</v>
      </c>
      <c r="AV77" s="243">
        <f t="shared" ref="AV77:AV108" si="62">SUM(AS77:AU77)</f>
        <v>0</v>
      </c>
      <c r="AW77" s="246">
        <f>[31]Temporaries!Q77</f>
        <v>0</v>
      </c>
      <c r="AX77" s="246">
        <f>SUM([31]Temporaries!K77:M77)</f>
        <v>0</v>
      </c>
      <c r="AY77" s="246">
        <f>SUM([31]Temporaries!N77:O77)</f>
        <v>0</v>
      </c>
      <c r="AZ77" s="245">
        <f>[31]Temporaries!R77</f>
        <v>7.3999999999999999E-4</v>
      </c>
      <c r="BA77" s="245">
        <f t="shared" si="52"/>
        <v>0</v>
      </c>
      <c r="BB77" s="255">
        <f>[31]Temporaries!P77</f>
        <v>-6.0000000000000002E-5</v>
      </c>
      <c r="BC77" s="245">
        <f>[31]Temporaries!S77</f>
        <v>1.0300000000000001E-3</v>
      </c>
      <c r="BD77" s="245">
        <f>[31]Temporaries!T77</f>
        <v>8.0000000000000007E-5</v>
      </c>
      <c r="BE77" s="245">
        <f>[31]Temporaries!U77</f>
        <v>2E-3</v>
      </c>
      <c r="BF77" s="245">
        <v>0.24073</v>
      </c>
      <c r="BG77" s="245"/>
      <c r="BH77" s="244">
        <f t="shared" ref="BH77:BH108" si="63">SUM(AW77:BG77)-D77</f>
        <v>0</v>
      </c>
      <c r="BI77" s="243">
        <f t="shared" si="54"/>
        <v>0.24385000000000001</v>
      </c>
      <c r="BJ77" s="243">
        <f t="shared" si="55"/>
        <v>0.24385000000000001</v>
      </c>
    </row>
    <row r="78" spans="1:62" x14ac:dyDescent="0.25">
      <c r="A78" s="233">
        <f t="shared" si="56"/>
        <v>72</v>
      </c>
      <c r="B78" s="258"/>
      <c r="C78" s="260" t="s">
        <v>72</v>
      </c>
      <c r="D78" s="251">
        <v>0.24285000000000001</v>
      </c>
      <c r="E78" s="259">
        <v>0</v>
      </c>
      <c r="F78" s="259">
        <f>+' Increments  equal ¢ per therm'!H78</f>
        <v>0</v>
      </c>
      <c r="G78" s="259">
        <f>+' Increments  equal ¢ per therm'!I78</f>
        <v>0</v>
      </c>
      <c r="H78" s="259">
        <f>+' Increments  equal ¢ per therm'!J78</f>
        <v>0</v>
      </c>
      <c r="I78" s="251">
        <f t="shared" si="57"/>
        <v>0</v>
      </c>
      <c r="J78" s="251">
        <f t="shared" si="58"/>
        <v>0</v>
      </c>
      <c r="K78" s="243">
        <f>+'[9]Allocation = % of margin'!P78</f>
        <v>0</v>
      </c>
      <c r="L78" s="243">
        <f>+'[9]Allocation = % of margin'!Q78</f>
        <v>0</v>
      </c>
      <c r="M78" s="243">
        <f>+'[9]Allocation = % of margin'!R78</f>
        <v>0</v>
      </c>
      <c r="N78" s="243">
        <f>+'[9]Allocation = % of margin'!S78</f>
        <v>0</v>
      </c>
      <c r="O78" s="243">
        <f>+'[9]Allocation = % of margin'!T78</f>
        <v>0</v>
      </c>
      <c r="P78" s="243">
        <f>'[9]Allocation = % of margin'!AE78</f>
        <v>0</v>
      </c>
      <c r="Q78" s="243">
        <f>' Increments  equal ¢ per therm'!Q78</f>
        <v>0</v>
      </c>
      <c r="R78" s="243">
        <f>'[9]Allocation = % of margin'!AH78</f>
        <v>2.9E-4</v>
      </c>
      <c r="S78" s="243">
        <f>' Increments  equal ¢ per therm'!T78</f>
        <v>3.5E-4</v>
      </c>
      <c r="T78" s="243">
        <f>'[9]Allocation = % of revenue'!M78</f>
        <v>0</v>
      </c>
      <c r="U78" s="243">
        <f>'[9]Allocation = % of margin'!AK78</f>
        <v>7.5000000000000002E-4</v>
      </c>
      <c r="V78" s="243">
        <f>' Increments  equal ¢ per therm'!W78</f>
        <v>0.24073</v>
      </c>
      <c r="W78" s="249">
        <f t="shared" si="59"/>
        <v>0.24212</v>
      </c>
      <c r="X78" s="249">
        <f t="shared" si="60"/>
        <v>-7.3000000000000842E-4</v>
      </c>
      <c r="Y78" s="243"/>
      <c r="Z78" s="248">
        <f t="shared" si="33"/>
        <v>0.24212</v>
      </c>
      <c r="AA78" s="248">
        <f t="shared" si="34"/>
        <v>1.39E-3</v>
      </c>
      <c r="AB78" s="248">
        <f t="shared" si="35"/>
        <v>0</v>
      </c>
      <c r="AC78" s="248">
        <f t="shared" si="36"/>
        <v>0</v>
      </c>
      <c r="AD78" s="248">
        <f t="shared" si="37"/>
        <v>0.24212</v>
      </c>
      <c r="AE78" s="248">
        <f t="shared" si="61"/>
        <v>0.24212</v>
      </c>
      <c r="AF78" s="248">
        <f>[9]Permanents!G78</f>
        <v>1.9810000000000001E-2</v>
      </c>
      <c r="AG78" s="247">
        <f t="shared" si="39"/>
        <v>0</v>
      </c>
      <c r="AH78" s="243">
        <f t="shared" si="40"/>
        <v>0</v>
      </c>
      <c r="AI78" s="243">
        <f t="shared" si="41"/>
        <v>0</v>
      </c>
      <c r="AJ78" s="243">
        <f t="shared" si="42"/>
        <v>2.9E-4</v>
      </c>
      <c r="AK78" s="243">
        <f t="shared" si="43"/>
        <v>3.5E-4</v>
      </c>
      <c r="AL78" s="243">
        <f t="shared" si="44"/>
        <v>0</v>
      </c>
      <c r="AM78" s="243">
        <f t="shared" si="45"/>
        <v>0</v>
      </c>
      <c r="AN78" s="243">
        <f t="shared" si="46"/>
        <v>0</v>
      </c>
      <c r="AO78" s="243">
        <f>[9]Permanents!F78</f>
        <v>0</v>
      </c>
      <c r="AP78" s="243">
        <f t="shared" si="47"/>
        <v>7.5000000000000002E-4</v>
      </c>
      <c r="AQ78" s="243">
        <f t="shared" si="48"/>
        <v>0.24073</v>
      </c>
      <c r="AR78" s="243"/>
      <c r="AS78" s="243"/>
      <c r="AT78" s="243">
        <f t="shared" si="49"/>
        <v>0</v>
      </c>
      <c r="AU78" s="243">
        <f t="shared" si="50"/>
        <v>0</v>
      </c>
      <c r="AV78" s="243">
        <f t="shared" si="62"/>
        <v>0</v>
      </c>
      <c r="AW78" s="246">
        <f>[31]Temporaries!Q78</f>
        <v>0</v>
      </c>
      <c r="AX78" s="246">
        <f>SUM([31]Temporaries!K78:M78)</f>
        <v>0</v>
      </c>
      <c r="AY78" s="246">
        <f>SUM([31]Temporaries!N78:O78)</f>
        <v>0</v>
      </c>
      <c r="AZ78" s="245">
        <f>[31]Temporaries!R78</f>
        <v>2.7999999999999998E-4</v>
      </c>
      <c r="BA78" s="245">
        <f t="shared" si="52"/>
        <v>0</v>
      </c>
      <c r="BB78" s="255">
        <f>[31]Temporaries!P78</f>
        <v>-2.0000000000000002E-5</v>
      </c>
      <c r="BC78" s="245">
        <f>[31]Temporaries!S78</f>
        <v>1.0300000000000001E-3</v>
      </c>
      <c r="BD78" s="245">
        <f>[31]Temporaries!T78</f>
        <v>8.0000000000000007E-5</v>
      </c>
      <c r="BE78" s="245">
        <f>[31]Temporaries!U78</f>
        <v>7.5000000000000002E-4</v>
      </c>
      <c r="BF78" s="245">
        <v>0.24073</v>
      </c>
      <c r="BG78" s="245"/>
      <c r="BH78" s="244">
        <f t="shared" si="63"/>
        <v>0</v>
      </c>
      <c r="BI78" s="243">
        <f t="shared" si="54"/>
        <v>0.24212</v>
      </c>
      <c r="BJ78" s="243">
        <f t="shared" si="55"/>
        <v>0.24212</v>
      </c>
    </row>
    <row r="79" spans="1:62" x14ac:dyDescent="0.25">
      <c r="A79" s="233">
        <f t="shared" si="56"/>
        <v>73</v>
      </c>
      <c r="B79" s="258" t="s">
        <v>80</v>
      </c>
      <c r="C79" s="258"/>
      <c r="D79" s="253">
        <v>0.24193999999999999</v>
      </c>
      <c r="E79" s="253">
        <v>0</v>
      </c>
      <c r="F79" s="253">
        <f>+' Increments  equal ¢ per therm'!H79</f>
        <v>0</v>
      </c>
      <c r="G79" s="253">
        <f>+' Increments  equal ¢ per therm'!I79</f>
        <v>0</v>
      </c>
      <c r="H79" s="253">
        <f>+' Increments  equal ¢ per therm'!J79</f>
        <v>0</v>
      </c>
      <c r="I79" s="253">
        <f t="shared" si="57"/>
        <v>0</v>
      </c>
      <c r="J79" s="253">
        <f t="shared" si="58"/>
        <v>0</v>
      </c>
      <c r="K79" s="257">
        <f>+'[9]Allocation = % of margin'!P79</f>
        <v>0</v>
      </c>
      <c r="L79" s="257">
        <f>+'[9]Allocation = % of margin'!Q79</f>
        <v>0</v>
      </c>
      <c r="M79" s="257">
        <f>+'[9]Allocation = % of margin'!R79</f>
        <v>0</v>
      </c>
      <c r="N79" s="257">
        <f>+'[9]Allocation = % of margin'!S79</f>
        <v>0</v>
      </c>
      <c r="O79" s="257">
        <f>+'[9]Allocation = % of margin'!T79</f>
        <v>0</v>
      </c>
      <c r="P79" s="257">
        <f>'[9]Allocation = % of margin'!AE79</f>
        <v>0</v>
      </c>
      <c r="Q79" s="257">
        <f>' Increments  equal ¢ per therm'!Q79</f>
        <v>0</v>
      </c>
      <c r="R79" s="257">
        <f>'[9]Allocation = % of margin'!AH79</f>
        <v>0</v>
      </c>
      <c r="S79" s="257">
        <f>' Increments  equal ¢ per therm'!T79</f>
        <v>3.5E-4</v>
      </c>
      <c r="T79" s="257">
        <f>'[9]Allocation = % of revenue'!M79</f>
        <v>0</v>
      </c>
      <c r="U79" s="257">
        <f>'[9]Allocation = % of margin'!AK79</f>
        <v>1.9000000000000001E-4</v>
      </c>
      <c r="V79" s="257">
        <f>' Increments  equal ¢ per therm'!W79</f>
        <v>0.24073</v>
      </c>
      <c r="W79" s="257">
        <f t="shared" si="59"/>
        <v>0.24127000000000001</v>
      </c>
      <c r="X79" s="257">
        <f t="shared" si="60"/>
        <v>-6.6999999999997617E-4</v>
      </c>
      <c r="Y79" s="243"/>
      <c r="Z79" s="248">
        <f t="shared" si="33"/>
        <v>0.24127000000000001</v>
      </c>
      <c r="AA79" s="248">
        <f t="shared" si="34"/>
        <v>5.4000000000000001E-4</v>
      </c>
      <c r="AB79" s="248">
        <f t="shared" si="35"/>
        <v>0</v>
      </c>
      <c r="AC79" s="248">
        <f t="shared" si="36"/>
        <v>0</v>
      </c>
      <c r="AD79" s="248">
        <f t="shared" si="37"/>
        <v>0.24127000000000001</v>
      </c>
      <c r="AE79" s="248">
        <f t="shared" si="61"/>
        <v>0.24127000000000001</v>
      </c>
      <c r="AF79" s="248">
        <f>[9]Permanents!G79</f>
        <v>4.9099999999999994E-3</v>
      </c>
      <c r="AG79" s="247">
        <f t="shared" si="39"/>
        <v>0</v>
      </c>
      <c r="AH79" s="243">
        <f t="shared" si="40"/>
        <v>0</v>
      </c>
      <c r="AI79" s="243">
        <f t="shared" si="41"/>
        <v>0</v>
      </c>
      <c r="AJ79" s="243">
        <f t="shared" si="42"/>
        <v>0</v>
      </c>
      <c r="AK79" s="243">
        <f t="shared" si="43"/>
        <v>3.5E-4</v>
      </c>
      <c r="AL79" s="243">
        <f t="shared" si="44"/>
        <v>0</v>
      </c>
      <c r="AM79" s="243">
        <f t="shared" si="45"/>
        <v>0</v>
      </c>
      <c r="AN79" s="243">
        <f t="shared" si="46"/>
        <v>0</v>
      </c>
      <c r="AO79" s="243">
        <f>[9]Permanents!F79</f>
        <v>0</v>
      </c>
      <c r="AP79" s="243">
        <f t="shared" si="47"/>
        <v>1.9000000000000001E-4</v>
      </c>
      <c r="AQ79" s="243">
        <f t="shared" si="48"/>
        <v>0.24073</v>
      </c>
      <c r="AR79" s="243"/>
      <c r="AS79" s="243"/>
      <c r="AT79" s="243">
        <f t="shared" si="49"/>
        <v>0</v>
      </c>
      <c r="AU79" s="243">
        <f t="shared" si="50"/>
        <v>0</v>
      </c>
      <c r="AV79" s="243">
        <f t="shared" si="62"/>
        <v>0</v>
      </c>
      <c r="AW79" s="246">
        <f>[31]Temporaries!Q79</f>
        <v>0</v>
      </c>
      <c r="AX79" s="246">
        <f>SUM([31]Temporaries!K79:M79)</f>
        <v>0</v>
      </c>
      <c r="AY79" s="246">
        <f>SUM([31]Temporaries!N79:O79)</f>
        <v>0</v>
      </c>
      <c r="AZ79" s="245">
        <f>[31]Temporaries!R79</f>
        <v>0</v>
      </c>
      <c r="BA79" s="245">
        <f t="shared" si="52"/>
        <v>0</v>
      </c>
      <c r="BB79" s="255">
        <f>[31]Temporaries!P79</f>
        <v>-1.0000000000000001E-5</v>
      </c>
      <c r="BC79" s="245">
        <f>[31]Temporaries!S79</f>
        <v>1.0300000000000001E-3</v>
      </c>
      <c r="BD79" s="245">
        <f>[31]Temporaries!T79</f>
        <v>0</v>
      </c>
      <c r="BE79" s="245">
        <f>[31]Temporaries!U79</f>
        <v>1.9000000000000001E-4</v>
      </c>
      <c r="BF79" s="245">
        <v>0.24073</v>
      </c>
      <c r="BG79" s="245"/>
      <c r="BH79" s="244">
        <f t="shared" si="63"/>
        <v>0</v>
      </c>
      <c r="BI79" s="243">
        <f t="shared" si="54"/>
        <v>0.24127000000000001</v>
      </c>
      <c r="BJ79" s="243">
        <f t="shared" si="55"/>
        <v>0.24127000000000001</v>
      </c>
    </row>
    <row r="80" spans="1:62" x14ac:dyDescent="0.25">
      <c r="A80" s="233">
        <f t="shared" si="56"/>
        <v>74</v>
      </c>
      <c r="B80" s="254" t="s">
        <v>81</v>
      </c>
      <c r="C80" s="254"/>
      <c r="D80" s="251">
        <v>0.24193999999999999</v>
      </c>
      <c r="E80" s="256">
        <v>0</v>
      </c>
      <c r="F80" s="251">
        <f>+' Increments  equal ¢ per therm'!H80</f>
        <v>0</v>
      </c>
      <c r="G80" s="251">
        <f>+' Increments  equal ¢ per therm'!K80</f>
        <v>0</v>
      </c>
      <c r="H80" s="251">
        <f>+' Increments  equal ¢ per therm'!N80</f>
        <v>0</v>
      </c>
      <c r="I80" s="251">
        <f t="shared" si="57"/>
        <v>0</v>
      </c>
      <c r="J80" s="251">
        <f t="shared" si="58"/>
        <v>0</v>
      </c>
      <c r="K80" s="249">
        <f>+'[9]Allocation = % of margin'!P80</f>
        <v>0</v>
      </c>
      <c r="L80" s="249">
        <f>+'[9]Allocation = % of margin'!S80</f>
        <v>0</v>
      </c>
      <c r="M80" s="249">
        <f>+'[9]Allocation = % of margin'!V80</f>
        <v>0</v>
      </c>
      <c r="N80" s="249">
        <f>+'[9]Allocation = % of margin'!Y80</f>
        <v>0</v>
      </c>
      <c r="O80" s="249">
        <f>+'[9]Allocation = % of margin'!AB80</f>
        <v>0</v>
      </c>
      <c r="P80" s="249">
        <f>'[9]Allocation = % of margin'!AE80</f>
        <v>0</v>
      </c>
      <c r="Q80" s="249">
        <f>' Increments  equal ¢ per therm'!Q80</f>
        <v>0</v>
      </c>
      <c r="R80" s="249">
        <f>'[9]Allocation = % of margin'!AH80</f>
        <v>0</v>
      </c>
      <c r="S80" s="249">
        <f>' Increments  equal ¢ per therm'!T80</f>
        <v>3.5E-4</v>
      </c>
      <c r="T80" s="249">
        <f>'[9]Allocation = % of revenue'!M80</f>
        <v>0</v>
      </c>
      <c r="U80" s="249">
        <f>'[9]Allocation = % of margin'!AK80</f>
        <v>1.9000000000000001E-4</v>
      </c>
      <c r="V80" s="249">
        <f>' Increments  equal ¢ per therm'!W80</f>
        <v>0.24073</v>
      </c>
      <c r="W80" s="249">
        <f t="shared" si="59"/>
        <v>0.24127000000000001</v>
      </c>
      <c r="X80" s="249">
        <f t="shared" si="60"/>
        <v>-6.6999999999997617E-4</v>
      </c>
      <c r="Y80" s="243"/>
      <c r="Z80" s="248">
        <f t="shared" si="33"/>
        <v>0.24127000000000001</v>
      </c>
      <c r="AA80" s="248">
        <f t="shared" si="34"/>
        <v>5.4000000000000001E-4</v>
      </c>
      <c r="AB80" s="248">
        <f t="shared" si="35"/>
        <v>0</v>
      </c>
      <c r="AC80" s="248">
        <f t="shared" si="36"/>
        <v>0</v>
      </c>
      <c r="AD80" s="248">
        <f t="shared" si="37"/>
        <v>0.24127000000000001</v>
      </c>
      <c r="AE80" s="248">
        <f t="shared" si="61"/>
        <v>0.24127000000000001</v>
      </c>
      <c r="AF80" s="248">
        <f>[9]Permanents!G80</f>
        <v>4.9099999999999994E-3</v>
      </c>
      <c r="AG80" s="247">
        <f t="shared" si="39"/>
        <v>0</v>
      </c>
      <c r="AH80" s="243">
        <f t="shared" si="40"/>
        <v>0</v>
      </c>
      <c r="AI80" s="243">
        <f t="shared" si="41"/>
        <v>0</v>
      </c>
      <c r="AJ80" s="243">
        <f t="shared" si="42"/>
        <v>0</v>
      </c>
      <c r="AK80" s="243">
        <f t="shared" si="43"/>
        <v>3.5E-4</v>
      </c>
      <c r="AL80" s="243">
        <f t="shared" si="44"/>
        <v>0</v>
      </c>
      <c r="AM80" s="243">
        <f t="shared" si="45"/>
        <v>0</v>
      </c>
      <c r="AN80" s="243">
        <f t="shared" si="46"/>
        <v>0</v>
      </c>
      <c r="AO80" s="243">
        <f>[9]Permanents!F80</f>
        <v>0</v>
      </c>
      <c r="AP80" s="243">
        <f t="shared" si="47"/>
        <v>1.9000000000000001E-4</v>
      </c>
      <c r="AQ80" s="243">
        <f t="shared" si="48"/>
        <v>0.24073</v>
      </c>
      <c r="AR80" s="243"/>
      <c r="AS80" s="243"/>
      <c r="AT80" s="243">
        <f t="shared" si="49"/>
        <v>0</v>
      </c>
      <c r="AU80" s="243">
        <f t="shared" si="50"/>
        <v>0</v>
      </c>
      <c r="AV80" s="243">
        <f t="shared" si="62"/>
        <v>0</v>
      </c>
      <c r="AW80" s="246">
        <f>[31]Temporaries!Q80</f>
        <v>0</v>
      </c>
      <c r="AX80" s="246">
        <f>SUM([31]Temporaries!K80:M80)</f>
        <v>0</v>
      </c>
      <c r="AY80" s="246">
        <f>SUM([31]Temporaries!N80:O80)</f>
        <v>0</v>
      </c>
      <c r="AZ80" s="245">
        <f>[31]Temporaries!R80</f>
        <v>0</v>
      </c>
      <c r="BA80" s="245">
        <f t="shared" si="52"/>
        <v>0</v>
      </c>
      <c r="BB80" s="255">
        <f>[31]Temporaries!P80</f>
        <v>-1.0000000000000001E-5</v>
      </c>
      <c r="BC80" s="245">
        <f>[31]Temporaries!S80</f>
        <v>1.0300000000000001E-3</v>
      </c>
      <c r="BD80" s="245">
        <f>[31]Temporaries!T80</f>
        <v>0</v>
      </c>
      <c r="BE80" s="245">
        <f>[31]Temporaries!U80</f>
        <v>1.9000000000000001E-4</v>
      </c>
      <c r="BF80" s="245">
        <v>0.24073</v>
      </c>
      <c r="BG80" s="245"/>
      <c r="BH80" s="244">
        <f t="shared" si="63"/>
        <v>0</v>
      </c>
      <c r="BI80" s="243">
        <f t="shared" si="54"/>
        <v>0.24127000000000001</v>
      </c>
      <c r="BJ80" s="243">
        <f t="shared" si="55"/>
        <v>0.24127000000000001</v>
      </c>
    </row>
    <row r="81" spans="1:62" x14ac:dyDescent="0.25">
      <c r="A81" s="233">
        <f t="shared" si="56"/>
        <v>75</v>
      </c>
      <c r="B81" s="254" t="s">
        <v>82</v>
      </c>
      <c r="C81" s="254"/>
      <c r="D81" s="251">
        <v>0.49725999999999998</v>
      </c>
      <c r="E81" s="253">
        <v>0</v>
      </c>
      <c r="F81" s="252"/>
      <c r="G81" s="252"/>
      <c r="H81" s="251"/>
      <c r="I81" s="251"/>
      <c r="J81" s="251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50"/>
      <c r="X81" s="249"/>
      <c r="Z81" s="248">
        <f t="shared" si="33"/>
        <v>0</v>
      </c>
      <c r="AA81" s="248">
        <f t="shared" si="34"/>
        <v>0</v>
      </c>
      <c r="AB81" s="248">
        <f t="shared" si="35"/>
        <v>0</v>
      </c>
      <c r="AC81" s="248">
        <f t="shared" si="36"/>
        <v>0</v>
      </c>
      <c r="AD81" s="248">
        <f t="shared" si="37"/>
        <v>0</v>
      </c>
      <c r="AE81" s="248">
        <f t="shared" si="61"/>
        <v>0</v>
      </c>
      <c r="AF81" s="248">
        <f>[9]Permanents!G81</f>
        <v>0</v>
      </c>
      <c r="AG81" s="247">
        <f t="shared" si="39"/>
        <v>0</v>
      </c>
      <c r="AH81" s="243">
        <f t="shared" si="40"/>
        <v>0</v>
      </c>
      <c r="AI81" s="243">
        <f t="shared" si="41"/>
        <v>0</v>
      </c>
      <c r="AJ81" s="243">
        <f t="shared" si="42"/>
        <v>0</v>
      </c>
      <c r="AK81" s="243">
        <f t="shared" si="43"/>
        <v>0</v>
      </c>
      <c r="AL81" s="243">
        <f t="shared" si="44"/>
        <v>0</v>
      </c>
      <c r="AM81" s="243">
        <f t="shared" si="45"/>
        <v>0</v>
      </c>
      <c r="AN81" s="243">
        <f t="shared" si="46"/>
        <v>0</v>
      </c>
      <c r="AO81" s="243">
        <f>[9]Permanents!F81</f>
        <v>0</v>
      </c>
      <c r="AP81" s="243">
        <f t="shared" si="47"/>
        <v>0</v>
      </c>
      <c r="AQ81" s="243">
        <f t="shared" si="48"/>
        <v>0</v>
      </c>
      <c r="AR81" s="243"/>
      <c r="AS81" s="243"/>
      <c r="AT81" s="243">
        <f t="shared" si="49"/>
        <v>0</v>
      </c>
      <c r="AU81" s="243">
        <f t="shared" si="50"/>
        <v>0</v>
      </c>
      <c r="AV81" s="243">
        <f t="shared" si="62"/>
        <v>0</v>
      </c>
      <c r="AW81" s="246">
        <f>[31]Temporaries!Q81</f>
        <v>0</v>
      </c>
      <c r="AX81" s="246">
        <f>SUM([31]Temporaries!K81:M81)</f>
        <v>0</v>
      </c>
      <c r="AY81" s="246">
        <f>SUM([31]Temporaries!N81:O81)</f>
        <v>0</v>
      </c>
      <c r="AZ81" s="245">
        <f>[31]Temporaries!R81</f>
        <v>0</v>
      </c>
      <c r="BA81" s="245">
        <f t="shared" si="52"/>
        <v>0</v>
      </c>
      <c r="BB81" s="245">
        <f>[31]Temporaries!P81</f>
        <v>0</v>
      </c>
      <c r="BC81" s="245">
        <f>[31]Temporaries!S81</f>
        <v>0</v>
      </c>
      <c r="BD81" s="245">
        <f>[31]Temporaries!T81</f>
        <v>0</v>
      </c>
      <c r="BE81" s="245">
        <f>[31]Temporaries!U81</f>
        <v>0</v>
      </c>
      <c r="BF81" s="245">
        <v>0.49725999999999998</v>
      </c>
      <c r="BG81" s="245"/>
      <c r="BH81" s="244">
        <f t="shared" si="63"/>
        <v>0</v>
      </c>
      <c r="BI81" s="243">
        <f t="shared" si="54"/>
        <v>0</v>
      </c>
      <c r="BJ81" s="243">
        <f t="shared" si="55"/>
        <v>0</v>
      </c>
    </row>
    <row r="82" spans="1:62" x14ac:dyDescent="0.25">
      <c r="A82" s="233">
        <f t="shared" si="56"/>
        <v>76</v>
      </c>
      <c r="B82" s="235"/>
      <c r="C82" s="235"/>
      <c r="D82" s="235"/>
      <c r="E82" s="235"/>
      <c r="F82" s="235"/>
      <c r="G82" s="235"/>
      <c r="H82" s="235"/>
      <c r="I82" s="235"/>
      <c r="J82" s="235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AZ82" s="234"/>
      <c r="BA82" s="234"/>
      <c r="BB82" s="234"/>
      <c r="BC82" s="234"/>
      <c r="BD82" s="234"/>
      <c r="BE82" s="234"/>
    </row>
    <row r="83" spans="1:62" ht="15.75" thickBot="1" x14ac:dyDescent="0.3">
      <c r="A83" s="233">
        <f t="shared" si="56"/>
        <v>77</v>
      </c>
      <c r="B83" s="236" t="s">
        <v>164</v>
      </c>
      <c r="C83" s="235"/>
      <c r="D83" s="235"/>
      <c r="E83" s="235"/>
      <c r="F83" s="235"/>
      <c r="G83" s="235"/>
      <c r="H83" s="235"/>
      <c r="I83" s="235"/>
      <c r="J83" s="235"/>
    </row>
    <row r="84" spans="1:62" ht="15.75" thickBot="1" x14ac:dyDescent="0.3">
      <c r="A84" s="233">
        <f t="shared" si="56"/>
        <v>78</v>
      </c>
      <c r="B84" s="232" t="s">
        <v>165</v>
      </c>
      <c r="C84" s="231"/>
      <c r="D84" s="242" t="s">
        <v>166</v>
      </c>
      <c r="E84" s="230" t="str">
        <f>D84</f>
        <v>23-24 PGA</v>
      </c>
      <c r="F84" s="231"/>
      <c r="G84" s="231"/>
      <c r="H84" s="231"/>
      <c r="I84" s="231"/>
      <c r="J84" s="23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0"/>
      <c r="BF84" s="234"/>
      <c r="BG84" s="234"/>
    </row>
    <row r="85" spans="1:62" ht="15.75" thickBot="1" x14ac:dyDescent="0.3">
      <c r="A85" s="233">
        <f t="shared" si="56"/>
        <v>79</v>
      </c>
      <c r="B85" s="235"/>
      <c r="C85" s="235"/>
      <c r="D85" s="235"/>
      <c r="E85" s="235"/>
      <c r="F85" s="235"/>
      <c r="G85" s="235"/>
      <c r="H85" s="235"/>
      <c r="I85" s="235"/>
      <c r="J85" s="235"/>
    </row>
    <row r="86" spans="1:62" ht="15.75" thickBot="1" x14ac:dyDescent="0.3">
      <c r="A86" s="233">
        <f t="shared" si="56"/>
        <v>80</v>
      </c>
      <c r="B86" s="232" t="s">
        <v>167</v>
      </c>
      <c r="C86" s="231"/>
      <c r="D86" s="231"/>
      <c r="E86" s="231"/>
      <c r="F86" s="230" t="s">
        <v>168</v>
      </c>
      <c r="G86" s="230" t="s">
        <v>169</v>
      </c>
      <c r="H86" s="230" t="s">
        <v>170</v>
      </c>
      <c r="I86" s="230"/>
      <c r="J86" s="230"/>
      <c r="K86" s="237"/>
      <c r="L86" s="237"/>
      <c r="M86" s="237"/>
      <c r="N86" s="237"/>
      <c r="O86" s="237"/>
      <c r="P86" s="237"/>
      <c r="Q86" s="237"/>
      <c r="R86" s="237"/>
      <c r="S86" s="239"/>
      <c r="T86" s="239"/>
      <c r="U86" s="237"/>
      <c r="V86" s="237"/>
      <c r="W86" s="237"/>
      <c r="X86" s="238"/>
    </row>
    <row r="87" spans="1:62" ht="15.75" thickBot="1" x14ac:dyDescent="0.3">
      <c r="A87" s="233">
        <f t="shared" si="56"/>
        <v>81</v>
      </c>
      <c r="B87" s="232" t="s">
        <v>171</v>
      </c>
      <c r="C87" s="231"/>
      <c r="D87" s="231"/>
      <c r="E87" s="231"/>
      <c r="F87" s="231"/>
      <c r="G87" s="231"/>
      <c r="H87" s="231"/>
      <c r="I87" s="231"/>
      <c r="J87" s="231"/>
      <c r="K87" s="229" t="s">
        <v>172</v>
      </c>
      <c r="L87" s="229" t="s">
        <v>172</v>
      </c>
      <c r="M87" s="229" t="s">
        <v>173</v>
      </c>
      <c r="N87" s="229" t="s">
        <v>174</v>
      </c>
      <c r="O87" s="229" t="s">
        <v>175</v>
      </c>
      <c r="P87" s="229"/>
      <c r="Q87" s="229" t="s">
        <v>176</v>
      </c>
      <c r="R87" s="229" t="s">
        <v>177</v>
      </c>
      <c r="S87" s="237"/>
      <c r="T87" s="237"/>
      <c r="U87" s="227"/>
      <c r="V87" s="227"/>
      <c r="W87" s="227"/>
      <c r="X87" s="226"/>
    </row>
    <row r="88" spans="1:62" ht="15.75" thickBot="1" x14ac:dyDescent="0.3">
      <c r="A88" s="233">
        <f t="shared" si="56"/>
        <v>82</v>
      </c>
      <c r="B88" s="232" t="s">
        <v>178</v>
      </c>
      <c r="C88" s="231"/>
      <c r="D88" s="231"/>
      <c r="E88" s="231"/>
      <c r="F88" s="231"/>
      <c r="G88" s="231"/>
      <c r="H88" s="231"/>
      <c r="I88" s="231"/>
      <c r="J88" s="231"/>
      <c r="K88" s="229"/>
      <c r="L88" s="229"/>
      <c r="M88" s="229"/>
      <c r="N88" s="229"/>
      <c r="O88" s="229"/>
      <c r="P88" s="229"/>
      <c r="Q88" s="229"/>
      <c r="R88" s="229"/>
      <c r="S88" s="229" t="s">
        <v>169</v>
      </c>
      <c r="T88" s="237"/>
      <c r="U88" s="227"/>
      <c r="V88" s="227"/>
      <c r="W88" s="227"/>
      <c r="X88" s="226"/>
    </row>
    <row r="89" spans="1:62" ht="15.75" thickBot="1" x14ac:dyDescent="0.3">
      <c r="A89" s="233">
        <f t="shared" si="56"/>
        <v>83</v>
      </c>
      <c r="B89" s="236" t="s">
        <v>92</v>
      </c>
      <c r="C89" s="235"/>
      <c r="D89" s="235"/>
      <c r="E89" s="235"/>
      <c r="F89" s="235"/>
      <c r="G89" s="235"/>
      <c r="H89" s="235"/>
      <c r="I89" s="235"/>
      <c r="J89" s="235"/>
      <c r="K89" s="234"/>
      <c r="L89" s="234"/>
      <c r="M89" s="234"/>
      <c r="N89" s="234"/>
      <c r="O89" s="234"/>
      <c r="P89" s="234"/>
    </row>
    <row r="90" spans="1:62" ht="15.75" thickBot="1" x14ac:dyDescent="0.3">
      <c r="A90" s="233">
        <f t="shared" si="56"/>
        <v>84</v>
      </c>
      <c r="B90" s="232" t="s">
        <v>93</v>
      </c>
      <c r="C90" s="231"/>
      <c r="D90" s="231"/>
      <c r="E90" s="231"/>
      <c r="F90" s="230" t="str">
        <f>+' Increments  equal ¢ per therm'!F88</f>
        <v>Sched 201</v>
      </c>
      <c r="G90" s="230" t="str">
        <f>+' Increments  equal ¢ per therm'!I88</f>
        <v>Sched 201</v>
      </c>
      <c r="H90" s="230" t="str">
        <f>+' Increments  equal ¢ per therm'!L88</f>
        <v>Sched 201</v>
      </c>
      <c r="I90" s="230" t="s">
        <v>179</v>
      </c>
      <c r="J90" s="230" t="s">
        <v>179</v>
      </c>
      <c r="K90" s="229" t="str">
        <f>+'[9]Allocation = % of margin'!N88</f>
        <v>Sched 215</v>
      </c>
      <c r="L90" s="229" t="str">
        <f>K90</f>
        <v>Sched 215</v>
      </c>
      <c r="M90" s="229" t="str">
        <f>K90</f>
        <v>Sched 215</v>
      </c>
      <c r="N90" s="229" t="str">
        <f>+'[9]Allocation = % of margin'!W88</f>
        <v>Sched 230, Prg J</v>
      </c>
      <c r="O90" s="229" t="str">
        <f>+'[9]Allocation = % of margin'!Z88</f>
        <v>Sched 230, Prg I</v>
      </c>
      <c r="P90" s="229"/>
      <c r="Q90" s="229" t="str">
        <f>+'[9]Allocation = % of margin'!AC88</f>
        <v>Sched 209</v>
      </c>
      <c r="R90" s="229" t="s">
        <v>180</v>
      </c>
      <c r="S90" s="228"/>
      <c r="T90" s="228"/>
      <c r="U90" s="227"/>
      <c r="V90" s="227"/>
      <c r="W90" s="227"/>
      <c r="X90" s="226"/>
    </row>
    <row r="96" spans="1:62" x14ac:dyDescent="0.25">
      <c r="B96" s="224" t="s">
        <v>181</v>
      </c>
    </row>
  </sheetData>
  <mergeCells count="7">
    <mergeCell ref="AY11:AY12"/>
    <mergeCell ref="AZ11:AZ12"/>
    <mergeCell ref="BB11:BB12"/>
    <mergeCell ref="AH7:AH9"/>
    <mergeCell ref="AX11:AX12"/>
    <mergeCell ref="BA11:BA12"/>
    <mergeCell ref="AW11:AW12"/>
  </mergeCells>
  <conditionalFormatting sqref="W9">
    <cfRule type="cellIs" dxfId="31" priority="1" operator="notEqual">
      <formula>0</formula>
    </cfRule>
    <cfRule type="cellIs" dxfId="30" priority="2" operator="equal">
      <formula>0</formula>
    </cfRule>
  </conditionalFormatting>
  <pageMargins left="0.7" right="0.7" top="0.75" bottom="0.75" header="0.3" footer="0.3"/>
  <pageSetup scale="41" orientation="portrait" r:id="rId1"/>
  <headerFooter alignWithMargins="0">
    <oddHeader>&amp;R&amp;"Arial,Regular"NWN WUTC Advice 25-08
Exhibit A - Supporting Materials
Page &amp;P of &amp;N</oddHeader>
  </headerFooter>
  <colBreaks count="1" manualBreakCount="1">
    <brk id="22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9E5F-9CBD-4549-94D3-1DDF248548DB}">
  <sheetPr>
    <tabColor theme="0" tint="-0.14999847407452621"/>
    <pageSetUpPr fitToPage="1"/>
  </sheetPr>
  <dimension ref="A1:X456"/>
  <sheetViews>
    <sheetView zoomScale="70" zoomScaleNormal="70" workbookViewId="0">
      <pane xSplit="3" ySplit="9" topLeftCell="D30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6640625" defaultRowHeight="15" outlineLevelRow="1" x14ac:dyDescent="0.25"/>
  <cols>
    <col min="1" max="1" width="6.33203125" style="551" customWidth="1"/>
    <col min="2" max="2" width="32.5" style="551" customWidth="1"/>
    <col min="3" max="3" width="28" style="551" customWidth="1"/>
    <col min="4" max="16" width="17" style="551" customWidth="1"/>
    <col min="17" max="17" width="5.33203125" style="551" customWidth="1"/>
    <col min="18" max="18" width="14.83203125" style="552" hidden="1" customWidth="1"/>
    <col min="19" max="19" width="17.83203125" style="551" hidden="1" customWidth="1"/>
    <col min="20" max="20" width="16" style="551" customWidth="1"/>
    <col min="21" max="39" width="13.83203125" style="551" customWidth="1"/>
    <col min="40" max="16384" width="9.6640625" style="551"/>
  </cols>
  <sheetData>
    <row r="1" spans="1:18" x14ac:dyDescent="0.25">
      <c r="A1" s="551" t="str">
        <f>+'[14]Supply Contracts'!A1</f>
        <v>NW Natural</v>
      </c>
      <c r="D1" s="130"/>
      <c r="F1" s="130"/>
      <c r="P1" s="556"/>
    </row>
    <row r="2" spans="1:18" x14ac:dyDescent="0.25">
      <c r="A2" s="551" t="str">
        <f>+'[14]Supply Contracts'!A2</f>
        <v>2025-2026 PGA - SYSTEM: September Filing</v>
      </c>
      <c r="D2" s="130"/>
      <c r="E2" s="130"/>
      <c r="F2" s="130"/>
      <c r="G2" s="130"/>
      <c r="H2" s="130"/>
      <c r="I2" s="130"/>
      <c r="J2" s="130"/>
      <c r="K2" s="130"/>
      <c r="L2" s="130"/>
      <c r="P2" s="556"/>
    </row>
    <row r="3" spans="1:18" x14ac:dyDescent="0.25">
      <c r="A3" s="551" t="s">
        <v>373</v>
      </c>
      <c r="D3" s="130"/>
      <c r="E3" s="130"/>
      <c r="F3" s="130"/>
      <c r="G3" s="130"/>
      <c r="H3" s="130"/>
      <c r="I3" s="130"/>
      <c r="J3" s="130"/>
      <c r="K3" s="130"/>
      <c r="L3" s="130"/>
      <c r="P3" s="615"/>
    </row>
    <row r="4" spans="1:18" x14ac:dyDescent="0.25">
      <c r="A4" s="614" t="s">
        <v>374</v>
      </c>
      <c r="P4" s="556"/>
    </row>
    <row r="5" spans="1:18" ht="15.75" thickBot="1" x14ac:dyDescent="0.3"/>
    <row r="6" spans="1:18" ht="15.75" thickBot="1" x14ac:dyDescent="0.3">
      <c r="A6" s="613" t="s">
        <v>375</v>
      </c>
      <c r="B6" s="612"/>
      <c r="C6" s="611"/>
    </row>
    <row r="7" spans="1:18" x14ac:dyDescent="0.25">
      <c r="A7" s="552">
        <v>1</v>
      </c>
      <c r="B7" s="610" t="s">
        <v>331</v>
      </c>
      <c r="C7" s="610" t="s">
        <v>330</v>
      </c>
      <c r="D7" s="610" t="s">
        <v>329</v>
      </c>
      <c r="E7" s="610" t="s">
        <v>328</v>
      </c>
      <c r="F7" s="610" t="s">
        <v>366</v>
      </c>
      <c r="G7" s="610" t="s">
        <v>325</v>
      </c>
      <c r="H7" s="610" t="s">
        <v>324</v>
      </c>
      <c r="I7" s="610" t="s">
        <v>365</v>
      </c>
      <c r="J7" s="610" t="s">
        <v>376</v>
      </c>
      <c r="K7" s="610" t="s">
        <v>377</v>
      </c>
      <c r="L7" s="610" t="s">
        <v>378</v>
      </c>
      <c r="M7" s="610" t="s">
        <v>379</v>
      </c>
      <c r="N7" s="610" t="s">
        <v>380</v>
      </c>
      <c r="O7" s="610" t="s">
        <v>381</v>
      </c>
      <c r="P7" s="609" t="s">
        <v>382</v>
      </c>
      <c r="Q7" s="608"/>
      <c r="R7" s="608"/>
    </row>
    <row r="8" spans="1:18" x14ac:dyDescent="0.25">
      <c r="A8" s="552">
        <f t="shared" ref="A8:A39" si="0">+A7+1</f>
        <v>2</v>
      </c>
      <c r="B8" s="131"/>
      <c r="D8" s="607" t="s">
        <v>383</v>
      </c>
      <c r="E8" s="607" t="s">
        <v>384</v>
      </c>
      <c r="F8" s="607" t="s">
        <v>385</v>
      </c>
      <c r="G8" s="607" t="s">
        <v>386</v>
      </c>
      <c r="H8" s="607" t="s">
        <v>387</v>
      </c>
      <c r="I8" s="607" t="s">
        <v>388</v>
      </c>
      <c r="J8" s="607" t="s">
        <v>389</v>
      </c>
      <c r="K8" s="607" t="s">
        <v>390</v>
      </c>
      <c r="L8" s="607" t="s">
        <v>391</v>
      </c>
      <c r="M8" s="607" t="s">
        <v>392</v>
      </c>
      <c r="N8" s="607" t="s">
        <v>393</v>
      </c>
      <c r="O8" s="607" t="s">
        <v>394</v>
      </c>
      <c r="P8" s="606" t="s">
        <v>27</v>
      </c>
      <c r="Q8" s="552"/>
    </row>
    <row r="9" spans="1:18" x14ac:dyDescent="0.25">
      <c r="A9" s="552">
        <f t="shared" si="0"/>
        <v>3</v>
      </c>
      <c r="B9" s="131"/>
      <c r="D9" s="552">
        <v>1</v>
      </c>
      <c r="E9" s="552">
        <f t="shared" ref="E9:O9" si="1">+D9+1</f>
        <v>2</v>
      </c>
      <c r="F9" s="552">
        <f t="shared" si="1"/>
        <v>3</v>
      </c>
      <c r="G9" s="552">
        <f t="shared" si="1"/>
        <v>4</v>
      </c>
      <c r="H9" s="552">
        <f t="shared" si="1"/>
        <v>5</v>
      </c>
      <c r="I9" s="552">
        <f t="shared" si="1"/>
        <v>6</v>
      </c>
      <c r="J9" s="552">
        <f t="shared" si="1"/>
        <v>7</v>
      </c>
      <c r="K9" s="552">
        <f t="shared" si="1"/>
        <v>8</v>
      </c>
      <c r="L9" s="552">
        <f t="shared" si="1"/>
        <v>9</v>
      </c>
      <c r="M9" s="552">
        <f t="shared" si="1"/>
        <v>10</v>
      </c>
      <c r="N9" s="552">
        <f t="shared" si="1"/>
        <v>11</v>
      </c>
      <c r="O9" s="552">
        <f t="shared" si="1"/>
        <v>12</v>
      </c>
      <c r="P9" s="605"/>
      <c r="Q9" s="552"/>
    </row>
    <row r="10" spans="1:18" x14ac:dyDescent="0.25">
      <c r="A10" s="552">
        <f t="shared" si="0"/>
        <v>4</v>
      </c>
      <c r="B10" s="132" t="s">
        <v>395</v>
      </c>
      <c r="P10" s="605"/>
      <c r="Q10" s="552"/>
      <c r="R10" s="604" t="s">
        <v>396</v>
      </c>
    </row>
    <row r="11" spans="1:18" x14ac:dyDescent="0.25">
      <c r="A11" s="552">
        <f t="shared" si="0"/>
        <v>5</v>
      </c>
      <c r="B11" s="133" t="s">
        <v>397</v>
      </c>
      <c r="C11" s="133"/>
      <c r="D11" s="134">
        <f>INDEX('[14]Commodity Cost from Supply'!$CG$101:$CG$112,'Total Commodity Summary'!D9)+'[14]General Inputs'!$E$91+'[14]General Inputs'!D96</f>
        <v>3990690.3594634356</v>
      </c>
      <c r="E11" s="135">
        <f>INDEX('[14]Commodity Cost from Supply'!$CG$101:$CG$112,'Total Commodity Summary'!E9)+'[14]General Inputs'!$E$91+'[14]General Inputs'!E96</f>
        <v>5842088.8129347432</v>
      </c>
      <c r="F11" s="135">
        <f>INDEX('[14]Commodity Cost from Supply'!$CG$101:$CG$112,'Total Commodity Summary'!F9)+'[14]General Inputs'!$E$91+'[14]General Inputs'!F96</f>
        <v>5862343.9943979243</v>
      </c>
      <c r="G11" s="135">
        <f>INDEX('[14]Commodity Cost from Supply'!$CG$101:$CG$112,'Total Commodity Summary'!G9)+'[14]General Inputs'!$E$91+'[14]General Inputs'!G96</f>
        <v>4466680.5282100514</v>
      </c>
      <c r="H11" s="135">
        <f>INDEX('[14]Commodity Cost from Supply'!$CG$101:$CG$112,'Total Commodity Summary'!H9)+'[14]General Inputs'!$E$91+'[14]General Inputs'!H96</f>
        <v>3595502.5110878921</v>
      </c>
      <c r="I11" s="135">
        <f>INDEX('[14]Commodity Cost from Supply'!$CG$101:$CG$112,'Total Commodity Summary'!I9)+'[14]General Inputs'!$E$91+'[14]General Inputs'!I96</f>
        <v>1902888.6221132344</v>
      </c>
      <c r="J11" s="135">
        <f>INDEX('[14]Commodity Cost from Supply'!$CG$101:$CG$112,'Total Commodity Summary'!J9)+'[14]General Inputs'!$E$91+'[14]General Inputs'!J96</f>
        <v>1104277.5124630269</v>
      </c>
      <c r="K11" s="135">
        <f>INDEX('[14]Commodity Cost from Supply'!$CG$101:$CG$112,'Total Commodity Summary'!K9)+'[14]General Inputs'!$E$91+'[14]General Inputs'!K96</f>
        <v>849105.86088009854</v>
      </c>
      <c r="L11" s="135">
        <f>INDEX('[14]Commodity Cost from Supply'!$CG$101:$CG$112,'Total Commodity Summary'!L9)+'[14]General Inputs'!$E$91+'[14]General Inputs'!L96</f>
        <v>877679.69350758055</v>
      </c>
      <c r="M11" s="135">
        <f>INDEX('[14]Commodity Cost from Supply'!$CG$101:$CG$112,'Total Commodity Summary'!M9)+'[14]General Inputs'!$E$91+'[14]General Inputs'!M96</f>
        <v>869700.74076242605</v>
      </c>
      <c r="N11" s="135">
        <f>INDEX('[14]Commodity Cost from Supply'!$CG$101:$CG$112,'Total Commodity Summary'!N9)+'[14]General Inputs'!$E$91+'[14]General Inputs'!N96</f>
        <v>907626.61139175284</v>
      </c>
      <c r="O11" s="135">
        <f>INDEX('[14]Commodity Cost from Supply'!$CG$101:$CG$112,'Total Commodity Summary'!O9)+'[14]General Inputs'!$E$91+'[14]General Inputs'!O96</f>
        <v>1680251.7229166562</v>
      </c>
      <c r="P11" s="136">
        <f>SUM(D11:O11)</f>
        <v>31948836.970128823</v>
      </c>
      <c r="Q11" s="584"/>
      <c r="R11" s="602" t="str">
        <f>IF(ROUND('[14]Commodity Cost from Supply'!CG79+'[14]Commodity Cost from Supply'!CG96+('[14]General Inputs'!E91*12)+SUM('[14]General Inputs'!D96:O96)-P11,0)=0,"GOOD","ERROR")</f>
        <v>GOOD</v>
      </c>
    </row>
    <row r="12" spans="1:18" x14ac:dyDescent="0.25">
      <c r="A12" s="552">
        <f t="shared" si="0"/>
        <v>6</v>
      </c>
      <c r="B12" s="131" t="s">
        <v>398</v>
      </c>
      <c r="C12" s="131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603"/>
      <c r="Q12" s="584"/>
      <c r="R12" s="602"/>
    </row>
    <row r="13" spans="1:18" x14ac:dyDescent="0.25">
      <c r="A13" s="552">
        <f t="shared" si="0"/>
        <v>7</v>
      </c>
      <c r="B13" s="131" t="s">
        <v>399</v>
      </c>
      <c r="C13" s="131"/>
      <c r="D13" s="135"/>
      <c r="E13" s="135"/>
      <c r="F13" s="556"/>
      <c r="G13" s="556"/>
      <c r="H13" s="556"/>
      <c r="I13" s="556"/>
      <c r="J13" s="556"/>
      <c r="K13" s="556"/>
      <c r="L13" s="556"/>
      <c r="M13" s="556"/>
      <c r="N13" s="556"/>
      <c r="O13" s="556"/>
      <c r="P13" s="603"/>
      <c r="Q13" s="584"/>
      <c r="R13" s="604" t="s">
        <v>396</v>
      </c>
    </row>
    <row r="14" spans="1:18" x14ac:dyDescent="0.25">
      <c r="A14" s="552">
        <f t="shared" si="0"/>
        <v>8</v>
      </c>
      <c r="B14" s="133" t="s">
        <v>400</v>
      </c>
      <c r="C14" s="131"/>
      <c r="D14" s="135">
        <f>INDEX('[14]Commodity Cost from Vol Pipe'!$F$89:$F$100,'Total Commodity Summary'!D9)</f>
        <v>21567</v>
      </c>
      <c r="E14" s="135">
        <f>INDEX('[14]Commodity Cost from Vol Pipe'!$F$89:$F$100,'Total Commodity Summary'!E9)</f>
        <v>25055</v>
      </c>
      <c r="F14" s="135">
        <f>INDEX('[14]Commodity Cost from Vol Pipe'!$F$89:$F$100,'Total Commodity Summary'!F9)</f>
        <v>24121</v>
      </c>
      <c r="G14" s="135">
        <f>INDEX('[14]Commodity Cost from Vol Pipe'!$F$89:$F$100,'Total Commodity Summary'!G9)</f>
        <v>20589</v>
      </c>
      <c r="H14" s="135">
        <f>INDEX('[14]Commodity Cost from Vol Pipe'!$F$89:$F$100,'Total Commodity Summary'!H9)</f>
        <v>20062</v>
      </c>
      <c r="I14" s="135">
        <f>INDEX('[14]Commodity Cost from Vol Pipe'!$F$89:$F$100,'Total Commodity Summary'!I9)</f>
        <v>14400</v>
      </c>
      <c r="J14" s="135">
        <f>INDEX('[14]Commodity Cost from Vol Pipe'!$F$89:$F$100,'Total Commodity Summary'!J9)</f>
        <v>10366</v>
      </c>
      <c r="K14" s="135">
        <f>INDEX('[14]Commodity Cost from Vol Pipe'!$F$89:$F$100,'Total Commodity Summary'!K9)</f>
        <v>7175</v>
      </c>
      <c r="L14" s="135">
        <f>INDEX('[14]Commodity Cost from Vol Pipe'!$F$89:$F$100,'Total Commodity Summary'!L9)</f>
        <v>5130</v>
      </c>
      <c r="M14" s="135">
        <f>INDEX('[14]Commodity Cost from Vol Pipe'!$F$89:$F$100,'Total Commodity Summary'!M9)</f>
        <v>5019</v>
      </c>
      <c r="N14" s="135">
        <f>INDEX('[14]Commodity Cost from Vol Pipe'!$F$89:$F$100,'Total Commodity Summary'!N9)</f>
        <v>5925</v>
      </c>
      <c r="O14" s="135">
        <f>INDEX('[14]Commodity Cost from Vol Pipe'!$F$89:$F$100,'Total Commodity Summary'!O9)</f>
        <v>12771</v>
      </c>
      <c r="P14" s="137">
        <f>SUM(D14:O14)</f>
        <v>172180</v>
      </c>
      <c r="Q14" s="584"/>
      <c r="R14" s="602" t="str">
        <f>IF('[14]Commodity Cost from Vol Pipe'!F30+'[14]Commodity Cost from Vol Pipe'!F48+'[14]Commodity Cost from Vol Pipe'!F66+'[14]Commodity Cost from Vol Pipe'!F85='Total Commodity Summary'!P14,"GOOD","ERROR")</f>
        <v>GOOD</v>
      </c>
    </row>
    <row r="15" spans="1:18" x14ac:dyDescent="0.25">
      <c r="A15" s="552">
        <f t="shared" si="0"/>
        <v>9</v>
      </c>
      <c r="B15" s="131" t="s">
        <v>401</v>
      </c>
      <c r="D15" s="135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603"/>
      <c r="Q15" s="554"/>
      <c r="R15" s="604" t="s">
        <v>396</v>
      </c>
    </row>
    <row r="16" spans="1:18" x14ac:dyDescent="0.25">
      <c r="A16" s="552">
        <f t="shared" si="0"/>
        <v>10</v>
      </c>
      <c r="B16" s="133" t="s">
        <v>402</v>
      </c>
      <c r="C16" s="131"/>
      <c r="D16" s="135">
        <f>INDEX('[14]Commodity Cost from Storage'!$J$69:$J$80,'Total Commodity Summary'!D9)</f>
        <v>7917</v>
      </c>
      <c r="E16" s="135">
        <f>INDEX('[14]Commodity Cost from Storage'!$J$69:$J$80,'Total Commodity Summary'!E9)</f>
        <v>563895</v>
      </c>
      <c r="F16" s="135">
        <f>INDEX('[14]Commodity Cost from Storage'!$J$69:$J$80,'Total Commodity Summary'!F9)</f>
        <v>727410</v>
      </c>
      <c r="G16" s="135">
        <f>INDEX('[14]Commodity Cost from Storage'!$J$69:$J$80,'Total Commodity Summary'!G9)</f>
        <v>673527</v>
      </c>
      <c r="H16" s="135">
        <f>INDEX('[14]Commodity Cost from Storage'!$J$69:$J$80,'Total Commodity Summary'!H9)</f>
        <v>459569</v>
      </c>
      <c r="I16" s="135">
        <f>INDEX('[14]Commodity Cost from Storage'!$J$69:$J$80,'Total Commodity Summary'!I9)</f>
        <v>53238</v>
      </c>
      <c r="J16" s="135">
        <f>INDEX('[14]Commodity Cost from Storage'!$J$69:$J$80,'Total Commodity Summary'!J9)</f>
        <v>0</v>
      </c>
      <c r="K16" s="135">
        <f>INDEX('[14]Commodity Cost from Storage'!$J$69:$J$80,'Total Commodity Summary'!K9)</f>
        <v>0</v>
      </c>
      <c r="L16" s="135">
        <f>INDEX('[14]Commodity Cost from Storage'!$J$69:$J$80,'Total Commodity Summary'!L9)</f>
        <v>0</v>
      </c>
      <c r="M16" s="135">
        <f>INDEX('[14]Commodity Cost from Storage'!$J$69:$J$80,'Total Commodity Summary'!M9)</f>
        <v>0</v>
      </c>
      <c r="N16" s="135">
        <f>INDEX('[14]Commodity Cost from Storage'!$J$69:$J$80,'Total Commodity Summary'!N9)</f>
        <v>0</v>
      </c>
      <c r="O16" s="135">
        <f>INDEX('[14]Commodity Cost from Storage'!$J$69:$J$80,'Total Commodity Summary'!O9)</f>
        <v>14047</v>
      </c>
      <c r="P16" s="137">
        <f>SUM(D16:O16)</f>
        <v>2499603</v>
      </c>
      <c r="Q16" s="584"/>
      <c r="R16" s="602" t="str">
        <f>IF(SUM('[14]Commodity Cost from Storage'!D53:I64)+SUM('[14]Commodity Cost from Storage'!D34:I45)='Total Commodity Summary'!P16,"GOOD","ERROR")</f>
        <v>GOOD</v>
      </c>
    </row>
    <row r="17" spans="1:22" x14ac:dyDescent="0.25">
      <c r="A17" s="552">
        <f t="shared" si="0"/>
        <v>11</v>
      </c>
      <c r="B17" s="131" t="s">
        <v>403</v>
      </c>
      <c r="D17" s="135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603"/>
      <c r="Q17" s="554"/>
      <c r="R17" s="604" t="s">
        <v>396</v>
      </c>
    </row>
    <row r="18" spans="1:22" x14ac:dyDescent="0.25">
      <c r="A18" s="552">
        <f t="shared" si="0"/>
        <v>12</v>
      </c>
      <c r="B18" s="133" t="s">
        <v>404</v>
      </c>
      <c r="D18" s="135">
        <f>'[14]RNG RTC Costs - HC'!AE4</f>
        <v>151557.16119633711</v>
      </c>
      <c r="E18" s="556">
        <f>'[14]RNG RTC Costs - HC'!AE5</f>
        <v>198235.85188900406</v>
      </c>
      <c r="F18" s="556">
        <f>'[14]RNG RTC Costs - HC'!AE6</f>
        <v>229659.22400215484</v>
      </c>
      <c r="G18" s="556">
        <f>'[14]RNG RTC Costs - HC'!AE7</f>
        <v>258785.71829180667</v>
      </c>
      <c r="H18" s="556">
        <f>'[14]RNG RTC Costs - HC'!AE8</f>
        <v>39800.193823629801</v>
      </c>
      <c r="I18" s="556">
        <f>'[14]RNG RTC Costs - HC'!AE9</f>
        <v>40307.046968527655</v>
      </c>
      <c r="J18" s="556">
        <f>'[14]RNG RTC Costs - HC'!AE10</f>
        <v>41713.292378944294</v>
      </c>
      <c r="K18" s="556">
        <f>'[14]RNG RTC Costs - HC'!AE11</f>
        <v>40101.819247916879</v>
      </c>
      <c r="L18" s="556">
        <f>'[14]RNG RTC Costs - HC'!AE12</f>
        <v>41077.100669665582</v>
      </c>
      <c r="M18" s="556">
        <f>'[14]RNG RTC Costs - HC'!AE13</f>
        <v>40971.068718119132</v>
      </c>
      <c r="N18" s="556">
        <f>'[14]RNG RTC Costs - HC'!AE14</f>
        <v>39752.932122878548</v>
      </c>
      <c r="O18" s="556">
        <f>'[14]RNG RTC Costs - HC'!AE15</f>
        <v>39629.795490512071</v>
      </c>
      <c r="P18" s="137">
        <f>SUM(D18:O18)</f>
        <v>1161591.2047994968</v>
      </c>
      <c r="Q18" s="554"/>
      <c r="R18" s="602" t="str">
        <f>IF(SUM('[14]RNG RTC Costs - HC'!AE4:AE15)='Total Commodity Summary'!P18,"GOOD","ERROR")</f>
        <v>GOOD</v>
      </c>
    </row>
    <row r="19" spans="1:22" x14ac:dyDescent="0.25">
      <c r="A19" s="552">
        <f t="shared" si="0"/>
        <v>13</v>
      </c>
      <c r="B19" s="131" t="s">
        <v>405</v>
      </c>
      <c r="D19" s="135"/>
      <c r="E19" s="556"/>
      <c r="F19" s="556"/>
      <c r="G19" s="556"/>
      <c r="H19" s="556"/>
      <c r="I19" s="556"/>
      <c r="J19" s="556"/>
      <c r="K19" s="556"/>
      <c r="L19" s="556"/>
      <c r="M19" s="556"/>
      <c r="N19" s="556"/>
      <c r="O19" s="556"/>
      <c r="P19" s="603"/>
      <c r="Q19" s="554"/>
      <c r="R19" s="604" t="s">
        <v>396</v>
      </c>
    </row>
    <row r="20" spans="1:22" x14ac:dyDescent="0.25">
      <c r="A20" s="552">
        <f t="shared" si="0"/>
        <v>14</v>
      </c>
      <c r="B20" s="133" t="s">
        <v>406</v>
      </c>
      <c r="D20" s="135">
        <f>INDEX('[14]Commodity Cost from RNG'!$J$69:$J$80,'Total Commodity Summary'!D9)</f>
        <v>0</v>
      </c>
      <c r="E20" s="135">
        <f>INDEX('[14]Commodity Cost from RNG'!$J$69:$J$80,'Total Commodity Summary'!E9)</f>
        <v>0</v>
      </c>
      <c r="F20" s="135">
        <f>INDEX('[14]Commodity Cost from RNG'!$J$69:$J$80,'Total Commodity Summary'!F9)</f>
        <v>0</v>
      </c>
      <c r="G20" s="135">
        <f>INDEX('[14]Commodity Cost from RNG'!$J$69:$J$80,'Total Commodity Summary'!G9)</f>
        <v>0</v>
      </c>
      <c r="H20" s="135">
        <f>INDEX('[14]Commodity Cost from RNG'!$J$69:$J$80,'Total Commodity Summary'!H9)</f>
        <v>0</v>
      </c>
      <c r="I20" s="135">
        <f>INDEX('[14]Commodity Cost from RNG'!$J$69:$J$80,'Total Commodity Summary'!I9)</f>
        <v>0</v>
      </c>
      <c r="J20" s="135">
        <f>INDEX('[14]Commodity Cost from RNG'!$J$69:$J$80,'Total Commodity Summary'!J9)</f>
        <v>0</v>
      </c>
      <c r="K20" s="135">
        <f>INDEX('[14]Commodity Cost from RNG'!$J$69:$J$80,'Total Commodity Summary'!K9)</f>
        <v>0</v>
      </c>
      <c r="L20" s="135">
        <f>INDEX('[14]Commodity Cost from RNG'!$J$69:$J$80,'Total Commodity Summary'!L9)</f>
        <v>0</v>
      </c>
      <c r="M20" s="135">
        <f>INDEX('[14]Commodity Cost from RNG'!$J$69:$J$80,'Total Commodity Summary'!M9)</f>
        <v>0</v>
      </c>
      <c r="N20" s="135">
        <f>INDEX('[14]Commodity Cost from RNG'!$J$69:$J$80,'Total Commodity Summary'!N9)</f>
        <v>0</v>
      </c>
      <c r="O20" s="135">
        <f>INDEX('[14]Commodity Cost from RNG'!$J$69:$J$80,'Total Commodity Summary'!O9)</f>
        <v>0</v>
      </c>
      <c r="P20" s="137">
        <f>SUM(D20:O20)</f>
        <v>0</v>
      </c>
      <c r="Q20" s="554"/>
      <c r="R20" s="602" t="str">
        <f>IF(SUM('[14]Commodity Cost from RNG'!D57:I68)+SUM('[14]Commodity Cost from RNG'!D38:I49)='Total Commodity Summary'!P20,"GOOD","ERROR")</f>
        <v>GOOD</v>
      </c>
    </row>
    <row r="21" spans="1:22" x14ac:dyDescent="0.25">
      <c r="A21" s="552">
        <f t="shared" si="0"/>
        <v>15</v>
      </c>
      <c r="B21" s="131" t="s">
        <v>407</v>
      </c>
      <c r="D21" s="135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603"/>
      <c r="Q21" s="554"/>
      <c r="R21" s="604"/>
    </row>
    <row r="22" spans="1:22" outlineLevel="1" x14ac:dyDescent="0.25">
      <c r="A22" s="552">
        <f t="shared" si="0"/>
        <v>16</v>
      </c>
      <c r="B22" s="133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7"/>
      <c r="Q22" s="554"/>
      <c r="R22" s="592"/>
    </row>
    <row r="23" spans="1:22" outlineLevel="1" x14ac:dyDescent="0.25">
      <c r="A23" s="552">
        <f t="shared" si="0"/>
        <v>17</v>
      </c>
      <c r="B23" s="131"/>
      <c r="D23" s="135"/>
      <c r="E23" s="556"/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603"/>
      <c r="Q23" s="554"/>
      <c r="R23" s="602"/>
    </row>
    <row r="24" spans="1:22" ht="15.75" thickBot="1" x14ac:dyDescent="0.3">
      <c r="A24" s="552">
        <f t="shared" si="0"/>
        <v>18</v>
      </c>
      <c r="B24" s="138" t="s">
        <v>408</v>
      </c>
      <c r="C24" s="139"/>
      <c r="D24" s="140">
        <f t="shared" ref="D24:P24" si="2">SUM(D11:D23)</f>
        <v>4171731.5206597727</v>
      </c>
      <c r="E24" s="141">
        <f t="shared" si="2"/>
        <v>6629274.6648237472</v>
      </c>
      <c r="F24" s="141">
        <f t="shared" si="2"/>
        <v>6843534.2184000788</v>
      </c>
      <c r="G24" s="141">
        <f t="shared" si="2"/>
        <v>5419582.2465018583</v>
      </c>
      <c r="H24" s="141">
        <f t="shared" si="2"/>
        <v>4114933.7049115221</v>
      </c>
      <c r="I24" s="141">
        <f t="shared" si="2"/>
        <v>2010833.669081762</v>
      </c>
      <c r="J24" s="141">
        <f t="shared" si="2"/>
        <v>1156356.8048419713</v>
      </c>
      <c r="K24" s="141">
        <f t="shared" si="2"/>
        <v>896382.68012801546</v>
      </c>
      <c r="L24" s="141">
        <f t="shared" si="2"/>
        <v>923886.79417724616</v>
      </c>
      <c r="M24" s="141">
        <f t="shared" si="2"/>
        <v>915690.80948054523</v>
      </c>
      <c r="N24" s="141">
        <f t="shared" si="2"/>
        <v>953304.54351463134</v>
      </c>
      <c r="O24" s="141">
        <f t="shared" si="2"/>
        <v>1746699.5184071683</v>
      </c>
      <c r="P24" s="142">
        <f t="shared" si="2"/>
        <v>35782211.174928315</v>
      </c>
      <c r="Q24" s="584"/>
      <c r="R24" s="602"/>
      <c r="T24" s="556"/>
    </row>
    <row r="25" spans="1:22" ht="15.75" thickTop="1" x14ac:dyDescent="0.25">
      <c r="A25" s="552">
        <f t="shared" si="0"/>
        <v>19</v>
      </c>
      <c r="D25" s="143"/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601"/>
      <c r="Q25" s="554"/>
      <c r="R25" s="553"/>
      <c r="T25" s="600"/>
    </row>
    <row r="26" spans="1:22" x14ac:dyDescent="0.25">
      <c r="A26" s="552">
        <f t="shared" si="0"/>
        <v>20</v>
      </c>
      <c r="B26" s="132" t="s">
        <v>409</v>
      </c>
      <c r="D26" s="143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144"/>
      <c r="Q26" s="554"/>
      <c r="R26" s="553"/>
    </row>
    <row r="27" spans="1:22" x14ac:dyDescent="0.25">
      <c r="A27" s="552">
        <f t="shared" si="0"/>
        <v>21</v>
      </c>
      <c r="B27" s="131" t="s">
        <v>410</v>
      </c>
      <c r="C27" s="131"/>
      <c r="D27" s="145">
        <f>INDEX('[14]Commodity Cost from Supply'!$CG$35:$CG$46,'Total Commodity Summary'!D9)</f>
        <v>10252415.068275878</v>
      </c>
      <c r="E27" s="145">
        <f>INDEX('[14]Commodity Cost from Supply'!$CG$35:$CG$46,'Total Commodity Summary'!E9)</f>
        <v>12065869.070551742</v>
      </c>
      <c r="F27" s="145">
        <f>INDEX('[14]Commodity Cost from Supply'!$CG$35:$CG$46,'Total Commodity Summary'!F9)</f>
        <v>11606447.070551742</v>
      </c>
      <c r="G27" s="145">
        <f>INDEX('[14]Commodity Cost from Supply'!$CG$35:$CG$46,'Total Commodity Summary'!G9)</f>
        <v>9322962.0637241527</v>
      </c>
      <c r="H27" s="145">
        <f>INDEX('[14]Commodity Cost from Supply'!$CG$35:$CG$46,'Total Commodity Summary'!H9)</f>
        <v>8853792.4628379531</v>
      </c>
      <c r="I27" s="145">
        <f>INDEX('[14]Commodity Cost from Supply'!$CG$35:$CG$46,'Total Commodity Summary'!I9)</f>
        <v>7387941.0682758782</v>
      </c>
      <c r="J27" s="145">
        <f>INDEX('[14]Commodity Cost from Supply'!$CG$35:$CG$46,'Total Commodity Summary'!J9)</f>
        <v>4904656.0648153592</v>
      </c>
      <c r="K27" s="145">
        <f>INDEX('[14]Commodity Cost from Supply'!$CG$35:$CG$46,'Total Commodity Summary'!K9)</f>
        <v>3395348.0682758782</v>
      </c>
      <c r="L27" s="145">
        <f>INDEX('[14]Commodity Cost from Supply'!$CG$35:$CG$46,'Total Commodity Summary'!L9)</f>
        <v>2735217.0705517409</v>
      </c>
      <c r="M27" s="145">
        <f>INDEX('[14]Commodity Cost from Supply'!$CG$35:$CG$46,'Total Commodity Summary'!M9)</f>
        <v>2631524.7045345586</v>
      </c>
      <c r="N27" s="145">
        <f>INDEX('[14]Commodity Cost from Supply'!$CG$35:$CG$46,'Total Commodity Summary'!N9)</f>
        <v>2885971.1769485474</v>
      </c>
      <c r="O27" s="145">
        <f>INDEX('[14]Commodity Cost from Supply'!$CG$35:$CG$46,'Total Commodity Summary'!O9)</f>
        <v>5722846.0467689494</v>
      </c>
      <c r="P27" s="144">
        <f>SUM(D27:O27)</f>
        <v>81764989.936112374</v>
      </c>
      <c r="Q27" s="584"/>
      <c r="R27" s="584"/>
      <c r="T27" s="599"/>
      <c r="V27" s="146"/>
    </row>
    <row r="28" spans="1:22" x14ac:dyDescent="0.25">
      <c r="A28" s="552">
        <f t="shared" si="0"/>
        <v>22</v>
      </c>
      <c r="B28" s="147" t="s">
        <v>411</v>
      </c>
      <c r="C28" s="147"/>
      <c r="D28" s="148">
        <f>('[14]Commodity Cost from Supply'!$CG35-'[14]Commodity Cost from Supply'!$CG17)</f>
        <v>147854.43876857311</v>
      </c>
      <c r="E28" s="148">
        <f>'[14]Commodity Cost from Supply'!CG36-'[14]Commodity Cost from Supply'!CG18</f>
        <v>153530.92411729321</v>
      </c>
      <c r="F28" s="148">
        <f>'[14]Commodity Cost from Supply'!CG37-'[14]Commodity Cost from Supply'!CG19</f>
        <v>147760.4579155501</v>
      </c>
      <c r="G28" s="148">
        <f>'[14]Commodity Cost from Supply'!CG38-'[14]Commodity Cost from Supply'!CG20</f>
        <v>118890.91319350339</v>
      </c>
      <c r="H28" s="148">
        <f>'[14]Commodity Cost from Supply'!CG39-'[14]Commodity Cost from Supply'!CG21</f>
        <v>113766.24885648675</v>
      </c>
      <c r="I28" s="148">
        <f>'[14]Commodity Cost from Supply'!CG40-'[14]Commodity Cost from Supply'!CG22</f>
        <v>89392.447936730459</v>
      </c>
      <c r="J28" s="148">
        <f>'[14]Commodity Cost from Supply'!CG41-'[14]Commodity Cost from Supply'!CG23</f>
        <v>64186.349607361481</v>
      </c>
      <c r="K28" s="148">
        <f>'[14]Commodity Cost from Supply'!CG42-'[14]Commodity Cost from Supply'!CG24</f>
        <v>40828.515736119356</v>
      </c>
      <c r="L28" s="148">
        <f>'[14]Commodity Cost from Supply'!CG43-'[14]Commodity Cost from Supply'!CG25</f>
        <v>27174.412541233469</v>
      </c>
      <c r="M28" s="148">
        <f>'[14]Commodity Cost from Supply'!CG44-'[14]Commodity Cost from Supply'!CG26</f>
        <v>25872.233859254513</v>
      </c>
      <c r="N28" s="148">
        <f>'[14]Commodity Cost from Supply'!CG45-'[14]Commodity Cost from Supply'!CG27</f>
        <v>31879.746045046486</v>
      </c>
      <c r="O28" s="148">
        <f>'[14]Commodity Cost from Supply'!CG46-'[14]Commodity Cost from Supply'!CG28</f>
        <v>76250.466370170005</v>
      </c>
      <c r="P28" s="149">
        <f>SUM(D28:O28)</f>
        <v>1037387.1549473223</v>
      </c>
      <c r="Q28" s="584"/>
      <c r="R28" s="593" t="s">
        <v>396</v>
      </c>
    </row>
    <row r="29" spans="1:22" x14ac:dyDescent="0.25">
      <c r="A29" s="552">
        <f t="shared" si="0"/>
        <v>23</v>
      </c>
      <c r="B29" s="131" t="s">
        <v>412</v>
      </c>
      <c r="C29" s="131"/>
      <c r="D29" s="145">
        <f t="shared" ref="D29:O29" si="3">+D27-D28</f>
        <v>10104560.629507305</v>
      </c>
      <c r="E29" s="145">
        <f t="shared" si="3"/>
        <v>11912338.146434449</v>
      </c>
      <c r="F29" s="145">
        <f t="shared" si="3"/>
        <v>11458686.612636192</v>
      </c>
      <c r="G29" s="145">
        <f t="shared" si="3"/>
        <v>9204071.1505306493</v>
      </c>
      <c r="H29" s="145">
        <f t="shared" si="3"/>
        <v>8740026.2139814664</v>
      </c>
      <c r="I29" s="145">
        <f t="shared" si="3"/>
        <v>7298548.6203391477</v>
      </c>
      <c r="J29" s="145">
        <f t="shared" si="3"/>
        <v>4840469.7152079977</v>
      </c>
      <c r="K29" s="145">
        <f t="shared" si="3"/>
        <v>3354519.5525397588</v>
      </c>
      <c r="L29" s="145">
        <f t="shared" si="3"/>
        <v>2708042.6580105075</v>
      </c>
      <c r="M29" s="145">
        <f t="shared" si="3"/>
        <v>2605652.4706753041</v>
      </c>
      <c r="N29" s="145">
        <f t="shared" si="3"/>
        <v>2854091.4309035009</v>
      </c>
      <c r="O29" s="145">
        <f t="shared" si="3"/>
        <v>5646595.5803987794</v>
      </c>
      <c r="P29" s="144">
        <f>SUM(D29:O29)</f>
        <v>80727602.781165048</v>
      </c>
      <c r="Q29" s="584"/>
      <c r="R29" s="590" t="str">
        <f>IF(P29='[14]Commodity Cost from Supply VERT'!U111, "GOOD", "ERROR")</f>
        <v>GOOD</v>
      </c>
      <c r="S29" s="597"/>
      <c r="T29" s="597"/>
    </row>
    <row r="30" spans="1:22" x14ac:dyDescent="0.25">
      <c r="A30" s="552">
        <f t="shared" si="0"/>
        <v>24</v>
      </c>
      <c r="B30" s="131"/>
      <c r="C30" s="131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4"/>
      <c r="Q30" s="584"/>
      <c r="S30" s="597"/>
      <c r="T30" s="554"/>
    </row>
    <row r="31" spans="1:22" x14ac:dyDescent="0.25">
      <c r="A31" s="552">
        <f t="shared" si="0"/>
        <v>25</v>
      </c>
      <c r="B31" s="131" t="s">
        <v>413</v>
      </c>
      <c r="C31" s="131"/>
      <c r="D31" s="150">
        <f>INDEX('[14]Storage Dispatch'!$K$34:$K$45,'Total Commodity Summary'!D9)+INDEX('[14]RNG Dispatch'!$K$34:$K$45,'Total Commodity Summary'!D9)</f>
        <v>28507.304031497479</v>
      </c>
      <c r="E31" s="150">
        <f>INDEX('[14]Storage Dispatch'!$K$34:$K$45,'Total Commodity Summary'!E9)+INDEX('[14]RNG Dispatch'!$K$34:$K$45,'Total Commodity Summary'!E9)</f>
        <v>2736215.5070291455</v>
      </c>
      <c r="F31" s="150">
        <f>INDEX('[14]Storage Dispatch'!$K$34:$K$45,'Total Commodity Summary'!F9)+INDEX('[14]RNG Dispatch'!$K$34:$K$45,'Total Commodity Summary'!F9)</f>
        <v>3478894.1266141692</v>
      </c>
      <c r="G31" s="150">
        <f>INDEX('[14]Storage Dispatch'!$K$34:$K$45,'Total Commodity Summary'!G9)+INDEX('[14]RNG Dispatch'!$K$34:$K$45,'Total Commodity Summary'!G9)</f>
        <v>3235610.682357219</v>
      </c>
      <c r="H31" s="150">
        <f>INDEX('[14]Storage Dispatch'!$K$34:$K$45,'Total Commodity Summary'!H9)+INDEX('[14]RNG Dispatch'!$K$34:$K$45,'Total Commodity Summary'!H9)</f>
        <v>2238140.1142951227</v>
      </c>
      <c r="I31" s="150">
        <f>INDEX('[14]Storage Dispatch'!$K$34:$K$45,'Total Commodity Summary'!I9)+INDEX('[14]RNG Dispatch'!$K$34:$K$45,'Total Commodity Summary'!I9)</f>
        <v>266596.08399826329</v>
      </c>
      <c r="J31" s="150">
        <f>INDEX('[14]Storage Dispatch'!$K$34:$K$45,'Total Commodity Summary'!J9)+INDEX('[14]RNG Dispatch'!$K$34:$K$45,'Total Commodity Summary'!J9)</f>
        <v>0</v>
      </c>
      <c r="K31" s="150">
        <f>INDEX('[14]Storage Dispatch'!$K$34:$K$45,'Total Commodity Summary'!K9)+INDEX('[14]RNG Dispatch'!$K$34:$K$45,'Total Commodity Summary'!K9)</f>
        <v>0</v>
      </c>
      <c r="L31" s="150">
        <f>INDEX('[14]Storage Dispatch'!$K$34:$K$45,'Total Commodity Summary'!L9)+INDEX('[14]RNG Dispatch'!$K$34:$K$45,'Total Commodity Summary'!L9)</f>
        <v>0</v>
      </c>
      <c r="M31" s="150">
        <f>INDEX('[14]Storage Dispatch'!$K$34:$K$45,'Total Commodity Summary'!M9)+INDEX('[14]RNG Dispatch'!$K$34:$K$45,'Total Commodity Summary'!M9)</f>
        <v>0</v>
      </c>
      <c r="N31" s="150">
        <f>INDEX('[14]Storage Dispatch'!$K$34:$K$45,'Total Commodity Summary'!N9)+INDEX('[14]RNG Dispatch'!$K$34:$K$45,'Total Commodity Summary'!N9)</f>
        <v>0</v>
      </c>
      <c r="O31" s="150">
        <f>INDEX('[14]Storage Dispatch'!$K$34:$K$45,'Total Commodity Summary'!O9)+INDEX('[14]RNG Dispatch'!$K$34:$K$45,'Total Commodity Summary'!O9)</f>
        <v>73918.383527597689</v>
      </c>
      <c r="P31" s="144">
        <f>SUM(D31:O31)</f>
        <v>12057882.201853015</v>
      </c>
      <c r="Q31" s="584"/>
      <c r="S31" s="554"/>
    </row>
    <row r="32" spans="1:22" x14ac:dyDescent="0.25">
      <c r="A32" s="552">
        <f t="shared" si="0"/>
        <v>26</v>
      </c>
      <c r="B32" s="147" t="s">
        <v>414</v>
      </c>
      <c r="C32" s="147"/>
      <c r="D32" s="148">
        <f>INDEX('[14]Storage Dispatch'!$I$34:$I$45,'Total Commodity Summary'!D9)-INDEX('[14]Storage Dispatch'!$I$16:$I$27,'Total Commodity Summary'!D9)+INDEX('[14]Storage Dispatch'!$J$34:$J$45,'Total Commodity Summary'!D9)-INDEX('[14]Storage Dispatch'!$J$16:$J$27,'Total Commodity Summary'!D9)+INDEX('[14]Storage Dispatch'!$F$34:$F$45,'Total Commodity Summary'!D9)-INDEX('[14]Storage Dispatch'!$F$16:$F$27,'Total Commodity Summary'!D9)</f>
        <v>0</v>
      </c>
      <c r="E32" s="148">
        <f>INDEX('[14]Storage Dispatch'!$I$34:$I$45,'Total Commodity Summary'!E9)-INDEX('[14]Storage Dispatch'!$I$16:$I$27,'Total Commodity Summary'!E9)+INDEX('[14]Storage Dispatch'!$J$34:$J$45,'Total Commodity Summary'!E9)-INDEX('[14]Storage Dispatch'!$J$16:$J$27,'Total Commodity Summary'!E9)+INDEX('[14]Storage Dispatch'!$F$34:$F$45,'Total Commodity Summary'!E9)-INDEX('[14]Storage Dispatch'!$F$16:$F$27,'Total Commodity Summary'!E9)</f>
        <v>657.61609741585562</v>
      </c>
      <c r="F32" s="148">
        <f>INDEX('[14]Storage Dispatch'!$I$34:$I$45,'Total Commodity Summary'!F9)-INDEX('[14]Storage Dispatch'!$I$16:$I$27,'Total Commodity Summary'!F9)+INDEX('[14]Storage Dispatch'!$J$34:$J$45,'Total Commodity Summary'!F9)-INDEX('[14]Storage Dispatch'!$J$16:$J$27,'Total Commodity Summary'!F9)+INDEX('[14]Storage Dispatch'!$F$34:$F$45,'Total Commodity Summary'!F9)-INDEX('[14]Storage Dispatch'!$F$16:$F$27,'Total Commodity Summary'!F9)</f>
        <v>0</v>
      </c>
      <c r="G32" s="148">
        <f>INDEX('[14]Storage Dispatch'!$I$34:$I$45,'Total Commodity Summary'!G9)-INDEX('[14]Storage Dispatch'!$I$16:$I$27,'Total Commodity Summary'!G9)+INDEX('[14]Storage Dispatch'!$J$34:$J$45,'Total Commodity Summary'!G9)-INDEX('[14]Storage Dispatch'!$J$16:$J$27,'Total Commodity Summary'!G9)+INDEX('[14]Storage Dispatch'!$F$34:$F$45,'Total Commodity Summary'!G9)-INDEX('[14]Storage Dispatch'!$F$16:$F$27,'Total Commodity Summary'!G9)</f>
        <v>68.272670338068565</v>
      </c>
      <c r="H32" s="148">
        <f>INDEX('[14]Storage Dispatch'!$I$34:$I$45,'Total Commodity Summary'!H9)-INDEX('[14]Storage Dispatch'!$I$16:$I$27,'Total Commodity Summary'!H9)+INDEX('[14]Storage Dispatch'!$J$34:$J$45,'Total Commodity Summary'!H9)-INDEX('[14]Storage Dispatch'!$J$16:$J$27,'Total Commodity Summary'!H9)+INDEX('[14]Storage Dispatch'!$F$34:$F$45,'Total Commodity Summary'!H9)-INDEX('[14]Storage Dispatch'!$F$16:$F$27,'Total Commodity Summary'!H9)</f>
        <v>524.65169645653805</v>
      </c>
      <c r="I32" s="148">
        <f>INDEX('[14]Storage Dispatch'!$I$34:$I$45,'Total Commodity Summary'!I9)-INDEX('[14]Storage Dispatch'!$I$16:$I$27,'Total Commodity Summary'!I9)+INDEX('[14]Storage Dispatch'!$J$34:$J$45,'Total Commodity Summary'!I9)-INDEX('[14]Storage Dispatch'!$J$16:$J$27,'Total Commodity Summary'!I9)+INDEX('[14]Storage Dispatch'!$F$34:$F$45,'Total Commodity Summary'!I9)-INDEX('[14]Storage Dispatch'!$F$16:$F$27,'Total Commodity Summary'!I9)</f>
        <v>176.03840943791147</v>
      </c>
      <c r="J32" s="148">
        <f>INDEX('[14]Storage Dispatch'!$I$34:$I$45,'Total Commodity Summary'!J9)-INDEX('[14]Storage Dispatch'!$I$16:$I$27,'Total Commodity Summary'!J9)+INDEX('[14]Storage Dispatch'!$J$34:$J$45,'Total Commodity Summary'!J9)-INDEX('[14]Storage Dispatch'!$J$16:$J$27,'Total Commodity Summary'!J9)+INDEX('[14]Storage Dispatch'!$F$34:$F$45,'Total Commodity Summary'!J9)-INDEX('[14]Storage Dispatch'!$F$16:$F$27,'Total Commodity Summary'!J9)</f>
        <v>0</v>
      </c>
      <c r="K32" s="148">
        <f>INDEX('[14]Storage Dispatch'!$I$34:$I$45,'Total Commodity Summary'!K9)-INDEX('[14]Storage Dispatch'!$I$16:$I$27,'Total Commodity Summary'!K9)+INDEX('[14]Storage Dispatch'!$J$34:$J$45,'Total Commodity Summary'!K9)-INDEX('[14]Storage Dispatch'!$J$16:$J$27,'Total Commodity Summary'!K9)+INDEX('[14]Storage Dispatch'!$F$34:$F$45,'Total Commodity Summary'!K9)-INDEX('[14]Storage Dispatch'!$F$16:$F$27,'Total Commodity Summary'!K9)</f>
        <v>0</v>
      </c>
      <c r="L32" s="148">
        <f>INDEX('[14]Storage Dispatch'!$I$34:$I$45,'Total Commodity Summary'!L9)-INDEX('[14]Storage Dispatch'!$I$16:$I$27,'Total Commodity Summary'!L9)+INDEX('[14]Storage Dispatch'!$J$34:$J$45,'Total Commodity Summary'!L9)-INDEX('[14]Storage Dispatch'!$J$16:$J$27,'Total Commodity Summary'!L9)+INDEX('[14]Storage Dispatch'!$F$34:$F$45,'Total Commodity Summary'!L9)-INDEX('[14]Storage Dispatch'!$F$16:$F$27,'Total Commodity Summary'!L9)</f>
        <v>0</v>
      </c>
      <c r="M32" s="148">
        <f>INDEX('[14]Storage Dispatch'!$I$34:$I$45,'Total Commodity Summary'!M9)-INDEX('[14]Storage Dispatch'!$I$16:$I$27,'Total Commodity Summary'!M9)+INDEX('[14]Storage Dispatch'!$J$34:$J$45,'Total Commodity Summary'!M9)-INDEX('[14]Storage Dispatch'!$J$16:$J$27,'Total Commodity Summary'!M9)+INDEX('[14]Storage Dispatch'!$F$34:$F$45,'Total Commodity Summary'!M9)-INDEX('[14]Storage Dispatch'!$F$16:$F$27,'Total Commodity Summary'!M9)</f>
        <v>0</v>
      </c>
      <c r="N32" s="148">
        <f>INDEX('[14]Storage Dispatch'!$I$34:$I$45,'Total Commodity Summary'!N9)-INDEX('[14]Storage Dispatch'!$I$16:$I$27,'Total Commodity Summary'!N9)+INDEX('[14]Storage Dispatch'!$J$34:$J$45,'Total Commodity Summary'!N9)-INDEX('[14]Storage Dispatch'!$J$16:$J$27,'Total Commodity Summary'!N9)+INDEX('[14]Storage Dispatch'!$F$34:$F$45,'Total Commodity Summary'!N9)-INDEX('[14]Storage Dispatch'!$F$16:$F$27,'Total Commodity Summary'!N9)</f>
        <v>0</v>
      </c>
      <c r="O32" s="148">
        <f>INDEX('[14]Storage Dispatch'!$I$34:$I$45,'Total Commodity Summary'!O9)-INDEX('[14]Storage Dispatch'!$I$16:$I$27,'Total Commodity Summary'!O9)+INDEX('[14]Storage Dispatch'!$J$34:$J$45,'Total Commodity Summary'!O9)-INDEX('[14]Storage Dispatch'!$J$16:$J$27,'Total Commodity Summary'!O9)+INDEX('[14]Storage Dispatch'!$F$34:$F$45,'Total Commodity Summary'!O9)-INDEX('[14]Storage Dispatch'!$F$16:$F$27,'Total Commodity Summary'!O9)</f>
        <v>102.74655310336675</v>
      </c>
      <c r="P32" s="149">
        <f>SUM(D32:O32)</f>
        <v>1529.3254267517405</v>
      </c>
      <c r="Q32" s="584"/>
      <c r="R32" s="593" t="s">
        <v>396</v>
      </c>
    </row>
    <row r="33" spans="1:24" x14ac:dyDescent="0.25">
      <c r="A33" s="552">
        <f t="shared" si="0"/>
        <v>27</v>
      </c>
      <c r="B33" s="131" t="s">
        <v>415</v>
      </c>
      <c r="C33" s="131"/>
      <c r="D33" s="145">
        <f t="shared" ref="D33:O33" si="4">D31-D32</f>
        <v>28507.304031497479</v>
      </c>
      <c r="E33" s="145">
        <f t="shared" si="4"/>
        <v>2735557.8909317297</v>
      </c>
      <c r="F33" s="145">
        <f t="shared" si="4"/>
        <v>3478894.1266141692</v>
      </c>
      <c r="G33" s="145">
        <f t="shared" si="4"/>
        <v>3235542.4096868811</v>
      </c>
      <c r="H33" s="145">
        <f t="shared" si="4"/>
        <v>2237615.4625986661</v>
      </c>
      <c r="I33" s="145">
        <f t="shared" si="4"/>
        <v>266420.04558882536</v>
      </c>
      <c r="J33" s="145">
        <f t="shared" si="4"/>
        <v>0</v>
      </c>
      <c r="K33" s="145">
        <f t="shared" si="4"/>
        <v>0</v>
      </c>
      <c r="L33" s="145">
        <f t="shared" si="4"/>
        <v>0</v>
      </c>
      <c r="M33" s="145">
        <f t="shared" si="4"/>
        <v>0</v>
      </c>
      <c r="N33" s="145">
        <f t="shared" si="4"/>
        <v>0</v>
      </c>
      <c r="O33" s="145">
        <f t="shared" si="4"/>
        <v>73815.636974494322</v>
      </c>
      <c r="P33" s="144">
        <f>SUM(D33:O33)</f>
        <v>12056352.876426265</v>
      </c>
      <c r="Q33" s="584"/>
      <c r="R33" s="590" t="str">
        <f>IF(P33='[14]Storage Dispatch'!K28,"GOOD","ERROR")</f>
        <v>GOOD</v>
      </c>
      <c r="S33" s="598"/>
    </row>
    <row r="34" spans="1:24" x14ac:dyDescent="0.25">
      <c r="A34" s="552">
        <f t="shared" si="0"/>
        <v>28</v>
      </c>
      <c r="B34" s="131"/>
      <c r="C34" s="131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4"/>
      <c r="Q34" s="584"/>
      <c r="R34" s="584"/>
    </row>
    <row r="35" spans="1:24" x14ac:dyDescent="0.25">
      <c r="A35" s="552">
        <f t="shared" si="0"/>
        <v>29</v>
      </c>
      <c r="B35" s="131" t="s">
        <v>416</v>
      </c>
      <c r="C35" s="131"/>
      <c r="D35" s="145">
        <f t="shared" ref="D35:O35" si="5">+D29+D33</f>
        <v>10133067.933538802</v>
      </c>
      <c r="E35" s="145">
        <f t="shared" si="5"/>
        <v>14647896.037366178</v>
      </c>
      <c r="F35" s="145">
        <f t="shared" si="5"/>
        <v>14937580.739250362</v>
      </c>
      <c r="G35" s="145">
        <f t="shared" si="5"/>
        <v>12439613.56021753</v>
      </c>
      <c r="H35" s="145">
        <f t="shared" si="5"/>
        <v>10977641.676580133</v>
      </c>
      <c r="I35" s="145">
        <f t="shared" si="5"/>
        <v>7564968.6659279726</v>
      </c>
      <c r="J35" s="145">
        <f t="shared" si="5"/>
        <v>4840469.7152079977</v>
      </c>
      <c r="K35" s="145">
        <f t="shared" si="5"/>
        <v>3354519.5525397588</v>
      </c>
      <c r="L35" s="145">
        <f t="shared" si="5"/>
        <v>2708042.6580105075</v>
      </c>
      <c r="M35" s="145">
        <f t="shared" si="5"/>
        <v>2605652.4706753041</v>
      </c>
      <c r="N35" s="145">
        <f t="shared" si="5"/>
        <v>2854091.4309035009</v>
      </c>
      <c r="O35" s="145">
        <f t="shared" si="5"/>
        <v>5720411.2173732733</v>
      </c>
      <c r="P35" s="144">
        <f>SUM(D35:O35)</f>
        <v>92783955.657591313</v>
      </c>
      <c r="Q35" s="584"/>
      <c r="R35" s="584"/>
    </row>
    <row r="36" spans="1:24" x14ac:dyDescent="0.25">
      <c r="A36" s="552">
        <f t="shared" si="0"/>
        <v>30</v>
      </c>
      <c r="D36" s="143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144"/>
      <c r="Q36" s="554"/>
      <c r="R36" s="593" t="s">
        <v>396</v>
      </c>
    </row>
    <row r="37" spans="1:24" x14ac:dyDescent="0.25">
      <c r="A37" s="552">
        <f t="shared" si="0"/>
        <v>31</v>
      </c>
      <c r="B37" s="131" t="s">
        <v>417</v>
      </c>
      <c r="C37" s="131"/>
      <c r="D37" s="145">
        <f>INDEX('[14]Storage Dispatch'!$M$16:$M$27,'Total Commodity Summary'!D9)-INDEX('[14]Storage Dispatch'!$L$16:$L$27,'Total Commodity Summary'!D9)</f>
        <v>91050.917071875185</v>
      </c>
      <c r="E37" s="145">
        <f>INDEX('[14]Storage Dispatch'!$M$16:$M$27,'Total Commodity Summary'!E9)-INDEX('[14]Storage Dispatch'!$L$16:$L$27,'Total Commodity Summary'!E9)</f>
        <v>107340.571497567</v>
      </c>
      <c r="F37" s="145">
        <f>INDEX('[14]Storage Dispatch'!$M$16:$M$27,'Total Commodity Summary'!F9)-INDEX('[14]Storage Dispatch'!$L$16:$L$27,'Total Commodity Summary'!F9)</f>
        <v>103252.77493739128</v>
      </c>
      <c r="G37" s="145">
        <f>INDEX('[14]Storage Dispatch'!$M$16:$M$27,'Total Commodity Summary'!G9)-INDEX('[14]Storage Dispatch'!$L$16:$L$27,'Total Commodity Summary'!G9)</f>
        <v>82936.720336297527</v>
      </c>
      <c r="H37" s="145">
        <f>INDEX('[14]Storage Dispatch'!$M$16:$M$27,'Total Commodity Summary'!H9)-INDEX('[14]Storage Dispatch'!$L$16:$L$27,'Total Commodity Summary'!H9)</f>
        <v>78755.270139245316</v>
      </c>
      <c r="I37" s="145">
        <f>INDEX('[14]Storage Dispatch'!$M$16:$M$27,'Total Commodity Summary'!I9)-INDEX('[14]Storage Dispatch'!$L$16:$L$27,'Total Commodity Summary'!I9)</f>
        <v>65766.297965985723</v>
      </c>
      <c r="J37" s="145">
        <f>INDEX('[14]Storage Dispatch'!$M$16:$M$27,'Total Commodity Summary'!J9)-INDEX('[14]Storage Dispatch'!$L$16:$L$27,'Total Commodity Summary'!J9)</f>
        <v>43616.860028659925</v>
      </c>
      <c r="K37" s="145">
        <f>INDEX('[14]Storage Dispatch'!$M$16:$M$27,'Total Commodity Summary'!K9)-INDEX('[14]Storage Dispatch'!$L$16:$L$27,'Total Commodity Summary'!K9)</f>
        <v>30227.151164035778</v>
      </c>
      <c r="L37" s="145">
        <f>INDEX('[14]Storage Dispatch'!$M$16:$M$27,'Total Commodity Summary'!L9)-INDEX('[14]Storage Dispatch'!$L$16:$L$27,'Total Commodity Summary'!L9)</f>
        <v>24401.829680904746</v>
      </c>
      <c r="M37" s="145">
        <f>INDEX('[14]Storage Dispatch'!$M$16:$M$27,'Total Commodity Summary'!M9)-INDEX('[14]Storage Dispatch'!$L$16:$L$27,'Total Commodity Summary'!M9)</f>
        <v>23479.204660593998</v>
      </c>
      <c r="N37" s="145">
        <f>INDEX('[14]Storage Dispatch'!$M$16:$M$27,'Total Commodity Summary'!N9)-INDEX('[14]Storage Dispatch'!$L$16:$L$27,'Total Commodity Summary'!N9)</f>
        <v>25717.856690560002</v>
      </c>
      <c r="O37" s="145">
        <f>INDEX('[14]Storage Dispatch'!$M$16:$M$27,'Total Commodity Summary'!O9)-INDEX('[14]Storage Dispatch'!$L$16:$L$27,'Total Commodity Summary'!O9)</f>
        <v>50880.758182394318</v>
      </c>
      <c r="P37" s="144">
        <f>ROUND(SUM(D37:O37),2)</f>
        <v>727426.21</v>
      </c>
      <c r="Q37" s="584"/>
      <c r="R37" s="590" t="str">
        <f>IF(ROUND('[14]Storage Dispatch'!M28-'[14]Storage Dispatch'!L28,2)='Total Commodity Summary'!P37,"GOOD", "ERROR")</f>
        <v>GOOD</v>
      </c>
    </row>
    <row r="38" spans="1:24" x14ac:dyDescent="0.25">
      <c r="A38" s="552">
        <f t="shared" si="0"/>
        <v>32</v>
      </c>
      <c r="B38" s="151"/>
      <c r="C38" s="143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3"/>
      <c r="Q38" s="554"/>
      <c r="R38" s="593" t="s">
        <v>396</v>
      </c>
    </row>
    <row r="39" spans="1:24" ht="15.75" thickBot="1" x14ac:dyDescent="0.3">
      <c r="A39" s="552">
        <f t="shared" si="0"/>
        <v>33</v>
      </c>
      <c r="B39" s="154" t="s">
        <v>418</v>
      </c>
      <c r="C39" s="154"/>
      <c r="D39" s="155">
        <f t="shared" ref="D39:O39" si="6">+D35-D37</f>
        <v>10042017.016466927</v>
      </c>
      <c r="E39" s="155">
        <f t="shared" si="6"/>
        <v>14540555.465868611</v>
      </c>
      <c r="F39" s="155">
        <f t="shared" si="6"/>
        <v>14834327.964312971</v>
      </c>
      <c r="G39" s="155">
        <f t="shared" si="6"/>
        <v>12356676.839881232</v>
      </c>
      <c r="H39" s="155">
        <f t="shared" si="6"/>
        <v>10898886.406440888</v>
      </c>
      <c r="I39" s="155">
        <f t="shared" si="6"/>
        <v>7499202.3679619869</v>
      </c>
      <c r="J39" s="155">
        <f t="shared" si="6"/>
        <v>4796852.8551793378</v>
      </c>
      <c r="K39" s="155">
        <f t="shared" si="6"/>
        <v>3324292.4013757231</v>
      </c>
      <c r="L39" s="155">
        <f t="shared" si="6"/>
        <v>2683640.8283296027</v>
      </c>
      <c r="M39" s="155">
        <f t="shared" si="6"/>
        <v>2582173.2660147101</v>
      </c>
      <c r="N39" s="155">
        <f t="shared" si="6"/>
        <v>2828373.5742129409</v>
      </c>
      <c r="O39" s="155">
        <f t="shared" si="6"/>
        <v>5669530.459190879</v>
      </c>
      <c r="P39" s="156">
        <f>SUM(D39:O39)</f>
        <v>92056529.445235819</v>
      </c>
      <c r="Q39" s="584"/>
      <c r="R39" s="590" t="str">
        <f>IF(ROUND(P39-P50,0)=0,"GOOD","ERROR")</f>
        <v>GOOD</v>
      </c>
      <c r="S39" s="157"/>
      <c r="T39" s="597"/>
    </row>
    <row r="40" spans="1:24" ht="16.5" thickTop="1" thickBot="1" x14ac:dyDescent="0.3">
      <c r="A40" s="552"/>
      <c r="B40" s="158"/>
      <c r="C40" s="15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60">
        <f>+P39-'[14]Storage Dispatch'!D418</f>
        <v>0.44523581862449646</v>
      </c>
      <c r="Q40" s="584"/>
      <c r="R40" s="553"/>
    </row>
    <row r="41" spans="1:24" ht="15.75" thickBot="1" x14ac:dyDescent="0.3">
      <c r="A41" s="552"/>
      <c r="B41" s="131"/>
      <c r="C41" s="131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4"/>
      <c r="Q41" s="584"/>
      <c r="R41" s="584"/>
    </row>
    <row r="42" spans="1:24" ht="15.75" thickBot="1" x14ac:dyDescent="0.3">
      <c r="A42" s="596" t="s">
        <v>419</v>
      </c>
      <c r="B42" s="595"/>
      <c r="C42" s="594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2"/>
      <c r="Q42" s="584"/>
      <c r="R42" s="584"/>
    </row>
    <row r="43" spans="1:24" x14ac:dyDescent="0.25">
      <c r="A43" s="583"/>
      <c r="B43" s="582"/>
      <c r="C43" s="582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584"/>
      <c r="R43" s="163"/>
      <c r="T43" s="554"/>
    </row>
    <row r="44" spans="1:24" outlineLevel="1" x14ac:dyDescent="0.25">
      <c r="A44" s="581">
        <f>+A39+1</f>
        <v>34</v>
      </c>
      <c r="B44" s="591"/>
      <c r="C44" s="582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  <c r="Q44" s="584"/>
      <c r="R44" s="593"/>
    </row>
    <row r="45" spans="1:24" outlineLevel="1" x14ac:dyDescent="0.25">
      <c r="A45" s="581">
        <f t="shared" ref="A45:A59" si="7">+A44+1</f>
        <v>35</v>
      </c>
      <c r="B45" s="582"/>
      <c r="C45" s="582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  <c r="Q45" s="584"/>
      <c r="R45" s="592"/>
    </row>
    <row r="46" spans="1:24" outlineLevel="1" x14ac:dyDescent="0.25">
      <c r="A46" s="581">
        <f t="shared" si="7"/>
        <v>36</v>
      </c>
      <c r="B46" s="166"/>
      <c r="C46" s="166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2"/>
      <c r="Q46" s="584"/>
      <c r="R46" s="592"/>
    </row>
    <row r="47" spans="1:24" outlineLevel="1" x14ac:dyDescent="0.25">
      <c r="A47" s="581">
        <f t="shared" si="7"/>
        <v>37</v>
      </c>
      <c r="B47" s="166"/>
      <c r="C47" s="166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2"/>
      <c r="Q47" s="584"/>
      <c r="R47" s="584"/>
      <c r="T47" s="589"/>
      <c r="U47" s="589"/>
    </row>
    <row r="48" spans="1:24" x14ac:dyDescent="0.25">
      <c r="A48" s="581">
        <f t="shared" si="7"/>
        <v>38</v>
      </c>
      <c r="B48" s="591" t="s">
        <v>420</v>
      </c>
      <c r="C48" s="166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  <c r="Q48" s="584"/>
      <c r="R48" s="584"/>
      <c r="S48" s="589"/>
      <c r="T48" s="589"/>
      <c r="U48" s="589"/>
      <c r="W48" s="588"/>
      <c r="X48" s="587"/>
    </row>
    <row r="49" spans="1:24" x14ac:dyDescent="0.25">
      <c r="A49" s="581">
        <f t="shared" si="7"/>
        <v>39</v>
      </c>
      <c r="B49" s="166" t="s">
        <v>2</v>
      </c>
      <c r="C49" s="166"/>
      <c r="D49" s="161">
        <v>10042017.016466923</v>
      </c>
      <c r="E49" s="161">
        <v>14540555.465868611</v>
      </c>
      <c r="F49" s="161">
        <v>14834327.964312969</v>
      </c>
      <c r="G49" s="161">
        <v>12356676.839881234</v>
      </c>
      <c r="H49" s="161">
        <v>10898886.406440884</v>
      </c>
      <c r="I49" s="161">
        <v>7499202.3679619897</v>
      </c>
      <c r="J49" s="161">
        <v>4796852.8551793396</v>
      </c>
      <c r="K49" s="161">
        <v>3324292.4013757235</v>
      </c>
      <c r="L49" s="161">
        <v>2683640.8283296032</v>
      </c>
      <c r="M49" s="161">
        <v>2582173.2660147105</v>
      </c>
      <c r="N49" s="161">
        <v>2828373.5742129413</v>
      </c>
      <c r="O49" s="161">
        <v>5669530.459190879</v>
      </c>
      <c r="P49" s="162">
        <f>SUM(D49:O49)</f>
        <v>92056529.445235804</v>
      </c>
      <c r="Q49" s="584"/>
      <c r="R49" s="584"/>
      <c r="S49" s="589"/>
      <c r="T49" s="589"/>
      <c r="U49" s="589"/>
      <c r="W49" s="588"/>
      <c r="X49" s="587"/>
    </row>
    <row r="50" spans="1:24" x14ac:dyDescent="0.25">
      <c r="A50" s="581">
        <f t="shared" si="7"/>
        <v>40</v>
      </c>
      <c r="B50" s="167" t="s">
        <v>421</v>
      </c>
      <c r="C50" s="167"/>
      <c r="D50" s="168">
        <f t="shared" ref="D50:O50" si="8">SUM(D49:D49)</f>
        <v>10042017.016466923</v>
      </c>
      <c r="E50" s="168">
        <f t="shared" si="8"/>
        <v>14540555.465868611</v>
      </c>
      <c r="F50" s="168">
        <f t="shared" si="8"/>
        <v>14834327.964312969</v>
      </c>
      <c r="G50" s="168">
        <f t="shared" si="8"/>
        <v>12356676.839881234</v>
      </c>
      <c r="H50" s="168">
        <f t="shared" si="8"/>
        <v>10898886.406440884</v>
      </c>
      <c r="I50" s="168">
        <f t="shared" si="8"/>
        <v>7499202.3679619897</v>
      </c>
      <c r="J50" s="168">
        <f t="shared" si="8"/>
        <v>4796852.8551793396</v>
      </c>
      <c r="K50" s="168">
        <f t="shared" si="8"/>
        <v>3324292.4013757235</v>
      </c>
      <c r="L50" s="168">
        <f t="shared" si="8"/>
        <v>2683640.8283296032</v>
      </c>
      <c r="M50" s="168">
        <f t="shared" si="8"/>
        <v>2582173.2660147105</v>
      </c>
      <c r="N50" s="168">
        <f t="shared" si="8"/>
        <v>2828373.5742129413</v>
      </c>
      <c r="O50" s="168">
        <f t="shared" si="8"/>
        <v>5669530.459190879</v>
      </c>
      <c r="P50" s="169">
        <f>ROUND(SUM(D50:O50),0)</f>
        <v>92056529</v>
      </c>
      <c r="Q50" s="584"/>
      <c r="R50" s="590" t="str">
        <f>IF(P50='[14]Storage Dispatch'!D418, "GOOD", "ERROR")</f>
        <v>GOOD</v>
      </c>
      <c r="S50" s="589"/>
      <c r="T50" s="589"/>
      <c r="U50" s="589"/>
      <c r="W50" s="588"/>
      <c r="X50" s="587"/>
    </row>
    <row r="51" spans="1:24" x14ac:dyDescent="0.25">
      <c r="A51" s="581">
        <f t="shared" si="7"/>
        <v>41</v>
      </c>
      <c r="B51" s="166"/>
      <c r="C51" s="166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  <c r="Q51" s="584"/>
      <c r="R51" s="584"/>
      <c r="S51" s="589"/>
      <c r="T51" s="589"/>
      <c r="U51" s="589"/>
      <c r="W51" s="588"/>
      <c r="X51" s="587"/>
    </row>
    <row r="52" spans="1:24" x14ac:dyDescent="0.25">
      <c r="A52" s="581">
        <f t="shared" si="7"/>
        <v>42</v>
      </c>
      <c r="B52" s="170" t="s">
        <v>422</v>
      </c>
      <c r="C52" s="171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3"/>
      <c r="Q52" s="584"/>
      <c r="R52" s="584"/>
    </row>
    <row r="53" spans="1:24" x14ac:dyDescent="0.25">
      <c r="A53" s="581">
        <f t="shared" si="7"/>
        <v>43</v>
      </c>
      <c r="B53" s="583"/>
      <c r="C53" s="174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3"/>
      <c r="Q53" s="584"/>
      <c r="R53" s="584"/>
    </row>
    <row r="54" spans="1:24" x14ac:dyDescent="0.25">
      <c r="A54" s="581">
        <f t="shared" si="7"/>
        <v>44</v>
      </c>
      <c r="B54" s="582" t="s">
        <v>423</v>
      </c>
      <c r="C54" s="174"/>
      <c r="D54" s="164">
        <f t="shared" ref="D54:O54" si="9">+D24</f>
        <v>4171731.5206597727</v>
      </c>
      <c r="E54" s="164">
        <f t="shared" si="9"/>
        <v>6629274.6648237472</v>
      </c>
      <c r="F54" s="164">
        <f t="shared" si="9"/>
        <v>6843534.2184000788</v>
      </c>
      <c r="G54" s="164">
        <f t="shared" si="9"/>
        <v>5419582.2465018583</v>
      </c>
      <c r="H54" s="164">
        <f t="shared" si="9"/>
        <v>4114933.7049115221</v>
      </c>
      <c r="I54" s="164">
        <f t="shared" si="9"/>
        <v>2010833.669081762</v>
      </c>
      <c r="J54" s="164">
        <f t="shared" si="9"/>
        <v>1156356.8048419713</v>
      </c>
      <c r="K54" s="164">
        <f t="shared" si="9"/>
        <v>896382.68012801546</v>
      </c>
      <c r="L54" s="164">
        <f t="shared" si="9"/>
        <v>923886.79417724616</v>
      </c>
      <c r="M54" s="164">
        <f t="shared" si="9"/>
        <v>915690.80948054523</v>
      </c>
      <c r="N54" s="164">
        <f t="shared" si="9"/>
        <v>953304.54351463134</v>
      </c>
      <c r="O54" s="164">
        <f t="shared" si="9"/>
        <v>1746699.5184071683</v>
      </c>
      <c r="P54" s="165">
        <f>SUM(D54:O54)</f>
        <v>35782211.174928315</v>
      </c>
      <c r="Q54" s="584"/>
      <c r="R54" s="584"/>
    </row>
    <row r="55" spans="1:24" x14ac:dyDescent="0.25">
      <c r="A55" s="581">
        <f t="shared" si="7"/>
        <v>45</v>
      </c>
      <c r="B55" s="586" t="s">
        <v>424</v>
      </c>
      <c r="C55" s="175"/>
      <c r="D55" s="176">
        <f t="shared" ref="D55:O55" si="10">+D54</f>
        <v>4171731.5206597727</v>
      </c>
      <c r="E55" s="176">
        <f t="shared" si="10"/>
        <v>6629274.6648237472</v>
      </c>
      <c r="F55" s="176">
        <f t="shared" si="10"/>
        <v>6843534.2184000788</v>
      </c>
      <c r="G55" s="176">
        <f t="shared" si="10"/>
        <v>5419582.2465018583</v>
      </c>
      <c r="H55" s="176">
        <f t="shared" si="10"/>
        <v>4114933.7049115221</v>
      </c>
      <c r="I55" s="176">
        <f t="shared" si="10"/>
        <v>2010833.669081762</v>
      </c>
      <c r="J55" s="176">
        <f t="shared" si="10"/>
        <v>1156356.8048419713</v>
      </c>
      <c r="K55" s="176">
        <f t="shared" si="10"/>
        <v>896382.68012801546</v>
      </c>
      <c r="L55" s="176">
        <f t="shared" si="10"/>
        <v>923886.79417724616</v>
      </c>
      <c r="M55" s="176">
        <f t="shared" si="10"/>
        <v>915690.80948054523</v>
      </c>
      <c r="N55" s="176">
        <f t="shared" si="10"/>
        <v>953304.54351463134</v>
      </c>
      <c r="O55" s="176">
        <f t="shared" si="10"/>
        <v>1746699.5184071683</v>
      </c>
      <c r="P55" s="177">
        <f>SUM(D55:O55)</f>
        <v>35782211.174928315</v>
      </c>
      <c r="Q55" s="584"/>
      <c r="R55" s="584"/>
    </row>
    <row r="56" spans="1:24" x14ac:dyDescent="0.25">
      <c r="A56" s="581">
        <f t="shared" si="7"/>
        <v>46</v>
      </c>
      <c r="B56" s="166"/>
      <c r="C56" s="166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585"/>
      <c r="Q56" s="584"/>
      <c r="R56" s="584"/>
    </row>
    <row r="57" spans="1:24" x14ac:dyDescent="0.25">
      <c r="A57" s="581">
        <f t="shared" si="7"/>
        <v>47</v>
      </c>
      <c r="B57" s="583" t="str">
        <f>CONCATENATE("Washington Sales WACOG (line "&amp;A55&amp;" ÷ line "&amp;A49&amp;")")</f>
        <v>Washington Sales WACOG (line 45 ÷ line 39)</v>
      </c>
      <c r="C57" s="582"/>
      <c r="D57" s="172">
        <f t="shared" ref="D57:P57" si="11">ROUND(D55/D49,5)</f>
        <v>0.41543000000000002</v>
      </c>
      <c r="E57" s="172">
        <f t="shared" si="11"/>
        <v>0.45591999999999999</v>
      </c>
      <c r="F57" s="172">
        <f t="shared" si="11"/>
        <v>0.46133000000000002</v>
      </c>
      <c r="G57" s="172">
        <f t="shared" si="11"/>
        <v>0.43859999999999999</v>
      </c>
      <c r="H57" s="172">
        <f t="shared" si="11"/>
        <v>0.37756000000000001</v>
      </c>
      <c r="I57" s="172">
        <f t="shared" si="11"/>
        <v>0.26813999999999999</v>
      </c>
      <c r="J57" s="172">
        <f t="shared" si="11"/>
        <v>0.24107000000000001</v>
      </c>
      <c r="K57" s="172">
        <f t="shared" si="11"/>
        <v>0.26965</v>
      </c>
      <c r="L57" s="172">
        <f t="shared" si="11"/>
        <v>0.34427000000000002</v>
      </c>
      <c r="M57" s="172">
        <f t="shared" si="11"/>
        <v>0.35461999999999999</v>
      </c>
      <c r="N57" s="172">
        <f t="shared" si="11"/>
        <v>0.33705000000000002</v>
      </c>
      <c r="O57" s="172">
        <f t="shared" si="11"/>
        <v>0.30808999999999997</v>
      </c>
      <c r="P57" s="173">
        <f t="shared" si="11"/>
        <v>0.38869999999999999</v>
      </c>
      <c r="Q57" s="554"/>
      <c r="R57" s="178"/>
      <c r="S57" s="179"/>
    </row>
    <row r="58" spans="1:24" x14ac:dyDescent="0.25">
      <c r="A58" s="581">
        <f t="shared" si="7"/>
        <v>48</v>
      </c>
      <c r="B58" s="583"/>
      <c r="C58" s="58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3"/>
      <c r="Q58" s="554"/>
      <c r="R58" s="553"/>
    </row>
    <row r="59" spans="1:24" ht="15.75" thickBot="1" x14ac:dyDescent="0.3">
      <c r="A59" s="581">
        <f t="shared" si="7"/>
        <v>49</v>
      </c>
      <c r="B59" s="580" t="s">
        <v>425</v>
      </c>
      <c r="C59" s="579"/>
      <c r="D59" s="180">
        <f t="shared" ref="D59:P59" si="12">ROUND(D57/(1-wa_revsens),5)</f>
        <v>0.43435000000000001</v>
      </c>
      <c r="E59" s="180">
        <f t="shared" si="12"/>
        <v>0.47669</v>
      </c>
      <c r="F59" s="180">
        <f t="shared" si="12"/>
        <v>0.48235</v>
      </c>
      <c r="G59" s="180">
        <f t="shared" si="12"/>
        <v>0.45857999999999999</v>
      </c>
      <c r="H59" s="180">
        <f t="shared" si="12"/>
        <v>0.39476</v>
      </c>
      <c r="I59" s="180">
        <f t="shared" si="12"/>
        <v>0.28034999999999999</v>
      </c>
      <c r="J59" s="180">
        <f t="shared" si="12"/>
        <v>0.25205</v>
      </c>
      <c r="K59" s="180">
        <f t="shared" si="12"/>
        <v>0.28193000000000001</v>
      </c>
      <c r="L59" s="180">
        <f t="shared" si="12"/>
        <v>0.35994999999999999</v>
      </c>
      <c r="M59" s="180">
        <f t="shared" si="12"/>
        <v>0.37076999999999999</v>
      </c>
      <c r="N59" s="180">
        <f t="shared" si="12"/>
        <v>0.35239999999999999</v>
      </c>
      <c r="O59" s="180">
        <f t="shared" si="12"/>
        <v>0.32212000000000002</v>
      </c>
      <c r="P59" s="181">
        <f t="shared" si="12"/>
        <v>0.40640999999999999</v>
      </c>
      <c r="Q59" s="554"/>
      <c r="R59" s="182" t="s">
        <v>426</v>
      </c>
      <c r="S59" s="578">
        <v>0.43274000000000001</v>
      </c>
    </row>
    <row r="60" spans="1:24" ht="15.75" thickTop="1" x14ac:dyDescent="0.25">
      <c r="A60" s="552"/>
      <c r="B60" s="559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4"/>
      <c r="Q60" s="554"/>
      <c r="R60" s="577" t="s">
        <v>427</v>
      </c>
      <c r="S60" s="576">
        <f>P59-S59</f>
        <v>-2.633000000000002E-2</v>
      </c>
    </row>
    <row r="61" spans="1:24" x14ac:dyDescent="0.25">
      <c r="A61" s="552"/>
      <c r="B61" s="559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4"/>
      <c r="Q61" s="554"/>
      <c r="R61" s="185" t="s">
        <v>428</v>
      </c>
      <c r="S61" s="186">
        <f>S60/S59</f>
        <v>-6.0844849101076903E-2</v>
      </c>
    </row>
    <row r="62" spans="1:24" x14ac:dyDescent="0.25">
      <c r="A62" s="552"/>
      <c r="B62" s="559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7"/>
      <c r="Q62" s="554"/>
      <c r="R62" s="553"/>
    </row>
    <row r="63" spans="1:24" x14ac:dyDescent="0.25">
      <c r="A63" s="552"/>
      <c r="B63" s="559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8"/>
      <c r="Q63" s="554"/>
      <c r="R63" s="553"/>
    </row>
    <row r="64" spans="1:24" x14ac:dyDescent="0.25">
      <c r="P64" s="575"/>
      <c r="Q64" s="554"/>
      <c r="R64" s="553"/>
    </row>
    <row r="65" spans="1:18" ht="15.75" thickBot="1" x14ac:dyDescent="0.3">
      <c r="B65" s="574"/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3"/>
      <c r="Q65" s="554"/>
      <c r="R65" s="553"/>
    </row>
    <row r="66" spans="1:18" x14ac:dyDescent="0.25">
      <c r="A66" s="552"/>
      <c r="B66" s="151"/>
      <c r="C66" s="189"/>
      <c r="D66" s="143"/>
      <c r="E66" s="554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90"/>
      <c r="Q66" s="554"/>
      <c r="R66" s="553"/>
    </row>
    <row r="67" spans="1:18" x14ac:dyDescent="0.25">
      <c r="A67" s="552">
        <f>A59+1</f>
        <v>50</v>
      </c>
      <c r="B67" s="572" t="s">
        <v>429</v>
      </c>
      <c r="C67" s="567"/>
      <c r="D67" s="191"/>
      <c r="E67" s="571"/>
      <c r="F67" s="571"/>
      <c r="G67" s="571"/>
      <c r="H67" s="571"/>
      <c r="I67" s="571"/>
      <c r="J67" s="571"/>
      <c r="K67" s="571"/>
      <c r="L67" s="571"/>
      <c r="M67" s="571"/>
      <c r="N67" s="571"/>
      <c r="O67" s="571"/>
      <c r="P67" s="192"/>
      <c r="Q67" s="554"/>
      <c r="R67" s="553"/>
    </row>
    <row r="68" spans="1:18" x14ac:dyDescent="0.25">
      <c r="A68" s="552">
        <f>+A67+1</f>
        <v>51</v>
      </c>
      <c r="B68" s="567"/>
      <c r="C68" s="567"/>
      <c r="D68" s="193"/>
      <c r="E68" s="571"/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0"/>
      <c r="Q68" s="554"/>
      <c r="R68" s="553"/>
    </row>
    <row r="69" spans="1:18" x14ac:dyDescent="0.25">
      <c r="A69" s="552">
        <f>+A68+1</f>
        <v>52</v>
      </c>
      <c r="B69" s="567" t="s">
        <v>430</v>
      </c>
      <c r="C69" s="567"/>
      <c r="D69" s="193">
        <f t="shared" ref="D69:O69" si="13">+D49</f>
        <v>10042017.016466923</v>
      </c>
      <c r="E69" s="193">
        <f t="shared" si="13"/>
        <v>14540555.465868611</v>
      </c>
      <c r="F69" s="193">
        <f t="shared" si="13"/>
        <v>14834327.964312969</v>
      </c>
      <c r="G69" s="193">
        <f t="shared" si="13"/>
        <v>12356676.839881234</v>
      </c>
      <c r="H69" s="193">
        <f t="shared" si="13"/>
        <v>10898886.406440884</v>
      </c>
      <c r="I69" s="193">
        <f t="shared" si="13"/>
        <v>7499202.3679619897</v>
      </c>
      <c r="J69" s="193">
        <f t="shared" si="13"/>
        <v>4796852.8551793396</v>
      </c>
      <c r="K69" s="193">
        <f t="shared" si="13"/>
        <v>3324292.4013757235</v>
      </c>
      <c r="L69" s="193">
        <f t="shared" si="13"/>
        <v>2683640.8283296032</v>
      </c>
      <c r="M69" s="193">
        <f t="shared" si="13"/>
        <v>2582173.2660147105</v>
      </c>
      <c r="N69" s="193">
        <f t="shared" si="13"/>
        <v>2828373.5742129413</v>
      </c>
      <c r="O69" s="193">
        <f t="shared" si="13"/>
        <v>5669530.459190879</v>
      </c>
      <c r="P69" s="570">
        <f>SUM(D69:O69)</f>
        <v>92056529.445235804</v>
      </c>
      <c r="Q69" s="554"/>
      <c r="R69" s="553"/>
    </row>
    <row r="70" spans="1:18" x14ac:dyDescent="0.25">
      <c r="A70" s="552">
        <f>+A69+1</f>
        <v>53</v>
      </c>
      <c r="B70" s="569" t="s">
        <v>431</v>
      </c>
      <c r="C70" s="569"/>
      <c r="D70" s="194">
        <f t="shared" ref="D70:O70" si="14">+D57</f>
        <v>0.41543000000000002</v>
      </c>
      <c r="E70" s="194">
        <f t="shared" si="14"/>
        <v>0.45591999999999999</v>
      </c>
      <c r="F70" s="194">
        <f t="shared" si="14"/>
        <v>0.46133000000000002</v>
      </c>
      <c r="G70" s="194">
        <f t="shared" si="14"/>
        <v>0.43859999999999999</v>
      </c>
      <c r="H70" s="194">
        <f t="shared" si="14"/>
        <v>0.37756000000000001</v>
      </c>
      <c r="I70" s="194">
        <f t="shared" si="14"/>
        <v>0.26813999999999999</v>
      </c>
      <c r="J70" s="194">
        <f t="shared" si="14"/>
        <v>0.24107000000000001</v>
      </c>
      <c r="K70" s="194">
        <f t="shared" si="14"/>
        <v>0.26965</v>
      </c>
      <c r="L70" s="194">
        <f t="shared" si="14"/>
        <v>0.34427000000000002</v>
      </c>
      <c r="M70" s="194">
        <f t="shared" si="14"/>
        <v>0.35461999999999999</v>
      </c>
      <c r="N70" s="194">
        <f t="shared" si="14"/>
        <v>0.33705000000000002</v>
      </c>
      <c r="O70" s="194">
        <f t="shared" si="14"/>
        <v>0.30808999999999997</v>
      </c>
      <c r="P70" s="568"/>
      <c r="Q70" s="554"/>
      <c r="R70" s="553"/>
    </row>
    <row r="71" spans="1:18" x14ac:dyDescent="0.25">
      <c r="A71" s="552">
        <f>+A70+1</f>
        <v>54</v>
      </c>
      <c r="B71" s="567" t="s">
        <v>432</v>
      </c>
      <c r="C71" s="567"/>
      <c r="D71" s="195">
        <f>ROUND(+D69*D70,0)</f>
        <v>4171755</v>
      </c>
      <c r="E71" s="195">
        <f t="shared" ref="E71:O71" si="15">+E69*E70</f>
        <v>6629330.0479988167</v>
      </c>
      <c r="F71" s="195">
        <f t="shared" si="15"/>
        <v>6843520.5197765017</v>
      </c>
      <c r="G71" s="195">
        <f t="shared" si="15"/>
        <v>5419638.4619719088</v>
      </c>
      <c r="H71" s="195">
        <f t="shared" si="15"/>
        <v>4114983.5516158203</v>
      </c>
      <c r="I71" s="195">
        <f t="shared" si="15"/>
        <v>2010836.1229453278</v>
      </c>
      <c r="J71" s="195">
        <f t="shared" si="15"/>
        <v>1156377.3177980834</v>
      </c>
      <c r="K71" s="195">
        <f t="shared" si="15"/>
        <v>896395.44603096391</v>
      </c>
      <c r="L71" s="195">
        <f t="shared" si="15"/>
        <v>923897.02796903253</v>
      </c>
      <c r="M71" s="195">
        <f t="shared" si="15"/>
        <v>915690.28359413659</v>
      </c>
      <c r="N71" s="195">
        <f t="shared" si="15"/>
        <v>953303.31318847195</v>
      </c>
      <c r="O71" s="195">
        <f t="shared" si="15"/>
        <v>1746725.6391721177</v>
      </c>
      <c r="P71" s="196">
        <f>SUM(D71:O71)</f>
        <v>35782452.73206117</v>
      </c>
      <c r="Q71" s="554"/>
      <c r="R71" s="553"/>
    </row>
    <row r="72" spans="1:18" ht="15.75" thickBot="1" x14ac:dyDescent="0.3">
      <c r="A72" s="552">
        <f>+A71+1</f>
        <v>55</v>
      </c>
      <c r="B72" s="566"/>
      <c r="C72" s="566"/>
      <c r="D72" s="197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4"/>
      <c r="Q72" s="554"/>
      <c r="R72" s="553"/>
    </row>
    <row r="73" spans="1:18" x14ac:dyDescent="0.25">
      <c r="A73" s="552"/>
      <c r="B73" s="151"/>
      <c r="C73" s="143"/>
      <c r="D73" s="145"/>
      <c r="E73" s="558"/>
      <c r="F73" s="558"/>
      <c r="G73" s="558"/>
      <c r="H73" s="558"/>
      <c r="I73" s="558"/>
      <c r="J73" s="554"/>
      <c r="K73" s="554"/>
      <c r="L73" s="554"/>
      <c r="M73" s="554"/>
      <c r="N73" s="554"/>
      <c r="O73" s="554"/>
      <c r="P73" s="554"/>
      <c r="Q73" s="554"/>
      <c r="R73" s="553"/>
    </row>
    <row r="74" spans="1:18" x14ac:dyDescent="0.25">
      <c r="A74" s="552"/>
      <c r="D74" s="145"/>
      <c r="E74" s="558"/>
      <c r="F74" s="554"/>
      <c r="G74" s="554"/>
      <c r="H74" s="563"/>
      <c r="I74" s="554"/>
      <c r="J74" s="563"/>
      <c r="K74" s="554"/>
      <c r="L74" s="563"/>
      <c r="M74" s="554"/>
      <c r="N74" s="554"/>
      <c r="O74" s="554"/>
      <c r="P74" s="554"/>
      <c r="Q74" s="561"/>
      <c r="R74" s="560"/>
    </row>
    <row r="75" spans="1:18" x14ac:dyDescent="0.25">
      <c r="A75" s="552"/>
      <c r="D75" s="145"/>
      <c r="E75" s="554"/>
      <c r="F75" s="554"/>
      <c r="G75" s="554"/>
      <c r="H75" s="563"/>
      <c r="I75" s="554"/>
      <c r="J75" s="563"/>
      <c r="K75" s="554"/>
      <c r="L75" s="563"/>
      <c r="M75" s="554"/>
      <c r="N75" s="554"/>
      <c r="O75" s="554"/>
      <c r="P75" s="554"/>
      <c r="Q75" s="561"/>
      <c r="R75" s="560"/>
    </row>
    <row r="76" spans="1:18" x14ac:dyDescent="0.25">
      <c r="A76" s="552"/>
      <c r="D76" s="145"/>
      <c r="E76" s="554"/>
      <c r="F76" s="554"/>
      <c r="G76" s="554"/>
      <c r="H76" s="563"/>
      <c r="I76" s="554"/>
      <c r="J76" s="563"/>
      <c r="K76" s="554"/>
      <c r="L76" s="563"/>
      <c r="M76" s="554"/>
      <c r="N76" s="554"/>
      <c r="O76" s="554"/>
      <c r="P76" s="554"/>
      <c r="Q76" s="561"/>
      <c r="R76" s="560"/>
    </row>
    <row r="77" spans="1:18" x14ac:dyDescent="0.25">
      <c r="A77" s="552"/>
      <c r="D77" s="145"/>
      <c r="E77" s="554"/>
      <c r="F77" s="554"/>
      <c r="G77" s="554"/>
      <c r="H77" s="563"/>
      <c r="I77" s="554"/>
      <c r="J77" s="563"/>
      <c r="K77" s="554"/>
      <c r="L77" s="563"/>
      <c r="M77" s="554"/>
      <c r="N77" s="554"/>
      <c r="O77" s="554"/>
      <c r="P77" s="554"/>
      <c r="Q77" s="561"/>
      <c r="R77" s="560"/>
    </row>
    <row r="78" spans="1:18" x14ac:dyDescent="0.25">
      <c r="A78" s="552"/>
      <c r="D78" s="145"/>
      <c r="E78" s="554"/>
      <c r="F78" s="554"/>
      <c r="G78" s="554"/>
      <c r="H78" s="563"/>
      <c r="I78" s="554"/>
      <c r="J78" s="563"/>
      <c r="K78" s="554"/>
      <c r="L78" s="563"/>
      <c r="M78" s="554"/>
      <c r="N78" s="554"/>
      <c r="O78" s="554"/>
      <c r="P78" s="554"/>
      <c r="Q78" s="561"/>
      <c r="R78" s="560"/>
    </row>
    <row r="79" spans="1:18" x14ac:dyDescent="0.25">
      <c r="A79" s="552"/>
      <c r="D79" s="145"/>
      <c r="E79" s="554"/>
      <c r="F79" s="563"/>
      <c r="G79" s="554"/>
      <c r="H79" s="554"/>
      <c r="I79" s="554"/>
      <c r="J79" s="554"/>
      <c r="K79" s="563"/>
      <c r="L79" s="554"/>
      <c r="M79" s="554"/>
      <c r="N79" s="554"/>
      <c r="O79" s="554"/>
      <c r="P79" s="554"/>
      <c r="Q79" s="561"/>
      <c r="R79" s="560"/>
    </row>
    <row r="80" spans="1:18" x14ac:dyDescent="0.25">
      <c r="A80" s="552"/>
      <c r="D80" s="145"/>
      <c r="E80" s="554"/>
      <c r="F80" s="563"/>
      <c r="G80" s="554"/>
      <c r="H80" s="554"/>
      <c r="I80" s="554"/>
      <c r="J80" s="554"/>
      <c r="K80" s="563"/>
      <c r="L80" s="554"/>
      <c r="M80" s="554"/>
      <c r="N80" s="554"/>
      <c r="O80" s="554"/>
      <c r="P80" s="554"/>
      <c r="Q80" s="561"/>
      <c r="R80" s="560"/>
    </row>
    <row r="81" spans="1:18" x14ac:dyDescent="0.25">
      <c r="A81" s="552"/>
      <c r="D81" s="145"/>
      <c r="E81" s="554"/>
      <c r="F81" s="563"/>
      <c r="G81" s="554"/>
      <c r="H81" s="563"/>
      <c r="I81" s="554"/>
      <c r="J81" s="563"/>
      <c r="K81" s="563"/>
      <c r="L81" s="554"/>
      <c r="M81" s="554"/>
      <c r="N81" s="554"/>
      <c r="O81" s="554"/>
      <c r="P81" s="554"/>
      <c r="Q81" s="561"/>
      <c r="R81" s="560"/>
    </row>
    <row r="82" spans="1:18" x14ac:dyDescent="0.25">
      <c r="A82" s="552"/>
      <c r="D82" s="145"/>
      <c r="E82" s="554"/>
      <c r="F82" s="563"/>
      <c r="G82" s="554"/>
      <c r="H82" s="563"/>
      <c r="I82" s="554"/>
      <c r="J82" s="563"/>
      <c r="K82" s="563"/>
      <c r="L82" s="563"/>
      <c r="M82" s="554"/>
      <c r="N82" s="554"/>
      <c r="O82" s="554"/>
      <c r="P82" s="554"/>
      <c r="Q82" s="561"/>
      <c r="R82" s="560"/>
    </row>
    <row r="83" spans="1:18" x14ac:dyDescent="0.25">
      <c r="A83" s="552"/>
      <c r="D83" s="143"/>
      <c r="E83" s="561"/>
      <c r="F83" s="562"/>
      <c r="G83" s="561"/>
      <c r="H83" s="562"/>
      <c r="I83" s="561"/>
      <c r="J83" s="562"/>
      <c r="K83" s="562"/>
      <c r="L83" s="562"/>
      <c r="M83" s="561"/>
      <c r="N83" s="561"/>
      <c r="O83" s="561"/>
      <c r="P83" s="561"/>
      <c r="Q83" s="561"/>
      <c r="R83" s="560"/>
    </row>
    <row r="84" spans="1:18" x14ac:dyDescent="0.25">
      <c r="A84" s="552"/>
      <c r="D84" s="143"/>
      <c r="E84" s="561"/>
      <c r="F84" s="562"/>
      <c r="G84" s="561"/>
      <c r="H84" s="562"/>
      <c r="I84" s="561"/>
      <c r="J84" s="562"/>
      <c r="K84" s="562"/>
      <c r="L84" s="562"/>
      <c r="M84" s="561"/>
      <c r="N84" s="561"/>
      <c r="O84" s="561"/>
      <c r="P84" s="561"/>
      <c r="Q84" s="561"/>
      <c r="R84" s="560"/>
    </row>
    <row r="85" spans="1:18" x14ac:dyDescent="0.25">
      <c r="A85" s="552"/>
      <c r="D85" s="143"/>
      <c r="E85" s="561"/>
      <c r="F85" s="562"/>
      <c r="G85" s="561"/>
      <c r="H85" s="561"/>
      <c r="I85" s="561"/>
      <c r="J85" s="561"/>
      <c r="K85" s="562"/>
      <c r="L85" s="561"/>
      <c r="M85" s="561"/>
      <c r="N85" s="561"/>
      <c r="O85" s="561"/>
      <c r="P85" s="561"/>
      <c r="Q85" s="561"/>
      <c r="R85" s="560"/>
    </row>
    <row r="86" spans="1:18" x14ac:dyDescent="0.25">
      <c r="A86" s="552"/>
      <c r="B86" s="151"/>
      <c r="C86" s="143"/>
      <c r="D86" s="143"/>
      <c r="E86" s="554"/>
      <c r="F86" s="554"/>
      <c r="G86" s="554"/>
      <c r="H86" s="554"/>
      <c r="I86" s="554"/>
      <c r="J86" s="554"/>
      <c r="K86" s="554"/>
      <c r="L86" s="554"/>
      <c r="M86" s="554"/>
      <c r="N86" s="554"/>
      <c r="O86" s="554"/>
      <c r="P86" s="554"/>
      <c r="Q86" s="554"/>
      <c r="R86" s="553"/>
    </row>
    <row r="87" spans="1:18" x14ac:dyDescent="0.25">
      <c r="A87" s="552"/>
      <c r="B87" s="151"/>
      <c r="C87" s="143"/>
      <c r="D87" s="143"/>
      <c r="E87" s="554"/>
      <c r="F87" s="554"/>
      <c r="G87" s="554"/>
      <c r="H87" s="554"/>
      <c r="I87" s="554"/>
      <c r="J87" s="554"/>
      <c r="K87" s="554"/>
      <c r="L87" s="554"/>
      <c r="M87" s="554"/>
      <c r="N87" s="554"/>
      <c r="O87" s="554"/>
      <c r="P87" s="554"/>
      <c r="Q87" s="554"/>
      <c r="R87" s="553"/>
    </row>
    <row r="88" spans="1:18" x14ac:dyDescent="0.25">
      <c r="A88" s="552"/>
      <c r="B88" s="559"/>
      <c r="D88" s="143"/>
      <c r="E88" s="558"/>
      <c r="F88" s="558"/>
      <c r="G88" s="558"/>
      <c r="H88" s="558"/>
      <c r="I88" s="558"/>
      <c r="J88" s="554"/>
      <c r="K88" s="554"/>
      <c r="L88" s="554"/>
      <c r="M88" s="554"/>
      <c r="N88" s="554"/>
      <c r="O88" s="554"/>
      <c r="P88" s="554"/>
      <c r="Q88" s="554"/>
      <c r="R88" s="553"/>
    </row>
    <row r="89" spans="1:18" x14ac:dyDescent="0.25">
      <c r="A89" s="552"/>
      <c r="B89" s="151"/>
      <c r="C89" s="143"/>
      <c r="D89" s="143"/>
      <c r="E89" s="558"/>
      <c r="F89" s="558"/>
      <c r="G89" s="558"/>
      <c r="H89" s="558"/>
      <c r="I89" s="558"/>
      <c r="J89" s="554"/>
      <c r="K89" s="554"/>
      <c r="L89" s="554"/>
      <c r="M89" s="554"/>
      <c r="N89" s="554"/>
      <c r="O89" s="554"/>
      <c r="P89" s="554"/>
      <c r="Q89" s="554"/>
      <c r="R89" s="553"/>
    </row>
    <row r="90" spans="1:18" x14ac:dyDescent="0.25">
      <c r="A90" s="552"/>
      <c r="D90" s="143"/>
      <c r="E90" s="556"/>
      <c r="F90" s="556"/>
      <c r="G90" s="556"/>
      <c r="H90" s="556"/>
      <c r="I90" s="556"/>
      <c r="J90" s="556"/>
      <c r="K90" s="556"/>
      <c r="L90" s="556"/>
      <c r="M90" s="556"/>
      <c r="N90" s="556"/>
      <c r="O90" s="556"/>
      <c r="P90" s="556"/>
      <c r="Q90" s="556"/>
      <c r="R90" s="555"/>
    </row>
    <row r="91" spans="1:18" x14ac:dyDescent="0.25">
      <c r="A91" s="552"/>
      <c r="D91" s="143"/>
      <c r="E91" s="556"/>
      <c r="F91" s="556"/>
      <c r="G91" s="556"/>
      <c r="H91" s="556"/>
      <c r="I91" s="556"/>
      <c r="J91" s="556"/>
      <c r="K91" s="556"/>
      <c r="L91" s="556"/>
      <c r="M91" s="556"/>
      <c r="N91" s="556"/>
      <c r="O91" s="556"/>
      <c r="P91" s="556"/>
      <c r="Q91" s="556"/>
      <c r="R91" s="555"/>
    </row>
    <row r="92" spans="1:18" x14ac:dyDescent="0.25">
      <c r="A92" s="552"/>
      <c r="D92" s="143"/>
      <c r="E92" s="556"/>
      <c r="F92" s="556"/>
      <c r="G92" s="556"/>
      <c r="H92" s="556"/>
      <c r="I92" s="556"/>
      <c r="J92" s="556"/>
      <c r="K92" s="556"/>
      <c r="L92" s="556"/>
      <c r="M92" s="556"/>
      <c r="N92" s="556"/>
      <c r="O92" s="556"/>
      <c r="P92" s="556"/>
      <c r="Q92" s="556"/>
      <c r="R92" s="555"/>
    </row>
    <row r="93" spans="1:18" x14ac:dyDescent="0.25">
      <c r="A93" s="552"/>
      <c r="D93" s="143"/>
      <c r="E93" s="556"/>
      <c r="F93" s="556"/>
      <c r="G93" s="556"/>
      <c r="H93" s="556"/>
      <c r="I93" s="556"/>
      <c r="J93" s="556"/>
      <c r="K93" s="556"/>
      <c r="L93" s="556"/>
      <c r="M93" s="556"/>
      <c r="N93" s="556"/>
      <c r="O93" s="556"/>
      <c r="P93" s="556"/>
      <c r="Q93" s="556"/>
      <c r="R93" s="555"/>
    </row>
    <row r="94" spans="1:18" x14ac:dyDescent="0.25">
      <c r="A94" s="552"/>
      <c r="B94" s="556"/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  <c r="O94" s="556"/>
      <c r="P94" s="556"/>
      <c r="Q94" s="556"/>
      <c r="R94" s="555"/>
    </row>
    <row r="95" spans="1:18" x14ac:dyDescent="0.25">
      <c r="A95" s="552"/>
      <c r="B95" s="556"/>
      <c r="C95" s="556"/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6"/>
      <c r="O95" s="556"/>
      <c r="P95" s="556"/>
      <c r="Q95" s="556"/>
      <c r="R95" s="555"/>
    </row>
    <row r="96" spans="1:18" x14ac:dyDescent="0.25">
      <c r="A96" s="552"/>
      <c r="B96" s="556"/>
      <c r="C96" s="556"/>
      <c r="D96" s="556"/>
      <c r="E96" s="556"/>
      <c r="F96" s="556"/>
      <c r="G96" s="556"/>
      <c r="H96" s="556"/>
      <c r="I96" s="556"/>
      <c r="J96" s="556"/>
      <c r="K96" s="556"/>
      <c r="L96" s="556"/>
      <c r="M96" s="556"/>
      <c r="N96" s="556"/>
      <c r="O96" s="556"/>
      <c r="P96" s="556"/>
      <c r="Q96" s="556"/>
      <c r="R96" s="555"/>
    </row>
    <row r="97" spans="1:18" x14ac:dyDescent="0.25">
      <c r="A97" s="552"/>
      <c r="B97" s="556"/>
      <c r="C97" s="556"/>
      <c r="D97" s="556"/>
      <c r="E97" s="556"/>
      <c r="F97" s="556"/>
      <c r="G97" s="556"/>
      <c r="H97" s="556"/>
      <c r="I97" s="556"/>
      <c r="J97" s="556"/>
      <c r="K97" s="556"/>
      <c r="L97" s="556"/>
      <c r="M97" s="556"/>
      <c r="N97" s="556"/>
      <c r="O97" s="556"/>
      <c r="P97" s="556"/>
      <c r="Q97" s="556"/>
      <c r="R97" s="555"/>
    </row>
    <row r="98" spans="1:18" x14ac:dyDescent="0.25">
      <c r="A98" s="552"/>
      <c r="B98" s="556"/>
      <c r="C98" s="556"/>
      <c r="D98" s="556"/>
      <c r="E98" s="556"/>
      <c r="F98" s="556"/>
      <c r="G98" s="556"/>
      <c r="H98" s="556"/>
      <c r="I98" s="556"/>
      <c r="J98" s="556"/>
      <c r="K98" s="556"/>
      <c r="L98" s="556"/>
      <c r="M98" s="556"/>
      <c r="N98" s="556"/>
      <c r="O98" s="556"/>
      <c r="P98" s="556"/>
      <c r="Q98" s="556"/>
      <c r="R98" s="555"/>
    </row>
    <row r="99" spans="1:18" x14ac:dyDescent="0.25">
      <c r="A99" s="552"/>
      <c r="B99" s="556"/>
      <c r="C99" s="556"/>
      <c r="D99" s="556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556"/>
      <c r="P99" s="556"/>
      <c r="Q99" s="556"/>
      <c r="R99" s="555"/>
    </row>
    <row r="100" spans="1:18" x14ac:dyDescent="0.25">
      <c r="A100" s="552"/>
      <c r="B100" s="556"/>
      <c r="C100" s="556"/>
      <c r="D100" s="556"/>
      <c r="E100" s="556"/>
      <c r="F100" s="556"/>
      <c r="G100" s="556"/>
      <c r="H100" s="556"/>
      <c r="I100" s="556"/>
      <c r="J100" s="556"/>
      <c r="K100" s="556"/>
      <c r="L100" s="556"/>
      <c r="M100" s="556"/>
      <c r="N100" s="556"/>
      <c r="O100" s="556"/>
      <c r="P100" s="556"/>
      <c r="Q100" s="556"/>
      <c r="R100" s="555"/>
    </row>
    <row r="101" spans="1:18" x14ac:dyDescent="0.25">
      <c r="A101" s="552"/>
      <c r="B101" s="556"/>
      <c r="C101" s="556"/>
      <c r="D101" s="556"/>
      <c r="E101" s="556"/>
      <c r="F101" s="556"/>
      <c r="G101" s="556"/>
      <c r="H101" s="556"/>
      <c r="I101" s="556"/>
      <c r="J101" s="556"/>
      <c r="K101" s="556"/>
      <c r="L101" s="556"/>
      <c r="M101" s="556"/>
      <c r="N101" s="556"/>
      <c r="O101" s="556"/>
      <c r="P101" s="556"/>
      <c r="Q101" s="556"/>
      <c r="R101" s="555"/>
    </row>
    <row r="102" spans="1:18" x14ac:dyDescent="0.25">
      <c r="A102" s="552"/>
      <c r="B102" s="556"/>
      <c r="C102" s="556"/>
      <c r="D102" s="556"/>
      <c r="E102" s="556"/>
      <c r="F102" s="556"/>
      <c r="G102" s="556"/>
      <c r="H102" s="556"/>
      <c r="I102" s="556"/>
      <c r="J102" s="556"/>
      <c r="K102" s="556"/>
      <c r="L102" s="556"/>
      <c r="M102" s="556"/>
      <c r="N102" s="556"/>
      <c r="O102" s="556"/>
      <c r="P102" s="556"/>
      <c r="Q102" s="556"/>
      <c r="R102" s="555"/>
    </row>
    <row r="103" spans="1:18" x14ac:dyDescent="0.25">
      <c r="A103" s="552"/>
      <c r="B103" s="554"/>
      <c r="C103" s="554"/>
      <c r="D103" s="554"/>
      <c r="E103" s="554"/>
      <c r="F103" s="554"/>
      <c r="G103" s="554"/>
      <c r="H103" s="554"/>
      <c r="I103" s="554"/>
      <c r="J103" s="554"/>
      <c r="K103" s="554"/>
      <c r="L103" s="554"/>
      <c r="M103" s="554"/>
      <c r="N103" s="554"/>
      <c r="O103" s="554"/>
      <c r="P103" s="554"/>
      <c r="Q103" s="554"/>
      <c r="R103" s="553"/>
    </row>
    <row r="104" spans="1:18" x14ac:dyDescent="0.25">
      <c r="A104" s="552"/>
      <c r="B104" s="554"/>
      <c r="C104" s="554"/>
      <c r="D104" s="554"/>
      <c r="E104" s="554"/>
      <c r="F104" s="554"/>
      <c r="G104" s="554"/>
      <c r="H104" s="554"/>
      <c r="I104" s="554"/>
      <c r="J104" s="554"/>
      <c r="K104" s="554"/>
      <c r="L104" s="554"/>
      <c r="M104" s="554"/>
      <c r="N104" s="554"/>
      <c r="O104" s="554"/>
      <c r="P104" s="554"/>
      <c r="Q104" s="554"/>
      <c r="R104" s="553"/>
    </row>
    <row r="105" spans="1:18" x14ac:dyDescent="0.25">
      <c r="A105" s="552"/>
      <c r="B105" s="558"/>
      <c r="C105" s="558"/>
      <c r="D105" s="558"/>
      <c r="E105" s="558"/>
      <c r="F105" s="558"/>
      <c r="G105" s="558"/>
      <c r="H105" s="558"/>
      <c r="I105" s="558"/>
      <c r="J105" s="554"/>
      <c r="K105" s="554"/>
      <c r="L105" s="554"/>
      <c r="M105" s="554"/>
      <c r="N105" s="554"/>
      <c r="O105" s="554"/>
      <c r="P105" s="554"/>
      <c r="Q105" s="554"/>
      <c r="R105" s="553"/>
    </row>
    <row r="106" spans="1:18" x14ac:dyDescent="0.25">
      <c r="A106" s="552"/>
      <c r="B106" s="151"/>
      <c r="C106" s="143"/>
      <c r="D106" s="143"/>
      <c r="E106" s="558"/>
      <c r="F106" s="558"/>
      <c r="G106" s="558"/>
      <c r="H106" s="558"/>
      <c r="I106" s="558"/>
      <c r="J106" s="554"/>
      <c r="K106" s="554"/>
      <c r="L106" s="554"/>
      <c r="M106" s="554"/>
      <c r="N106" s="554"/>
      <c r="O106" s="554"/>
      <c r="P106" s="554"/>
      <c r="Q106" s="554"/>
      <c r="R106" s="553"/>
    </row>
    <row r="107" spans="1:18" x14ac:dyDescent="0.25">
      <c r="A107" s="552"/>
      <c r="D107" s="143"/>
      <c r="E107" s="557"/>
      <c r="F107" s="556"/>
      <c r="G107" s="556"/>
      <c r="H107" s="556"/>
      <c r="I107" s="556"/>
      <c r="J107" s="556"/>
      <c r="K107" s="556"/>
      <c r="L107" s="556"/>
      <c r="M107" s="556"/>
      <c r="N107" s="556"/>
      <c r="O107" s="556"/>
      <c r="P107" s="556"/>
      <c r="Q107" s="556"/>
      <c r="R107" s="555"/>
    </row>
    <row r="108" spans="1:18" x14ac:dyDescent="0.25">
      <c r="A108" s="552"/>
      <c r="D108" s="143"/>
      <c r="E108" s="557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5"/>
    </row>
    <row r="109" spans="1:18" x14ac:dyDescent="0.25">
      <c r="A109" s="552"/>
      <c r="D109" s="143"/>
      <c r="E109" s="557"/>
      <c r="F109" s="556"/>
      <c r="G109" s="556"/>
      <c r="H109" s="556"/>
      <c r="I109" s="556"/>
      <c r="J109" s="556"/>
      <c r="K109" s="556"/>
      <c r="L109" s="556"/>
      <c r="M109" s="556"/>
      <c r="N109" s="556"/>
      <c r="O109" s="556"/>
      <c r="P109" s="556"/>
      <c r="Q109" s="556"/>
      <c r="R109" s="555"/>
    </row>
    <row r="110" spans="1:18" x14ac:dyDescent="0.25">
      <c r="A110" s="552"/>
      <c r="D110" s="143"/>
      <c r="E110" s="557"/>
      <c r="F110" s="556"/>
      <c r="G110" s="556"/>
      <c r="H110" s="556"/>
      <c r="I110" s="556"/>
      <c r="J110" s="556"/>
      <c r="K110" s="556"/>
      <c r="L110" s="556"/>
      <c r="M110" s="556"/>
      <c r="N110" s="556"/>
      <c r="O110" s="556"/>
      <c r="P110" s="556"/>
      <c r="Q110" s="556"/>
      <c r="R110" s="555"/>
    </row>
    <row r="111" spans="1:18" x14ac:dyDescent="0.25">
      <c r="A111" s="552"/>
      <c r="D111" s="143"/>
      <c r="E111" s="557"/>
      <c r="F111" s="556"/>
      <c r="G111" s="556"/>
      <c r="H111" s="556"/>
      <c r="I111" s="556"/>
      <c r="J111" s="556"/>
      <c r="K111" s="556"/>
      <c r="L111" s="556"/>
      <c r="M111" s="556"/>
      <c r="N111" s="556"/>
      <c r="O111" s="556"/>
      <c r="P111" s="556"/>
      <c r="Q111" s="556"/>
      <c r="R111" s="555"/>
    </row>
    <row r="112" spans="1:18" x14ac:dyDescent="0.25">
      <c r="A112" s="552"/>
      <c r="D112" s="143"/>
      <c r="E112" s="557"/>
      <c r="F112" s="557"/>
      <c r="G112" s="557"/>
      <c r="H112" s="557"/>
      <c r="I112" s="557"/>
      <c r="J112" s="557"/>
      <c r="K112" s="557"/>
      <c r="L112" s="557"/>
      <c r="M112" s="557"/>
      <c r="N112" s="557"/>
      <c r="O112" s="557"/>
      <c r="P112" s="557"/>
      <c r="Q112" s="556"/>
      <c r="R112" s="555"/>
    </row>
    <row r="113" spans="1:18" x14ac:dyDescent="0.25">
      <c r="A113" s="552"/>
      <c r="D113" s="143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6"/>
      <c r="R113" s="555"/>
    </row>
    <row r="114" spans="1:18" x14ac:dyDescent="0.25">
      <c r="A114" s="552"/>
      <c r="D114" s="143"/>
      <c r="E114" s="557"/>
      <c r="F114" s="557"/>
      <c r="G114" s="557"/>
      <c r="H114" s="557"/>
      <c r="I114" s="557"/>
      <c r="J114" s="557"/>
      <c r="K114" s="557"/>
      <c r="L114" s="557"/>
      <c r="M114" s="557"/>
      <c r="N114" s="557"/>
      <c r="O114" s="557"/>
      <c r="P114" s="557"/>
      <c r="Q114" s="556"/>
      <c r="R114" s="555"/>
    </row>
    <row r="115" spans="1:18" x14ac:dyDescent="0.25">
      <c r="A115" s="552"/>
      <c r="D115" s="143"/>
      <c r="E115" s="557"/>
      <c r="F115" s="557"/>
      <c r="G115" s="557"/>
      <c r="H115" s="557"/>
      <c r="I115" s="557"/>
      <c r="J115" s="557"/>
      <c r="K115" s="557"/>
      <c r="L115" s="557"/>
      <c r="M115" s="557"/>
      <c r="N115" s="557"/>
      <c r="O115" s="557"/>
      <c r="P115" s="557"/>
      <c r="Q115" s="556"/>
      <c r="R115" s="555"/>
    </row>
    <row r="116" spans="1:18" x14ac:dyDescent="0.25">
      <c r="A116" s="552"/>
      <c r="D116" s="143"/>
      <c r="E116" s="557"/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6"/>
      <c r="R116" s="555"/>
    </row>
    <row r="117" spans="1:18" x14ac:dyDescent="0.25">
      <c r="A117" s="552"/>
      <c r="D117" s="143"/>
      <c r="E117" s="557"/>
      <c r="F117" s="557"/>
      <c r="G117" s="557"/>
      <c r="H117" s="557"/>
      <c r="I117" s="557"/>
      <c r="J117" s="557"/>
      <c r="K117" s="557"/>
      <c r="L117" s="557"/>
      <c r="M117" s="557"/>
      <c r="N117" s="557"/>
      <c r="O117" s="557"/>
      <c r="P117" s="557"/>
      <c r="Q117" s="556"/>
      <c r="R117" s="555"/>
    </row>
    <row r="118" spans="1:18" x14ac:dyDescent="0.25">
      <c r="A118" s="552"/>
      <c r="D118" s="143"/>
      <c r="E118" s="557"/>
      <c r="F118" s="557"/>
      <c r="G118" s="557"/>
      <c r="H118" s="557"/>
      <c r="I118" s="557"/>
      <c r="J118" s="557"/>
      <c r="K118" s="557"/>
      <c r="L118" s="557"/>
      <c r="M118" s="557"/>
      <c r="N118" s="557"/>
      <c r="O118" s="557"/>
      <c r="P118" s="557"/>
      <c r="Q118" s="556"/>
      <c r="R118" s="555"/>
    </row>
    <row r="119" spans="1:18" x14ac:dyDescent="0.25">
      <c r="A119" s="552"/>
      <c r="B119" s="151"/>
      <c r="C119" s="143"/>
      <c r="D119" s="143"/>
      <c r="E119" s="556"/>
      <c r="F119" s="556"/>
      <c r="G119" s="556"/>
      <c r="H119" s="556"/>
      <c r="I119" s="556"/>
      <c r="J119" s="556"/>
      <c r="K119" s="556"/>
      <c r="L119" s="556"/>
      <c r="M119" s="556"/>
      <c r="N119" s="556"/>
      <c r="O119" s="556"/>
      <c r="P119" s="556"/>
      <c r="Q119" s="556"/>
      <c r="R119" s="555"/>
    </row>
    <row r="120" spans="1:18" x14ac:dyDescent="0.25">
      <c r="A120" s="552"/>
      <c r="B120" s="151"/>
      <c r="C120" s="143"/>
      <c r="D120" s="143"/>
      <c r="E120" s="554"/>
      <c r="F120" s="554"/>
      <c r="G120" s="554"/>
      <c r="H120" s="554"/>
      <c r="I120" s="554"/>
      <c r="J120" s="554"/>
      <c r="K120" s="554"/>
      <c r="L120" s="554"/>
      <c r="M120" s="554"/>
      <c r="N120" s="554"/>
      <c r="O120" s="554"/>
      <c r="P120" s="554"/>
      <c r="Q120" s="554"/>
      <c r="R120" s="553"/>
    </row>
    <row r="121" spans="1:18" x14ac:dyDescent="0.25">
      <c r="A121" s="552"/>
      <c r="B121" s="151"/>
      <c r="C121" s="143"/>
      <c r="D121" s="143"/>
      <c r="E121" s="554"/>
      <c r="F121" s="554"/>
      <c r="G121" s="554"/>
      <c r="H121" s="554"/>
      <c r="I121" s="554"/>
      <c r="J121" s="554"/>
      <c r="K121" s="554"/>
      <c r="L121" s="554"/>
      <c r="M121" s="554"/>
      <c r="N121" s="554"/>
      <c r="O121" s="554"/>
      <c r="P121" s="554"/>
      <c r="Q121" s="554"/>
      <c r="R121" s="553"/>
    </row>
    <row r="122" spans="1:18" x14ac:dyDescent="0.25">
      <c r="A122" s="552"/>
      <c r="B122" s="559"/>
      <c r="D122" s="143"/>
      <c r="E122" s="558"/>
      <c r="F122" s="558"/>
      <c r="G122" s="558"/>
      <c r="H122" s="558"/>
      <c r="I122" s="558"/>
      <c r="J122" s="554"/>
      <c r="K122" s="554"/>
      <c r="L122" s="554"/>
      <c r="M122" s="554"/>
      <c r="N122" s="554"/>
      <c r="O122" s="554"/>
      <c r="P122" s="554"/>
      <c r="Q122" s="554"/>
      <c r="R122" s="553"/>
    </row>
    <row r="123" spans="1:18" x14ac:dyDescent="0.25">
      <c r="A123" s="552"/>
      <c r="B123" s="151"/>
      <c r="C123" s="143"/>
      <c r="D123" s="143"/>
      <c r="E123" s="558"/>
      <c r="F123" s="558"/>
      <c r="G123" s="558"/>
      <c r="H123" s="558"/>
      <c r="I123" s="558"/>
      <c r="J123" s="554"/>
      <c r="K123" s="554"/>
      <c r="L123" s="554"/>
      <c r="M123" s="554"/>
      <c r="N123" s="554"/>
      <c r="O123" s="554"/>
      <c r="P123" s="554"/>
      <c r="Q123" s="554"/>
      <c r="R123" s="553"/>
    </row>
    <row r="124" spans="1:18" x14ac:dyDescent="0.25">
      <c r="A124" s="552"/>
      <c r="D124" s="143"/>
      <c r="E124" s="557"/>
      <c r="F124" s="557"/>
      <c r="G124" s="557"/>
      <c r="H124" s="557"/>
      <c r="I124" s="557"/>
      <c r="J124" s="557"/>
      <c r="K124" s="557"/>
      <c r="L124" s="557"/>
      <c r="M124" s="557"/>
      <c r="N124" s="557"/>
      <c r="O124" s="557"/>
      <c r="P124" s="557"/>
      <c r="Q124" s="556"/>
      <c r="R124" s="555"/>
    </row>
    <row r="125" spans="1:18" x14ac:dyDescent="0.25">
      <c r="A125" s="552"/>
      <c r="D125" s="143"/>
      <c r="E125" s="557"/>
      <c r="F125" s="557"/>
      <c r="G125" s="557"/>
      <c r="H125" s="557"/>
      <c r="I125" s="557"/>
      <c r="J125" s="557"/>
      <c r="K125" s="557"/>
      <c r="L125" s="557"/>
      <c r="M125" s="557"/>
      <c r="N125" s="557"/>
      <c r="O125" s="557"/>
      <c r="P125" s="557"/>
      <c r="Q125" s="556"/>
      <c r="R125" s="555"/>
    </row>
    <row r="126" spans="1:18" x14ac:dyDescent="0.25">
      <c r="A126" s="552"/>
      <c r="D126" s="143"/>
      <c r="E126" s="557"/>
      <c r="F126" s="557"/>
      <c r="G126" s="557"/>
      <c r="H126" s="557"/>
      <c r="I126" s="557"/>
      <c r="J126" s="557"/>
      <c r="K126" s="557"/>
      <c r="L126" s="557"/>
      <c r="M126" s="557"/>
      <c r="N126" s="557"/>
      <c r="O126" s="557"/>
      <c r="P126" s="557"/>
      <c r="Q126" s="556"/>
      <c r="R126" s="555"/>
    </row>
    <row r="127" spans="1:18" x14ac:dyDescent="0.25">
      <c r="A127" s="552"/>
      <c r="D127" s="143"/>
      <c r="E127" s="557"/>
      <c r="F127" s="557"/>
      <c r="G127" s="557"/>
      <c r="H127" s="557"/>
      <c r="I127" s="557"/>
      <c r="J127" s="557"/>
      <c r="K127" s="557"/>
      <c r="L127" s="557"/>
      <c r="M127" s="557"/>
      <c r="N127" s="557"/>
      <c r="O127" s="557"/>
      <c r="P127" s="557"/>
      <c r="Q127" s="556"/>
      <c r="R127" s="555"/>
    </row>
    <row r="128" spans="1:18" x14ac:dyDescent="0.25">
      <c r="A128" s="552"/>
      <c r="D128" s="143"/>
      <c r="E128" s="557"/>
      <c r="F128" s="557"/>
      <c r="G128" s="557"/>
      <c r="H128" s="557"/>
      <c r="I128" s="557"/>
      <c r="J128" s="557"/>
      <c r="K128" s="557"/>
      <c r="L128" s="557"/>
      <c r="M128" s="557"/>
      <c r="N128" s="557"/>
      <c r="O128" s="557"/>
      <c r="P128" s="557"/>
      <c r="Q128" s="556"/>
      <c r="R128" s="555"/>
    </row>
    <row r="129" spans="1:18" x14ac:dyDescent="0.25">
      <c r="A129" s="552"/>
      <c r="D129" s="143"/>
      <c r="E129" s="557"/>
      <c r="F129" s="557"/>
      <c r="G129" s="557"/>
      <c r="H129" s="557"/>
      <c r="I129" s="557"/>
      <c r="J129" s="557"/>
      <c r="K129" s="557"/>
      <c r="L129" s="557"/>
      <c r="M129" s="557"/>
      <c r="N129" s="557"/>
      <c r="O129" s="557"/>
      <c r="P129" s="557"/>
      <c r="Q129" s="556"/>
      <c r="R129" s="555"/>
    </row>
    <row r="130" spans="1:18" x14ac:dyDescent="0.25">
      <c r="A130" s="552"/>
      <c r="D130" s="143"/>
      <c r="E130" s="557"/>
      <c r="F130" s="557"/>
      <c r="G130" s="557"/>
      <c r="H130" s="557"/>
      <c r="I130" s="557"/>
      <c r="J130" s="557"/>
      <c r="K130" s="557"/>
      <c r="L130" s="557"/>
      <c r="M130" s="557"/>
      <c r="N130" s="557"/>
      <c r="O130" s="557"/>
      <c r="P130" s="557"/>
      <c r="Q130" s="556"/>
      <c r="R130" s="555"/>
    </row>
    <row r="131" spans="1:18" x14ac:dyDescent="0.25">
      <c r="A131" s="552"/>
      <c r="D131" s="143"/>
      <c r="E131" s="557"/>
      <c r="F131" s="557"/>
      <c r="G131" s="557"/>
      <c r="H131" s="557"/>
      <c r="I131" s="557"/>
      <c r="J131" s="557"/>
      <c r="K131" s="557"/>
      <c r="L131" s="557"/>
      <c r="M131" s="557"/>
      <c r="N131" s="557"/>
      <c r="O131" s="557"/>
      <c r="P131" s="557"/>
      <c r="Q131" s="556"/>
      <c r="R131" s="555"/>
    </row>
    <row r="132" spans="1:18" x14ac:dyDescent="0.25">
      <c r="A132" s="552"/>
      <c r="D132" s="143"/>
      <c r="E132" s="557"/>
      <c r="F132" s="557"/>
      <c r="G132" s="557"/>
      <c r="H132" s="557"/>
      <c r="I132" s="557"/>
      <c r="J132" s="557"/>
      <c r="K132" s="557"/>
      <c r="L132" s="557"/>
      <c r="M132" s="557"/>
      <c r="N132" s="557"/>
      <c r="O132" s="557"/>
      <c r="P132" s="557"/>
      <c r="Q132" s="556"/>
      <c r="R132" s="555"/>
    </row>
    <row r="133" spans="1:18" x14ac:dyDescent="0.25">
      <c r="A133" s="552"/>
      <c r="D133" s="143"/>
      <c r="E133" s="557"/>
      <c r="F133" s="557"/>
      <c r="G133" s="557"/>
      <c r="H133" s="557"/>
      <c r="I133" s="557"/>
      <c r="J133" s="557"/>
      <c r="K133" s="557"/>
      <c r="L133" s="557"/>
      <c r="M133" s="557"/>
      <c r="N133" s="557"/>
      <c r="O133" s="557"/>
      <c r="P133" s="557"/>
      <c r="Q133" s="556"/>
      <c r="R133" s="555"/>
    </row>
    <row r="134" spans="1:18" x14ac:dyDescent="0.25">
      <c r="A134" s="552"/>
      <c r="D134" s="143"/>
      <c r="E134" s="557"/>
      <c r="F134" s="557"/>
      <c r="G134" s="557"/>
      <c r="H134" s="557"/>
      <c r="I134" s="557"/>
      <c r="J134" s="557"/>
      <c r="K134" s="557"/>
      <c r="L134" s="557"/>
      <c r="M134" s="557"/>
      <c r="N134" s="557"/>
      <c r="O134" s="557"/>
      <c r="P134" s="557"/>
      <c r="Q134" s="556"/>
      <c r="R134" s="555"/>
    </row>
    <row r="135" spans="1:18" x14ac:dyDescent="0.25">
      <c r="A135" s="552"/>
      <c r="D135" s="143"/>
      <c r="E135" s="557"/>
      <c r="F135" s="557"/>
      <c r="G135" s="557"/>
      <c r="H135" s="557"/>
      <c r="I135" s="557"/>
      <c r="J135" s="557"/>
      <c r="K135" s="557"/>
      <c r="L135" s="557"/>
      <c r="M135" s="557"/>
      <c r="N135" s="557"/>
      <c r="O135" s="557"/>
      <c r="P135" s="557"/>
      <c r="Q135" s="556"/>
      <c r="R135" s="555"/>
    </row>
    <row r="136" spans="1:18" x14ac:dyDescent="0.25">
      <c r="A136" s="552"/>
      <c r="B136" s="151"/>
      <c r="C136" s="143"/>
      <c r="D136" s="143"/>
      <c r="E136" s="556"/>
      <c r="F136" s="556"/>
      <c r="G136" s="556"/>
      <c r="H136" s="556"/>
      <c r="I136" s="556"/>
      <c r="J136" s="556"/>
      <c r="K136" s="556"/>
      <c r="L136" s="556"/>
      <c r="M136" s="556"/>
      <c r="N136" s="556"/>
      <c r="O136" s="556"/>
      <c r="P136" s="556"/>
      <c r="Q136" s="556"/>
      <c r="R136" s="555"/>
    </row>
    <row r="137" spans="1:18" x14ac:dyDescent="0.25">
      <c r="A137" s="552"/>
      <c r="B137" s="151"/>
      <c r="C137" s="143"/>
      <c r="D137" s="143"/>
      <c r="E137" s="554"/>
      <c r="F137" s="554"/>
      <c r="G137" s="554"/>
      <c r="H137" s="554"/>
      <c r="I137" s="554"/>
      <c r="J137" s="554"/>
      <c r="K137" s="554"/>
      <c r="L137" s="554"/>
      <c r="M137" s="554"/>
      <c r="N137" s="554"/>
      <c r="O137" s="554"/>
      <c r="P137" s="554"/>
      <c r="Q137" s="554"/>
      <c r="R137" s="553"/>
    </row>
    <row r="138" spans="1:18" x14ac:dyDescent="0.25">
      <c r="A138" s="552"/>
      <c r="B138" s="151"/>
      <c r="C138" s="143"/>
      <c r="D138" s="143"/>
      <c r="E138" s="554"/>
      <c r="F138" s="554"/>
      <c r="G138" s="554"/>
      <c r="H138" s="554"/>
      <c r="I138" s="554"/>
      <c r="J138" s="554"/>
      <c r="K138" s="554"/>
      <c r="L138" s="554"/>
      <c r="M138" s="554"/>
      <c r="N138" s="554"/>
      <c r="O138" s="554"/>
      <c r="P138" s="554"/>
      <c r="Q138" s="554"/>
      <c r="R138" s="553"/>
    </row>
    <row r="139" spans="1:18" x14ac:dyDescent="0.25">
      <c r="A139" s="552"/>
      <c r="B139" s="151"/>
      <c r="C139" s="143"/>
      <c r="D139" s="143"/>
      <c r="E139" s="554"/>
      <c r="F139" s="554"/>
      <c r="G139" s="554"/>
      <c r="H139" s="554"/>
      <c r="I139" s="554"/>
      <c r="J139" s="554"/>
      <c r="K139" s="554"/>
      <c r="L139" s="554"/>
      <c r="M139" s="554"/>
      <c r="N139" s="554"/>
      <c r="O139" s="554"/>
      <c r="P139" s="554"/>
      <c r="Q139" s="554"/>
      <c r="R139" s="553"/>
    </row>
    <row r="140" spans="1:18" x14ac:dyDescent="0.25">
      <c r="B140" s="151"/>
      <c r="C140" s="143"/>
      <c r="D140" s="143"/>
      <c r="E140" s="554"/>
      <c r="F140" s="554"/>
      <c r="G140" s="554"/>
      <c r="H140" s="554"/>
      <c r="I140" s="554"/>
      <c r="J140" s="554"/>
      <c r="K140" s="554"/>
      <c r="L140" s="554"/>
      <c r="M140" s="554"/>
      <c r="N140" s="554"/>
      <c r="O140" s="554"/>
      <c r="P140" s="554"/>
      <c r="Q140" s="554"/>
      <c r="R140" s="553"/>
    </row>
    <row r="141" spans="1:18" x14ac:dyDescent="0.25">
      <c r="B141" s="151"/>
      <c r="C141" s="143"/>
      <c r="D141" s="143"/>
      <c r="E141" s="554"/>
      <c r="F141" s="554"/>
      <c r="G141" s="554"/>
      <c r="H141" s="554"/>
      <c r="I141" s="554"/>
      <c r="J141" s="554"/>
      <c r="K141" s="554"/>
      <c r="L141" s="554"/>
      <c r="M141" s="554"/>
      <c r="N141" s="554"/>
      <c r="O141" s="554"/>
      <c r="P141" s="554"/>
      <c r="Q141" s="554"/>
      <c r="R141" s="553"/>
    </row>
    <row r="142" spans="1:18" x14ac:dyDescent="0.25">
      <c r="B142" s="151"/>
      <c r="C142" s="143"/>
      <c r="D142" s="143"/>
      <c r="E142" s="554"/>
      <c r="F142" s="554"/>
      <c r="G142" s="554"/>
      <c r="H142" s="554"/>
      <c r="I142" s="554"/>
      <c r="J142" s="554"/>
      <c r="K142" s="554"/>
      <c r="L142" s="554"/>
      <c r="M142" s="554"/>
      <c r="N142" s="554"/>
      <c r="O142" s="554"/>
      <c r="P142" s="554"/>
      <c r="Q142" s="554"/>
      <c r="R142" s="553"/>
    </row>
    <row r="143" spans="1:18" x14ac:dyDescent="0.25">
      <c r="B143" s="151"/>
      <c r="C143" s="143"/>
      <c r="D143" s="143"/>
      <c r="E143" s="554"/>
      <c r="F143" s="554"/>
      <c r="G143" s="554"/>
      <c r="H143" s="554"/>
      <c r="I143" s="554"/>
      <c r="J143" s="554"/>
      <c r="K143" s="554"/>
      <c r="L143" s="554"/>
      <c r="M143" s="554"/>
      <c r="N143" s="554"/>
      <c r="O143" s="554"/>
      <c r="P143" s="554"/>
      <c r="Q143" s="554"/>
      <c r="R143" s="553"/>
    </row>
    <row r="144" spans="1:18" x14ac:dyDescent="0.25">
      <c r="B144" s="151"/>
      <c r="C144" s="143"/>
      <c r="D144" s="143"/>
      <c r="E144" s="554"/>
      <c r="F144" s="554"/>
      <c r="G144" s="554"/>
      <c r="H144" s="554"/>
      <c r="I144" s="554"/>
      <c r="J144" s="554"/>
      <c r="K144" s="554"/>
      <c r="L144" s="554"/>
      <c r="M144" s="554"/>
      <c r="N144" s="554"/>
      <c r="O144" s="554"/>
      <c r="P144" s="554"/>
      <c r="Q144" s="554"/>
      <c r="R144" s="553"/>
    </row>
    <row r="145" spans="2:18" x14ac:dyDescent="0.25">
      <c r="B145" s="151"/>
      <c r="C145" s="143"/>
      <c r="D145" s="143"/>
      <c r="E145" s="554"/>
      <c r="F145" s="554"/>
      <c r="G145" s="554"/>
      <c r="H145" s="554"/>
      <c r="I145" s="554"/>
      <c r="J145" s="554"/>
      <c r="K145" s="554"/>
      <c r="L145" s="554"/>
      <c r="M145" s="554"/>
      <c r="N145" s="554"/>
      <c r="O145" s="554"/>
      <c r="P145" s="554"/>
      <c r="Q145" s="554"/>
      <c r="R145" s="553"/>
    </row>
    <row r="146" spans="2:18" x14ac:dyDescent="0.25">
      <c r="B146" s="151"/>
      <c r="C146" s="143"/>
      <c r="D146" s="143"/>
      <c r="E146" s="554"/>
      <c r="F146" s="554"/>
      <c r="G146" s="554"/>
      <c r="H146" s="554"/>
      <c r="I146" s="554"/>
      <c r="J146" s="554"/>
      <c r="K146" s="554"/>
      <c r="L146" s="554"/>
      <c r="M146" s="554"/>
      <c r="N146" s="554"/>
      <c r="O146" s="554"/>
      <c r="P146" s="554"/>
      <c r="Q146" s="554"/>
      <c r="R146" s="553"/>
    </row>
    <row r="147" spans="2:18" x14ac:dyDescent="0.25">
      <c r="B147" s="151"/>
      <c r="C147" s="143"/>
      <c r="D147" s="143"/>
      <c r="E147" s="554"/>
      <c r="F147" s="554"/>
      <c r="G147" s="554"/>
      <c r="H147" s="554"/>
      <c r="I147" s="554"/>
      <c r="J147" s="554"/>
      <c r="K147" s="554"/>
      <c r="L147" s="554"/>
      <c r="M147" s="554"/>
      <c r="N147" s="554"/>
      <c r="O147" s="554"/>
      <c r="P147" s="554"/>
      <c r="Q147" s="554"/>
      <c r="R147" s="553"/>
    </row>
    <row r="148" spans="2:18" x14ac:dyDescent="0.25">
      <c r="B148" s="151"/>
      <c r="C148" s="143"/>
      <c r="D148" s="143"/>
      <c r="E148" s="554"/>
      <c r="F148" s="554"/>
      <c r="G148" s="554"/>
      <c r="H148" s="554"/>
      <c r="I148" s="554"/>
      <c r="J148" s="554"/>
      <c r="K148" s="554"/>
      <c r="L148" s="554"/>
      <c r="M148" s="554"/>
      <c r="N148" s="554"/>
      <c r="O148" s="554"/>
      <c r="P148" s="554"/>
      <c r="Q148" s="554"/>
      <c r="R148" s="553"/>
    </row>
    <row r="149" spans="2:18" x14ac:dyDescent="0.25">
      <c r="B149" s="151"/>
      <c r="C149" s="143"/>
      <c r="D149" s="143"/>
      <c r="E149" s="554"/>
      <c r="F149" s="554"/>
      <c r="G149" s="554"/>
      <c r="H149" s="554"/>
      <c r="I149" s="554"/>
      <c r="J149" s="554"/>
      <c r="K149" s="554"/>
      <c r="L149" s="554"/>
      <c r="M149" s="554"/>
      <c r="N149" s="554"/>
      <c r="O149" s="554"/>
      <c r="P149" s="554"/>
      <c r="Q149" s="554"/>
      <c r="R149" s="553"/>
    </row>
    <row r="150" spans="2:18" x14ac:dyDescent="0.25">
      <c r="B150" s="151"/>
      <c r="C150" s="143"/>
      <c r="D150" s="143"/>
      <c r="E150" s="554"/>
      <c r="F150" s="554"/>
      <c r="G150" s="554"/>
      <c r="H150" s="554"/>
      <c r="I150" s="554"/>
      <c r="J150" s="554"/>
      <c r="K150" s="554"/>
      <c r="L150" s="554"/>
      <c r="M150" s="554"/>
      <c r="N150" s="554"/>
      <c r="O150" s="554"/>
      <c r="P150" s="554"/>
      <c r="Q150" s="554"/>
      <c r="R150" s="553"/>
    </row>
    <row r="151" spans="2:18" x14ac:dyDescent="0.25">
      <c r="B151" s="151"/>
      <c r="C151" s="143"/>
      <c r="D151" s="143"/>
      <c r="E151" s="554"/>
      <c r="F151" s="554"/>
      <c r="G151" s="554"/>
      <c r="H151" s="554"/>
      <c r="I151" s="554"/>
      <c r="J151" s="554"/>
      <c r="K151" s="554"/>
      <c r="L151" s="554"/>
      <c r="M151" s="554"/>
      <c r="N151" s="554"/>
      <c r="O151" s="554"/>
      <c r="P151" s="554"/>
      <c r="Q151" s="554"/>
      <c r="R151" s="553"/>
    </row>
    <row r="152" spans="2:18" x14ac:dyDescent="0.25">
      <c r="B152" s="151"/>
      <c r="C152" s="143"/>
      <c r="D152" s="143"/>
      <c r="E152" s="554"/>
      <c r="F152" s="554"/>
      <c r="G152" s="554"/>
      <c r="H152" s="554"/>
      <c r="I152" s="554"/>
      <c r="J152" s="554"/>
      <c r="K152" s="554"/>
      <c r="L152" s="554"/>
      <c r="M152" s="554"/>
      <c r="N152" s="554"/>
      <c r="O152" s="554"/>
      <c r="P152" s="554"/>
      <c r="Q152" s="554"/>
      <c r="R152" s="553"/>
    </row>
    <row r="153" spans="2:18" x14ac:dyDescent="0.25">
      <c r="B153" s="151"/>
      <c r="C153" s="143"/>
      <c r="D153" s="143"/>
      <c r="E153" s="554"/>
      <c r="F153" s="554"/>
      <c r="G153" s="554"/>
      <c r="H153" s="554"/>
      <c r="I153" s="554"/>
      <c r="J153" s="554"/>
      <c r="K153" s="554"/>
      <c r="L153" s="554"/>
      <c r="M153" s="554"/>
      <c r="N153" s="554"/>
      <c r="O153" s="554"/>
      <c r="P153" s="554"/>
      <c r="Q153" s="554"/>
      <c r="R153" s="553"/>
    </row>
    <row r="154" spans="2:18" x14ac:dyDescent="0.25">
      <c r="B154" s="151"/>
      <c r="C154" s="143"/>
      <c r="D154" s="143"/>
      <c r="E154" s="554"/>
      <c r="F154" s="554"/>
      <c r="G154" s="554"/>
      <c r="H154" s="554"/>
      <c r="I154" s="554"/>
      <c r="J154" s="554"/>
      <c r="K154" s="554"/>
      <c r="L154" s="554"/>
      <c r="M154" s="554"/>
      <c r="N154" s="554"/>
      <c r="O154" s="554"/>
      <c r="P154" s="554"/>
      <c r="Q154" s="554"/>
      <c r="R154" s="553"/>
    </row>
    <row r="155" spans="2:18" x14ac:dyDescent="0.25">
      <c r="B155" s="151"/>
      <c r="C155" s="143"/>
      <c r="D155" s="143"/>
      <c r="E155" s="554"/>
      <c r="F155" s="554"/>
      <c r="G155" s="554"/>
      <c r="H155" s="554"/>
      <c r="I155" s="554"/>
      <c r="J155" s="554"/>
      <c r="K155" s="554"/>
      <c r="L155" s="554"/>
      <c r="M155" s="554"/>
      <c r="N155" s="554"/>
      <c r="O155" s="554"/>
      <c r="P155" s="554"/>
      <c r="Q155" s="554"/>
      <c r="R155" s="553"/>
    </row>
    <row r="156" spans="2:18" x14ac:dyDescent="0.25">
      <c r="B156" s="151"/>
      <c r="C156" s="143"/>
      <c r="D156" s="143"/>
      <c r="E156" s="554"/>
      <c r="F156" s="554"/>
      <c r="G156" s="554"/>
      <c r="H156" s="554"/>
      <c r="I156" s="554"/>
      <c r="J156" s="554"/>
      <c r="K156" s="554"/>
      <c r="L156" s="554"/>
      <c r="M156" s="554"/>
      <c r="N156" s="554"/>
      <c r="O156" s="554"/>
      <c r="P156" s="554"/>
      <c r="Q156" s="554"/>
      <c r="R156" s="553"/>
    </row>
    <row r="157" spans="2:18" x14ac:dyDescent="0.25">
      <c r="B157" s="151"/>
      <c r="C157" s="143"/>
      <c r="D157" s="143"/>
      <c r="E157" s="554"/>
      <c r="F157" s="554"/>
      <c r="G157" s="554"/>
      <c r="H157" s="554"/>
      <c r="I157" s="554"/>
      <c r="J157" s="554"/>
      <c r="K157" s="554"/>
      <c r="L157" s="554"/>
      <c r="M157" s="554"/>
      <c r="N157" s="554"/>
      <c r="O157" s="554"/>
      <c r="P157" s="554"/>
      <c r="Q157" s="554"/>
      <c r="R157" s="553"/>
    </row>
    <row r="158" spans="2:18" x14ac:dyDescent="0.25">
      <c r="B158" s="151"/>
      <c r="C158" s="143"/>
      <c r="D158" s="143"/>
      <c r="E158" s="554"/>
      <c r="F158" s="554"/>
      <c r="G158" s="554"/>
      <c r="H158" s="554"/>
      <c r="I158" s="554"/>
      <c r="J158" s="554"/>
      <c r="K158" s="554"/>
      <c r="L158" s="554"/>
      <c r="M158" s="554"/>
      <c r="N158" s="554"/>
      <c r="O158" s="554"/>
      <c r="P158" s="554"/>
      <c r="Q158" s="554"/>
      <c r="R158" s="553"/>
    </row>
    <row r="159" spans="2:18" x14ac:dyDescent="0.25">
      <c r="B159" s="151"/>
      <c r="C159" s="143"/>
      <c r="D159" s="143"/>
      <c r="E159" s="554"/>
      <c r="F159" s="554"/>
      <c r="G159" s="554"/>
      <c r="H159" s="554"/>
      <c r="I159" s="554"/>
      <c r="J159" s="554"/>
      <c r="K159" s="554"/>
      <c r="L159" s="554"/>
      <c r="M159" s="554"/>
      <c r="N159" s="554"/>
      <c r="O159" s="554"/>
      <c r="P159" s="554"/>
      <c r="Q159" s="554"/>
      <c r="R159" s="553"/>
    </row>
    <row r="160" spans="2:18" x14ac:dyDescent="0.25">
      <c r="B160" s="151"/>
      <c r="C160" s="143"/>
      <c r="D160" s="143"/>
      <c r="E160" s="554"/>
      <c r="F160" s="554"/>
      <c r="G160" s="554"/>
      <c r="H160" s="554"/>
      <c r="I160" s="554"/>
      <c r="J160" s="554"/>
      <c r="K160" s="554"/>
      <c r="L160" s="554"/>
      <c r="M160" s="554"/>
      <c r="N160" s="554"/>
      <c r="O160" s="554"/>
      <c r="P160" s="554"/>
      <c r="Q160" s="554"/>
      <c r="R160" s="553"/>
    </row>
    <row r="161" spans="2:18" x14ac:dyDescent="0.25">
      <c r="B161" s="151"/>
      <c r="C161" s="143"/>
      <c r="D161" s="143"/>
      <c r="E161" s="554"/>
      <c r="F161" s="554"/>
      <c r="G161" s="554"/>
      <c r="H161" s="554"/>
      <c r="I161" s="554"/>
      <c r="J161" s="554"/>
      <c r="K161" s="554"/>
      <c r="L161" s="554"/>
      <c r="M161" s="554"/>
      <c r="N161" s="554"/>
      <c r="O161" s="554"/>
      <c r="P161" s="554"/>
      <c r="Q161" s="554"/>
      <c r="R161" s="553"/>
    </row>
    <row r="162" spans="2:18" x14ac:dyDescent="0.25">
      <c r="B162" s="151"/>
      <c r="C162" s="143"/>
      <c r="D162" s="143"/>
      <c r="E162" s="554"/>
      <c r="F162" s="554"/>
      <c r="G162" s="554"/>
      <c r="H162" s="554"/>
      <c r="I162" s="554"/>
      <c r="J162" s="554"/>
      <c r="K162" s="554"/>
      <c r="L162" s="554"/>
      <c r="M162" s="554"/>
      <c r="N162" s="554"/>
      <c r="O162" s="554"/>
      <c r="P162" s="554"/>
      <c r="Q162" s="554"/>
      <c r="R162" s="553"/>
    </row>
    <row r="163" spans="2:18" x14ac:dyDescent="0.25">
      <c r="B163" s="151"/>
      <c r="C163" s="143"/>
      <c r="D163" s="143"/>
      <c r="E163" s="554"/>
      <c r="F163" s="554"/>
      <c r="G163" s="554"/>
      <c r="H163" s="554"/>
      <c r="I163" s="554"/>
      <c r="J163" s="554"/>
      <c r="K163" s="554"/>
      <c r="L163" s="554"/>
      <c r="M163" s="554"/>
      <c r="N163" s="554"/>
      <c r="O163" s="554"/>
      <c r="P163" s="554"/>
      <c r="Q163" s="554"/>
      <c r="R163" s="553"/>
    </row>
    <row r="164" spans="2:18" x14ac:dyDescent="0.25">
      <c r="B164" s="151"/>
      <c r="C164" s="143"/>
      <c r="D164" s="143"/>
      <c r="E164" s="554"/>
      <c r="F164" s="554"/>
      <c r="G164" s="554"/>
      <c r="H164" s="554"/>
      <c r="I164" s="554"/>
      <c r="J164" s="554"/>
      <c r="K164" s="554"/>
      <c r="L164" s="554"/>
      <c r="M164" s="554"/>
      <c r="N164" s="554"/>
      <c r="O164" s="554"/>
      <c r="P164" s="554"/>
      <c r="Q164" s="554"/>
      <c r="R164" s="553"/>
    </row>
    <row r="165" spans="2:18" x14ac:dyDescent="0.25">
      <c r="B165" s="151"/>
      <c r="C165" s="143"/>
      <c r="D165" s="143"/>
      <c r="E165" s="554"/>
      <c r="F165" s="554"/>
      <c r="G165" s="554"/>
      <c r="H165" s="554"/>
      <c r="I165" s="554"/>
      <c r="J165" s="554"/>
      <c r="K165" s="554"/>
      <c r="L165" s="554"/>
      <c r="M165" s="554"/>
      <c r="N165" s="554"/>
      <c r="O165" s="554"/>
      <c r="P165" s="554"/>
      <c r="Q165" s="554"/>
      <c r="R165" s="553"/>
    </row>
    <row r="166" spans="2:18" x14ac:dyDescent="0.25">
      <c r="B166" s="151"/>
      <c r="C166" s="143"/>
      <c r="D166" s="143"/>
      <c r="E166" s="554"/>
      <c r="F166" s="554"/>
      <c r="G166" s="554"/>
      <c r="H166" s="554"/>
      <c r="I166" s="554"/>
      <c r="J166" s="554"/>
      <c r="K166" s="554"/>
      <c r="L166" s="554"/>
      <c r="M166" s="554"/>
      <c r="N166" s="554"/>
      <c r="O166" s="554"/>
      <c r="P166" s="554"/>
      <c r="Q166" s="554"/>
      <c r="R166" s="553"/>
    </row>
    <row r="167" spans="2:18" x14ac:dyDescent="0.25">
      <c r="B167" s="151"/>
      <c r="C167" s="143"/>
      <c r="D167" s="143"/>
      <c r="E167" s="554"/>
      <c r="F167" s="554"/>
      <c r="G167" s="554"/>
      <c r="H167" s="554"/>
      <c r="I167" s="554"/>
      <c r="J167" s="554"/>
      <c r="K167" s="554"/>
      <c r="L167" s="554"/>
      <c r="M167" s="554"/>
      <c r="N167" s="554"/>
      <c r="O167" s="554"/>
      <c r="P167" s="554"/>
      <c r="Q167" s="554"/>
      <c r="R167" s="553"/>
    </row>
    <row r="168" spans="2:18" x14ac:dyDescent="0.25">
      <c r="B168" s="151"/>
      <c r="C168" s="143"/>
      <c r="D168" s="143"/>
      <c r="E168" s="554"/>
      <c r="F168" s="554"/>
      <c r="G168" s="554"/>
      <c r="H168" s="554"/>
      <c r="I168" s="554"/>
      <c r="J168" s="554"/>
      <c r="K168" s="554"/>
      <c r="L168" s="554"/>
      <c r="M168" s="554"/>
      <c r="N168" s="554"/>
      <c r="O168" s="554"/>
      <c r="P168" s="554"/>
      <c r="Q168" s="554"/>
      <c r="R168" s="553"/>
    </row>
    <row r="169" spans="2:18" x14ac:dyDescent="0.25">
      <c r="B169" s="151"/>
      <c r="C169" s="143"/>
      <c r="D169" s="143"/>
      <c r="E169" s="554"/>
      <c r="F169" s="554"/>
      <c r="G169" s="554"/>
      <c r="H169" s="554"/>
      <c r="I169" s="554"/>
      <c r="J169" s="554"/>
      <c r="K169" s="554"/>
      <c r="L169" s="554"/>
      <c r="M169" s="554"/>
      <c r="N169" s="554"/>
      <c r="O169" s="554"/>
      <c r="P169" s="554"/>
      <c r="Q169" s="554"/>
      <c r="R169" s="553"/>
    </row>
    <row r="170" spans="2:18" x14ac:dyDescent="0.25">
      <c r="B170" s="151"/>
      <c r="C170" s="143"/>
      <c r="D170" s="143"/>
      <c r="E170" s="554"/>
      <c r="F170" s="554"/>
      <c r="G170" s="554"/>
      <c r="H170" s="554"/>
      <c r="I170" s="554"/>
      <c r="J170" s="554"/>
      <c r="K170" s="554"/>
      <c r="L170" s="554"/>
      <c r="M170" s="554"/>
      <c r="N170" s="554"/>
      <c r="O170" s="554"/>
      <c r="P170" s="554"/>
      <c r="Q170" s="554"/>
      <c r="R170" s="553"/>
    </row>
    <row r="171" spans="2:18" x14ac:dyDescent="0.25">
      <c r="B171" s="151"/>
      <c r="C171" s="143"/>
      <c r="D171" s="143"/>
      <c r="E171" s="554"/>
      <c r="F171" s="554"/>
      <c r="G171" s="554"/>
      <c r="H171" s="554"/>
      <c r="I171" s="554"/>
      <c r="J171" s="554"/>
      <c r="K171" s="554"/>
      <c r="L171" s="554"/>
      <c r="M171" s="554"/>
      <c r="N171" s="554"/>
      <c r="O171" s="554"/>
      <c r="P171" s="554"/>
      <c r="Q171" s="554"/>
      <c r="R171" s="553"/>
    </row>
    <row r="172" spans="2:18" x14ac:dyDescent="0.25">
      <c r="B172" s="151"/>
      <c r="C172" s="143"/>
      <c r="D172" s="143"/>
      <c r="E172" s="554"/>
      <c r="F172" s="554"/>
      <c r="G172" s="554"/>
      <c r="H172" s="554"/>
      <c r="I172" s="554"/>
      <c r="J172" s="554"/>
      <c r="K172" s="554"/>
      <c r="L172" s="554"/>
      <c r="M172" s="554"/>
      <c r="N172" s="554"/>
      <c r="O172" s="554"/>
      <c r="P172" s="554"/>
      <c r="Q172" s="554"/>
      <c r="R172" s="553"/>
    </row>
    <row r="173" spans="2:18" x14ac:dyDescent="0.25">
      <c r="B173" s="151"/>
      <c r="C173" s="143"/>
      <c r="D173" s="143"/>
      <c r="E173" s="554"/>
      <c r="F173" s="554"/>
      <c r="G173" s="554"/>
      <c r="H173" s="554"/>
      <c r="I173" s="554"/>
      <c r="J173" s="554"/>
      <c r="K173" s="554"/>
      <c r="L173" s="554"/>
      <c r="M173" s="554"/>
      <c r="N173" s="554"/>
      <c r="O173" s="554"/>
      <c r="P173" s="554"/>
      <c r="Q173" s="554"/>
      <c r="R173" s="553"/>
    </row>
    <row r="174" spans="2:18" x14ac:dyDescent="0.25">
      <c r="B174" s="151"/>
      <c r="C174" s="143"/>
      <c r="D174" s="143"/>
      <c r="E174" s="554"/>
      <c r="F174" s="554"/>
      <c r="G174" s="554"/>
      <c r="H174" s="554"/>
      <c r="I174" s="554"/>
      <c r="J174" s="554"/>
      <c r="K174" s="554"/>
      <c r="L174" s="554"/>
      <c r="M174" s="554"/>
      <c r="N174" s="554"/>
      <c r="O174" s="554"/>
      <c r="P174" s="554"/>
      <c r="Q174" s="554"/>
      <c r="R174" s="553"/>
    </row>
    <row r="175" spans="2:18" x14ac:dyDescent="0.25">
      <c r="B175" s="151"/>
      <c r="C175" s="143"/>
      <c r="D175" s="143"/>
      <c r="E175" s="554"/>
      <c r="F175" s="554"/>
      <c r="G175" s="554"/>
      <c r="H175" s="554"/>
      <c r="I175" s="554"/>
      <c r="J175" s="554"/>
      <c r="K175" s="554"/>
      <c r="L175" s="554"/>
      <c r="M175" s="554"/>
      <c r="N175" s="554"/>
      <c r="O175" s="554"/>
      <c r="P175" s="554"/>
      <c r="Q175" s="554"/>
      <c r="R175" s="553"/>
    </row>
    <row r="176" spans="2:18" x14ac:dyDescent="0.25">
      <c r="B176" s="151"/>
      <c r="C176" s="143"/>
      <c r="D176" s="143"/>
      <c r="E176" s="554"/>
      <c r="F176" s="554"/>
      <c r="G176" s="554"/>
      <c r="H176" s="554"/>
      <c r="I176" s="554"/>
      <c r="J176" s="554"/>
      <c r="K176" s="554"/>
      <c r="L176" s="554"/>
      <c r="M176" s="554"/>
      <c r="N176" s="554"/>
      <c r="O176" s="554"/>
      <c r="P176" s="554"/>
      <c r="Q176" s="554"/>
      <c r="R176" s="553"/>
    </row>
    <row r="177" spans="2:18" x14ac:dyDescent="0.25">
      <c r="B177" s="151"/>
      <c r="C177" s="143"/>
      <c r="D177" s="143"/>
      <c r="E177" s="554"/>
      <c r="F177" s="554"/>
      <c r="G177" s="554"/>
      <c r="H177" s="554"/>
      <c r="I177" s="554"/>
      <c r="J177" s="554"/>
      <c r="K177" s="554"/>
      <c r="L177" s="554"/>
      <c r="M177" s="554"/>
      <c r="N177" s="554"/>
      <c r="O177" s="554"/>
      <c r="P177" s="554"/>
      <c r="Q177" s="554"/>
      <c r="R177" s="553"/>
    </row>
    <row r="178" spans="2:18" x14ac:dyDescent="0.25">
      <c r="B178" s="151"/>
      <c r="C178" s="143"/>
      <c r="D178" s="143"/>
      <c r="E178" s="554"/>
      <c r="F178" s="554"/>
      <c r="G178" s="554"/>
      <c r="H178" s="554"/>
      <c r="I178" s="554"/>
      <c r="J178" s="554"/>
      <c r="K178" s="554"/>
      <c r="L178" s="554"/>
      <c r="M178" s="554"/>
      <c r="N178" s="554"/>
      <c r="O178" s="554"/>
      <c r="P178" s="554"/>
      <c r="Q178" s="554"/>
      <c r="R178" s="553"/>
    </row>
    <row r="179" spans="2:18" x14ac:dyDescent="0.25">
      <c r="B179" s="151"/>
      <c r="C179" s="143"/>
      <c r="D179" s="143"/>
      <c r="E179" s="554"/>
      <c r="F179" s="554"/>
      <c r="G179" s="554"/>
      <c r="H179" s="554"/>
      <c r="I179" s="554"/>
      <c r="J179" s="554"/>
      <c r="K179" s="554"/>
      <c r="L179" s="554"/>
      <c r="M179" s="554"/>
      <c r="N179" s="554"/>
      <c r="O179" s="554"/>
      <c r="P179" s="554"/>
      <c r="Q179" s="554"/>
      <c r="R179" s="553"/>
    </row>
    <row r="180" spans="2:18" x14ac:dyDescent="0.25">
      <c r="B180" s="151"/>
      <c r="C180" s="143"/>
      <c r="D180" s="143"/>
      <c r="E180" s="554"/>
      <c r="F180" s="554"/>
      <c r="G180" s="554"/>
      <c r="H180" s="554"/>
      <c r="I180" s="554"/>
      <c r="J180" s="554"/>
      <c r="K180" s="554"/>
      <c r="L180" s="554"/>
      <c r="M180" s="554"/>
      <c r="N180" s="554"/>
      <c r="O180" s="554"/>
      <c r="P180" s="554"/>
      <c r="Q180" s="554"/>
      <c r="R180" s="553"/>
    </row>
    <row r="181" spans="2:18" x14ac:dyDescent="0.25">
      <c r="B181" s="151"/>
      <c r="C181" s="143"/>
      <c r="D181" s="143"/>
      <c r="E181" s="554"/>
      <c r="F181" s="554"/>
      <c r="G181" s="554"/>
      <c r="H181" s="554"/>
      <c r="I181" s="554"/>
      <c r="J181" s="554"/>
      <c r="K181" s="554"/>
      <c r="L181" s="554"/>
      <c r="M181" s="554"/>
      <c r="N181" s="554"/>
      <c r="O181" s="554"/>
      <c r="P181" s="554"/>
      <c r="Q181" s="554"/>
      <c r="R181" s="553"/>
    </row>
    <row r="182" spans="2:18" x14ac:dyDescent="0.25">
      <c r="B182" s="151"/>
      <c r="C182" s="143"/>
      <c r="D182" s="143"/>
      <c r="E182" s="554"/>
      <c r="F182" s="554"/>
      <c r="G182" s="554"/>
      <c r="H182" s="554"/>
      <c r="I182" s="554"/>
      <c r="J182" s="554"/>
      <c r="K182" s="554"/>
      <c r="L182" s="554"/>
      <c r="M182" s="554"/>
      <c r="N182" s="554"/>
      <c r="O182" s="554"/>
      <c r="P182" s="554"/>
      <c r="Q182" s="554"/>
      <c r="R182" s="553"/>
    </row>
    <row r="183" spans="2:18" x14ac:dyDescent="0.25">
      <c r="B183" s="151"/>
      <c r="C183" s="143"/>
      <c r="D183" s="143"/>
      <c r="E183" s="554"/>
      <c r="F183" s="554"/>
      <c r="G183" s="554"/>
      <c r="H183" s="554"/>
      <c r="I183" s="554"/>
      <c r="J183" s="554"/>
      <c r="K183" s="554"/>
      <c r="L183" s="554"/>
      <c r="M183" s="554"/>
      <c r="N183" s="554"/>
      <c r="O183" s="554"/>
      <c r="P183" s="554"/>
      <c r="Q183" s="554"/>
      <c r="R183" s="553"/>
    </row>
    <row r="184" spans="2:18" x14ac:dyDescent="0.25">
      <c r="B184" s="151"/>
      <c r="C184" s="143"/>
      <c r="D184" s="143"/>
      <c r="E184" s="554"/>
      <c r="F184" s="554"/>
      <c r="G184" s="554"/>
      <c r="H184" s="554"/>
      <c r="I184" s="554"/>
      <c r="J184" s="554"/>
      <c r="K184" s="554"/>
      <c r="L184" s="554"/>
      <c r="M184" s="554"/>
      <c r="N184" s="554"/>
      <c r="O184" s="554"/>
      <c r="P184" s="554"/>
      <c r="Q184" s="554"/>
      <c r="R184" s="553"/>
    </row>
    <row r="185" spans="2:18" x14ac:dyDescent="0.25">
      <c r="B185" s="151"/>
      <c r="C185" s="143"/>
      <c r="D185" s="143"/>
      <c r="E185" s="554"/>
      <c r="F185" s="554"/>
      <c r="G185" s="554"/>
      <c r="H185" s="554"/>
      <c r="I185" s="554"/>
      <c r="J185" s="554"/>
      <c r="K185" s="554"/>
      <c r="L185" s="554"/>
      <c r="M185" s="554"/>
      <c r="N185" s="554"/>
      <c r="O185" s="554"/>
      <c r="P185" s="554"/>
      <c r="Q185" s="554"/>
      <c r="R185" s="553"/>
    </row>
    <row r="186" spans="2:18" x14ac:dyDescent="0.25">
      <c r="B186" s="151"/>
      <c r="C186" s="143"/>
      <c r="D186" s="143"/>
      <c r="E186" s="554"/>
      <c r="F186" s="554"/>
      <c r="G186" s="554"/>
      <c r="H186" s="554"/>
      <c r="I186" s="554"/>
      <c r="J186" s="554"/>
      <c r="K186" s="554"/>
      <c r="L186" s="554"/>
      <c r="M186" s="554"/>
      <c r="N186" s="554"/>
      <c r="O186" s="554"/>
      <c r="P186" s="554"/>
      <c r="Q186" s="554"/>
      <c r="R186" s="553"/>
    </row>
    <row r="187" spans="2:18" x14ac:dyDescent="0.25">
      <c r="B187" s="151"/>
      <c r="C187" s="143"/>
      <c r="D187" s="143"/>
      <c r="E187" s="554"/>
      <c r="F187" s="554"/>
      <c r="G187" s="554"/>
      <c r="H187" s="554"/>
      <c r="I187" s="554"/>
      <c r="J187" s="554"/>
      <c r="K187" s="554"/>
      <c r="L187" s="554"/>
      <c r="M187" s="554"/>
      <c r="N187" s="554"/>
      <c r="O187" s="554"/>
      <c r="P187" s="554"/>
      <c r="Q187" s="554"/>
      <c r="R187" s="553"/>
    </row>
    <row r="188" spans="2:18" x14ac:dyDescent="0.25">
      <c r="B188" s="151"/>
      <c r="C188" s="143"/>
      <c r="D188" s="143"/>
      <c r="E188" s="554"/>
      <c r="F188" s="554"/>
      <c r="G188" s="554"/>
      <c r="H188" s="554"/>
      <c r="I188" s="554"/>
      <c r="J188" s="554"/>
      <c r="K188" s="554"/>
      <c r="L188" s="554"/>
      <c r="M188" s="554"/>
      <c r="N188" s="554"/>
      <c r="O188" s="554"/>
      <c r="P188" s="554"/>
      <c r="Q188" s="554"/>
      <c r="R188" s="553"/>
    </row>
    <row r="189" spans="2:18" x14ac:dyDescent="0.25">
      <c r="B189" s="151"/>
      <c r="C189" s="143"/>
      <c r="D189" s="143"/>
      <c r="E189" s="554"/>
      <c r="F189" s="554"/>
      <c r="G189" s="554"/>
      <c r="H189" s="554"/>
      <c r="I189" s="554"/>
      <c r="J189" s="554"/>
      <c r="K189" s="554"/>
      <c r="L189" s="554"/>
      <c r="M189" s="554"/>
      <c r="N189" s="554"/>
      <c r="O189" s="554"/>
      <c r="P189" s="554"/>
      <c r="Q189" s="554"/>
      <c r="R189" s="553"/>
    </row>
    <row r="190" spans="2:18" x14ac:dyDescent="0.25">
      <c r="B190" s="151"/>
      <c r="C190" s="143"/>
      <c r="D190" s="143"/>
      <c r="E190" s="554"/>
      <c r="F190" s="554"/>
      <c r="G190" s="554"/>
      <c r="H190" s="554"/>
      <c r="I190" s="554"/>
      <c r="J190" s="554"/>
      <c r="K190" s="554"/>
      <c r="L190" s="554"/>
      <c r="M190" s="554"/>
      <c r="N190" s="554"/>
      <c r="O190" s="554"/>
      <c r="P190" s="554"/>
      <c r="Q190" s="554"/>
      <c r="R190" s="553"/>
    </row>
    <row r="191" spans="2:18" x14ac:dyDescent="0.25">
      <c r="B191" s="151"/>
      <c r="C191" s="143"/>
      <c r="D191" s="143"/>
      <c r="E191" s="554"/>
      <c r="F191" s="554"/>
      <c r="G191" s="554"/>
      <c r="H191" s="554"/>
      <c r="I191" s="554"/>
      <c r="J191" s="554"/>
      <c r="K191" s="554"/>
      <c r="L191" s="554"/>
      <c r="M191" s="554"/>
      <c r="N191" s="554"/>
      <c r="O191" s="554"/>
      <c r="P191" s="554"/>
      <c r="Q191" s="554"/>
      <c r="R191" s="553"/>
    </row>
    <row r="192" spans="2:18" x14ac:dyDescent="0.25">
      <c r="B192" s="151"/>
      <c r="C192" s="143"/>
      <c r="D192" s="143"/>
      <c r="E192" s="554"/>
      <c r="F192" s="554"/>
      <c r="G192" s="554"/>
      <c r="H192" s="554"/>
      <c r="I192" s="554"/>
      <c r="J192" s="554"/>
      <c r="K192" s="554"/>
      <c r="L192" s="554"/>
      <c r="M192" s="554"/>
      <c r="N192" s="554"/>
      <c r="O192" s="554"/>
      <c r="P192" s="554"/>
      <c r="Q192" s="554"/>
      <c r="R192" s="553"/>
    </row>
    <row r="193" spans="2:18" x14ac:dyDescent="0.25">
      <c r="B193" s="151"/>
      <c r="C193" s="143"/>
      <c r="D193" s="143"/>
      <c r="E193" s="554"/>
      <c r="F193" s="554"/>
      <c r="G193" s="554"/>
      <c r="H193" s="554"/>
      <c r="I193" s="554"/>
      <c r="J193" s="554"/>
      <c r="K193" s="554"/>
      <c r="L193" s="554"/>
      <c r="M193" s="554"/>
      <c r="N193" s="554"/>
      <c r="O193" s="554"/>
      <c r="P193" s="554"/>
      <c r="Q193" s="554"/>
      <c r="R193" s="553"/>
    </row>
    <row r="194" spans="2:18" x14ac:dyDescent="0.25">
      <c r="B194" s="151"/>
      <c r="C194" s="143"/>
      <c r="D194" s="143"/>
      <c r="E194" s="554"/>
      <c r="F194" s="554"/>
      <c r="G194" s="554"/>
      <c r="H194" s="554"/>
      <c r="I194" s="554"/>
      <c r="J194" s="554"/>
      <c r="K194" s="554"/>
      <c r="L194" s="554"/>
      <c r="M194" s="554"/>
      <c r="N194" s="554"/>
      <c r="O194" s="554"/>
      <c r="P194" s="554"/>
      <c r="Q194" s="554"/>
      <c r="R194" s="553"/>
    </row>
    <row r="195" spans="2:18" x14ac:dyDescent="0.25">
      <c r="B195" s="151"/>
      <c r="C195" s="143"/>
      <c r="D195" s="143"/>
      <c r="E195" s="554"/>
      <c r="F195" s="554"/>
      <c r="G195" s="554"/>
      <c r="H195" s="554"/>
      <c r="I195" s="554"/>
      <c r="J195" s="554"/>
      <c r="K195" s="554"/>
      <c r="L195" s="554"/>
      <c r="M195" s="554"/>
      <c r="N195" s="554"/>
      <c r="O195" s="554"/>
      <c r="P195" s="554"/>
      <c r="Q195" s="554"/>
      <c r="R195" s="553"/>
    </row>
    <row r="196" spans="2:18" x14ac:dyDescent="0.25">
      <c r="B196" s="151"/>
      <c r="C196" s="143"/>
      <c r="D196" s="143"/>
      <c r="E196" s="554"/>
      <c r="F196" s="554"/>
      <c r="G196" s="554"/>
      <c r="H196" s="554"/>
      <c r="I196" s="554"/>
      <c r="J196" s="554"/>
      <c r="K196" s="554"/>
      <c r="L196" s="554"/>
      <c r="M196" s="554"/>
      <c r="N196" s="554"/>
      <c r="O196" s="554"/>
      <c r="P196" s="554"/>
      <c r="Q196" s="554"/>
      <c r="R196" s="553"/>
    </row>
    <row r="197" spans="2:18" x14ac:dyDescent="0.25">
      <c r="B197" s="151"/>
      <c r="C197" s="143"/>
      <c r="D197" s="143"/>
      <c r="E197" s="554"/>
      <c r="F197" s="554"/>
      <c r="G197" s="554"/>
      <c r="H197" s="554"/>
      <c r="I197" s="554"/>
      <c r="J197" s="554"/>
      <c r="K197" s="554"/>
      <c r="L197" s="554"/>
      <c r="M197" s="554"/>
      <c r="N197" s="554"/>
      <c r="O197" s="554"/>
      <c r="P197" s="554"/>
      <c r="Q197" s="554"/>
      <c r="R197" s="553"/>
    </row>
    <row r="198" spans="2:18" x14ac:dyDescent="0.25">
      <c r="B198" s="151"/>
      <c r="C198" s="143"/>
      <c r="D198" s="143"/>
      <c r="E198" s="554"/>
      <c r="F198" s="554"/>
      <c r="G198" s="554"/>
      <c r="H198" s="554"/>
      <c r="I198" s="554"/>
      <c r="J198" s="554"/>
      <c r="K198" s="554"/>
      <c r="L198" s="554"/>
      <c r="M198" s="554"/>
      <c r="N198" s="554"/>
      <c r="O198" s="554"/>
      <c r="P198" s="554"/>
      <c r="Q198" s="554"/>
      <c r="R198" s="553"/>
    </row>
    <row r="199" spans="2:18" x14ac:dyDescent="0.25">
      <c r="B199" s="151"/>
      <c r="C199" s="143"/>
      <c r="D199" s="143"/>
      <c r="E199" s="554"/>
      <c r="F199" s="554"/>
      <c r="G199" s="554"/>
      <c r="H199" s="554"/>
      <c r="I199" s="554"/>
      <c r="J199" s="554"/>
      <c r="K199" s="554"/>
      <c r="L199" s="554"/>
      <c r="M199" s="554"/>
      <c r="N199" s="554"/>
      <c r="O199" s="554"/>
      <c r="P199" s="554"/>
      <c r="Q199" s="554"/>
      <c r="R199" s="553"/>
    </row>
    <row r="200" spans="2:18" x14ac:dyDescent="0.25">
      <c r="B200" s="151"/>
      <c r="C200" s="143"/>
      <c r="D200" s="143"/>
      <c r="E200" s="554"/>
      <c r="F200" s="554"/>
      <c r="G200" s="554"/>
      <c r="H200" s="554"/>
      <c r="I200" s="554"/>
      <c r="J200" s="554"/>
      <c r="K200" s="554"/>
      <c r="L200" s="554"/>
      <c r="M200" s="554"/>
      <c r="N200" s="554"/>
      <c r="O200" s="554"/>
      <c r="P200" s="554"/>
      <c r="Q200" s="554"/>
      <c r="R200" s="553"/>
    </row>
    <row r="201" spans="2:18" x14ac:dyDescent="0.25">
      <c r="B201" s="151"/>
      <c r="C201" s="143"/>
      <c r="D201" s="143"/>
      <c r="E201" s="554"/>
      <c r="F201" s="554"/>
      <c r="G201" s="554"/>
      <c r="H201" s="554"/>
      <c r="I201" s="554"/>
      <c r="J201" s="554"/>
      <c r="K201" s="554"/>
      <c r="L201" s="554"/>
      <c r="M201" s="554"/>
      <c r="N201" s="554"/>
      <c r="O201" s="554"/>
      <c r="P201" s="554"/>
      <c r="Q201" s="554"/>
      <c r="R201" s="553"/>
    </row>
    <row r="202" spans="2:18" x14ac:dyDescent="0.25">
      <c r="B202" s="151"/>
      <c r="C202" s="143"/>
      <c r="D202" s="143"/>
      <c r="E202" s="554"/>
      <c r="F202" s="554"/>
      <c r="G202" s="554"/>
      <c r="H202" s="554"/>
      <c r="I202" s="554"/>
      <c r="J202" s="554"/>
      <c r="K202" s="554"/>
      <c r="L202" s="554"/>
      <c r="M202" s="554"/>
      <c r="N202" s="554"/>
      <c r="O202" s="554"/>
      <c r="P202" s="554"/>
      <c r="Q202" s="554"/>
      <c r="R202" s="553"/>
    </row>
    <row r="203" spans="2:18" x14ac:dyDescent="0.25">
      <c r="B203" s="151"/>
      <c r="C203" s="143"/>
      <c r="D203" s="143"/>
      <c r="E203" s="554"/>
      <c r="F203" s="554"/>
      <c r="G203" s="554"/>
      <c r="H203" s="554"/>
      <c r="I203" s="554"/>
      <c r="J203" s="554"/>
      <c r="K203" s="554"/>
      <c r="L203" s="554"/>
      <c r="M203" s="554"/>
      <c r="N203" s="554"/>
      <c r="O203" s="554"/>
      <c r="P203" s="554"/>
      <c r="Q203" s="554"/>
      <c r="R203" s="553"/>
    </row>
    <row r="204" spans="2:18" x14ac:dyDescent="0.25">
      <c r="B204" s="151"/>
      <c r="C204" s="143"/>
      <c r="D204" s="143"/>
      <c r="E204" s="554"/>
      <c r="F204" s="554"/>
      <c r="G204" s="554"/>
      <c r="H204" s="554"/>
      <c r="I204" s="554"/>
      <c r="J204" s="554"/>
      <c r="K204" s="554"/>
      <c r="L204" s="554"/>
      <c r="M204" s="554"/>
      <c r="N204" s="554"/>
      <c r="O204" s="554"/>
      <c r="P204" s="554"/>
      <c r="Q204" s="554"/>
      <c r="R204" s="553"/>
    </row>
    <row r="205" spans="2:18" x14ac:dyDescent="0.25">
      <c r="B205" s="151"/>
      <c r="C205" s="143"/>
      <c r="D205" s="143"/>
      <c r="E205" s="554"/>
      <c r="F205" s="554"/>
      <c r="G205" s="554"/>
      <c r="H205" s="554"/>
      <c r="I205" s="554"/>
      <c r="J205" s="554"/>
      <c r="K205" s="554"/>
      <c r="L205" s="554"/>
      <c r="M205" s="554"/>
      <c r="N205" s="554"/>
      <c r="O205" s="554"/>
      <c r="P205" s="554"/>
      <c r="Q205" s="554"/>
      <c r="R205" s="553"/>
    </row>
    <row r="206" spans="2:18" x14ac:dyDescent="0.25">
      <c r="B206" s="151"/>
      <c r="C206" s="143"/>
      <c r="D206" s="143"/>
      <c r="E206" s="554"/>
      <c r="F206" s="554"/>
      <c r="G206" s="554"/>
      <c r="H206" s="554"/>
      <c r="I206" s="554"/>
      <c r="J206" s="554"/>
      <c r="K206" s="554"/>
      <c r="L206" s="554"/>
      <c r="M206" s="554"/>
      <c r="N206" s="554"/>
      <c r="O206" s="554"/>
      <c r="P206" s="554"/>
      <c r="Q206" s="554"/>
      <c r="R206" s="553"/>
    </row>
    <row r="207" spans="2:18" x14ac:dyDescent="0.25">
      <c r="B207" s="151"/>
      <c r="C207" s="143"/>
      <c r="D207" s="143"/>
      <c r="E207" s="554"/>
      <c r="F207" s="554"/>
      <c r="G207" s="554"/>
      <c r="H207" s="554"/>
      <c r="I207" s="554"/>
      <c r="J207" s="554"/>
      <c r="K207" s="554"/>
      <c r="L207" s="554"/>
      <c r="M207" s="554"/>
      <c r="N207" s="554"/>
      <c r="O207" s="554"/>
      <c r="P207" s="554"/>
      <c r="Q207" s="554"/>
      <c r="R207" s="553"/>
    </row>
    <row r="208" spans="2:18" x14ac:dyDescent="0.25">
      <c r="B208" s="151"/>
      <c r="C208" s="143"/>
      <c r="D208" s="143"/>
      <c r="E208" s="554"/>
      <c r="F208" s="554"/>
      <c r="G208" s="554"/>
      <c r="H208" s="554"/>
      <c r="I208" s="554"/>
      <c r="J208" s="554"/>
      <c r="K208" s="554"/>
      <c r="L208" s="554"/>
      <c r="M208" s="554"/>
      <c r="N208" s="554"/>
      <c r="O208" s="554"/>
      <c r="P208" s="554"/>
      <c r="Q208" s="554"/>
      <c r="R208" s="553"/>
    </row>
    <row r="209" spans="2:18" x14ac:dyDescent="0.25">
      <c r="B209" s="151"/>
      <c r="C209" s="143"/>
      <c r="D209" s="143"/>
      <c r="E209" s="554"/>
      <c r="F209" s="554"/>
      <c r="G209" s="554"/>
      <c r="H209" s="554"/>
      <c r="I209" s="554"/>
      <c r="J209" s="554"/>
      <c r="K209" s="554"/>
      <c r="L209" s="554"/>
      <c r="M209" s="554"/>
      <c r="N209" s="554"/>
      <c r="O209" s="554"/>
      <c r="P209" s="554"/>
      <c r="Q209" s="554"/>
      <c r="R209" s="553"/>
    </row>
    <row r="210" spans="2:18" x14ac:dyDescent="0.25">
      <c r="B210" s="151"/>
      <c r="C210" s="143"/>
      <c r="D210" s="143"/>
      <c r="E210" s="554"/>
      <c r="F210" s="554"/>
      <c r="G210" s="554"/>
      <c r="H210" s="554"/>
      <c r="I210" s="554"/>
      <c r="J210" s="554"/>
      <c r="K210" s="554"/>
      <c r="L210" s="554"/>
      <c r="M210" s="554"/>
      <c r="N210" s="554"/>
      <c r="O210" s="554"/>
      <c r="P210" s="554"/>
      <c r="Q210" s="554"/>
      <c r="R210" s="553"/>
    </row>
    <row r="211" spans="2:18" x14ac:dyDescent="0.25">
      <c r="B211" s="151"/>
      <c r="C211" s="143"/>
      <c r="D211" s="143"/>
      <c r="E211" s="554"/>
      <c r="F211" s="554"/>
      <c r="G211" s="554"/>
      <c r="H211" s="554"/>
      <c r="I211" s="554"/>
      <c r="J211" s="554"/>
      <c r="K211" s="554"/>
      <c r="L211" s="554"/>
      <c r="M211" s="554"/>
      <c r="N211" s="554"/>
      <c r="O211" s="554"/>
      <c r="P211" s="554"/>
      <c r="Q211" s="554"/>
      <c r="R211" s="553"/>
    </row>
    <row r="212" spans="2:18" x14ac:dyDescent="0.25">
      <c r="B212" s="151"/>
      <c r="C212" s="143"/>
      <c r="D212" s="143"/>
      <c r="E212" s="554"/>
      <c r="F212" s="554"/>
      <c r="G212" s="554"/>
      <c r="H212" s="554"/>
      <c r="I212" s="554"/>
      <c r="J212" s="554"/>
      <c r="K212" s="554"/>
      <c r="L212" s="554"/>
      <c r="M212" s="554"/>
      <c r="N212" s="554"/>
      <c r="O212" s="554"/>
      <c r="P212" s="554"/>
      <c r="Q212" s="554"/>
      <c r="R212" s="553"/>
    </row>
    <row r="213" spans="2:18" x14ac:dyDescent="0.25">
      <c r="B213" s="151"/>
      <c r="C213" s="143"/>
      <c r="D213" s="143"/>
      <c r="E213" s="554"/>
      <c r="F213" s="554"/>
      <c r="G213" s="554"/>
      <c r="H213" s="554"/>
      <c r="I213" s="554"/>
      <c r="J213" s="554"/>
      <c r="K213" s="554"/>
      <c r="L213" s="554"/>
      <c r="M213" s="554"/>
      <c r="N213" s="554"/>
      <c r="O213" s="554"/>
      <c r="P213" s="554"/>
      <c r="Q213" s="554"/>
      <c r="R213" s="553"/>
    </row>
    <row r="214" spans="2:18" x14ac:dyDescent="0.25">
      <c r="B214" s="151"/>
      <c r="C214" s="143"/>
      <c r="D214" s="143"/>
      <c r="E214" s="554"/>
      <c r="F214" s="554"/>
      <c r="G214" s="554"/>
      <c r="H214" s="554"/>
      <c r="I214" s="554"/>
      <c r="J214" s="554"/>
      <c r="K214" s="554"/>
      <c r="L214" s="554"/>
      <c r="M214" s="554"/>
      <c r="N214" s="554"/>
      <c r="O214" s="554"/>
      <c r="P214" s="554"/>
      <c r="Q214" s="554"/>
      <c r="R214" s="553"/>
    </row>
    <row r="215" spans="2:18" x14ac:dyDescent="0.25">
      <c r="B215" s="151"/>
      <c r="C215" s="143"/>
      <c r="D215" s="143"/>
      <c r="E215" s="554"/>
      <c r="F215" s="554"/>
      <c r="G215" s="554"/>
      <c r="H215" s="554"/>
      <c r="I215" s="554"/>
      <c r="J215" s="554"/>
      <c r="K215" s="554"/>
      <c r="L215" s="554"/>
      <c r="M215" s="554"/>
      <c r="N215" s="554"/>
      <c r="O215" s="554"/>
      <c r="P215" s="554"/>
      <c r="Q215" s="554"/>
      <c r="R215" s="553"/>
    </row>
    <row r="216" spans="2:18" x14ac:dyDescent="0.25">
      <c r="B216" s="151"/>
      <c r="C216" s="143"/>
      <c r="D216" s="143"/>
      <c r="E216" s="554"/>
      <c r="F216" s="554"/>
      <c r="G216" s="554"/>
      <c r="H216" s="554"/>
      <c r="I216" s="554"/>
      <c r="J216" s="554"/>
      <c r="K216" s="554"/>
      <c r="L216" s="554"/>
      <c r="M216" s="554"/>
      <c r="N216" s="554"/>
      <c r="O216" s="554"/>
      <c r="P216" s="554"/>
      <c r="Q216" s="554"/>
      <c r="R216" s="553"/>
    </row>
    <row r="217" spans="2:18" x14ac:dyDescent="0.25">
      <c r="B217" s="151"/>
      <c r="C217" s="143"/>
      <c r="D217" s="143"/>
      <c r="E217" s="554"/>
      <c r="F217" s="554"/>
      <c r="G217" s="554"/>
      <c r="H217" s="554"/>
      <c r="I217" s="554"/>
      <c r="J217" s="554"/>
      <c r="K217" s="554"/>
      <c r="L217" s="554"/>
      <c r="M217" s="554"/>
      <c r="N217" s="554"/>
      <c r="O217" s="554"/>
      <c r="P217" s="554"/>
      <c r="Q217" s="554"/>
      <c r="R217" s="553"/>
    </row>
    <row r="218" spans="2:18" x14ac:dyDescent="0.25">
      <c r="B218" s="151"/>
      <c r="C218" s="143"/>
      <c r="D218" s="143"/>
      <c r="E218" s="554"/>
      <c r="F218" s="554"/>
      <c r="G218" s="554"/>
      <c r="H218" s="554"/>
      <c r="I218" s="554"/>
      <c r="J218" s="554"/>
      <c r="K218" s="554"/>
      <c r="L218" s="554"/>
      <c r="M218" s="554"/>
      <c r="N218" s="554"/>
      <c r="O218" s="554"/>
      <c r="P218" s="554"/>
      <c r="Q218" s="554"/>
      <c r="R218" s="553"/>
    </row>
    <row r="219" spans="2:18" x14ac:dyDescent="0.25">
      <c r="B219" s="151"/>
      <c r="C219" s="143"/>
      <c r="D219" s="143"/>
      <c r="E219" s="554"/>
      <c r="F219" s="554"/>
      <c r="G219" s="554"/>
      <c r="H219" s="554"/>
      <c r="I219" s="554"/>
      <c r="J219" s="554"/>
      <c r="K219" s="554"/>
      <c r="L219" s="554"/>
      <c r="M219" s="554"/>
      <c r="N219" s="554"/>
      <c r="O219" s="554"/>
      <c r="P219" s="554"/>
      <c r="Q219" s="554"/>
      <c r="R219" s="553"/>
    </row>
    <row r="220" spans="2:18" x14ac:dyDescent="0.25">
      <c r="B220" s="151"/>
      <c r="C220" s="143"/>
      <c r="D220" s="143"/>
      <c r="E220" s="554"/>
      <c r="F220" s="554"/>
      <c r="G220" s="554"/>
      <c r="H220" s="554"/>
      <c r="I220" s="554"/>
      <c r="J220" s="554"/>
      <c r="K220" s="554"/>
      <c r="L220" s="554"/>
      <c r="M220" s="554"/>
      <c r="N220" s="554"/>
      <c r="O220" s="554"/>
      <c r="P220" s="554"/>
      <c r="Q220" s="554"/>
      <c r="R220" s="553"/>
    </row>
    <row r="221" spans="2:18" x14ac:dyDescent="0.25">
      <c r="B221" s="151"/>
      <c r="C221" s="143"/>
      <c r="D221" s="143"/>
      <c r="E221" s="554"/>
      <c r="F221" s="554"/>
      <c r="G221" s="554"/>
      <c r="H221" s="554"/>
      <c r="I221" s="554"/>
      <c r="J221" s="554"/>
      <c r="K221" s="554"/>
      <c r="L221" s="554"/>
      <c r="M221" s="554"/>
      <c r="N221" s="554"/>
      <c r="O221" s="554"/>
      <c r="P221" s="554"/>
      <c r="Q221" s="554"/>
      <c r="R221" s="553"/>
    </row>
    <row r="222" spans="2:18" x14ac:dyDescent="0.25">
      <c r="B222" s="151"/>
      <c r="C222" s="143"/>
      <c r="D222" s="143"/>
      <c r="E222" s="554"/>
      <c r="F222" s="554"/>
      <c r="G222" s="554"/>
      <c r="H222" s="554"/>
      <c r="I222" s="554"/>
      <c r="J222" s="554"/>
      <c r="K222" s="554"/>
      <c r="L222" s="554"/>
      <c r="M222" s="554"/>
      <c r="N222" s="554"/>
      <c r="O222" s="554"/>
      <c r="P222" s="554"/>
      <c r="Q222" s="554"/>
      <c r="R222" s="553"/>
    </row>
    <row r="223" spans="2:18" x14ac:dyDescent="0.25">
      <c r="B223" s="151"/>
      <c r="C223" s="143"/>
      <c r="D223" s="143"/>
      <c r="E223" s="554"/>
      <c r="F223" s="554"/>
      <c r="G223" s="554"/>
      <c r="H223" s="554"/>
      <c r="I223" s="554"/>
      <c r="J223" s="554"/>
      <c r="K223" s="554"/>
      <c r="L223" s="554"/>
      <c r="M223" s="554"/>
      <c r="N223" s="554"/>
      <c r="O223" s="554"/>
      <c r="P223" s="554"/>
      <c r="Q223" s="554"/>
      <c r="R223" s="553"/>
    </row>
    <row r="224" spans="2:18" x14ac:dyDescent="0.25">
      <c r="B224" s="151"/>
      <c r="C224" s="143"/>
      <c r="D224" s="143"/>
      <c r="E224" s="554"/>
      <c r="F224" s="554"/>
      <c r="G224" s="554"/>
      <c r="H224" s="554"/>
      <c r="I224" s="554"/>
      <c r="J224" s="554"/>
      <c r="K224" s="554"/>
      <c r="L224" s="554"/>
      <c r="M224" s="554"/>
      <c r="N224" s="554"/>
      <c r="O224" s="554"/>
      <c r="P224" s="554"/>
      <c r="Q224" s="554"/>
      <c r="R224" s="553"/>
    </row>
    <row r="225" spans="2:18" x14ac:dyDescent="0.25">
      <c r="B225" s="151"/>
      <c r="C225" s="143"/>
      <c r="D225" s="143"/>
      <c r="E225" s="554"/>
      <c r="F225" s="554"/>
      <c r="G225" s="554"/>
      <c r="H225" s="554"/>
      <c r="I225" s="554"/>
      <c r="J225" s="554"/>
      <c r="K225" s="554"/>
      <c r="L225" s="554"/>
      <c r="M225" s="554"/>
      <c r="N225" s="554"/>
      <c r="O225" s="554"/>
      <c r="P225" s="554"/>
      <c r="Q225" s="554"/>
      <c r="R225" s="553"/>
    </row>
    <row r="226" spans="2:18" x14ac:dyDescent="0.25">
      <c r="B226" s="151"/>
      <c r="C226" s="143"/>
      <c r="D226" s="143"/>
      <c r="E226" s="554"/>
      <c r="F226" s="554"/>
      <c r="G226" s="554"/>
      <c r="H226" s="554"/>
      <c r="I226" s="554"/>
      <c r="J226" s="554"/>
      <c r="K226" s="554"/>
      <c r="L226" s="554"/>
      <c r="M226" s="554"/>
      <c r="N226" s="554"/>
      <c r="O226" s="554"/>
      <c r="P226" s="554"/>
      <c r="Q226" s="554"/>
      <c r="R226" s="553"/>
    </row>
    <row r="227" spans="2:18" x14ac:dyDescent="0.25">
      <c r="B227" s="151"/>
      <c r="C227" s="143"/>
      <c r="D227" s="143"/>
      <c r="E227" s="554"/>
      <c r="F227" s="554"/>
      <c r="G227" s="554"/>
      <c r="H227" s="554"/>
      <c r="I227" s="554"/>
      <c r="J227" s="554"/>
      <c r="K227" s="554"/>
      <c r="L227" s="554"/>
      <c r="M227" s="554"/>
      <c r="N227" s="554"/>
      <c r="O227" s="554"/>
      <c r="P227" s="554"/>
      <c r="Q227" s="554"/>
      <c r="R227" s="553"/>
    </row>
    <row r="228" spans="2:18" x14ac:dyDescent="0.25">
      <c r="B228" s="151"/>
      <c r="C228" s="143"/>
      <c r="D228" s="143"/>
      <c r="E228" s="554"/>
      <c r="F228" s="554"/>
      <c r="G228" s="554"/>
      <c r="H228" s="554"/>
      <c r="I228" s="554"/>
      <c r="J228" s="554"/>
      <c r="K228" s="554"/>
      <c r="L228" s="554"/>
      <c r="M228" s="554"/>
      <c r="N228" s="554"/>
      <c r="O228" s="554"/>
      <c r="P228" s="554"/>
      <c r="Q228" s="554"/>
      <c r="R228" s="553"/>
    </row>
    <row r="229" spans="2:18" x14ac:dyDescent="0.25">
      <c r="B229" s="151"/>
      <c r="C229" s="143"/>
      <c r="D229" s="143"/>
      <c r="E229" s="554"/>
      <c r="F229" s="554"/>
      <c r="G229" s="554"/>
      <c r="H229" s="554"/>
      <c r="I229" s="554"/>
      <c r="J229" s="554"/>
      <c r="K229" s="554"/>
      <c r="L229" s="554"/>
      <c r="M229" s="554"/>
      <c r="N229" s="554"/>
      <c r="O229" s="554"/>
      <c r="P229" s="554"/>
      <c r="Q229" s="554"/>
      <c r="R229" s="553"/>
    </row>
    <row r="230" spans="2:18" x14ac:dyDescent="0.25">
      <c r="B230" s="151"/>
      <c r="C230" s="143"/>
      <c r="D230" s="143"/>
      <c r="E230" s="554"/>
      <c r="F230" s="554"/>
      <c r="G230" s="554"/>
      <c r="H230" s="554"/>
      <c r="I230" s="554"/>
      <c r="J230" s="554"/>
      <c r="K230" s="554"/>
      <c r="L230" s="554"/>
      <c r="M230" s="554"/>
      <c r="N230" s="554"/>
      <c r="O230" s="554"/>
      <c r="P230" s="554"/>
      <c r="Q230" s="554"/>
      <c r="R230" s="553"/>
    </row>
    <row r="231" spans="2:18" x14ac:dyDescent="0.25">
      <c r="B231" s="151"/>
      <c r="C231" s="143"/>
      <c r="D231" s="143"/>
      <c r="E231" s="554"/>
      <c r="F231" s="554"/>
      <c r="G231" s="554"/>
      <c r="H231" s="554"/>
      <c r="I231" s="554"/>
      <c r="J231" s="554"/>
      <c r="K231" s="554"/>
      <c r="L231" s="554"/>
      <c r="M231" s="554"/>
      <c r="N231" s="554"/>
      <c r="O231" s="554"/>
      <c r="P231" s="554"/>
      <c r="Q231" s="554"/>
      <c r="R231" s="553"/>
    </row>
    <row r="232" spans="2:18" x14ac:dyDescent="0.25">
      <c r="B232" s="151"/>
      <c r="C232" s="143"/>
      <c r="D232" s="143"/>
      <c r="E232" s="554"/>
      <c r="F232" s="554"/>
      <c r="G232" s="554"/>
      <c r="H232" s="554"/>
      <c r="I232" s="554"/>
      <c r="J232" s="554"/>
      <c r="K232" s="554"/>
      <c r="L232" s="554"/>
      <c r="M232" s="554"/>
      <c r="N232" s="554"/>
      <c r="O232" s="554"/>
      <c r="P232" s="554"/>
      <c r="Q232" s="554"/>
      <c r="R232" s="553"/>
    </row>
    <row r="233" spans="2:18" x14ac:dyDescent="0.25">
      <c r="B233" s="151"/>
      <c r="C233" s="143"/>
      <c r="D233" s="143"/>
      <c r="E233" s="554"/>
      <c r="F233" s="554"/>
      <c r="G233" s="554"/>
      <c r="H233" s="554"/>
      <c r="I233" s="554"/>
      <c r="J233" s="554"/>
      <c r="K233" s="554"/>
      <c r="L233" s="554"/>
      <c r="M233" s="554"/>
      <c r="N233" s="554"/>
      <c r="O233" s="554"/>
      <c r="P233" s="554"/>
      <c r="Q233" s="554"/>
      <c r="R233" s="553"/>
    </row>
    <row r="234" spans="2:18" x14ac:dyDescent="0.25">
      <c r="B234" s="151"/>
      <c r="C234" s="143"/>
      <c r="D234" s="143"/>
      <c r="E234" s="554"/>
      <c r="F234" s="554"/>
      <c r="G234" s="554"/>
      <c r="H234" s="554"/>
      <c r="I234" s="554"/>
      <c r="J234" s="554"/>
      <c r="K234" s="554"/>
      <c r="L234" s="554"/>
      <c r="M234" s="554"/>
      <c r="N234" s="554"/>
      <c r="O234" s="554"/>
      <c r="P234" s="554"/>
      <c r="Q234" s="554"/>
      <c r="R234" s="553"/>
    </row>
    <row r="235" spans="2:18" x14ac:dyDescent="0.25">
      <c r="B235" s="151"/>
      <c r="C235" s="143"/>
      <c r="D235" s="143"/>
      <c r="E235" s="554"/>
      <c r="F235" s="554"/>
      <c r="G235" s="554"/>
      <c r="H235" s="554"/>
      <c r="I235" s="554"/>
      <c r="J235" s="554"/>
      <c r="K235" s="554"/>
      <c r="L235" s="554"/>
      <c r="M235" s="554"/>
      <c r="N235" s="554"/>
      <c r="O235" s="554"/>
      <c r="P235" s="554"/>
      <c r="Q235" s="554"/>
      <c r="R235" s="553"/>
    </row>
    <row r="236" spans="2:18" x14ac:dyDescent="0.25">
      <c r="B236" s="151"/>
      <c r="C236" s="143"/>
      <c r="D236" s="143"/>
      <c r="E236" s="554"/>
      <c r="F236" s="554"/>
      <c r="G236" s="554"/>
      <c r="H236" s="554"/>
      <c r="I236" s="554"/>
      <c r="J236" s="554"/>
      <c r="K236" s="554"/>
      <c r="L236" s="554"/>
      <c r="M236" s="554"/>
      <c r="N236" s="554"/>
      <c r="O236" s="554"/>
      <c r="P236" s="554"/>
      <c r="Q236" s="554"/>
      <c r="R236" s="553"/>
    </row>
    <row r="237" spans="2:18" x14ac:dyDescent="0.25">
      <c r="B237" s="151"/>
      <c r="C237" s="143"/>
      <c r="D237" s="143"/>
      <c r="E237" s="554"/>
      <c r="F237" s="554"/>
      <c r="G237" s="554"/>
      <c r="H237" s="554"/>
      <c r="I237" s="554"/>
      <c r="J237" s="554"/>
      <c r="K237" s="554"/>
      <c r="L237" s="554"/>
      <c r="M237" s="554"/>
      <c r="N237" s="554"/>
      <c r="O237" s="554"/>
      <c r="P237" s="554"/>
      <c r="Q237" s="554"/>
      <c r="R237" s="553"/>
    </row>
    <row r="238" spans="2:18" x14ac:dyDescent="0.25">
      <c r="B238" s="151"/>
      <c r="C238" s="143"/>
      <c r="D238" s="143"/>
      <c r="E238" s="554"/>
      <c r="F238" s="554"/>
      <c r="G238" s="554"/>
      <c r="H238" s="554"/>
      <c r="I238" s="554"/>
      <c r="J238" s="554"/>
      <c r="K238" s="554"/>
      <c r="L238" s="554"/>
      <c r="M238" s="554"/>
      <c r="N238" s="554"/>
      <c r="O238" s="554"/>
      <c r="P238" s="554"/>
      <c r="Q238" s="554"/>
      <c r="R238" s="553"/>
    </row>
    <row r="239" spans="2:18" x14ac:dyDescent="0.25">
      <c r="B239" s="151"/>
      <c r="C239" s="143"/>
      <c r="D239" s="143"/>
      <c r="E239" s="554"/>
      <c r="F239" s="554"/>
      <c r="G239" s="554"/>
      <c r="H239" s="554"/>
      <c r="I239" s="554"/>
      <c r="J239" s="554"/>
      <c r="K239" s="554"/>
      <c r="L239" s="554"/>
      <c r="M239" s="554"/>
      <c r="N239" s="554"/>
      <c r="O239" s="554"/>
      <c r="P239" s="554"/>
      <c r="Q239" s="554"/>
      <c r="R239" s="553"/>
    </row>
    <row r="240" spans="2:18" x14ac:dyDescent="0.25">
      <c r="B240" s="151"/>
      <c r="C240" s="143"/>
      <c r="D240" s="143"/>
      <c r="E240" s="554"/>
      <c r="F240" s="554"/>
      <c r="G240" s="554"/>
      <c r="H240" s="554"/>
      <c r="I240" s="554"/>
      <c r="J240" s="554"/>
      <c r="K240" s="554"/>
      <c r="L240" s="554"/>
      <c r="M240" s="554"/>
      <c r="N240" s="554"/>
      <c r="O240" s="554"/>
      <c r="P240" s="554"/>
      <c r="Q240" s="554"/>
      <c r="R240" s="553"/>
    </row>
    <row r="241" spans="2:18" x14ac:dyDescent="0.25">
      <c r="B241" s="151"/>
      <c r="C241" s="143"/>
      <c r="D241" s="143"/>
      <c r="E241" s="554"/>
      <c r="F241" s="554"/>
      <c r="G241" s="554"/>
      <c r="H241" s="554"/>
      <c r="I241" s="554"/>
      <c r="J241" s="554"/>
      <c r="K241" s="554"/>
      <c r="L241" s="554"/>
      <c r="M241" s="554"/>
      <c r="N241" s="554"/>
      <c r="O241" s="554"/>
      <c r="P241" s="554"/>
      <c r="Q241" s="554"/>
      <c r="R241" s="553"/>
    </row>
    <row r="242" spans="2:18" x14ac:dyDescent="0.25">
      <c r="B242" s="151"/>
      <c r="C242" s="143"/>
      <c r="D242" s="143"/>
      <c r="E242" s="554"/>
      <c r="F242" s="554"/>
      <c r="G242" s="554"/>
      <c r="H242" s="554"/>
      <c r="I242" s="554"/>
      <c r="J242" s="554"/>
      <c r="K242" s="554"/>
      <c r="L242" s="554"/>
      <c r="M242" s="554"/>
      <c r="N242" s="554"/>
      <c r="O242" s="554"/>
      <c r="P242" s="554"/>
      <c r="Q242" s="554"/>
      <c r="R242" s="553"/>
    </row>
    <row r="243" spans="2:18" x14ac:dyDescent="0.25">
      <c r="B243" s="151"/>
      <c r="C243" s="143"/>
      <c r="D243" s="143"/>
      <c r="E243" s="554"/>
      <c r="F243" s="554"/>
      <c r="G243" s="554"/>
      <c r="H243" s="554"/>
      <c r="I243" s="554"/>
      <c r="J243" s="554"/>
      <c r="K243" s="554"/>
      <c r="L243" s="554"/>
      <c r="M243" s="554"/>
      <c r="N243" s="554"/>
      <c r="O243" s="554"/>
      <c r="P243" s="554"/>
      <c r="Q243" s="554"/>
      <c r="R243" s="553"/>
    </row>
    <row r="244" spans="2:18" x14ac:dyDescent="0.25">
      <c r="B244" s="151"/>
      <c r="C244" s="143"/>
      <c r="D244" s="143"/>
      <c r="E244" s="554"/>
      <c r="F244" s="554"/>
      <c r="G244" s="554"/>
      <c r="H244" s="554"/>
      <c r="I244" s="554"/>
      <c r="J244" s="554"/>
      <c r="K244" s="554"/>
      <c r="L244" s="554"/>
      <c r="M244" s="554"/>
      <c r="N244" s="554"/>
      <c r="O244" s="554"/>
      <c r="P244" s="554"/>
      <c r="Q244" s="554"/>
      <c r="R244" s="553"/>
    </row>
    <row r="245" spans="2:18" x14ac:dyDescent="0.25">
      <c r="B245" s="151"/>
      <c r="C245" s="143"/>
      <c r="D245" s="143"/>
      <c r="E245" s="554"/>
      <c r="F245" s="554"/>
      <c r="G245" s="554"/>
      <c r="H245" s="554"/>
      <c r="I245" s="554"/>
      <c r="J245" s="554"/>
      <c r="K245" s="554"/>
      <c r="L245" s="554"/>
      <c r="M245" s="554"/>
      <c r="N245" s="554"/>
      <c r="O245" s="554"/>
      <c r="P245" s="554"/>
      <c r="Q245" s="554"/>
      <c r="R245" s="553"/>
    </row>
    <row r="246" spans="2:18" x14ac:dyDescent="0.25">
      <c r="B246" s="151"/>
      <c r="C246" s="143"/>
      <c r="D246" s="143"/>
      <c r="E246" s="554"/>
      <c r="F246" s="554"/>
      <c r="G246" s="554"/>
      <c r="H246" s="554"/>
      <c r="I246" s="554"/>
      <c r="J246" s="554"/>
      <c r="K246" s="554"/>
      <c r="L246" s="554"/>
      <c r="M246" s="554"/>
      <c r="N246" s="554"/>
      <c r="O246" s="554"/>
      <c r="P246" s="554"/>
      <c r="Q246" s="554"/>
      <c r="R246" s="553"/>
    </row>
    <row r="247" spans="2:18" x14ac:dyDescent="0.25">
      <c r="B247" s="151"/>
      <c r="C247" s="143"/>
      <c r="D247" s="143"/>
      <c r="E247" s="554"/>
      <c r="F247" s="554"/>
      <c r="G247" s="554"/>
      <c r="H247" s="554"/>
      <c r="I247" s="554"/>
      <c r="J247" s="554"/>
      <c r="K247" s="554"/>
      <c r="L247" s="554"/>
      <c r="M247" s="554"/>
      <c r="N247" s="554"/>
      <c r="O247" s="554"/>
      <c r="P247" s="554"/>
      <c r="Q247" s="554"/>
      <c r="R247" s="553"/>
    </row>
    <row r="248" spans="2:18" x14ac:dyDescent="0.25">
      <c r="B248" s="151"/>
      <c r="C248" s="143"/>
      <c r="D248" s="143"/>
      <c r="E248" s="554"/>
      <c r="F248" s="554"/>
      <c r="G248" s="554"/>
      <c r="H248" s="554"/>
      <c r="I248" s="554"/>
      <c r="J248" s="554"/>
      <c r="K248" s="554"/>
      <c r="L248" s="554"/>
      <c r="M248" s="554"/>
      <c r="N248" s="554"/>
      <c r="O248" s="554"/>
      <c r="P248" s="554"/>
      <c r="Q248" s="554"/>
      <c r="R248" s="553"/>
    </row>
    <row r="249" spans="2:18" x14ac:dyDescent="0.25">
      <c r="B249" s="151"/>
      <c r="C249" s="143"/>
      <c r="D249" s="143"/>
      <c r="E249" s="554"/>
      <c r="F249" s="554"/>
      <c r="G249" s="554"/>
      <c r="H249" s="554"/>
      <c r="I249" s="554"/>
      <c r="J249" s="554"/>
      <c r="K249" s="554"/>
      <c r="L249" s="554"/>
      <c r="M249" s="554"/>
      <c r="N249" s="554"/>
      <c r="O249" s="554"/>
      <c r="P249" s="554"/>
      <c r="Q249" s="554"/>
      <c r="R249" s="553"/>
    </row>
    <row r="250" spans="2:18" x14ac:dyDescent="0.25">
      <c r="B250" s="151"/>
      <c r="C250" s="143"/>
      <c r="D250" s="143"/>
      <c r="E250" s="554"/>
      <c r="F250" s="554"/>
      <c r="G250" s="554"/>
      <c r="H250" s="554"/>
      <c r="I250" s="554"/>
      <c r="J250" s="554"/>
      <c r="K250" s="554"/>
      <c r="L250" s="554"/>
      <c r="M250" s="554"/>
      <c r="N250" s="554"/>
      <c r="O250" s="554"/>
      <c r="P250" s="554"/>
      <c r="Q250" s="554"/>
      <c r="R250" s="553"/>
    </row>
    <row r="251" spans="2:18" x14ac:dyDescent="0.25">
      <c r="B251" s="151"/>
      <c r="C251" s="143"/>
      <c r="D251" s="143"/>
      <c r="E251" s="554"/>
      <c r="F251" s="554"/>
      <c r="G251" s="554"/>
      <c r="H251" s="554"/>
      <c r="I251" s="554"/>
      <c r="J251" s="554"/>
      <c r="K251" s="554"/>
      <c r="L251" s="554"/>
      <c r="M251" s="554"/>
      <c r="N251" s="554"/>
      <c r="O251" s="554"/>
      <c r="P251" s="554"/>
      <c r="Q251" s="554"/>
      <c r="R251" s="553"/>
    </row>
    <row r="252" spans="2:18" x14ac:dyDescent="0.25">
      <c r="B252" s="151"/>
      <c r="C252" s="143"/>
      <c r="D252" s="143"/>
      <c r="E252" s="554"/>
      <c r="F252" s="554"/>
      <c r="G252" s="554"/>
      <c r="H252" s="554"/>
      <c r="I252" s="554"/>
      <c r="J252" s="554"/>
      <c r="K252" s="554"/>
      <c r="L252" s="554"/>
      <c r="M252" s="554"/>
      <c r="N252" s="554"/>
      <c r="O252" s="554"/>
      <c r="P252" s="554"/>
      <c r="Q252" s="554"/>
      <c r="R252" s="553"/>
    </row>
    <row r="253" spans="2:18" x14ac:dyDescent="0.25">
      <c r="B253" s="151"/>
      <c r="C253" s="143"/>
      <c r="D253" s="143"/>
      <c r="E253" s="554"/>
      <c r="F253" s="554"/>
      <c r="G253" s="554"/>
      <c r="H253" s="554"/>
      <c r="I253" s="554"/>
      <c r="J253" s="554"/>
      <c r="K253" s="554"/>
      <c r="L253" s="554"/>
      <c r="M253" s="554"/>
      <c r="N253" s="554"/>
      <c r="O253" s="554"/>
      <c r="P253" s="554"/>
      <c r="Q253" s="554"/>
      <c r="R253" s="553"/>
    </row>
    <row r="254" spans="2:18" x14ac:dyDescent="0.25">
      <c r="B254" s="151"/>
      <c r="C254" s="143"/>
      <c r="D254" s="143"/>
      <c r="E254" s="554"/>
      <c r="F254" s="554"/>
      <c r="G254" s="554"/>
      <c r="H254" s="554"/>
      <c r="I254" s="554"/>
      <c r="J254" s="554"/>
      <c r="K254" s="554"/>
      <c r="L254" s="554"/>
      <c r="M254" s="554"/>
      <c r="N254" s="554"/>
      <c r="O254" s="554"/>
      <c r="P254" s="554"/>
      <c r="Q254" s="554"/>
      <c r="R254" s="553"/>
    </row>
    <row r="255" spans="2:18" x14ac:dyDescent="0.25">
      <c r="B255" s="151"/>
      <c r="C255" s="143"/>
      <c r="D255" s="143"/>
      <c r="E255" s="554"/>
      <c r="F255" s="554"/>
      <c r="G255" s="554"/>
      <c r="H255" s="554"/>
      <c r="I255" s="554"/>
      <c r="J255" s="554"/>
      <c r="K255" s="554"/>
      <c r="L255" s="554"/>
      <c r="M255" s="554"/>
      <c r="N255" s="554"/>
      <c r="O255" s="554"/>
      <c r="P255" s="554"/>
      <c r="Q255" s="554"/>
      <c r="R255" s="553"/>
    </row>
    <row r="256" spans="2:18" x14ac:dyDescent="0.25">
      <c r="B256" s="151"/>
      <c r="C256" s="143"/>
      <c r="D256" s="143"/>
      <c r="E256" s="554"/>
      <c r="F256" s="554"/>
      <c r="G256" s="554"/>
      <c r="H256" s="554"/>
      <c r="I256" s="554"/>
      <c r="J256" s="554"/>
      <c r="K256" s="554"/>
      <c r="L256" s="554"/>
      <c r="M256" s="554"/>
      <c r="N256" s="554"/>
      <c r="O256" s="554"/>
      <c r="P256" s="554"/>
      <c r="Q256" s="554"/>
      <c r="R256" s="553"/>
    </row>
    <row r="257" spans="2:18" x14ac:dyDescent="0.25">
      <c r="B257" s="151"/>
      <c r="C257" s="143"/>
      <c r="D257" s="143"/>
      <c r="E257" s="554"/>
      <c r="F257" s="554"/>
      <c r="G257" s="554"/>
      <c r="H257" s="554"/>
      <c r="I257" s="554"/>
      <c r="J257" s="554"/>
      <c r="K257" s="554"/>
      <c r="L257" s="554"/>
      <c r="M257" s="554"/>
      <c r="N257" s="554"/>
      <c r="O257" s="554"/>
      <c r="P257" s="554"/>
      <c r="Q257" s="554"/>
      <c r="R257" s="553"/>
    </row>
    <row r="258" spans="2:18" x14ac:dyDescent="0.25">
      <c r="B258" s="151"/>
      <c r="C258" s="143"/>
      <c r="D258" s="143"/>
      <c r="E258" s="554"/>
      <c r="F258" s="554"/>
      <c r="G258" s="554"/>
      <c r="H258" s="554"/>
      <c r="I258" s="554"/>
      <c r="J258" s="554"/>
      <c r="K258" s="554"/>
      <c r="L258" s="554"/>
      <c r="M258" s="554"/>
      <c r="N258" s="554"/>
      <c r="O258" s="554"/>
      <c r="P258" s="554"/>
      <c r="Q258" s="554"/>
      <c r="R258" s="553"/>
    </row>
    <row r="259" spans="2:18" x14ac:dyDescent="0.25">
      <c r="B259" s="151"/>
      <c r="C259" s="143"/>
      <c r="D259" s="143"/>
      <c r="E259" s="554"/>
      <c r="F259" s="554"/>
      <c r="G259" s="554"/>
      <c r="H259" s="554"/>
      <c r="I259" s="554"/>
      <c r="J259" s="554"/>
      <c r="K259" s="554"/>
      <c r="L259" s="554"/>
      <c r="M259" s="554"/>
      <c r="N259" s="554"/>
      <c r="O259" s="554"/>
      <c r="P259" s="554"/>
      <c r="Q259" s="554"/>
      <c r="R259" s="553"/>
    </row>
    <row r="260" spans="2:18" x14ac:dyDescent="0.25">
      <c r="B260" s="151"/>
      <c r="C260" s="143"/>
      <c r="D260" s="143"/>
      <c r="E260" s="554"/>
      <c r="F260" s="554"/>
      <c r="G260" s="554"/>
      <c r="H260" s="554"/>
      <c r="I260" s="554"/>
      <c r="J260" s="554"/>
      <c r="K260" s="554"/>
      <c r="L260" s="554"/>
      <c r="M260" s="554"/>
      <c r="N260" s="554"/>
      <c r="O260" s="554"/>
      <c r="P260" s="554"/>
      <c r="Q260" s="554"/>
      <c r="R260" s="553"/>
    </row>
    <row r="261" spans="2:18" x14ac:dyDescent="0.25">
      <c r="B261" s="151"/>
      <c r="C261" s="143"/>
      <c r="D261" s="143"/>
      <c r="E261" s="554"/>
      <c r="F261" s="554"/>
      <c r="G261" s="554"/>
      <c r="H261" s="554"/>
      <c r="I261" s="554"/>
      <c r="J261" s="554"/>
      <c r="K261" s="554"/>
      <c r="L261" s="554"/>
      <c r="M261" s="554"/>
      <c r="N261" s="554"/>
      <c r="O261" s="554"/>
      <c r="P261" s="554"/>
      <c r="Q261" s="554"/>
      <c r="R261" s="553"/>
    </row>
    <row r="262" spans="2:18" x14ac:dyDescent="0.25">
      <c r="B262" s="151"/>
      <c r="C262" s="143"/>
      <c r="D262" s="143"/>
      <c r="E262" s="554"/>
      <c r="F262" s="554"/>
      <c r="G262" s="554"/>
      <c r="H262" s="554"/>
      <c r="I262" s="554"/>
      <c r="J262" s="554"/>
      <c r="K262" s="554"/>
      <c r="L262" s="554"/>
      <c r="M262" s="554"/>
      <c r="N262" s="554"/>
      <c r="O262" s="554"/>
      <c r="P262" s="554"/>
      <c r="Q262" s="554"/>
      <c r="R262" s="553"/>
    </row>
    <row r="263" spans="2:18" x14ac:dyDescent="0.25">
      <c r="B263" s="151"/>
      <c r="C263" s="143"/>
      <c r="D263" s="143"/>
      <c r="E263" s="554"/>
      <c r="F263" s="554"/>
      <c r="G263" s="554"/>
      <c r="H263" s="554"/>
      <c r="I263" s="554"/>
      <c r="J263" s="554"/>
      <c r="K263" s="554"/>
      <c r="L263" s="554"/>
      <c r="M263" s="554"/>
      <c r="N263" s="554"/>
      <c r="O263" s="554"/>
      <c r="P263" s="554"/>
      <c r="Q263" s="554"/>
      <c r="R263" s="553"/>
    </row>
    <row r="264" spans="2:18" x14ac:dyDescent="0.25">
      <c r="B264" s="151"/>
      <c r="C264" s="143"/>
      <c r="D264" s="143"/>
      <c r="E264" s="554"/>
      <c r="F264" s="554"/>
      <c r="G264" s="554"/>
      <c r="H264" s="554"/>
      <c r="I264" s="554"/>
      <c r="J264" s="554"/>
      <c r="K264" s="554"/>
      <c r="L264" s="554"/>
      <c r="M264" s="554"/>
      <c r="N264" s="554"/>
      <c r="O264" s="554"/>
      <c r="P264" s="554"/>
      <c r="Q264" s="554"/>
      <c r="R264" s="553"/>
    </row>
    <row r="265" spans="2:18" x14ac:dyDescent="0.25">
      <c r="B265" s="151"/>
      <c r="C265" s="143"/>
      <c r="D265" s="143"/>
      <c r="E265" s="554"/>
      <c r="F265" s="554"/>
      <c r="G265" s="554"/>
      <c r="H265" s="554"/>
      <c r="I265" s="554"/>
      <c r="J265" s="554"/>
      <c r="K265" s="554"/>
      <c r="L265" s="554"/>
      <c r="M265" s="554"/>
      <c r="N265" s="554"/>
      <c r="O265" s="554"/>
      <c r="P265" s="554"/>
      <c r="Q265" s="554"/>
      <c r="R265" s="553"/>
    </row>
    <row r="266" spans="2:18" x14ac:dyDescent="0.25">
      <c r="B266" s="151"/>
      <c r="C266" s="143"/>
      <c r="D266" s="143"/>
      <c r="E266" s="554"/>
      <c r="F266" s="554"/>
      <c r="G266" s="554"/>
      <c r="H266" s="554"/>
      <c r="I266" s="554"/>
      <c r="J266" s="554"/>
      <c r="K266" s="554"/>
      <c r="L266" s="554"/>
      <c r="M266" s="554"/>
      <c r="N266" s="554"/>
      <c r="O266" s="554"/>
      <c r="P266" s="554"/>
      <c r="Q266" s="554"/>
      <c r="R266" s="553"/>
    </row>
    <row r="267" spans="2:18" x14ac:dyDescent="0.25">
      <c r="B267" s="151"/>
      <c r="C267" s="143"/>
      <c r="D267" s="143"/>
      <c r="E267" s="554"/>
      <c r="F267" s="554"/>
      <c r="G267" s="554"/>
      <c r="H267" s="554"/>
      <c r="I267" s="554"/>
      <c r="J267" s="554"/>
      <c r="K267" s="554"/>
      <c r="L267" s="554"/>
      <c r="M267" s="554"/>
      <c r="N267" s="554"/>
      <c r="O267" s="554"/>
      <c r="P267" s="554"/>
      <c r="Q267" s="554"/>
      <c r="R267" s="553"/>
    </row>
    <row r="268" spans="2:18" x14ac:dyDescent="0.25">
      <c r="B268" s="151"/>
      <c r="C268" s="143"/>
      <c r="D268" s="143"/>
      <c r="E268" s="554"/>
      <c r="F268" s="554"/>
      <c r="G268" s="554"/>
      <c r="H268" s="554"/>
      <c r="I268" s="554"/>
      <c r="J268" s="554"/>
      <c r="K268" s="554"/>
      <c r="L268" s="554"/>
      <c r="M268" s="554"/>
      <c r="N268" s="554"/>
      <c r="O268" s="554"/>
      <c r="P268" s="554"/>
      <c r="Q268" s="554"/>
      <c r="R268" s="553"/>
    </row>
    <row r="269" spans="2:18" x14ac:dyDescent="0.25">
      <c r="B269" s="151"/>
      <c r="C269" s="143"/>
      <c r="D269" s="143"/>
      <c r="E269" s="554"/>
      <c r="F269" s="554"/>
      <c r="G269" s="554"/>
      <c r="H269" s="554"/>
      <c r="I269" s="554"/>
      <c r="J269" s="554"/>
      <c r="K269" s="554"/>
      <c r="L269" s="554"/>
      <c r="M269" s="554"/>
      <c r="N269" s="554"/>
      <c r="O269" s="554"/>
      <c r="P269" s="554"/>
      <c r="Q269" s="554"/>
      <c r="R269" s="553"/>
    </row>
    <row r="270" spans="2:18" x14ac:dyDescent="0.25">
      <c r="B270" s="151"/>
      <c r="C270" s="143"/>
      <c r="D270" s="143"/>
      <c r="E270" s="554"/>
      <c r="F270" s="554"/>
      <c r="G270" s="554"/>
      <c r="H270" s="554"/>
      <c r="I270" s="554"/>
      <c r="J270" s="554"/>
      <c r="K270" s="554"/>
      <c r="L270" s="554"/>
      <c r="M270" s="554"/>
      <c r="N270" s="554"/>
      <c r="O270" s="554"/>
      <c r="P270" s="554"/>
      <c r="Q270" s="554"/>
      <c r="R270" s="553"/>
    </row>
    <row r="271" spans="2:18" x14ac:dyDescent="0.25">
      <c r="B271" s="151"/>
      <c r="C271" s="143"/>
      <c r="D271" s="143"/>
      <c r="E271" s="554"/>
      <c r="F271" s="554"/>
      <c r="G271" s="554"/>
      <c r="H271" s="554"/>
      <c r="I271" s="554"/>
      <c r="J271" s="554"/>
      <c r="K271" s="554"/>
      <c r="L271" s="554"/>
      <c r="M271" s="554"/>
      <c r="N271" s="554"/>
      <c r="O271" s="554"/>
      <c r="P271" s="554"/>
      <c r="Q271" s="554"/>
      <c r="R271" s="553"/>
    </row>
    <row r="272" spans="2:18" x14ac:dyDescent="0.25">
      <c r="B272" s="151"/>
      <c r="C272" s="143"/>
      <c r="D272" s="143"/>
      <c r="E272" s="554"/>
      <c r="F272" s="554"/>
      <c r="G272" s="554"/>
      <c r="H272" s="554"/>
      <c r="I272" s="554"/>
      <c r="J272" s="554"/>
      <c r="K272" s="554"/>
      <c r="L272" s="554"/>
      <c r="M272" s="554"/>
      <c r="N272" s="554"/>
      <c r="O272" s="554"/>
      <c r="P272" s="554"/>
      <c r="Q272" s="554"/>
      <c r="R272" s="553"/>
    </row>
    <row r="273" spans="2:18" x14ac:dyDescent="0.25">
      <c r="B273" s="151"/>
      <c r="C273" s="143"/>
      <c r="D273" s="143"/>
      <c r="E273" s="554"/>
      <c r="F273" s="554"/>
      <c r="G273" s="554"/>
      <c r="H273" s="554"/>
      <c r="I273" s="554"/>
      <c r="J273" s="554"/>
      <c r="K273" s="554"/>
      <c r="L273" s="554"/>
      <c r="M273" s="554"/>
      <c r="N273" s="554"/>
      <c r="O273" s="554"/>
      <c r="P273" s="554"/>
      <c r="Q273" s="554"/>
      <c r="R273" s="553"/>
    </row>
    <row r="274" spans="2:18" x14ac:dyDescent="0.25">
      <c r="B274" s="151"/>
      <c r="C274" s="143"/>
      <c r="D274" s="143"/>
      <c r="E274" s="554"/>
      <c r="F274" s="554"/>
      <c r="G274" s="554"/>
      <c r="H274" s="554"/>
      <c r="I274" s="554"/>
      <c r="J274" s="554"/>
      <c r="K274" s="554"/>
      <c r="L274" s="554"/>
      <c r="M274" s="554"/>
      <c r="N274" s="554"/>
      <c r="O274" s="554"/>
      <c r="P274" s="554"/>
      <c r="Q274" s="554"/>
      <c r="R274" s="553"/>
    </row>
    <row r="275" spans="2:18" x14ac:dyDescent="0.25">
      <c r="B275" s="151"/>
      <c r="C275" s="143"/>
      <c r="D275" s="143"/>
      <c r="E275" s="554"/>
      <c r="F275" s="554"/>
      <c r="G275" s="554"/>
      <c r="H275" s="554"/>
      <c r="I275" s="554"/>
      <c r="J275" s="554"/>
      <c r="K275" s="554"/>
      <c r="L275" s="554"/>
      <c r="M275" s="554"/>
      <c r="N275" s="554"/>
      <c r="O275" s="554"/>
      <c r="P275" s="554"/>
      <c r="Q275" s="554"/>
      <c r="R275" s="553"/>
    </row>
    <row r="276" spans="2:18" x14ac:dyDescent="0.25">
      <c r="B276" s="151"/>
      <c r="C276" s="143"/>
      <c r="D276" s="143"/>
      <c r="E276" s="554"/>
      <c r="F276" s="554"/>
      <c r="G276" s="554"/>
      <c r="H276" s="554"/>
      <c r="I276" s="554"/>
      <c r="J276" s="554"/>
      <c r="K276" s="554"/>
      <c r="L276" s="554"/>
      <c r="M276" s="554"/>
      <c r="N276" s="554"/>
      <c r="O276" s="554"/>
      <c r="P276" s="554"/>
      <c r="Q276" s="554"/>
      <c r="R276" s="553"/>
    </row>
    <row r="277" spans="2:18" x14ac:dyDescent="0.25">
      <c r="B277" s="151"/>
      <c r="C277" s="143"/>
      <c r="D277" s="143"/>
      <c r="E277" s="554"/>
      <c r="F277" s="554"/>
      <c r="G277" s="554"/>
      <c r="H277" s="554"/>
      <c r="I277" s="554"/>
      <c r="J277" s="554"/>
      <c r="K277" s="554"/>
      <c r="L277" s="554"/>
      <c r="M277" s="554"/>
      <c r="N277" s="554"/>
      <c r="O277" s="554"/>
      <c r="P277" s="554"/>
      <c r="Q277" s="554"/>
      <c r="R277" s="553"/>
    </row>
    <row r="278" spans="2:18" x14ac:dyDescent="0.25">
      <c r="B278" s="151"/>
      <c r="C278" s="143"/>
      <c r="D278" s="143"/>
      <c r="E278" s="554"/>
      <c r="F278" s="554"/>
      <c r="G278" s="554"/>
      <c r="H278" s="554"/>
      <c r="I278" s="554"/>
      <c r="J278" s="554"/>
      <c r="K278" s="554"/>
      <c r="L278" s="554"/>
      <c r="M278" s="554"/>
      <c r="N278" s="554"/>
      <c r="O278" s="554"/>
      <c r="P278" s="554"/>
      <c r="Q278" s="554"/>
      <c r="R278" s="553"/>
    </row>
    <row r="279" spans="2:18" x14ac:dyDescent="0.25">
      <c r="B279" s="151"/>
      <c r="C279" s="143"/>
      <c r="D279" s="143"/>
      <c r="E279" s="554"/>
      <c r="F279" s="554"/>
      <c r="G279" s="554"/>
      <c r="H279" s="554"/>
      <c r="I279" s="554"/>
      <c r="J279" s="554"/>
      <c r="K279" s="554"/>
      <c r="L279" s="554"/>
      <c r="M279" s="554"/>
      <c r="N279" s="554"/>
      <c r="O279" s="554"/>
      <c r="P279" s="554"/>
      <c r="Q279" s="554"/>
      <c r="R279" s="553"/>
    </row>
    <row r="280" spans="2:18" x14ac:dyDescent="0.25">
      <c r="B280" s="151"/>
      <c r="C280" s="143"/>
      <c r="D280" s="143"/>
      <c r="E280" s="554"/>
      <c r="F280" s="554"/>
      <c r="G280" s="554"/>
      <c r="H280" s="554"/>
      <c r="I280" s="554"/>
      <c r="J280" s="554"/>
      <c r="K280" s="554"/>
      <c r="L280" s="554"/>
      <c r="M280" s="554"/>
      <c r="N280" s="554"/>
      <c r="O280" s="554"/>
      <c r="P280" s="554"/>
      <c r="Q280" s="554"/>
      <c r="R280" s="553"/>
    </row>
    <row r="281" spans="2:18" x14ac:dyDescent="0.25">
      <c r="B281" s="151"/>
      <c r="C281" s="143"/>
      <c r="D281" s="143"/>
      <c r="E281" s="554"/>
      <c r="F281" s="554"/>
      <c r="G281" s="554"/>
      <c r="H281" s="554"/>
      <c r="I281" s="554"/>
      <c r="J281" s="554"/>
      <c r="K281" s="554"/>
      <c r="L281" s="554"/>
      <c r="M281" s="554"/>
      <c r="N281" s="554"/>
      <c r="O281" s="554"/>
      <c r="P281" s="554"/>
      <c r="Q281" s="554"/>
      <c r="R281" s="553"/>
    </row>
    <row r="282" spans="2:18" x14ac:dyDescent="0.25">
      <c r="B282" s="151"/>
      <c r="C282" s="143"/>
      <c r="D282" s="143"/>
      <c r="E282" s="554"/>
      <c r="F282" s="554"/>
      <c r="G282" s="554"/>
      <c r="H282" s="554"/>
      <c r="I282" s="554"/>
      <c r="J282" s="554"/>
      <c r="K282" s="554"/>
      <c r="L282" s="554"/>
      <c r="M282" s="554"/>
      <c r="N282" s="554"/>
      <c r="O282" s="554"/>
      <c r="P282" s="554"/>
      <c r="Q282" s="554"/>
      <c r="R282" s="553"/>
    </row>
    <row r="283" spans="2:18" x14ac:dyDescent="0.25">
      <c r="B283" s="151"/>
      <c r="C283" s="143"/>
      <c r="D283" s="143"/>
      <c r="E283" s="554"/>
      <c r="F283" s="554"/>
      <c r="G283" s="554"/>
      <c r="H283" s="554"/>
      <c r="I283" s="554"/>
      <c r="J283" s="554"/>
      <c r="K283" s="554"/>
      <c r="L283" s="554"/>
      <c r="M283" s="554"/>
      <c r="N283" s="554"/>
      <c r="O283" s="554"/>
      <c r="P283" s="554"/>
      <c r="Q283" s="554"/>
      <c r="R283" s="553"/>
    </row>
    <row r="284" spans="2:18" x14ac:dyDescent="0.25">
      <c r="B284" s="151"/>
      <c r="C284" s="143"/>
      <c r="D284" s="143"/>
      <c r="E284" s="554"/>
      <c r="F284" s="554"/>
      <c r="G284" s="554"/>
      <c r="H284" s="554"/>
      <c r="I284" s="554"/>
      <c r="J284" s="554"/>
      <c r="K284" s="554"/>
      <c r="L284" s="554"/>
      <c r="M284" s="554"/>
      <c r="N284" s="554"/>
      <c r="O284" s="554"/>
      <c r="P284" s="554"/>
      <c r="Q284" s="554"/>
      <c r="R284" s="553"/>
    </row>
    <row r="285" spans="2:18" x14ac:dyDescent="0.25">
      <c r="B285" s="151"/>
      <c r="C285" s="143"/>
      <c r="D285" s="143"/>
      <c r="E285" s="554"/>
      <c r="F285" s="554"/>
      <c r="G285" s="554"/>
      <c r="H285" s="554"/>
      <c r="I285" s="554"/>
      <c r="J285" s="554"/>
      <c r="K285" s="554"/>
      <c r="L285" s="554"/>
      <c r="M285" s="554"/>
      <c r="N285" s="554"/>
      <c r="O285" s="554"/>
      <c r="P285" s="554"/>
      <c r="Q285" s="554"/>
      <c r="R285" s="553"/>
    </row>
    <row r="286" spans="2:18" x14ac:dyDescent="0.25">
      <c r="B286" s="151"/>
      <c r="C286" s="143"/>
      <c r="D286" s="143"/>
      <c r="E286" s="554"/>
      <c r="F286" s="554"/>
      <c r="G286" s="554"/>
      <c r="H286" s="554"/>
      <c r="I286" s="554"/>
      <c r="J286" s="554"/>
      <c r="K286" s="554"/>
      <c r="L286" s="554"/>
      <c r="M286" s="554"/>
      <c r="N286" s="554"/>
      <c r="O286" s="554"/>
      <c r="P286" s="554"/>
      <c r="Q286" s="554"/>
      <c r="R286" s="553"/>
    </row>
    <row r="287" spans="2:18" x14ac:dyDescent="0.25">
      <c r="B287" s="151"/>
      <c r="C287" s="143"/>
      <c r="D287" s="143"/>
      <c r="E287" s="554"/>
      <c r="F287" s="554"/>
      <c r="G287" s="554"/>
      <c r="H287" s="554"/>
      <c r="I287" s="554"/>
      <c r="J287" s="554"/>
      <c r="K287" s="554"/>
      <c r="L287" s="554"/>
      <c r="M287" s="554"/>
      <c r="N287" s="554"/>
      <c r="O287" s="554"/>
      <c r="P287" s="554"/>
      <c r="Q287" s="554"/>
      <c r="R287" s="553"/>
    </row>
    <row r="288" spans="2:18" x14ac:dyDescent="0.25">
      <c r="B288" s="151"/>
      <c r="C288" s="143"/>
      <c r="D288" s="143"/>
      <c r="E288" s="554"/>
      <c r="F288" s="554"/>
      <c r="G288" s="554"/>
      <c r="H288" s="554"/>
      <c r="I288" s="554"/>
      <c r="J288" s="554"/>
      <c r="K288" s="554"/>
      <c r="L288" s="554"/>
      <c r="M288" s="554"/>
      <c r="N288" s="554"/>
      <c r="O288" s="554"/>
      <c r="P288" s="554"/>
      <c r="Q288" s="554"/>
      <c r="R288" s="553"/>
    </row>
    <row r="289" spans="2:18" x14ac:dyDescent="0.25">
      <c r="B289" s="151"/>
      <c r="C289" s="143"/>
      <c r="D289" s="143"/>
      <c r="E289" s="554"/>
      <c r="F289" s="554"/>
      <c r="G289" s="554"/>
      <c r="H289" s="554"/>
      <c r="I289" s="554"/>
      <c r="J289" s="554"/>
      <c r="K289" s="554"/>
      <c r="L289" s="554"/>
      <c r="M289" s="554"/>
      <c r="N289" s="554"/>
      <c r="O289" s="554"/>
      <c r="P289" s="554"/>
      <c r="Q289" s="554"/>
      <c r="R289" s="553"/>
    </row>
    <row r="290" spans="2:18" x14ac:dyDescent="0.25">
      <c r="B290" s="151"/>
      <c r="C290" s="143"/>
      <c r="D290" s="143"/>
      <c r="E290" s="554"/>
      <c r="F290" s="554"/>
      <c r="G290" s="554"/>
      <c r="H290" s="554"/>
      <c r="I290" s="554"/>
      <c r="J290" s="554"/>
      <c r="K290" s="554"/>
      <c r="L290" s="554"/>
      <c r="M290" s="554"/>
      <c r="N290" s="554"/>
      <c r="O290" s="554"/>
      <c r="P290" s="554"/>
      <c r="Q290" s="554"/>
      <c r="R290" s="553"/>
    </row>
    <row r="291" spans="2:18" x14ac:dyDescent="0.25">
      <c r="B291" s="151"/>
      <c r="C291" s="143"/>
      <c r="D291" s="143"/>
      <c r="E291" s="554"/>
      <c r="F291" s="554"/>
      <c r="G291" s="554"/>
      <c r="H291" s="554"/>
      <c r="I291" s="554"/>
      <c r="J291" s="554"/>
      <c r="K291" s="554"/>
      <c r="L291" s="554"/>
      <c r="M291" s="554"/>
      <c r="N291" s="554"/>
      <c r="O291" s="554"/>
      <c r="P291" s="554"/>
      <c r="Q291" s="554"/>
      <c r="R291" s="553"/>
    </row>
    <row r="292" spans="2:18" x14ac:dyDescent="0.25">
      <c r="B292" s="151"/>
      <c r="C292" s="143"/>
      <c r="D292" s="143"/>
      <c r="E292" s="554"/>
      <c r="F292" s="554"/>
      <c r="G292" s="554"/>
      <c r="H292" s="554"/>
      <c r="I292" s="554"/>
      <c r="J292" s="554"/>
      <c r="K292" s="554"/>
      <c r="L292" s="554"/>
      <c r="M292" s="554"/>
      <c r="N292" s="554"/>
      <c r="O292" s="554"/>
      <c r="P292" s="554"/>
      <c r="Q292" s="554"/>
      <c r="R292" s="553"/>
    </row>
    <row r="293" spans="2:18" x14ac:dyDescent="0.25">
      <c r="B293" s="151"/>
      <c r="C293" s="143"/>
      <c r="D293" s="143"/>
      <c r="E293" s="554"/>
      <c r="F293" s="554"/>
      <c r="G293" s="554"/>
      <c r="H293" s="554"/>
      <c r="I293" s="554"/>
      <c r="J293" s="554"/>
      <c r="K293" s="554"/>
      <c r="L293" s="554"/>
      <c r="M293" s="554"/>
      <c r="N293" s="554"/>
      <c r="O293" s="554"/>
      <c r="P293" s="554"/>
      <c r="Q293" s="554"/>
      <c r="R293" s="553"/>
    </row>
    <row r="294" spans="2:18" x14ac:dyDescent="0.25">
      <c r="B294" s="151"/>
      <c r="C294" s="143"/>
      <c r="D294" s="143"/>
      <c r="E294" s="554"/>
      <c r="F294" s="554"/>
      <c r="G294" s="554"/>
      <c r="H294" s="554"/>
      <c r="I294" s="554"/>
      <c r="J294" s="554"/>
      <c r="K294" s="554"/>
      <c r="L294" s="554"/>
      <c r="M294" s="554"/>
      <c r="N294" s="554"/>
      <c r="O294" s="554"/>
      <c r="P294" s="554"/>
      <c r="Q294" s="554"/>
      <c r="R294" s="553"/>
    </row>
    <row r="295" spans="2:18" x14ac:dyDescent="0.25">
      <c r="B295" s="151"/>
      <c r="C295" s="143"/>
      <c r="D295" s="143"/>
      <c r="E295" s="554"/>
      <c r="F295" s="554"/>
      <c r="G295" s="554"/>
      <c r="H295" s="554"/>
      <c r="I295" s="554"/>
      <c r="J295" s="554"/>
      <c r="K295" s="554"/>
      <c r="L295" s="554"/>
      <c r="M295" s="554"/>
      <c r="N295" s="554"/>
      <c r="O295" s="554"/>
      <c r="P295" s="554"/>
      <c r="Q295" s="554"/>
      <c r="R295" s="553"/>
    </row>
    <row r="296" spans="2:18" x14ac:dyDescent="0.25">
      <c r="B296" s="151"/>
      <c r="C296" s="143"/>
      <c r="D296" s="143"/>
      <c r="E296" s="554"/>
      <c r="F296" s="554"/>
      <c r="G296" s="554"/>
      <c r="H296" s="554"/>
      <c r="I296" s="554"/>
      <c r="J296" s="554"/>
      <c r="K296" s="554"/>
      <c r="L296" s="554"/>
      <c r="M296" s="554"/>
      <c r="N296" s="554"/>
      <c r="O296" s="554"/>
      <c r="P296" s="554"/>
      <c r="Q296" s="554"/>
      <c r="R296" s="553"/>
    </row>
    <row r="297" spans="2:18" x14ac:dyDescent="0.25">
      <c r="B297" s="151"/>
      <c r="C297" s="143"/>
      <c r="D297" s="143"/>
      <c r="E297" s="554"/>
      <c r="F297" s="554"/>
      <c r="G297" s="554"/>
      <c r="H297" s="554"/>
      <c r="I297" s="554"/>
      <c r="J297" s="554"/>
      <c r="K297" s="554"/>
      <c r="L297" s="554"/>
      <c r="M297" s="554"/>
      <c r="N297" s="554"/>
      <c r="O297" s="554"/>
      <c r="P297" s="554"/>
      <c r="Q297" s="554"/>
      <c r="R297" s="553"/>
    </row>
    <row r="298" spans="2:18" x14ac:dyDescent="0.25">
      <c r="B298" s="151"/>
      <c r="C298" s="143"/>
      <c r="D298" s="143"/>
      <c r="E298" s="554"/>
      <c r="F298" s="554"/>
      <c r="G298" s="554"/>
      <c r="H298" s="554"/>
      <c r="I298" s="554"/>
      <c r="J298" s="554"/>
      <c r="K298" s="554"/>
      <c r="L298" s="554"/>
      <c r="M298" s="554"/>
      <c r="N298" s="554"/>
      <c r="O298" s="554"/>
      <c r="P298" s="554"/>
      <c r="Q298" s="554"/>
      <c r="R298" s="553"/>
    </row>
    <row r="299" spans="2:18" x14ac:dyDescent="0.25">
      <c r="B299" s="151"/>
      <c r="C299" s="143"/>
      <c r="D299" s="143"/>
      <c r="E299" s="554"/>
      <c r="F299" s="554"/>
      <c r="G299" s="554"/>
      <c r="H299" s="554"/>
      <c r="I299" s="554"/>
      <c r="J299" s="554"/>
      <c r="K299" s="554"/>
      <c r="L299" s="554"/>
      <c r="M299" s="554"/>
      <c r="N299" s="554"/>
      <c r="O299" s="554"/>
      <c r="P299" s="554"/>
      <c r="Q299" s="554"/>
      <c r="R299" s="553"/>
    </row>
    <row r="300" spans="2:18" x14ac:dyDescent="0.25">
      <c r="B300" s="151"/>
      <c r="C300" s="143"/>
      <c r="D300" s="143"/>
      <c r="E300" s="554"/>
      <c r="F300" s="554"/>
      <c r="G300" s="554"/>
      <c r="H300" s="554"/>
      <c r="I300" s="554"/>
      <c r="J300" s="554"/>
      <c r="K300" s="554"/>
      <c r="L300" s="554"/>
      <c r="M300" s="554"/>
      <c r="N300" s="554"/>
      <c r="O300" s="554"/>
      <c r="P300" s="554"/>
      <c r="Q300" s="554"/>
      <c r="R300" s="553"/>
    </row>
    <row r="301" spans="2:18" x14ac:dyDescent="0.25">
      <c r="B301" s="151"/>
      <c r="C301" s="143"/>
      <c r="D301" s="143"/>
      <c r="E301" s="554"/>
      <c r="F301" s="554"/>
      <c r="G301" s="554"/>
      <c r="H301" s="554"/>
      <c r="I301" s="554"/>
      <c r="J301" s="554"/>
      <c r="K301" s="554"/>
      <c r="L301" s="554"/>
      <c r="M301" s="554"/>
      <c r="N301" s="554"/>
      <c r="O301" s="554"/>
      <c r="P301" s="554"/>
      <c r="Q301" s="554"/>
      <c r="R301" s="553"/>
    </row>
    <row r="302" spans="2:18" x14ac:dyDescent="0.25">
      <c r="B302" s="151"/>
      <c r="C302" s="143"/>
      <c r="D302" s="143"/>
      <c r="E302" s="554"/>
      <c r="F302" s="554"/>
      <c r="G302" s="554"/>
      <c r="H302" s="554"/>
      <c r="I302" s="554"/>
      <c r="J302" s="554"/>
      <c r="K302" s="554"/>
      <c r="L302" s="554"/>
      <c r="M302" s="554"/>
      <c r="N302" s="554"/>
      <c r="O302" s="554"/>
      <c r="P302" s="554"/>
      <c r="Q302" s="554"/>
      <c r="R302" s="553"/>
    </row>
    <row r="303" spans="2:18" x14ac:dyDescent="0.25">
      <c r="B303" s="151"/>
      <c r="C303" s="143"/>
      <c r="D303" s="143"/>
      <c r="E303" s="554"/>
      <c r="F303" s="554"/>
      <c r="G303" s="554"/>
      <c r="H303" s="554"/>
      <c r="I303" s="554"/>
      <c r="J303" s="554"/>
      <c r="K303" s="554"/>
      <c r="L303" s="554"/>
      <c r="M303" s="554"/>
      <c r="N303" s="554"/>
      <c r="O303" s="554"/>
      <c r="P303" s="554"/>
      <c r="Q303" s="554"/>
      <c r="R303" s="553"/>
    </row>
    <row r="304" spans="2:18" x14ac:dyDescent="0.25">
      <c r="B304" s="151"/>
      <c r="C304" s="143"/>
      <c r="D304" s="143"/>
      <c r="E304" s="554"/>
      <c r="F304" s="554"/>
      <c r="G304" s="554"/>
      <c r="H304" s="554"/>
      <c r="I304" s="554"/>
      <c r="J304" s="554"/>
      <c r="K304" s="554"/>
      <c r="L304" s="554"/>
      <c r="M304" s="554"/>
      <c r="N304" s="554"/>
      <c r="O304" s="554"/>
      <c r="P304" s="554"/>
      <c r="Q304" s="554"/>
      <c r="R304" s="553"/>
    </row>
    <row r="305" spans="2:18" x14ac:dyDescent="0.25">
      <c r="B305" s="151"/>
      <c r="C305" s="143"/>
      <c r="D305" s="143"/>
      <c r="E305" s="554"/>
      <c r="F305" s="554"/>
      <c r="G305" s="554"/>
      <c r="H305" s="554"/>
      <c r="I305" s="554"/>
      <c r="J305" s="554"/>
      <c r="K305" s="554"/>
      <c r="L305" s="554"/>
      <c r="M305" s="554"/>
      <c r="N305" s="554"/>
      <c r="O305" s="554"/>
      <c r="P305" s="554"/>
      <c r="Q305" s="554"/>
      <c r="R305" s="553"/>
    </row>
    <row r="306" spans="2:18" x14ac:dyDescent="0.25">
      <c r="B306" s="151"/>
      <c r="C306" s="143"/>
      <c r="D306" s="143"/>
      <c r="E306" s="554"/>
      <c r="F306" s="554"/>
      <c r="G306" s="554"/>
      <c r="H306" s="554"/>
      <c r="I306" s="554"/>
      <c r="J306" s="554"/>
      <c r="K306" s="554"/>
      <c r="L306" s="554"/>
      <c r="M306" s="554"/>
      <c r="N306" s="554"/>
      <c r="O306" s="554"/>
      <c r="P306" s="554"/>
      <c r="Q306" s="554"/>
      <c r="R306" s="553"/>
    </row>
    <row r="307" spans="2:18" x14ac:dyDescent="0.25">
      <c r="B307" s="151"/>
      <c r="C307" s="143"/>
      <c r="D307" s="143"/>
      <c r="E307" s="554"/>
      <c r="F307" s="554"/>
      <c r="G307" s="554"/>
      <c r="H307" s="554"/>
      <c r="I307" s="554"/>
      <c r="J307" s="554"/>
      <c r="K307" s="554"/>
      <c r="L307" s="554"/>
      <c r="M307" s="554"/>
      <c r="N307" s="554"/>
      <c r="O307" s="554"/>
      <c r="P307" s="554"/>
      <c r="Q307" s="554"/>
      <c r="R307" s="553"/>
    </row>
    <row r="308" spans="2:18" x14ac:dyDescent="0.25">
      <c r="B308" s="151"/>
      <c r="C308" s="143"/>
      <c r="D308" s="143"/>
      <c r="E308" s="554"/>
      <c r="F308" s="554"/>
      <c r="G308" s="554"/>
      <c r="H308" s="554"/>
      <c r="I308" s="554"/>
      <c r="J308" s="554"/>
      <c r="K308" s="554"/>
      <c r="L308" s="554"/>
      <c r="M308" s="554"/>
      <c r="N308" s="554"/>
      <c r="O308" s="554"/>
      <c r="P308" s="554"/>
      <c r="Q308" s="554"/>
      <c r="R308" s="553"/>
    </row>
    <row r="309" spans="2:18" x14ac:dyDescent="0.25">
      <c r="B309" s="151"/>
      <c r="C309" s="143"/>
      <c r="D309" s="143"/>
      <c r="E309" s="554"/>
      <c r="F309" s="554"/>
      <c r="G309" s="554"/>
      <c r="H309" s="554"/>
      <c r="I309" s="554"/>
      <c r="J309" s="554"/>
      <c r="K309" s="554"/>
      <c r="L309" s="554"/>
      <c r="M309" s="554"/>
      <c r="N309" s="554"/>
      <c r="O309" s="554"/>
      <c r="P309" s="554"/>
      <c r="Q309" s="554"/>
      <c r="R309" s="553"/>
    </row>
    <row r="310" spans="2:18" x14ac:dyDescent="0.25">
      <c r="B310" s="151"/>
      <c r="C310" s="143"/>
      <c r="D310" s="143"/>
      <c r="E310" s="554"/>
      <c r="F310" s="554"/>
      <c r="G310" s="554"/>
      <c r="H310" s="554"/>
      <c r="I310" s="554"/>
      <c r="J310" s="554"/>
      <c r="K310" s="554"/>
      <c r="L310" s="554"/>
      <c r="M310" s="554"/>
      <c r="N310" s="554"/>
      <c r="O310" s="554"/>
      <c r="P310" s="554"/>
      <c r="Q310" s="554"/>
      <c r="R310" s="553"/>
    </row>
    <row r="311" spans="2:18" x14ac:dyDescent="0.25">
      <c r="B311" s="151"/>
      <c r="C311" s="143"/>
      <c r="D311" s="143"/>
      <c r="E311" s="554"/>
      <c r="F311" s="554"/>
      <c r="G311" s="554"/>
      <c r="H311" s="554"/>
      <c r="I311" s="554"/>
      <c r="J311" s="554"/>
      <c r="K311" s="554"/>
      <c r="L311" s="554"/>
      <c r="M311" s="554"/>
      <c r="N311" s="554"/>
      <c r="O311" s="554"/>
      <c r="P311" s="554"/>
      <c r="Q311" s="554"/>
      <c r="R311" s="553"/>
    </row>
    <row r="312" spans="2:18" x14ac:dyDescent="0.25">
      <c r="B312" s="151"/>
      <c r="C312" s="143"/>
      <c r="D312" s="143"/>
      <c r="E312" s="554"/>
      <c r="F312" s="554"/>
      <c r="G312" s="554"/>
      <c r="H312" s="554"/>
      <c r="I312" s="554"/>
      <c r="J312" s="554"/>
      <c r="K312" s="554"/>
      <c r="L312" s="554"/>
      <c r="M312" s="554"/>
      <c r="N312" s="554"/>
      <c r="O312" s="554"/>
      <c r="P312" s="554"/>
      <c r="Q312" s="554"/>
      <c r="R312" s="553"/>
    </row>
    <row r="313" spans="2:18" x14ac:dyDescent="0.25">
      <c r="B313" s="151"/>
      <c r="C313" s="143"/>
      <c r="D313" s="143"/>
      <c r="E313" s="554"/>
      <c r="F313" s="554"/>
      <c r="G313" s="554"/>
      <c r="H313" s="554"/>
      <c r="I313" s="554"/>
      <c r="J313" s="554"/>
      <c r="K313" s="554"/>
      <c r="L313" s="554"/>
      <c r="M313" s="554"/>
      <c r="N313" s="554"/>
      <c r="O313" s="554"/>
      <c r="P313" s="554"/>
      <c r="Q313" s="554"/>
      <c r="R313" s="553"/>
    </row>
    <row r="314" spans="2:18" x14ac:dyDescent="0.25">
      <c r="B314" s="151"/>
      <c r="C314" s="143"/>
      <c r="D314" s="143"/>
      <c r="E314" s="554"/>
      <c r="F314" s="554"/>
      <c r="G314" s="554"/>
      <c r="H314" s="554"/>
      <c r="I314" s="554"/>
      <c r="J314" s="554"/>
      <c r="K314" s="554"/>
      <c r="L314" s="554"/>
      <c r="M314" s="554"/>
      <c r="N314" s="554"/>
      <c r="O314" s="554"/>
      <c r="P314" s="554"/>
      <c r="Q314" s="554"/>
      <c r="R314" s="553"/>
    </row>
    <row r="315" spans="2:18" x14ac:dyDescent="0.25">
      <c r="B315" s="151"/>
      <c r="C315" s="143"/>
      <c r="D315" s="143"/>
      <c r="E315" s="554"/>
      <c r="F315" s="554"/>
      <c r="G315" s="554"/>
      <c r="H315" s="554"/>
      <c r="I315" s="554"/>
      <c r="J315" s="554"/>
      <c r="K315" s="554"/>
      <c r="L315" s="554"/>
      <c r="M315" s="554"/>
      <c r="N315" s="554"/>
      <c r="O315" s="554"/>
      <c r="P315" s="554"/>
      <c r="Q315" s="554"/>
      <c r="R315" s="553"/>
    </row>
    <row r="316" spans="2:18" x14ac:dyDescent="0.25">
      <c r="B316" s="151"/>
      <c r="C316" s="143"/>
      <c r="D316" s="143"/>
      <c r="E316" s="554"/>
      <c r="F316" s="554"/>
      <c r="G316" s="554"/>
      <c r="H316" s="554"/>
      <c r="I316" s="554"/>
      <c r="J316" s="554"/>
      <c r="K316" s="554"/>
      <c r="L316" s="554"/>
      <c r="M316" s="554"/>
      <c r="N316" s="554"/>
      <c r="O316" s="554"/>
      <c r="P316" s="554"/>
      <c r="Q316" s="554"/>
      <c r="R316" s="553"/>
    </row>
    <row r="317" spans="2:18" x14ac:dyDescent="0.25">
      <c r="B317" s="151"/>
      <c r="C317" s="143"/>
      <c r="D317" s="143"/>
      <c r="E317" s="554"/>
      <c r="F317" s="554"/>
      <c r="G317" s="554"/>
      <c r="H317" s="554"/>
      <c r="I317" s="554"/>
      <c r="J317" s="554"/>
      <c r="K317" s="554"/>
      <c r="L317" s="554"/>
      <c r="M317" s="554"/>
      <c r="N317" s="554"/>
      <c r="O317" s="554"/>
      <c r="P317" s="554"/>
      <c r="Q317" s="554"/>
      <c r="R317" s="553"/>
    </row>
    <row r="318" spans="2:18" x14ac:dyDescent="0.25">
      <c r="B318" s="151"/>
      <c r="C318" s="143"/>
      <c r="D318" s="143"/>
      <c r="E318" s="554"/>
      <c r="F318" s="554"/>
      <c r="G318" s="554"/>
      <c r="H318" s="554"/>
      <c r="I318" s="554"/>
      <c r="J318" s="554"/>
      <c r="K318" s="554"/>
      <c r="L318" s="554"/>
      <c r="M318" s="554"/>
      <c r="N318" s="554"/>
      <c r="O318" s="554"/>
      <c r="P318" s="554"/>
      <c r="Q318" s="554"/>
      <c r="R318" s="553"/>
    </row>
    <row r="319" spans="2:18" x14ac:dyDescent="0.25">
      <c r="B319" s="151"/>
      <c r="C319" s="143"/>
      <c r="D319" s="143"/>
      <c r="E319" s="554"/>
      <c r="F319" s="554"/>
      <c r="G319" s="554"/>
      <c r="H319" s="554"/>
      <c r="I319" s="554"/>
      <c r="J319" s="554"/>
      <c r="K319" s="554"/>
      <c r="L319" s="554"/>
      <c r="M319" s="554"/>
      <c r="N319" s="554"/>
      <c r="O319" s="554"/>
      <c r="P319" s="554"/>
      <c r="Q319" s="554"/>
      <c r="R319" s="553"/>
    </row>
    <row r="320" spans="2:18" x14ac:dyDescent="0.25">
      <c r="B320" s="151"/>
      <c r="C320" s="143"/>
      <c r="D320" s="143"/>
      <c r="E320" s="554"/>
      <c r="F320" s="554"/>
      <c r="G320" s="554"/>
      <c r="H320" s="554"/>
      <c r="I320" s="554"/>
      <c r="J320" s="554"/>
      <c r="K320" s="554"/>
      <c r="L320" s="554"/>
      <c r="M320" s="554"/>
      <c r="N320" s="554"/>
      <c r="O320" s="554"/>
      <c r="P320" s="554"/>
      <c r="Q320" s="554"/>
      <c r="R320" s="553"/>
    </row>
    <row r="321" spans="2:18" x14ac:dyDescent="0.25">
      <c r="B321" s="151"/>
      <c r="C321" s="143"/>
      <c r="D321" s="143"/>
      <c r="E321" s="554"/>
      <c r="F321" s="554"/>
      <c r="G321" s="554"/>
      <c r="H321" s="554"/>
      <c r="I321" s="554"/>
      <c r="J321" s="554"/>
      <c r="K321" s="554"/>
      <c r="L321" s="554"/>
      <c r="M321" s="554"/>
      <c r="N321" s="554"/>
      <c r="O321" s="554"/>
      <c r="P321" s="554"/>
      <c r="Q321" s="554"/>
      <c r="R321" s="553"/>
    </row>
    <row r="322" spans="2:18" x14ac:dyDescent="0.25">
      <c r="B322" s="151"/>
      <c r="C322" s="143"/>
      <c r="D322" s="143"/>
      <c r="E322" s="554"/>
      <c r="F322" s="554"/>
      <c r="G322" s="554"/>
      <c r="H322" s="554"/>
      <c r="I322" s="554"/>
      <c r="J322" s="554"/>
      <c r="K322" s="554"/>
      <c r="L322" s="554"/>
      <c r="M322" s="554"/>
      <c r="N322" s="554"/>
      <c r="O322" s="554"/>
      <c r="P322" s="554"/>
      <c r="Q322" s="554"/>
      <c r="R322" s="553"/>
    </row>
    <row r="323" spans="2:18" x14ac:dyDescent="0.25">
      <c r="B323" s="151"/>
      <c r="C323" s="143"/>
      <c r="D323" s="143"/>
      <c r="E323" s="554"/>
      <c r="F323" s="554"/>
      <c r="G323" s="554"/>
      <c r="H323" s="554"/>
      <c r="I323" s="554"/>
      <c r="J323" s="554"/>
      <c r="K323" s="554"/>
      <c r="L323" s="554"/>
      <c r="M323" s="554"/>
      <c r="N323" s="554"/>
      <c r="O323" s="554"/>
      <c r="P323" s="554"/>
      <c r="Q323" s="554"/>
      <c r="R323" s="553"/>
    </row>
    <row r="324" spans="2:18" x14ac:dyDescent="0.25">
      <c r="B324" s="151"/>
      <c r="C324" s="143"/>
      <c r="D324" s="143"/>
      <c r="E324" s="554"/>
      <c r="F324" s="554"/>
      <c r="G324" s="554"/>
      <c r="H324" s="554"/>
      <c r="I324" s="554"/>
      <c r="J324" s="554"/>
      <c r="K324" s="554"/>
      <c r="L324" s="554"/>
      <c r="M324" s="554"/>
      <c r="N324" s="554"/>
      <c r="O324" s="554"/>
      <c r="P324" s="554"/>
      <c r="Q324" s="554"/>
      <c r="R324" s="553"/>
    </row>
    <row r="325" spans="2:18" x14ac:dyDescent="0.25">
      <c r="B325" s="151"/>
      <c r="C325" s="143"/>
      <c r="D325" s="143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3"/>
    </row>
    <row r="326" spans="2:18" x14ac:dyDescent="0.25">
      <c r="B326" s="151"/>
      <c r="C326" s="143"/>
      <c r="D326" s="143"/>
      <c r="E326" s="554"/>
      <c r="F326" s="554"/>
      <c r="G326" s="554"/>
      <c r="H326" s="554"/>
      <c r="I326" s="554"/>
      <c r="J326" s="554"/>
      <c r="K326" s="554"/>
      <c r="L326" s="554"/>
      <c r="M326" s="554"/>
      <c r="N326" s="554"/>
      <c r="O326" s="554"/>
      <c r="P326" s="554"/>
      <c r="Q326" s="554"/>
      <c r="R326" s="553"/>
    </row>
    <row r="327" spans="2:18" x14ac:dyDescent="0.25">
      <c r="B327" s="151"/>
      <c r="C327" s="143"/>
      <c r="D327" s="143"/>
      <c r="E327" s="554"/>
      <c r="F327" s="554"/>
      <c r="G327" s="554"/>
      <c r="H327" s="554"/>
      <c r="I327" s="554"/>
      <c r="J327" s="554"/>
      <c r="K327" s="554"/>
      <c r="L327" s="554"/>
      <c r="M327" s="554"/>
      <c r="N327" s="554"/>
      <c r="O327" s="554"/>
      <c r="P327" s="554"/>
      <c r="Q327" s="554"/>
      <c r="R327" s="553"/>
    </row>
    <row r="328" spans="2:18" x14ac:dyDescent="0.25">
      <c r="B328" s="151"/>
      <c r="C328" s="143"/>
      <c r="D328" s="143"/>
      <c r="E328" s="554"/>
      <c r="F328" s="554"/>
      <c r="G328" s="554"/>
      <c r="H328" s="554"/>
      <c r="I328" s="554"/>
      <c r="J328" s="554"/>
      <c r="K328" s="554"/>
      <c r="L328" s="554"/>
      <c r="M328" s="554"/>
      <c r="N328" s="554"/>
      <c r="O328" s="554"/>
      <c r="P328" s="554"/>
      <c r="Q328" s="554"/>
      <c r="R328" s="553"/>
    </row>
    <row r="329" spans="2:18" x14ac:dyDescent="0.25">
      <c r="B329" s="151"/>
      <c r="C329" s="143"/>
      <c r="D329" s="143"/>
      <c r="E329" s="554"/>
      <c r="F329" s="554"/>
      <c r="G329" s="554"/>
      <c r="H329" s="554"/>
      <c r="I329" s="554"/>
      <c r="J329" s="554"/>
      <c r="K329" s="554"/>
      <c r="L329" s="554"/>
      <c r="M329" s="554"/>
      <c r="N329" s="554"/>
      <c r="O329" s="554"/>
      <c r="P329" s="554"/>
      <c r="Q329" s="554"/>
      <c r="R329" s="553"/>
    </row>
    <row r="330" spans="2:18" x14ac:dyDescent="0.25">
      <c r="B330" s="151"/>
      <c r="C330" s="143"/>
      <c r="D330" s="143"/>
      <c r="E330" s="554"/>
      <c r="F330" s="554"/>
      <c r="G330" s="554"/>
      <c r="H330" s="554"/>
      <c r="I330" s="554"/>
      <c r="J330" s="554"/>
      <c r="K330" s="554"/>
      <c r="L330" s="554"/>
      <c r="M330" s="554"/>
      <c r="N330" s="554"/>
      <c r="O330" s="554"/>
      <c r="P330" s="554"/>
      <c r="Q330" s="554"/>
      <c r="R330" s="553"/>
    </row>
    <row r="331" spans="2:18" x14ac:dyDescent="0.25">
      <c r="B331" s="151"/>
      <c r="C331" s="143"/>
      <c r="D331" s="143"/>
      <c r="E331" s="554"/>
      <c r="F331" s="554"/>
      <c r="G331" s="554"/>
      <c r="H331" s="554"/>
      <c r="I331" s="554"/>
      <c r="J331" s="554"/>
      <c r="K331" s="554"/>
      <c r="L331" s="554"/>
      <c r="M331" s="554"/>
      <c r="N331" s="554"/>
      <c r="O331" s="554"/>
      <c r="P331" s="554"/>
      <c r="Q331" s="554"/>
      <c r="R331" s="553"/>
    </row>
    <row r="332" spans="2:18" x14ac:dyDescent="0.25">
      <c r="B332" s="151"/>
      <c r="C332" s="143"/>
      <c r="D332" s="143"/>
      <c r="E332" s="554"/>
      <c r="F332" s="554"/>
      <c r="G332" s="554"/>
      <c r="H332" s="554"/>
      <c r="I332" s="554"/>
      <c r="J332" s="554"/>
      <c r="K332" s="554"/>
      <c r="L332" s="554"/>
      <c r="M332" s="554"/>
      <c r="N332" s="554"/>
      <c r="O332" s="554"/>
      <c r="P332" s="554"/>
      <c r="Q332" s="554"/>
      <c r="R332" s="553"/>
    </row>
    <row r="333" spans="2:18" x14ac:dyDescent="0.25">
      <c r="B333" s="151"/>
      <c r="C333" s="143"/>
      <c r="D333" s="143"/>
      <c r="E333" s="554"/>
      <c r="F333" s="554"/>
      <c r="G333" s="554"/>
      <c r="H333" s="554"/>
      <c r="I333" s="554"/>
      <c r="J333" s="554"/>
      <c r="K333" s="554"/>
      <c r="L333" s="554"/>
      <c r="M333" s="554"/>
      <c r="N333" s="554"/>
      <c r="O333" s="554"/>
      <c r="P333" s="554"/>
      <c r="Q333" s="554"/>
      <c r="R333" s="553"/>
    </row>
    <row r="334" spans="2:18" x14ac:dyDescent="0.25">
      <c r="B334" s="151"/>
      <c r="C334" s="143"/>
      <c r="D334" s="143"/>
      <c r="E334" s="554"/>
      <c r="F334" s="554"/>
      <c r="G334" s="554"/>
      <c r="H334" s="554"/>
      <c r="I334" s="554"/>
      <c r="J334" s="554"/>
      <c r="K334" s="554"/>
      <c r="L334" s="554"/>
      <c r="M334" s="554"/>
      <c r="N334" s="554"/>
      <c r="O334" s="554"/>
      <c r="P334" s="554"/>
      <c r="Q334" s="554"/>
      <c r="R334" s="553"/>
    </row>
    <row r="335" spans="2:18" x14ac:dyDescent="0.25">
      <c r="B335" s="151"/>
      <c r="C335" s="143"/>
      <c r="D335" s="143"/>
      <c r="E335" s="554"/>
      <c r="F335" s="554"/>
      <c r="G335" s="554"/>
      <c r="H335" s="554"/>
      <c r="I335" s="554"/>
      <c r="J335" s="554"/>
      <c r="K335" s="554"/>
      <c r="L335" s="554"/>
      <c r="M335" s="554"/>
      <c r="N335" s="554"/>
      <c r="O335" s="554"/>
      <c r="P335" s="554"/>
      <c r="Q335" s="554"/>
      <c r="R335" s="553"/>
    </row>
    <row r="336" spans="2:18" x14ac:dyDescent="0.25">
      <c r="B336" s="151"/>
      <c r="C336" s="143"/>
      <c r="D336" s="143"/>
      <c r="E336" s="554"/>
      <c r="F336" s="554"/>
      <c r="G336" s="554"/>
      <c r="H336" s="554"/>
      <c r="I336" s="554"/>
      <c r="J336" s="554"/>
      <c r="K336" s="554"/>
      <c r="L336" s="554"/>
      <c r="M336" s="554"/>
      <c r="N336" s="554"/>
      <c r="O336" s="554"/>
      <c r="P336" s="554"/>
      <c r="Q336" s="554"/>
      <c r="R336" s="553"/>
    </row>
    <row r="337" spans="2:18" x14ac:dyDescent="0.25">
      <c r="B337" s="151"/>
      <c r="C337" s="143"/>
      <c r="D337" s="143"/>
      <c r="E337" s="554"/>
      <c r="F337" s="554"/>
      <c r="G337" s="554"/>
      <c r="H337" s="554"/>
      <c r="I337" s="554"/>
      <c r="J337" s="554"/>
      <c r="K337" s="554"/>
      <c r="L337" s="554"/>
      <c r="M337" s="554"/>
      <c r="N337" s="554"/>
      <c r="O337" s="554"/>
      <c r="P337" s="554"/>
      <c r="Q337" s="554"/>
      <c r="R337" s="553"/>
    </row>
    <row r="338" spans="2:18" x14ac:dyDescent="0.25">
      <c r="B338" s="151"/>
      <c r="C338" s="143"/>
      <c r="D338" s="143"/>
      <c r="E338" s="554"/>
      <c r="F338" s="554"/>
      <c r="G338" s="554"/>
      <c r="H338" s="554"/>
      <c r="I338" s="554"/>
      <c r="J338" s="554"/>
      <c r="K338" s="554"/>
      <c r="L338" s="554"/>
      <c r="M338" s="554"/>
      <c r="N338" s="554"/>
      <c r="O338" s="554"/>
      <c r="P338" s="554"/>
      <c r="Q338" s="554"/>
      <c r="R338" s="553"/>
    </row>
    <row r="339" spans="2:18" x14ac:dyDescent="0.25">
      <c r="B339" s="151"/>
      <c r="C339" s="143"/>
      <c r="D339" s="143"/>
      <c r="E339" s="554"/>
      <c r="F339" s="554"/>
      <c r="G339" s="554"/>
      <c r="H339" s="554"/>
      <c r="I339" s="554"/>
      <c r="J339" s="554"/>
      <c r="K339" s="554"/>
      <c r="L339" s="554"/>
      <c r="M339" s="554"/>
      <c r="N339" s="554"/>
      <c r="O339" s="554"/>
      <c r="P339" s="554"/>
      <c r="Q339" s="554"/>
      <c r="R339" s="553"/>
    </row>
    <row r="340" spans="2:18" x14ac:dyDescent="0.25">
      <c r="B340" s="151"/>
      <c r="C340" s="143"/>
      <c r="D340" s="143"/>
      <c r="E340" s="554"/>
      <c r="F340" s="554"/>
      <c r="G340" s="554"/>
      <c r="H340" s="554"/>
      <c r="I340" s="554"/>
      <c r="J340" s="554"/>
      <c r="K340" s="554"/>
      <c r="L340" s="554"/>
      <c r="M340" s="554"/>
      <c r="N340" s="554"/>
      <c r="O340" s="554"/>
      <c r="P340" s="554"/>
      <c r="Q340" s="554"/>
      <c r="R340" s="553"/>
    </row>
    <row r="341" spans="2:18" x14ac:dyDescent="0.25">
      <c r="B341" s="151"/>
      <c r="C341" s="143"/>
      <c r="D341" s="143"/>
      <c r="E341" s="554"/>
      <c r="F341" s="554"/>
      <c r="G341" s="554"/>
      <c r="H341" s="554"/>
      <c r="I341" s="554"/>
      <c r="J341" s="554"/>
      <c r="K341" s="554"/>
      <c r="L341" s="554"/>
      <c r="M341" s="554"/>
      <c r="N341" s="554"/>
      <c r="O341" s="554"/>
      <c r="P341" s="554"/>
      <c r="Q341" s="554"/>
      <c r="R341" s="553"/>
    </row>
    <row r="342" spans="2:18" x14ac:dyDescent="0.25">
      <c r="B342" s="151"/>
      <c r="C342" s="143"/>
      <c r="D342" s="143"/>
      <c r="E342" s="554"/>
      <c r="F342" s="554"/>
      <c r="G342" s="554"/>
      <c r="H342" s="554"/>
      <c r="I342" s="554"/>
      <c r="J342" s="554"/>
      <c r="K342" s="554"/>
      <c r="L342" s="554"/>
      <c r="M342" s="554"/>
      <c r="N342" s="554"/>
      <c r="O342" s="554"/>
      <c r="P342" s="554"/>
      <c r="Q342" s="554"/>
      <c r="R342" s="553"/>
    </row>
    <row r="343" spans="2:18" x14ac:dyDescent="0.25">
      <c r="B343" s="151"/>
      <c r="C343" s="143"/>
      <c r="D343" s="143"/>
      <c r="E343" s="554"/>
      <c r="F343" s="554"/>
      <c r="G343" s="554"/>
      <c r="H343" s="554"/>
      <c r="I343" s="554"/>
      <c r="J343" s="554"/>
      <c r="K343" s="554"/>
      <c r="L343" s="554"/>
      <c r="M343" s="554"/>
      <c r="N343" s="554"/>
      <c r="O343" s="554"/>
      <c r="P343" s="554"/>
      <c r="Q343" s="554"/>
      <c r="R343" s="553"/>
    </row>
    <row r="344" spans="2:18" x14ac:dyDescent="0.25">
      <c r="B344" s="151"/>
      <c r="C344" s="143"/>
      <c r="D344" s="143"/>
      <c r="E344" s="554"/>
      <c r="F344" s="554"/>
      <c r="G344" s="554"/>
      <c r="H344" s="554"/>
      <c r="I344" s="554"/>
      <c r="J344" s="554"/>
      <c r="K344" s="554"/>
      <c r="L344" s="554"/>
      <c r="M344" s="554"/>
      <c r="N344" s="554"/>
      <c r="O344" s="554"/>
      <c r="P344" s="554"/>
      <c r="Q344" s="554"/>
      <c r="R344" s="553"/>
    </row>
    <row r="345" spans="2:18" x14ac:dyDescent="0.25">
      <c r="B345" s="151"/>
      <c r="C345" s="143"/>
      <c r="D345" s="143"/>
      <c r="E345" s="554"/>
      <c r="F345" s="554"/>
      <c r="G345" s="554"/>
      <c r="H345" s="554"/>
      <c r="I345" s="554"/>
      <c r="J345" s="554"/>
      <c r="K345" s="554"/>
      <c r="L345" s="554"/>
      <c r="M345" s="554"/>
      <c r="N345" s="554"/>
      <c r="O345" s="554"/>
      <c r="P345" s="554"/>
      <c r="Q345" s="554"/>
      <c r="R345" s="553"/>
    </row>
    <row r="346" spans="2:18" x14ac:dyDescent="0.25">
      <c r="B346" s="151"/>
      <c r="C346" s="143"/>
      <c r="D346" s="143"/>
      <c r="E346" s="554"/>
      <c r="F346" s="554"/>
      <c r="G346" s="554"/>
      <c r="H346" s="554"/>
      <c r="I346" s="554"/>
      <c r="J346" s="554"/>
      <c r="K346" s="554"/>
      <c r="L346" s="554"/>
      <c r="M346" s="554"/>
      <c r="N346" s="554"/>
      <c r="O346" s="554"/>
      <c r="P346" s="554"/>
      <c r="Q346" s="554"/>
      <c r="R346" s="553"/>
    </row>
    <row r="347" spans="2:18" x14ac:dyDescent="0.25">
      <c r="B347" s="151"/>
      <c r="C347" s="143"/>
      <c r="D347" s="143"/>
      <c r="E347" s="554"/>
      <c r="F347" s="554"/>
      <c r="G347" s="554"/>
      <c r="H347" s="554"/>
      <c r="I347" s="554"/>
      <c r="J347" s="554"/>
      <c r="K347" s="554"/>
      <c r="L347" s="554"/>
      <c r="M347" s="554"/>
      <c r="N347" s="554"/>
      <c r="O347" s="554"/>
      <c r="P347" s="554"/>
      <c r="Q347" s="554"/>
      <c r="R347" s="553"/>
    </row>
    <row r="348" spans="2:18" x14ac:dyDescent="0.25">
      <c r="B348" s="151"/>
      <c r="C348" s="143"/>
      <c r="D348" s="143"/>
      <c r="E348" s="554"/>
      <c r="F348" s="554"/>
      <c r="G348" s="554"/>
      <c r="H348" s="554"/>
      <c r="I348" s="554"/>
      <c r="J348" s="554"/>
      <c r="K348" s="554"/>
      <c r="L348" s="554"/>
      <c r="M348" s="554"/>
      <c r="N348" s="554"/>
      <c r="O348" s="554"/>
      <c r="P348" s="554"/>
      <c r="Q348" s="554"/>
      <c r="R348" s="553"/>
    </row>
    <row r="349" spans="2:18" x14ac:dyDescent="0.25">
      <c r="B349" s="151"/>
      <c r="C349" s="143"/>
      <c r="D349" s="143"/>
      <c r="E349" s="554"/>
      <c r="F349" s="554"/>
      <c r="G349" s="554"/>
      <c r="H349" s="554"/>
      <c r="I349" s="554"/>
      <c r="J349" s="554"/>
      <c r="K349" s="554"/>
      <c r="L349" s="554"/>
      <c r="M349" s="554"/>
      <c r="N349" s="554"/>
      <c r="O349" s="554"/>
      <c r="P349" s="554"/>
      <c r="Q349" s="554"/>
      <c r="R349" s="553"/>
    </row>
    <row r="350" spans="2:18" x14ac:dyDescent="0.25">
      <c r="B350" s="151"/>
      <c r="C350" s="143"/>
      <c r="D350" s="143"/>
      <c r="E350" s="554"/>
      <c r="F350" s="554"/>
      <c r="G350" s="554"/>
      <c r="H350" s="554"/>
      <c r="I350" s="554"/>
      <c r="J350" s="554"/>
      <c r="K350" s="554"/>
      <c r="L350" s="554"/>
      <c r="M350" s="554"/>
      <c r="N350" s="554"/>
      <c r="O350" s="554"/>
      <c r="P350" s="554"/>
      <c r="Q350" s="554"/>
      <c r="R350" s="553"/>
    </row>
    <row r="351" spans="2:18" x14ac:dyDescent="0.25">
      <c r="B351" s="151"/>
      <c r="C351" s="143"/>
      <c r="D351" s="143"/>
      <c r="E351" s="554"/>
      <c r="F351" s="554"/>
      <c r="G351" s="554"/>
      <c r="H351" s="554"/>
      <c r="I351" s="554"/>
      <c r="J351" s="554"/>
      <c r="K351" s="554"/>
      <c r="L351" s="554"/>
      <c r="M351" s="554"/>
      <c r="N351" s="554"/>
      <c r="O351" s="554"/>
      <c r="P351" s="554"/>
      <c r="Q351" s="554"/>
      <c r="R351" s="553"/>
    </row>
    <row r="352" spans="2:18" x14ac:dyDescent="0.25">
      <c r="B352" s="151"/>
      <c r="C352" s="143"/>
      <c r="D352" s="143"/>
      <c r="E352" s="554"/>
      <c r="F352" s="554"/>
      <c r="G352" s="554"/>
      <c r="H352" s="554"/>
      <c r="I352" s="554"/>
      <c r="J352" s="554"/>
      <c r="K352" s="554"/>
      <c r="L352" s="554"/>
      <c r="M352" s="554"/>
      <c r="N352" s="554"/>
      <c r="O352" s="554"/>
      <c r="P352" s="554"/>
      <c r="Q352" s="554"/>
      <c r="R352" s="553"/>
    </row>
    <row r="353" spans="2:18" x14ac:dyDescent="0.25">
      <c r="B353" s="151"/>
      <c r="C353" s="143"/>
      <c r="D353" s="143"/>
      <c r="E353" s="554"/>
      <c r="F353" s="554"/>
      <c r="G353" s="554"/>
      <c r="H353" s="554"/>
      <c r="I353" s="554"/>
      <c r="J353" s="554"/>
      <c r="K353" s="554"/>
      <c r="L353" s="554"/>
      <c r="M353" s="554"/>
      <c r="N353" s="554"/>
      <c r="O353" s="554"/>
      <c r="P353" s="554"/>
      <c r="Q353" s="554"/>
      <c r="R353" s="553"/>
    </row>
    <row r="354" spans="2:18" x14ac:dyDescent="0.25">
      <c r="B354" s="151"/>
      <c r="C354" s="143"/>
      <c r="D354" s="143"/>
      <c r="E354" s="554"/>
      <c r="F354" s="554"/>
      <c r="G354" s="554"/>
      <c r="H354" s="554"/>
      <c r="I354" s="554"/>
      <c r="J354" s="554"/>
      <c r="K354" s="554"/>
      <c r="L354" s="554"/>
      <c r="M354" s="554"/>
      <c r="N354" s="554"/>
      <c r="O354" s="554"/>
      <c r="P354" s="554"/>
      <c r="Q354" s="554"/>
      <c r="R354" s="553"/>
    </row>
    <row r="355" spans="2:18" x14ac:dyDescent="0.25">
      <c r="B355" s="151"/>
      <c r="C355" s="143"/>
      <c r="D355" s="143"/>
      <c r="E355" s="554"/>
      <c r="F355" s="554"/>
      <c r="G355" s="554"/>
      <c r="H355" s="554"/>
      <c r="I355" s="554"/>
      <c r="J355" s="554"/>
      <c r="K355" s="554"/>
      <c r="L355" s="554"/>
      <c r="M355" s="554"/>
      <c r="N355" s="554"/>
      <c r="O355" s="554"/>
      <c r="P355" s="554"/>
      <c r="Q355" s="554"/>
      <c r="R355" s="553"/>
    </row>
    <row r="356" spans="2:18" x14ac:dyDescent="0.25">
      <c r="B356" s="151"/>
      <c r="C356" s="143"/>
      <c r="D356" s="143"/>
      <c r="E356" s="554"/>
      <c r="F356" s="554"/>
      <c r="G356" s="554"/>
      <c r="H356" s="554"/>
      <c r="I356" s="554"/>
      <c r="J356" s="554"/>
      <c r="K356" s="554"/>
      <c r="L356" s="554"/>
      <c r="M356" s="554"/>
      <c r="N356" s="554"/>
      <c r="O356" s="554"/>
      <c r="P356" s="554"/>
      <c r="Q356" s="554"/>
      <c r="R356" s="553"/>
    </row>
    <row r="357" spans="2:18" x14ac:dyDescent="0.25">
      <c r="B357" s="151"/>
      <c r="C357" s="143"/>
      <c r="D357" s="143"/>
      <c r="E357" s="554"/>
      <c r="F357" s="554"/>
      <c r="G357" s="554"/>
      <c r="H357" s="554"/>
      <c r="I357" s="554"/>
      <c r="J357" s="554"/>
      <c r="K357" s="554"/>
      <c r="L357" s="554"/>
      <c r="M357" s="554"/>
      <c r="N357" s="554"/>
      <c r="O357" s="554"/>
      <c r="P357" s="554"/>
      <c r="Q357" s="554"/>
      <c r="R357" s="553"/>
    </row>
    <row r="358" spans="2:18" x14ac:dyDescent="0.25">
      <c r="B358" s="151"/>
      <c r="C358" s="143"/>
      <c r="D358" s="143"/>
      <c r="E358" s="554"/>
      <c r="F358" s="554"/>
      <c r="G358" s="554"/>
      <c r="H358" s="554"/>
      <c r="I358" s="554"/>
      <c r="J358" s="554"/>
      <c r="K358" s="554"/>
      <c r="L358" s="554"/>
      <c r="M358" s="554"/>
      <c r="N358" s="554"/>
      <c r="O358" s="554"/>
      <c r="P358" s="554"/>
      <c r="Q358" s="554"/>
      <c r="R358" s="553"/>
    </row>
    <row r="359" spans="2:18" x14ac:dyDescent="0.25">
      <c r="B359" s="151"/>
      <c r="C359" s="143"/>
      <c r="D359" s="143"/>
      <c r="E359" s="554"/>
      <c r="F359" s="554"/>
      <c r="G359" s="554"/>
      <c r="H359" s="554"/>
      <c r="I359" s="554"/>
      <c r="J359" s="554"/>
      <c r="K359" s="554"/>
      <c r="L359" s="554"/>
      <c r="M359" s="554"/>
      <c r="N359" s="554"/>
      <c r="O359" s="554"/>
      <c r="P359" s="554"/>
      <c r="Q359" s="554"/>
      <c r="R359" s="553"/>
    </row>
    <row r="360" spans="2:18" x14ac:dyDescent="0.25">
      <c r="B360" s="151"/>
      <c r="C360" s="143"/>
      <c r="D360" s="143"/>
      <c r="E360" s="554"/>
      <c r="F360" s="554"/>
      <c r="G360" s="554"/>
      <c r="H360" s="554"/>
      <c r="I360" s="554"/>
      <c r="J360" s="554"/>
      <c r="K360" s="554"/>
      <c r="L360" s="554"/>
      <c r="M360" s="554"/>
      <c r="N360" s="554"/>
      <c r="O360" s="554"/>
      <c r="P360" s="554"/>
      <c r="Q360" s="554"/>
      <c r="R360" s="553"/>
    </row>
    <row r="361" spans="2:18" x14ac:dyDescent="0.25">
      <c r="B361" s="151"/>
      <c r="C361" s="143"/>
      <c r="D361" s="143"/>
      <c r="E361" s="554"/>
      <c r="F361" s="554"/>
      <c r="G361" s="554"/>
      <c r="H361" s="554"/>
      <c r="I361" s="554"/>
      <c r="J361" s="554"/>
      <c r="K361" s="554"/>
      <c r="L361" s="554"/>
      <c r="M361" s="554"/>
      <c r="N361" s="554"/>
      <c r="O361" s="554"/>
      <c r="P361" s="554"/>
      <c r="Q361" s="554"/>
      <c r="R361" s="553"/>
    </row>
    <row r="362" spans="2:18" x14ac:dyDescent="0.25">
      <c r="B362" s="151"/>
      <c r="C362" s="143"/>
      <c r="D362" s="143"/>
      <c r="E362" s="554"/>
      <c r="F362" s="554"/>
      <c r="G362" s="554"/>
      <c r="H362" s="554"/>
      <c r="I362" s="554"/>
      <c r="J362" s="554"/>
      <c r="K362" s="554"/>
      <c r="L362" s="554"/>
      <c r="M362" s="554"/>
      <c r="N362" s="554"/>
      <c r="O362" s="554"/>
      <c r="P362" s="554"/>
      <c r="Q362" s="554"/>
      <c r="R362" s="553"/>
    </row>
    <row r="363" spans="2:18" x14ac:dyDescent="0.25">
      <c r="B363" s="151"/>
      <c r="C363" s="143"/>
      <c r="D363" s="143"/>
      <c r="E363" s="554"/>
      <c r="F363" s="554"/>
      <c r="G363" s="554"/>
      <c r="H363" s="554"/>
      <c r="I363" s="554"/>
      <c r="J363" s="554"/>
      <c r="K363" s="554"/>
      <c r="L363" s="554"/>
      <c r="M363" s="554"/>
      <c r="N363" s="554"/>
      <c r="O363" s="554"/>
      <c r="P363" s="554"/>
      <c r="Q363" s="554"/>
      <c r="R363" s="553"/>
    </row>
    <row r="364" spans="2:18" x14ac:dyDescent="0.25">
      <c r="B364" s="151"/>
      <c r="C364" s="143"/>
      <c r="D364" s="143"/>
      <c r="E364" s="554"/>
      <c r="F364" s="554"/>
      <c r="G364" s="554"/>
      <c r="H364" s="554"/>
      <c r="I364" s="554"/>
      <c r="J364" s="554"/>
      <c r="K364" s="554"/>
      <c r="L364" s="554"/>
      <c r="M364" s="554"/>
      <c r="N364" s="554"/>
      <c r="O364" s="554"/>
      <c r="P364" s="554"/>
      <c r="Q364" s="554"/>
      <c r="R364" s="553"/>
    </row>
    <row r="365" spans="2:18" x14ac:dyDescent="0.25">
      <c r="B365" s="151"/>
      <c r="C365" s="143"/>
      <c r="D365" s="143"/>
      <c r="E365" s="554"/>
      <c r="F365" s="554"/>
      <c r="G365" s="554"/>
      <c r="H365" s="554"/>
      <c r="I365" s="554"/>
      <c r="J365" s="554"/>
      <c r="K365" s="554"/>
      <c r="L365" s="554"/>
      <c r="M365" s="554"/>
      <c r="N365" s="554"/>
      <c r="O365" s="554"/>
      <c r="P365" s="554"/>
      <c r="Q365" s="554"/>
      <c r="R365" s="553"/>
    </row>
    <row r="366" spans="2:18" x14ac:dyDescent="0.25">
      <c r="B366" s="151"/>
      <c r="C366" s="143"/>
      <c r="D366" s="143"/>
      <c r="E366" s="554"/>
      <c r="F366" s="554"/>
      <c r="G366" s="554"/>
      <c r="H366" s="554"/>
      <c r="I366" s="554"/>
      <c r="J366" s="554"/>
      <c r="K366" s="554"/>
      <c r="L366" s="554"/>
      <c r="M366" s="554"/>
      <c r="N366" s="554"/>
      <c r="O366" s="554"/>
      <c r="P366" s="554"/>
      <c r="Q366" s="554"/>
      <c r="R366" s="553"/>
    </row>
    <row r="367" spans="2:18" x14ac:dyDescent="0.25">
      <c r="B367" s="151"/>
      <c r="C367" s="143"/>
      <c r="D367" s="143"/>
      <c r="E367" s="554"/>
      <c r="F367" s="554"/>
      <c r="G367" s="554"/>
      <c r="H367" s="554"/>
      <c r="I367" s="554"/>
      <c r="J367" s="554"/>
      <c r="K367" s="554"/>
      <c r="L367" s="554"/>
      <c r="M367" s="554"/>
      <c r="N367" s="554"/>
      <c r="O367" s="554"/>
      <c r="P367" s="554"/>
      <c r="Q367" s="554"/>
      <c r="R367" s="553"/>
    </row>
    <row r="368" spans="2:18" x14ac:dyDescent="0.25">
      <c r="B368" s="151"/>
      <c r="C368" s="143"/>
      <c r="D368" s="143"/>
      <c r="E368" s="554"/>
      <c r="F368" s="554"/>
      <c r="G368" s="554"/>
      <c r="H368" s="554"/>
      <c r="I368" s="554"/>
      <c r="J368" s="554"/>
      <c r="K368" s="554"/>
      <c r="L368" s="554"/>
      <c r="M368" s="554"/>
      <c r="N368" s="554"/>
      <c r="O368" s="554"/>
      <c r="P368" s="554"/>
      <c r="Q368" s="554"/>
      <c r="R368" s="553"/>
    </row>
    <row r="369" spans="2:18" x14ac:dyDescent="0.25">
      <c r="B369" s="151"/>
      <c r="C369" s="143"/>
      <c r="D369" s="143"/>
      <c r="E369" s="554"/>
      <c r="F369" s="554"/>
      <c r="G369" s="554"/>
      <c r="H369" s="554"/>
      <c r="I369" s="554"/>
      <c r="J369" s="554"/>
      <c r="K369" s="554"/>
      <c r="L369" s="554"/>
      <c r="M369" s="554"/>
      <c r="N369" s="554"/>
      <c r="O369" s="554"/>
      <c r="P369" s="554"/>
      <c r="Q369" s="554"/>
      <c r="R369" s="553"/>
    </row>
    <row r="370" spans="2:18" x14ac:dyDescent="0.25">
      <c r="B370" s="151"/>
      <c r="C370" s="143"/>
      <c r="D370" s="143"/>
      <c r="E370" s="554"/>
      <c r="F370" s="554"/>
      <c r="G370" s="554"/>
      <c r="H370" s="554"/>
      <c r="I370" s="554"/>
      <c r="J370" s="554"/>
      <c r="K370" s="554"/>
      <c r="L370" s="554"/>
      <c r="M370" s="554"/>
      <c r="N370" s="554"/>
      <c r="O370" s="554"/>
      <c r="P370" s="554"/>
      <c r="Q370" s="554"/>
      <c r="R370" s="553"/>
    </row>
    <row r="371" spans="2:18" x14ac:dyDescent="0.25">
      <c r="B371" s="151"/>
      <c r="C371" s="143"/>
      <c r="D371" s="143"/>
      <c r="E371" s="554"/>
      <c r="F371" s="554"/>
      <c r="G371" s="554"/>
      <c r="H371" s="554"/>
      <c r="I371" s="554"/>
      <c r="J371" s="554"/>
      <c r="K371" s="554"/>
      <c r="L371" s="554"/>
      <c r="M371" s="554"/>
      <c r="N371" s="554"/>
      <c r="O371" s="554"/>
      <c r="P371" s="554"/>
      <c r="Q371" s="554"/>
      <c r="R371" s="553"/>
    </row>
    <row r="372" spans="2:18" x14ac:dyDescent="0.25">
      <c r="B372" s="151"/>
      <c r="C372" s="143"/>
      <c r="D372" s="143"/>
      <c r="E372" s="554"/>
      <c r="F372" s="554"/>
      <c r="G372" s="554"/>
      <c r="H372" s="554"/>
      <c r="I372" s="554"/>
      <c r="J372" s="554"/>
      <c r="K372" s="554"/>
      <c r="L372" s="554"/>
      <c r="M372" s="554"/>
      <c r="N372" s="554"/>
      <c r="O372" s="554"/>
      <c r="P372" s="554"/>
      <c r="Q372" s="554"/>
      <c r="R372" s="553"/>
    </row>
    <row r="373" spans="2:18" x14ac:dyDescent="0.25">
      <c r="B373" s="151"/>
      <c r="C373" s="143"/>
      <c r="D373" s="143"/>
      <c r="E373" s="554"/>
      <c r="F373" s="554"/>
      <c r="G373" s="554"/>
      <c r="H373" s="554"/>
      <c r="I373" s="554"/>
      <c r="J373" s="554"/>
      <c r="K373" s="554"/>
      <c r="L373" s="554"/>
      <c r="M373" s="554"/>
      <c r="N373" s="554"/>
      <c r="O373" s="554"/>
      <c r="P373" s="554"/>
      <c r="Q373" s="554"/>
      <c r="R373" s="553"/>
    </row>
    <row r="374" spans="2:18" x14ac:dyDescent="0.25">
      <c r="B374" s="151"/>
      <c r="C374" s="143"/>
      <c r="D374" s="143"/>
      <c r="E374" s="554"/>
      <c r="F374" s="554"/>
      <c r="G374" s="554"/>
      <c r="H374" s="554"/>
      <c r="I374" s="554"/>
      <c r="J374" s="554"/>
      <c r="K374" s="554"/>
      <c r="L374" s="554"/>
      <c r="M374" s="554"/>
      <c r="N374" s="554"/>
      <c r="O374" s="554"/>
      <c r="P374" s="554"/>
      <c r="Q374" s="554"/>
      <c r="R374" s="553"/>
    </row>
    <row r="375" spans="2:18" x14ac:dyDescent="0.25">
      <c r="B375" s="151"/>
      <c r="C375" s="143"/>
      <c r="D375" s="143"/>
      <c r="E375" s="554"/>
      <c r="F375" s="554"/>
      <c r="G375" s="554"/>
      <c r="H375" s="554"/>
      <c r="I375" s="554"/>
      <c r="J375" s="554"/>
      <c r="K375" s="554"/>
      <c r="L375" s="554"/>
      <c r="M375" s="554"/>
      <c r="N375" s="554"/>
      <c r="O375" s="554"/>
      <c r="P375" s="554"/>
      <c r="Q375" s="554"/>
      <c r="R375" s="553"/>
    </row>
    <row r="376" spans="2:18" x14ac:dyDescent="0.25">
      <c r="B376" s="151"/>
      <c r="C376" s="143"/>
      <c r="D376" s="143"/>
      <c r="E376" s="554"/>
      <c r="F376" s="554"/>
      <c r="G376" s="554"/>
      <c r="H376" s="554"/>
      <c r="I376" s="554"/>
      <c r="J376" s="554"/>
      <c r="K376" s="554"/>
      <c r="L376" s="554"/>
      <c r="M376" s="554"/>
      <c r="N376" s="554"/>
      <c r="O376" s="554"/>
      <c r="P376" s="554"/>
      <c r="Q376" s="554"/>
      <c r="R376" s="553"/>
    </row>
    <row r="377" spans="2:18" x14ac:dyDescent="0.25">
      <c r="B377" s="151"/>
      <c r="C377" s="143"/>
      <c r="D377" s="143"/>
      <c r="E377" s="554"/>
      <c r="F377" s="554"/>
      <c r="G377" s="554"/>
      <c r="H377" s="554"/>
      <c r="I377" s="554"/>
      <c r="J377" s="554"/>
      <c r="K377" s="554"/>
      <c r="L377" s="554"/>
      <c r="M377" s="554"/>
      <c r="N377" s="554"/>
      <c r="O377" s="554"/>
      <c r="P377" s="554"/>
      <c r="Q377" s="554"/>
      <c r="R377" s="553"/>
    </row>
    <row r="378" spans="2:18" x14ac:dyDescent="0.25">
      <c r="B378" s="151"/>
      <c r="C378" s="143"/>
      <c r="D378" s="143"/>
      <c r="E378" s="554"/>
      <c r="F378" s="554"/>
      <c r="G378" s="554"/>
      <c r="H378" s="554"/>
      <c r="I378" s="554"/>
      <c r="J378" s="554"/>
      <c r="K378" s="554"/>
      <c r="L378" s="554"/>
      <c r="M378" s="554"/>
      <c r="N378" s="554"/>
      <c r="O378" s="554"/>
      <c r="P378" s="554"/>
      <c r="Q378" s="554"/>
      <c r="R378" s="553"/>
    </row>
    <row r="379" spans="2:18" x14ac:dyDescent="0.25">
      <c r="B379" s="151"/>
      <c r="C379" s="143"/>
      <c r="D379" s="143"/>
      <c r="E379" s="554"/>
      <c r="F379" s="554"/>
      <c r="G379" s="554"/>
      <c r="H379" s="554"/>
      <c r="I379" s="554"/>
      <c r="J379" s="554"/>
      <c r="K379" s="554"/>
      <c r="L379" s="554"/>
      <c r="M379" s="554"/>
      <c r="N379" s="554"/>
      <c r="O379" s="554"/>
      <c r="P379" s="554"/>
      <c r="Q379" s="554"/>
      <c r="R379" s="553"/>
    </row>
    <row r="380" spans="2:18" x14ac:dyDescent="0.25">
      <c r="B380" s="151"/>
      <c r="C380" s="143"/>
      <c r="D380" s="143"/>
      <c r="E380" s="554"/>
      <c r="F380" s="554"/>
      <c r="G380" s="554"/>
      <c r="H380" s="554"/>
      <c r="I380" s="554"/>
      <c r="J380" s="554"/>
      <c r="K380" s="554"/>
      <c r="L380" s="554"/>
      <c r="M380" s="554"/>
      <c r="N380" s="554"/>
      <c r="O380" s="554"/>
      <c r="P380" s="554"/>
      <c r="Q380" s="554"/>
      <c r="R380" s="553"/>
    </row>
    <row r="381" spans="2:18" x14ac:dyDescent="0.25">
      <c r="B381" s="151"/>
      <c r="C381" s="143"/>
      <c r="D381" s="143"/>
      <c r="E381" s="554"/>
      <c r="F381" s="554"/>
      <c r="G381" s="554"/>
      <c r="H381" s="554"/>
      <c r="I381" s="554"/>
      <c r="J381" s="554"/>
      <c r="K381" s="554"/>
      <c r="L381" s="554"/>
      <c r="M381" s="554"/>
      <c r="N381" s="554"/>
      <c r="O381" s="554"/>
      <c r="P381" s="554"/>
      <c r="Q381" s="554"/>
      <c r="R381" s="553"/>
    </row>
    <row r="382" spans="2:18" x14ac:dyDescent="0.25">
      <c r="B382" s="151"/>
      <c r="C382" s="143"/>
      <c r="D382" s="143"/>
      <c r="E382" s="554"/>
      <c r="F382" s="554"/>
      <c r="G382" s="554"/>
      <c r="H382" s="554"/>
      <c r="I382" s="554"/>
      <c r="J382" s="554"/>
      <c r="K382" s="554"/>
      <c r="L382" s="554"/>
      <c r="M382" s="554"/>
      <c r="N382" s="554"/>
      <c r="O382" s="554"/>
      <c r="P382" s="554"/>
      <c r="Q382" s="554"/>
      <c r="R382" s="553"/>
    </row>
    <row r="383" spans="2:18" x14ac:dyDescent="0.25">
      <c r="B383" s="151"/>
      <c r="C383" s="143"/>
      <c r="D383" s="143"/>
      <c r="E383" s="554"/>
      <c r="F383" s="554"/>
      <c r="G383" s="554"/>
      <c r="H383" s="554"/>
      <c r="I383" s="554"/>
      <c r="J383" s="554"/>
      <c r="K383" s="554"/>
      <c r="L383" s="554"/>
      <c r="M383" s="554"/>
      <c r="N383" s="554"/>
      <c r="O383" s="554"/>
      <c r="P383" s="554"/>
      <c r="Q383" s="554"/>
      <c r="R383" s="553"/>
    </row>
    <row r="384" spans="2:18" x14ac:dyDescent="0.25">
      <c r="B384" s="151"/>
      <c r="C384" s="143"/>
      <c r="D384" s="143"/>
      <c r="E384" s="554"/>
      <c r="F384" s="554"/>
      <c r="G384" s="554"/>
      <c r="H384" s="554"/>
      <c r="I384" s="554"/>
      <c r="J384" s="554"/>
      <c r="K384" s="554"/>
      <c r="L384" s="554"/>
      <c r="M384" s="554"/>
      <c r="N384" s="554"/>
      <c r="O384" s="554"/>
      <c r="P384" s="554"/>
      <c r="Q384" s="554"/>
      <c r="R384" s="553"/>
    </row>
    <row r="385" spans="2:18" x14ac:dyDescent="0.25">
      <c r="B385" s="151"/>
      <c r="C385" s="143"/>
      <c r="D385" s="143"/>
      <c r="E385" s="554"/>
      <c r="F385" s="554"/>
      <c r="G385" s="554"/>
      <c r="H385" s="554"/>
      <c r="I385" s="554"/>
      <c r="J385" s="554"/>
      <c r="K385" s="554"/>
      <c r="L385" s="554"/>
      <c r="M385" s="554"/>
      <c r="N385" s="554"/>
      <c r="O385" s="554"/>
      <c r="P385" s="554"/>
      <c r="Q385" s="554"/>
      <c r="R385" s="553"/>
    </row>
    <row r="386" spans="2:18" x14ac:dyDescent="0.25">
      <c r="B386" s="151"/>
      <c r="C386" s="143"/>
      <c r="D386" s="143"/>
      <c r="E386" s="554"/>
      <c r="F386" s="554"/>
      <c r="G386" s="554"/>
      <c r="H386" s="554"/>
      <c r="I386" s="554"/>
      <c r="J386" s="554"/>
      <c r="K386" s="554"/>
      <c r="L386" s="554"/>
      <c r="M386" s="554"/>
      <c r="N386" s="554"/>
      <c r="O386" s="554"/>
      <c r="P386" s="554"/>
      <c r="Q386" s="554"/>
      <c r="R386" s="553"/>
    </row>
    <row r="387" spans="2:18" x14ac:dyDescent="0.25">
      <c r="B387" s="151"/>
      <c r="C387" s="143"/>
      <c r="D387" s="143"/>
      <c r="E387" s="554"/>
      <c r="F387" s="554"/>
      <c r="G387" s="554"/>
      <c r="H387" s="554"/>
      <c r="I387" s="554"/>
      <c r="J387" s="554"/>
      <c r="K387" s="554"/>
      <c r="L387" s="554"/>
      <c r="M387" s="554"/>
      <c r="N387" s="554"/>
      <c r="O387" s="554"/>
      <c r="P387" s="554"/>
      <c r="Q387" s="554"/>
      <c r="R387" s="553"/>
    </row>
    <row r="388" spans="2:18" x14ac:dyDescent="0.25">
      <c r="B388" s="151"/>
      <c r="C388" s="143"/>
      <c r="D388" s="143"/>
      <c r="E388" s="554"/>
      <c r="F388" s="554"/>
      <c r="G388" s="554"/>
      <c r="H388" s="554"/>
      <c r="I388" s="554"/>
      <c r="J388" s="554"/>
      <c r="K388" s="554"/>
      <c r="L388" s="554"/>
      <c r="M388" s="554"/>
      <c r="N388" s="554"/>
      <c r="O388" s="554"/>
      <c r="P388" s="554"/>
      <c r="Q388" s="554"/>
      <c r="R388" s="553"/>
    </row>
    <row r="389" spans="2:18" x14ac:dyDescent="0.25">
      <c r="B389" s="151"/>
      <c r="C389" s="143"/>
      <c r="D389" s="143"/>
      <c r="E389" s="554"/>
      <c r="F389" s="554"/>
      <c r="G389" s="554"/>
      <c r="H389" s="554"/>
      <c r="I389" s="554"/>
      <c r="J389" s="554"/>
      <c r="K389" s="554"/>
      <c r="L389" s="554"/>
      <c r="M389" s="554"/>
      <c r="N389" s="554"/>
      <c r="O389" s="554"/>
      <c r="P389" s="554"/>
      <c r="Q389" s="554"/>
      <c r="R389" s="553"/>
    </row>
    <row r="390" spans="2:18" x14ac:dyDescent="0.25">
      <c r="B390" s="151"/>
      <c r="C390" s="143"/>
      <c r="D390" s="143"/>
      <c r="E390" s="554"/>
      <c r="F390" s="554"/>
      <c r="G390" s="554"/>
      <c r="H390" s="554"/>
      <c r="I390" s="554"/>
      <c r="J390" s="554"/>
      <c r="K390" s="554"/>
      <c r="L390" s="554"/>
      <c r="M390" s="554"/>
      <c r="N390" s="554"/>
      <c r="O390" s="554"/>
      <c r="P390" s="554"/>
      <c r="Q390" s="554"/>
      <c r="R390" s="553"/>
    </row>
    <row r="391" spans="2:18" x14ac:dyDescent="0.25">
      <c r="B391" s="151"/>
      <c r="C391" s="143"/>
      <c r="D391" s="143"/>
      <c r="E391" s="554"/>
      <c r="F391" s="554"/>
      <c r="G391" s="554"/>
      <c r="H391" s="554"/>
      <c r="I391" s="554"/>
      <c r="J391" s="554"/>
      <c r="K391" s="554"/>
      <c r="L391" s="554"/>
      <c r="M391" s="554"/>
      <c r="N391" s="554"/>
      <c r="O391" s="554"/>
      <c r="P391" s="554"/>
      <c r="Q391" s="554"/>
      <c r="R391" s="553"/>
    </row>
    <row r="392" spans="2:18" x14ac:dyDescent="0.25">
      <c r="B392" s="151"/>
      <c r="C392" s="143"/>
      <c r="D392" s="143"/>
      <c r="E392" s="554"/>
      <c r="F392" s="554"/>
      <c r="G392" s="554"/>
      <c r="H392" s="554"/>
      <c r="I392" s="554"/>
      <c r="J392" s="554"/>
      <c r="K392" s="554"/>
      <c r="L392" s="554"/>
      <c r="M392" s="554"/>
      <c r="N392" s="554"/>
      <c r="O392" s="554"/>
      <c r="P392" s="554"/>
      <c r="Q392" s="554"/>
      <c r="R392" s="553"/>
    </row>
    <row r="393" spans="2:18" x14ac:dyDescent="0.25">
      <c r="B393" s="151"/>
      <c r="C393" s="143"/>
      <c r="D393" s="143"/>
      <c r="E393" s="554"/>
      <c r="F393" s="554"/>
      <c r="G393" s="554"/>
      <c r="H393" s="554"/>
      <c r="I393" s="554"/>
      <c r="J393" s="554"/>
      <c r="K393" s="554"/>
      <c r="L393" s="554"/>
      <c r="M393" s="554"/>
      <c r="N393" s="554"/>
      <c r="O393" s="554"/>
      <c r="P393" s="554"/>
      <c r="Q393" s="554"/>
      <c r="R393" s="553"/>
    </row>
    <row r="394" spans="2:18" x14ac:dyDescent="0.25">
      <c r="B394" s="151"/>
      <c r="C394" s="143"/>
      <c r="D394" s="143"/>
      <c r="E394" s="554"/>
      <c r="F394" s="554"/>
      <c r="G394" s="554"/>
      <c r="H394" s="554"/>
      <c r="I394" s="554"/>
      <c r="J394" s="554"/>
      <c r="K394" s="554"/>
      <c r="L394" s="554"/>
      <c r="M394" s="554"/>
      <c r="N394" s="554"/>
      <c r="O394" s="554"/>
      <c r="P394" s="554"/>
      <c r="Q394" s="554"/>
      <c r="R394" s="553"/>
    </row>
    <row r="395" spans="2:18" x14ac:dyDescent="0.25">
      <c r="B395" s="151"/>
      <c r="C395" s="143"/>
      <c r="D395" s="143"/>
      <c r="E395" s="554"/>
      <c r="F395" s="554"/>
      <c r="G395" s="554"/>
      <c r="H395" s="554"/>
      <c r="I395" s="554"/>
      <c r="J395" s="554"/>
      <c r="K395" s="554"/>
      <c r="L395" s="554"/>
      <c r="M395" s="554"/>
      <c r="N395" s="554"/>
      <c r="O395" s="554"/>
      <c r="P395" s="554"/>
      <c r="Q395" s="554"/>
      <c r="R395" s="553"/>
    </row>
    <row r="396" spans="2:18" x14ac:dyDescent="0.25">
      <c r="B396" s="151"/>
      <c r="C396" s="143"/>
      <c r="D396" s="143"/>
      <c r="E396" s="554"/>
      <c r="F396" s="554"/>
      <c r="G396" s="554"/>
      <c r="H396" s="554"/>
      <c r="I396" s="554"/>
      <c r="J396" s="554"/>
      <c r="K396" s="554"/>
      <c r="L396" s="554"/>
      <c r="M396" s="554"/>
      <c r="N396" s="554"/>
      <c r="O396" s="554"/>
      <c r="P396" s="554"/>
      <c r="Q396" s="554"/>
      <c r="R396" s="553"/>
    </row>
    <row r="397" spans="2:18" x14ac:dyDescent="0.25">
      <c r="B397" s="151"/>
      <c r="C397" s="143"/>
      <c r="D397" s="143"/>
      <c r="E397" s="554"/>
      <c r="F397" s="554"/>
      <c r="G397" s="554"/>
      <c r="H397" s="554"/>
      <c r="I397" s="554"/>
      <c r="J397" s="554"/>
      <c r="K397" s="554"/>
      <c r="L397" s="554"/>
      <c r="M397" s="554"/>
      <c r="N397" s="554"/>
      <c r="O397" s="554"/>
      <c r="P397" s="554"/>
      <c r="Q397" s="554"/>
      <c r="R397" s="553"/>
    </row>
    <row r="398" spans="2:18" x14ac:dyDescent="0.25">
      <c r="B398" s="151"/>
      <c r="C398" s="143"/>
      <c r="D398" s="143"/>
      <c r="E398" s="554"/>
      <c r="F398" s="554"/>
      <c r="G398" s="554"/>
      <c r="H398" s="554"/>
      <c r="I398" s="554"/>
      <c r="J398" s="554"/>
      <c r="K398" s="554"/>
      <c r="L398" s="554"/>
      <c r="M398" s="554"/>
      <c r="N398" s="554"/>
      <c r="O398" s="554"/>
      <c r="P398" s="554"/>
      <c r="Q398" s="554"/>
      <c r="R398" s="553"/>
    </row>
    <row r="399" spans="2:18" x14ac:dyDescent="0.25">
      <c r="B399" s="151"/>
      <c r="C399" s="143"/>
      <c r="D399" s="143"/>
      <c r="E399" s="554"/>
      <c r="F399" s="554"/>
      <c r="G399" s="554"/>
      <c r="H399" s="554"/>
      <c r="I399" s="554"/>
      <c r="J399" s="554"/>
      <c r="K399" s="554"/>
      <c r="L399" s="554"/>
      <c r="M399" s="554"/>
      <c r="N399" s="554"/>
      <c r="O399" s="554"/>
      <c r="P399" s="554"/>
      <c r="Q399" s="554"/>
      <c r="R399" s="553"/>
    </row>
    <row r="400" spans="2:18" x14ac:dyDescent="0.25">
      <c r="B400" s="151"/>
      <c r="C400" s="143"/>
      <c r="D400" s="143"/>
      <c r="E400" s="554"/>
      <c r="F400" s="554"/>
      <c r="G400" s="554"/>
      <c r="H400" s="554"/>
      <c r="I400" s="554"/>
      <c r="J400" s="554"/>
      <c r="K400" s="554"/>
      <c r="L400" s="554"/>
      <c r="M400" s="554"/>
      <c r="N400" s="554"/>
      <c r="O400" s="554"/>
      <c r="P400" s="554"/>
      <c r="Q400" s="554"/>
      <c r="R400" s="553"/>
    </row>
    <row r="401" spans="2:18" x14ac:dyDescent="0.25">
      <c r="B401" s="151"/>
      <c r="C401" s="143"/>
      <c r="D401" s="143"/>
      <c r="E401" s="554"/>
      <c r="F401" s="554"/>
      <c r="G401" s="554"/>
      <c r="H401" s="554"/>
      <c r="I401" s="554"/>
      <c r="J401" s="554"/>
      <c r="K401" s="554"/>
      <c r="L401" s="554"/>
      <c r="M401" s="554"/>
      <c r="N401" s="554"/>
      <c r="O401" s="554"/>
      <c r="P401" s="554"/>
      <c r="Q401" s="554"/>
      <c r="R401" s="553"/>
    </row>
    <row r="402" spans="2:18" x14ac:dyDescent="0.25">
      <c r="B402" s="151"/>
      <c r="C402" s="143"/>
      <c r="D402" s="143"/>
      <c r="E402" s="554"/>
      <c r="F402" s="554"/>
      <c r="G402" s="554"/>
      <c r="H402" s="554"/>
      <c r="I402" s="554"/>
      <c r="J402" s="554"/>
      <c r="K402" s="554"/>
      <c r="L402" s="554"/>
      <c r="M402" s="554"/>
      <c r="N402" s="554"/>
      <c r="O402" s="554"/>
      <c r="P402" s="554"/>
      <c r="Q402" s="554"/>
      <c r="R402" s="553"/>
    </row>
    <row r="403" spans="2:18" x14ac:dyDescent="0.25">
      <c r="B403" s="151"/>
      <c r="C403" s="143"/>
      <c r="D403" s="143"/>
      <c r="E403" s="554"/>
      <c r="F403" s="554"/>
      <c r="G403" s="554"/>
      <c r="H403" s="554"/>
      <c r="I403" s="554"/>
      <c r="J403" s="554"/>
      <c r="K403" s="554"/>
      <c r="L403" s="554"/>
      <c r="M403" s="554"/>
      <c r="N403" s="554"/>
      <c r="O403" s="554"/>
      <c r="P403" s="554"/>
      <c r="Q403" s="554"/>
      <c r="R403" s="553"/>
    </row>
    <row r="404" spans="2:18" x14ac:dyDescent="0.25">
      <c r="B404" s="151"/>
      <c r="C404" s="143"/>
      <c r="D404" s="143"/>
      <c r="E404" s="554"/>
      <c r="F404" s="554"/>
      <c r="G404" s="554"/>
      <c r="H404" s="554"/>
      <c r="I404" s="554"/>
      <c r="J404" s="554"/>
      <c r="K404" s="554"/>
      <c r="L404" s="554"/>
      <c r="M404" s="554"/>
      <c r="N404" s="554"/>
      <c r="O404" s="554"/>
      <c r="P404" s="554"/>
      <c r="Q404" s="554"/>
      <c r="R404" s="553"/>
    </row>
    <row r="405" spans="2:18" x14ac:dyDescent="0.25">
      <c r="B405" s="151"/>
      <c r="C405" s="143"/>
      <c r="D405" s="143"/>
      <c r="E405" s="554"/>
      <c r="F405" s="554"/>
      <c r="G405" s="554"/>
      <c r="H405" s="554"/>
      <c r="I405" s="554"/>
      <c r="J405" s="554"/>
      <c r="K405" s="554"/>
      <c r="L405" s="554"/>
      <c r="M405" s="554"/>
      <c r="N405" s="554"/>
      <c r="O405" s="554"/>
      <c r="P405" s="554"/>
      <c r="Q405" s="554"/>
      <c r="R405" s="553"/>
    </row>
    <row r="406" spans="2:18" x14ac:dyDescent="0.25">
      <c r="B406" s="151"/>
      <c r="C406" s="143"/>
      <c r="D406" s="143"/>
      <c r="E406" s="554"/>
      <c r="F406" s="554"/>
      <c r="G406" s="554"/>
      <c r="H406" s="554"/>
      <c r="I406" s="554"/>
      <c r="J406" s="554"/>
      <c r="K406" s="554"/>
      <c r="L406" s="554"/>
      <c r="M406" s="554"/>
      <c r="N406" s="554"/>
      <c r="O406" s="554"/>
      <c r="P406" s="554"/>
      <c r="Q406" s="554"/>
      <c r="R406" s="553"/>
    </row>
    <row r="407" spans="2:18" x14ac:dyDescent="0.25">
      <c r="B407" s="151"/>
      <c r="C407" s="143"/>
      <c r="D407" s="143"/>
      <c r="E407" s="554"/>
      <c r="F407" s="554"/>
      <c r="G407" s="554"/>
      <c r="H407" s="554"/>
      <c r="I407" s="554"/>
      <c r="J407" s="554"/>
      <c r="K407" s="554"/>
      <c r="L407" s="554"/>
      <c r="M407" s="554"/>
      <c r="N407" s="554"/>
      <c r="O407" s="554"/>
      <c r="P407" s="554"/>
      <c r="Q407" s="554"/>
      <c r="R407" s="553"/>
    </row>
    <row r="408" spans="2:18" x14ac:dyDescent="0.25">
      <c r="B408" s="151"/>
      <c r="C408" s="143"/>
      <c r="D408" s="143"/>
      <c r="E408" s="554"/>
      <c r="F408" s="554"/>
      <c r="G408" s="554"/>
      <c r="H408" s="554"/>
      <c r="I408" s="554"/>
      <c r="J408" s="554"/>
      <c r="K408" s="554"/>
      <c r="L408" s="554"/>
      <c r="M408" s="554"/>
      <c r="N408" s="554"/>
      <c r="O408" s="554"/>
      <c r="P408" s="554"/>
      <c r="Q408" s="554"/>
      <c r="R408" s="553"/>
    </row>
    <row r="409" spans="2:18" x14ac:dyDescent="0.25">
      <c r="B409" s="151"/>
      <c r="C409" s="143"/>
      <c r="D409" s="143"/>
      <c r="E409" s="554"/>
      <c r="F409" s="554"/>
      <c r="G409" s="554"/>
      <c r="H409" s="554"/>
      <c r="I409" s="554"/>
      <c r="J409" s="554"/>
      <c r="K409" s="554"/>
      <c r="L409" s="554"/>
      <c r="M409" s="554"/>
      <c r="N409" s="554"/>
      <c r="O409" s="554"/>
      <c r="P409" s="554"/>
      <c r="Q409" s="554"/>
      <c r="R409" s="553"/>
    </row>
    <row r="410" spans="2:18" x14ac:dyDescent="0.25">
      <c r="B410" s="151"/>
      <c r="C410" s="143"/>
      <c r="D410" s="143"/>
      <c r="E410" s="554"/>
      <c r="F410" s="554"/>
      <c r="G410" s="554"/>
      <c r="H410" s="554"/>
      <c r="I410" s="554"/>
      <c r="J410" s="554"/>
      <c r="K410" s="554"/>
      <c r="L410" s="554"/>
      <c r="M410" s="554"/>
      <c r="N410" s="554"/>
      <c r="O410" s="554"/>
      <c r="P410" s="554"/>
      <c r="Q410" s="554"/>
      <c r="R410" s="553"/>
    </row>
    <row r="411" spans="2:18" x14ac:dyDescent="0.25">
      <c r="B411" s="151"/>
      <c r="C411" s="143"/>
      <c r="D411" s="143"/>
      <c r="E411" s="554"/>
      <c r="F411" s="554"/>
      <c r="G411" s="554"/>
      <c r="H411" s="554"/>
      <c r="I411" s="554"/>
      <c r="J411" s="554"/>
      <c r="K411" s="554"/>
      <c r="L411" s="554"/>
      <c r="M411" s="554"/>
      <c r="N411" s="554"/>
      <c r="O411" s="554"/>
      <c r="P411" s="554"/>
      <c r="Q411" s="554"/>
      <c r="R411" s="553"/>
    </row>
    <row r="412" spans="2:18" x14ac:dyDescent="0.25">
      <c r="B412" s="151"/>
      <c r="C412" s="143"/>
      <c r="D412" s="143"/>
      <c r="E412" s="554"/>
      <c r="F412" s="554"/>
      <c r="G412" s="554"/>
      <c r="H412" s="554"/>
      <c r="I412" s="554"/>
      <c r="J412" s="554"/>
      <c r="K412" s="554"/>
      <c r="L412" s="554"/>
      <c r="M412" s="554"/>
      <c r="N412" s="554"/>
      <c r="O412" s="554"/>
      <c r="P412" s="554"/>
      <c r="Q412" s="554"/>
      <c r="R412" s="553"/>
    </row>
    <row r="413" spans="2:18" x14ac:dyDescent="0.25">
      <c r="B413" s="151"/>
      <c r="C413" s="143"/>
      <c r="D413" s="143"/>
      <c r="E413" s="554"/>
      <c r="F413" s="554"/>
      <c r="G413" s="554"/>
      <c r="H413" s="554"/>
      <c r="I413" s="554"/>
      <c r="J413" s="554"/>
      <c r="K413" s="554"/>
      <c r="L413" s="554"/>
      <c r="M413" s="554"/>
      <c r="N413" s="554"/>
      <c r="O413" s="554"/>
      <c r="P413" s="554"/>
      <c r="Q413" s="554"/>
      <c r="R413" s="553"/>
    </row>
    <row r="414" spans="2:18" x14ac:dyDescent="0.25">
      <c r="B414" s="151"/>
      <c r="C414" s="143"/>
      <c r="D414" s="143"/>
      <c r="E414" s="554"/>
      <c r="F414" s="554"/>
      <c r="G414" s="554"/>
      <c r="H414" s="554"/>
      <c r="I414" s="554"/>
      <c r="J414" s="554"/>
      <c r="K414" s="554"/>
      <c r="L414" s="554"/>
      <c r="M414" s="554"/>
      <c r="N414" s="554"/>
      <c r="O414" s="554"/>
      <c r="P414" s="554"/>
      <c r="Q414" s="554"/>
      <c r="R414" s="553"/>
    </row>
    <row r="415" spans="2:18" x14ac:dyDescent="0.25">
      <c r="B415" s="151"/>
      <c r="C415" s="143"/>
      <c r="D415" s="143"/>
      <c r="E415" s="554"/>
      <c r="F415" s="554"/>
      <c r="G415" s="554"/>
      <c r="H415" s="554"/>
      <c r="I415" s="554"/>
      <c r="J415" s="554"/>
      <c r="K415" s="554"/>
      <c r="L415" s="554"/>
      <c r="M415" s="554"/>
      <c r="N415" s="554"/>
      <c r="O415" s="554"/>
      <c r="P415" s="554"/>
      <c r="Q415" s="554"/>
      <c r="R415" s="553"/>
    </row>
    <row r="416" spans="2:18" x14ac:dyDescent="0.25">
      <c r="B416" s="151"/>
      <c r="C416" s="143"/>
      <c r="D416" s="143"/>
      <c r="E416" s="554"/>
      <c r="F416" s="554"/>
      <c r="G416" s="554"/>
      <c r="H416" s="554"/>
      <c r="I416" s="554"/>
      <c r="J416" s="554"/>
      <c r="K416" s="554"/>
      <c r="L416" s="554"/>
      <c r="M416" s="554"/>
      <c r="N416" s="554"/>
      <c r="O416" s="554"/>
      <c r="P416" s="554"/>
      <c r="Q416" s="554"/>
      <c r="R416" s="553"/>
    </row>
    <row r="417" spans="2:18" x14ac:dyDescent="0.25">
      <c r="B417" s="151"/>
      <c r="C417" s="143"/>
      <c r="D417" s="143"/>
      <c r="E417" s="554"/>
      <c r="F417" s="554"/>
      <c r="G417" s="554"/>
      <c r="H417" s="554"/>
      <c r="I417" s="554"/>
      <c r="J417" s="554"/>
      <c r="K417" s="554"/>
      <c r="L417" s="554"/>
      <c r="M417" s="554"/>
      <c r="N417" s="554"/>
      <c r="O417" s="554"/>
      <c r="P417" s="554"/>
      <c r="Q417" s="554"/>
      <c r="R417" s="553"/>
    </row>
    <row r="418" spans="2:18" x14ac:dyDescent="0.25">
      <c r="B418" s="151"/>
      <c r="C418" s="143"/>
      <c r="D418" s="143"/>
      <c r="E418" s="554"/>
      <c r="F418" s="554"/>
      <c r="G418" s="554"/>
      <c r="H418" s="554"/>
      <c r="I418" s="554"/>
      <c r="J418" s="554"/>
      <c r="K418" s="554"/>
      <c r="L418" s="554"/>
      <c r="M418" s="554"/>
      <c r="N418" s="554"/>
      <c r="O418" s="554"/>
      <c r="P418" s="554"/>
      <c r="Q418" s="554"/>
      <c r="R418" s="553"/>
    </row>
    <row r="419" spans="2:18" x14ac:dyDescent="0.25">
      <c r="B419" s="151"/>
      <c r="C419" s="143"/>
      <c r="D419" s="143"/>
      <c r="E419" s="554"/>
      <c r="F419" s="554"/>
      <c r="G419" s="554"/>
      <c r="H419" s="554"/>
      <c r="I419" s="554"/>
      <c r="J419" s="554"/>
      <c r="K419" s="554"/>
      <c r="L419" s="554"/>
      <c r="M419" s="554"/>
      <c r="N419" s="554"/>
      <c r="O419" s="554"/>
      <c r="P419" s="554"/>
      <c r="Q419" s="554"/>
      <c r="R419" s="553"/>
    </row>
    <row r="420" spans="2:18" x14ac:dyDescent="0.25">
      <c r="B420" s="151"/>
      <c r="C420" s="143"/>
      <c r="D420" s="143"/>
      <c r="E420" s="554"/>
      <c r="F420" s="554"/>
      <c r="G420" s="554"/>
      <c r="H420" s="554"/>
      <c r="I420" s="554"/>
      <c r="J420" s="554"/>
      <c r="K420" s="554"/>
      <c r="L420" s="554"/>
      <c r="M420" s="554"/>
      <c r="N420" s="554"/>
      <c r="O420" s="554"/>
      <c r="P420" s="554"/>
      <c r="Q420" s="554"/>
      <c r="R420" s="553"/>
    </row>
    <row r="421" spans="2:18" x14ac:dyDescent="0.25">
      <c r="B421" s="151"/>
      <c r="C421" s="143"/>
      <c r="D421" s="143"/>
      <c r="E421" s="554"/>
      <c r="F421" s="554"/>
      <c r="G421" s="554"/>
      <c r="H421" s="554"/>
      <c r="I421" s="554"/>
      <c r="J421" s="554"/>
      <c r="K421" s="554"/>
      <c r="L421" s="554"/>
      <c r="M421" s="554"/>
      <c r="N421" s="554"/>
      <c r="O421" s="554"/>
      <c r="P421" s="554"/>
      <c r="Q421" s="554"/>
      <c r="R421" s="553"/>
    </row>
    <row r="422" spans="2:18" x14ac:dyDescent="0.25">
      <c r="B422" s="151"/>
      <c r="C422" s="143"/>
      <c r="D422" s="143"/>
      <c r="E422" s="554"/>
      <c r="F422" s="554"/>
      <c r="G422" s="554"/>
      <c r="H422" s="554"/>
      <c r="I422" s="554"/>
      <c r="J422" s="554"/>
      <c r="K422" s="554"/>
      <c r="L422" s="554"/>
      <c r="M422" s="554"/>
      <c r="N422" s="554"/>
      <c r="O422" s="554"/>
      <c r="P422" s="554"/>
      <c r="Q422" s="554"/>
      <c r="R422" s="553"/>
    </row>
    <row r="423" spans="2:18" x14ac:dyDescent="0.25">
      <c r="B423" s="151"/>
      <c r="C423" s="143"/>
      <c r="D423" s="143"/>
      <c r="E423" s="554"/>
      <c r="F423" s="554"/>
      <c r="G423" s="554"/>
      <c r="H423" s="554"/>
      <c r="I423" s="554"/>
      <c r="J423" s="554"/>
      <c r="K423" s="554"/>
      <c r="L423" s="554"/>
      <c r="M423" s="554"/>
      <c r="N423" s="554"/>
      <c r="O423" s="554"/>
      <c r="P423" s="554"/>
      <c r="Q423" s="554"/>
      <c r="R423" s="553"/>
    </row>
    <row r="424" spans="2:18" x14ac:dyDescent="0.25">
      <c r="B424" s="151"/>
      <c r="C424" s="143"/>
      <c r="D424" s="143"/>
      <c r="E424" s="554"/>
      <c r="F424" s="554"/>
      <c r="G424" s="554"/>
      <c r="H424" s="554"/>
      <c r="I424" s="554"/>
      <c r="J424" s="554"/>
      <c r="K424" s="554"/>
      <c r="L424" s="554"/>
      <c r="M424" s="554"/>
      <c r="N424" s="554"/>
      <c r="O424" s="554"/>
      <c r="P424" s="554"/>
      <c r="Q424" s="554"/>
      <c r="R424" s="553"/>
    </row>
    <row r="425" spans="2:18" x14ac:dyDescent="0.25">
      <c r="B425" s="151"/>
      <c r="C425" s="143"/>
      <c r="D425" s="143"/>
      <c r="E425" s="554"/>
      <c r="F425" s="554"/>
      <c r="G425" s="554"/>
      <c r="H425" s="554"/>
      <c r="I425" s="554"/>
      <c r="J425" s="554"/>
      <c r="K425" s="554"/>
      <c r="L425" s="554"/>
      <c r="M425" s="554"/>
      <c r="N425" s="554"/>
      <c r="O425" s="554"/>
      <c r="P425" s="554"/>
      <c r="Q425" s="554"/>
      <c r="R425" s="553"/>
    </row>
    <row r="426" spans="2:18" x14ac:dyDescent="0.25">
      <c r="B426" s="151"/>
      <c r="C426" s="143"/>
      <c r="D426" s="143"/>
      <c r="E426" s="554"/>
      <c r="F426" s="554"/>
      <c r="G426" s="554"/>
      <c r="H426" s="554"/>
      <c r="I426" s="554"/>
      <c r="J426" s="554"/>
      <c r="K426" s="554"/>
      <c r="L426" s="554"/>
      <c r="M426" s="554"/>
      <c r="N426" s="554"/>
      <c r="O426" s="554"/>
      <c r="P426" s="554"/>
      <c r="Q426" s="554"/>
      <c r="R426" s="553"/>
    </row>
    <row r="427" spans="2:18" x14ac:dyDescent="0.25">
      <c r="B427" s="151"/>
      <c r="C427" s="143"/>
      <c r="D427" s="143"/>
      <c r="E427" s="554"/>
      <c r="F427" s="554"/>
      <c r="G427" s="554"/>
      <c r="H427" s="554"/>
      <c r="I427" s="554"/>
      <c r="J427" s="554"/>
      <c r="K427" s="554"/>
      <c r="L427" s="554"/>
      <c r="M427" s="554"/>
      <c r="N427" s="554"/>
      <c r="O427" s="554"/>
      <c r="P427" s="554"/>
      <c r="Q427" s="554"/>
      <c r="R427" s="553"/>
    </row>
    <row r="428" spans="2:18" x14ac:dyDescent="0.25">
      <c r="B428" s="151"/>
      <c r="C428" s="143"/>
      <c r="D428" s="143"/>
      <c r="E428" s="554"/>
      <c r="F428" s="554"/>
      <c r="G428" s="554"/>
      <c r="H428" s="554"/>
      <c r="I428" s="554"/>
      <c r="J428" s="554"/>
      <c r="K428" s="554"/>
      <c r="L428" s="554"/>
      <c r="M428" s="554"/>
      <c r="N428" s="554"/>
      <c r="O428" s="554"/>
      <c r="P428" s="554"/>
      <c r="Q428" s="554"/>
      <c r="R428" s="553"/>
    </row>
    <row r="429" spans="2:18" x14ac:dyDescent="0.25">
      <c r="B429" s="151"/>
      <c r="C429" s="143"/>
      <c r="D429" s="143"/>
      <c r="E429" s="554"/>
      <c r="F429" s="554"/>
      <c r="G429" s="554"/>
      <c r="H429" s="554"/>
      <c r="I429" s="554"/>
      <c r="J429" s="554"/>
      <c r="K429" s="554"/>
      <c r="L429" s="554"/>
      <c r="M429" s="554"/>
      <c r="N429" s="554"/>
      <c r="O429" s="554"/>
      <c r="P429" s="554"/>
      <c r="Q429" s="554"/>
      <c r="R429" s="553"/>
    </row>
    <row r="430" spans="2:18" x14ac:dyDescent="0.25">
      <c r="B430" s="151"/>
      <c r="C430" s="143"/>
      <c r="D430" s="143"/>
      <c r="E430" s="554"/>
      <c r="F430" s="554"/>
      <c r="G430" s="554"/>
      <c r="H430" s="554"/>
      <c r="I430" s="554"/>
      <c r="J430" s="554"/>
      <c r="K430" s="554"/>
      <c r="L430" s="554"/>
      <c r="M430" s="554"/>
      <c r="N430" s="554"/>
      <c r="O430" s="554"/>
      <c r="P430" s="554"/>
      <c r="Q430" s="554"/>
      <c r="R430" s="553"/>
    </row>
    <row r="431" spans="2:18" x14ac:dyDescent="0.25">
      <c r="B431" s="151"/>
      <c r="C431" s="143"/>
      <c r="D431" s="143"/>
      <c r="E431" s="554"/>
      <c r="F431" s="554"/>
      <c r="G431" s="554"/>
      <c r="H431" s="554"/>
      <c r="I431" s="554"/>
      <c r="J431" s="554"/>
      <c r="K431" s="554"/>
      <c r="L431" s="554"/>
      <c r="M431" s="554"/>
      <c r="N431" s="554"/>
      <c r="O431" s="554"/>
      <c r="P431" s="554"/>
      <c r="Q431" s="554"/>
      <c r="R431" s="553"/>
    </row>
    <row r="432" spans="2:18" x14ac:dyDescent="0.25">
      <c r="B432" s="151"/>
      <c r="C432" s="143"/>
      <c r="D432" s="143"/>
      <c r="E432" s="554"/>
      <c r="F432" s="554"/>
      <c r="G432" s="554"/>
      <c r="H432" s="554"/>
      <c r="I432" s="554"/>
      <c r="J432" s="554"/>
      <c r="K432" s="554"/>
      <c r="L432" s="554"/>
      <c r="M432" s="554"/>
      <c r="N432" s="554"/>
      <c r="O432" s="554"/>
      <c r="P432" s="554"/>
      <c r="Q432" s="554"/>
      <c r="R432" s="553"/>
    </row>
    <row r="433" spans="2:18" x14ac:dyDescent="0.25">
      <c r="B433" s="151"/>
      <c r="C433" s="143"/>
      <c r="D433" s="143"/>
      <c r="E433" s="554"/>
      <c r="F433" s="554"/>
      <c r="G433" s="554"/>
      <c r="H433" s="554"/>
      <c r="I433" s="554"/>
      <c r="J433" s="554"/>
      <c r="K433" s="554"/>
      <c r="L433" s="554"/>
      <c r="M433" s="554"/>
      <c r="N433" s="554"/>
      <c r="O433" s="554"/>
      <c r="P433" s="554"/>
      <c r="Q433" s="554"/>
      <c r="R433" s="553"/>
    </row>
    <row r="434" spans="2:18" x14ac:dyDescent="0.25">
      <c r="B434" s="151"/>
      <c r="C434" s="143"/>
      <c r="D434" s="143"/>
      <c r="E434" s="554"/>
      <c r="F434" s="554"/>
      <c r="G434" s="554"/>
      <c r="H434" s="554"/>
      <c r="I434" s="554"/>
      <c r="J434" s="554"/>
      <c r="K434" s="554"/>
      <c r="L434" s="554"/>
      <c r="M434" s="554"/>
      <c r="N434" s="554"/>
      <c r="O434" s="554"/>
      <c r="P434" s="554"/>
      <c r="Q434" s="554"/>
      <c r="R434" s="553"/>
    </row>
    <row r="435" spans="2:18" x14ac:dyDescent="0.25">
      <c r="B435" s="151"/>
      <c r="C435" s="143"/>
      <c r="D435" s="143"/>
      <c r="E435" s="554"/>
      <c r="F435" s="554"/>
      <c r="G435" s="554"/>
      <c r="H435" s="554"/>
      <c r="I435" s="554"/>
      <c r="J435" s="554"/>
      <c r="K435" s="554"/>
      <c r="L435" s="554"/>
      <c r="M435" s="554"/>
      <c r="N435" s="554"/>
      <c r="O435" s="554"/>
      <c r="P435" s="554"/>
      <c r="Q435" s="554"/>
      <c r="R435" s="553"/>
    </row>
    <row r="436" spans="2:18" x14ac:dyDescent="0.25">
      <c r="B436" s="151"/>
      <c r="C436" s="143"/>
      <c r="D436" s="143"/>
      <c r="E436" s="554"/>
      <c r="F436" s="554"/>
      <c r="G436" s="554"/>
      <c r="H436" s="554"/>
      <c r="I436" s="554"/>
      <c r="J436" s="554"/>
      <c r="K436" s="554"/>
      <c r="L436" s="554"/>
      <c r="M436" s="554"/>
      <c r="N436" s="554"/>
      <c r="O436" s="554"/>
      <c r="P436" s="554"/>
      <c r="Q436" s="554"/>
      <c r="R436" s="553"/>
    </row>
    <row r="437" spans="2:18" x14ac:dyDescent="0.25">
      <c r="B437" s="151"/>
      <c r="C437" s="143"/>
      <c r="D437" s="143"/>
      <c r="E437" s="554"/>
      <c r="F437" s="554"/>
      <c r="G437" s="554"/>
      <c r="H437" s="554"/>
      <c r="I437" s="554"/>
      <c r="J437" s="554"/>
      <c r="K437" s="554"/>
      <c r="L437" s="554"/>
      <c r="M437" s="554"/>
      <c r="N437" s="554"/>
      <c r="O437" s="554"/>
      <c r="P437" s="554"/>
      <c r="Q437" s="554"/>
      <c r="R437" s="553"/>
    </row>
    <row r="438" spans="2:18" x14ac:dyDescent="0.25">
      <c r="B438" s="151"/>
      <c r="C438" s="143"/>
      <c r="D438" s="143"/>
      <c r="E438" s="554"/>
      <c r="F438" s="554"/>
      <c r="G438" s="554"/>
      <c r="H438" s="554"/>
      <c r="I438" s="554"/>
      <c r="J438" s="554"/>
      <c r="K438" s="554"/>
      <c r="L438" s="554"/>
      <c r="M438" s="554"/>
      <c r="N438" s="554"/>
      <c r="O438" s="554"/>
      <c r="P438" s="554"/>
      <c r="Q438" s="554"/>
      <c r="R438" s="553"/>
    </row>
    <row r="439" spans="2:18" x14ac:dyDescent="0.25">
      <c r="B439" s="151"/>
      <c r="C439" s="143"/>
      <c r="D439" s="143"/>
      <c r="E439" s="554"/>
      <c r="F439" s="554"/>
      <c r="G439" s="554"/>
      <c r="H439" s="554"/>
      <c r="I439" s="554"/>
      <c r="J439" s="554"/>
      <c r="K439" s="554"/>
      <c r="L439" s="554"/>
      <c r="M439" s="554"/>
      <c r="N439" s="554"/>
      <c r="O439" s="554"/>
      <c r="P439" s="554"/>
      <c r="Q439" s="554"/>
      <c r="R439" s="553"/>
    </row>
    <row r="440" spans="2:18" x14ac:dyDescent="0.25">
      <c r="B440" s="151"/>
      <c r="C440" s="143"/>
      <c r="D440" s="143"/>
      <c r="E440" s="554"/>
      <c r="F440" s="554"/>
      <c r="G440" s="554"/>
      <c r="H440" s="554"/>
      <c r="I440" s="554"/>
      <c r="J440" s="554"/>
      <c r="K440" s="554"/>
      <c r="L440" s="554"/>
      <c r="M440" s="554"/>
      <c r="N440" s="554"/>
      <c r="O440" s="554"/>
      <c r="P440" s="554"/>
      <c r="Q440" s="554"/>
      <c r="R440" s="553"/>
    </row>
    <row r="441" spans="2:18" x14ac:dyDescent="0.25">
      <c r="B441" s="151"/>
      <c r="C441" s="143"/>
      <c r="D441" s="143"/>
      <c r="E441" s="554"/>
      <c r="F441" s="554"/>
      <c r="G441" s="554"/>
      <c r="H441" s="554"/>
      <c r="I441" s="554"/>
      <c r="J441" s="554"/>
      <c r="K441" s="554"/>
      <c r="L441" s="554"/>
      <c r="M441" s="554"/>
      <c r="N441" s="554"/>
      <c r="O441" s="554"/>
      <c r="P441" s="554"/>
      <c r="Q441" s="554"/>
      <c r="R441" s="553"/>
    </row>
    <row r="442" spans="2:18" x14ac:dyDescent="0.25">
      <c r="B442" s="151"/>
      <c r="C442" s="143"/>
      <c r="D442" s="143"/>
      <c r="E442" s="554"/>
      <c r="F442" s="554"/>
      <c r="G442" s="554"/>
      <c r="H442" s="554"/>
      <c r="I442" s="554"/>
      <c r="J442" s="554"/>
      <c r="K442" s="554"/>
      <c r="L442" s="554"/>
      <c r="M442" s="554"/>
      <c r="N442" s="554"/>
      <c r="O442" s="554"/>
      <c r="P442" s="554"/>
      <c r="Q442" s="554"/>
      <c r="R442" s="553"/>
    </row>
    <row r="443" spans="2:18" x14ac:dyDescent="0.25">
      <c r="B443" s="151"/>
      <c r="C443" s="143"/>
      <c r="D443" s="143"/>
      <c r="E443" s="554"/>
      <c r="F443" s="554"/>
      <c r="G443" s="554"/>
      <c r="H443" s="554"/>
      <c r="I443" s="554"/>
      <c r="J443" s="554"/>
      <c r="K443" s="554"/>
      <c r="L443" s="554"/>
      <c r="M443" s="554"/>
      <c r="N443" s="554"/>
      <c r="O443" s="554"/>
      <c r="P443" s="554"/>
      <c r="Q443" s="554"/>
      <c r="R443" s="553"/>
    </row>
    <row r="444" spans="2:18" x14ac:dyDescent="0.25">
      <c r="B444" s="151"/>
      <c r="C444" s="143"/>
      <c r="D444" s="143"/>
      <c r="E444" s="554"/>
      <c r="F444" s="554"/>
      <c r="G444" s="554"/>
      <c r="H444" s="554"/>
      <c r="I444" s="554"/>
      <c r="J444" s="554"/>
      <c r="K444" s="554"/>
      <c r="L444" s="554"/>
      <c r="M444" s="554"/>
      <c r="N444" s="554"/>
      <c r="O444" s="554"/>
      <c r="P444" s="554"/>
      <c r="Q444" s="554"/>
      <c r="R444" s="553"/>
    </row>
    <row r="445" spans="2:18" x14ac:dyDescent="0.25">
      <c r="B445" s="151"/>
      <c r="C445" s="143"/>
      <c r="D445" s="143"/>
      <c r="E445" s="554"/>
      <c r="F445" s="554"/>
      <c r="G445" s="554"/>
      <c r="H445" s="554"/>
      <c r="I445" s="554"/>
      <c r="J445" s="554"/>
      <c r="K445" s="554"/>
      <c r="L445" s="554"/>
      <c r="M445" s="554"/>
      <c r="N445" s="554"/>
      <c r="O445" s="554"/>
      <c r="P445" s="554"/>
      <c r="Q445" s="554"/>
      <c r="R445" s="553"/>
    </row>
    <row r="446" spans="2:18" x14ac:dyDescent="0.25">
      <c r="B446" s="151"/>
      <c r="C446" s="143"/>
      <c r="D446" s="143"/>
      <c r="E446" s="554"/>
      <c r="F446" s="554"/>
      <c r="G446" s="554"/>
      <c r="H446" s="554"/>
      <c r="I446" s="554"/>
      <c r="J446" s="554"/>
      <c r="K446" s="554"/>
      <c r="L446" s="554"/>
      <c r="M446" s="554"/>
      <c r="N446" s="554"/>
      <c r="O446" s="554"/>
      <c r="P446" s="554"/>
      <c r="Q446" s="554"/>
      <c r="R446" s="553"/>
    </row>
    <row r="447" spans="2:18" x14ac:dyDescent="0.25">
      <c r="B447" s="151"/>
      <c r="C447" s="143"/>
      <c r="D447" s="143"/>
      <c r="E447" s="554"/>
      <c r="F447" s="554"/>
      <c r="G447" s="554"/>
      <c r="H447" s="554"/>
      <c r="I447" s="554"/>
      <c r="J447" s="554"/>
      <c r="K447" s="554"/>
      <c r="L447" s="554"/>
      <c r="M447" s="554"/>
      <c r="N447" s="554"/>
      <c r="O447" s="554"/>
      <c r="P447" s="554"/>
      <c r="Q447" s="554"/>
      <c r="R447" s="553"/>
    </row>
    <row r="448" spans="2:18" x14ac:dyDescent="0.25">
      <c r="B448" s="151"/>
      <c r="C448" s="143"/>
      <c r="D448" s="143"/>
      <c r="E448" s="554"/>
      <c r="F448" s="554"/>
      <c r="G448" s="554"/>
      <c r="H448" s="554"/>
      <c r="I448" s="554"/>
      <c r="J448" s="554"/>
      <c r="K448" s="554"/>
      <c r="L448" s="554"/>
      <c r="M448" s="554"/>
      <c r="N448" s="554"/>
      <c r="O448" s="554"/>
      <c r="P448" s="554"/>
      <c r="Q448" s="554"/>
      <c r="R448" s="553"/>
    </row>
    <row r="449" spans="2:18" x14ac:dyDescent="0.25">
      <c r="B449" s="151"/>
      <c r="C449" s="143"/>
      <c r="D449" s="143"/>
      <c r="E449" s="554"/>
      <c r="F449" s="554"/>
      <c r="G449" s="554"/>
      <c r="H449" s="554"/>
      <c r="I449" s="554"/>
      <c r="J449" s="554"/>
      <c r="K449" s="554"/>
      <c r="L449" s="554"/>
      <c r="M449" s="554"/>
      <c r="N449" s="554"/>
      <c r="O449" s="554"/>
      <c r="P449" s="554"/>
      <c r="Q449" s="554"/>
      <c r="R449" s="553"/>
    </row>
    <row r="450" spans="2:18" x14ac:dyDescent="0.25">
      <c r="B450" s="151"/>
      <c r="C450" s="143"/>
      <c r="D450" s="143"/>
      <c r="E450" s="554"/>
      <c r="F450" s="554"/>
      <c r="G450" s="554"/>
      <c r="H450" s="554"/>
      <c r="I450" s="554"/>
      <c r="J450" s="554"/>
      <c r="K450" s="554"/>
      <c r="L450" s="554"/>
      <c r="M450" s="554"/>
      <c r="N450" s="554"/>
      <c r="O450" s="554"/>
      <c r="P450" s="554"/>
      <c r="Q450" s="554"/>
      <c r="R450" s="553"/>
    </row>
    <row r="451" spans="2:18" x14ac:dyDescent="0.25">
      <c r="B451" s="151"/>
      <c r="C451" s="143"/>
      <c r="D451" s="143"/>
      <c r="E451" s="554"/>
      <c r="F451" s="554"/>
      <c r="G451" s="554"/>
      <c r="H451" s="554"/>
      <c r="I451" s="554"/>
      <c r="J451" s="554"/>
      <c r="K451" s="554"/>
      <c r="L451" s="554"/>
      <c r="M451" s="554"/>
      <c r="N451" s="554"/>
      <c r="O451" s="554"/>
      <c r="P451" s="554"/>
      <c r="Q451" s="554"/>
      <c r="R451" s="553"/>
    </row>
    <row r="452" spans="2:18" x14ac:dyDescent="0.25">
      <c r="B452" s="151"/>
      <c r="C452" s="143"/>
      <c r="D452" s="143"/>
      <c r="E452" s="554"/>
      <c r="F452" s="554"/>
      <c r="G452" s="554"/>
      <c r="H452" s="554"/>
      <c r="I452" s="554"/>
      <c r="J452" s="554"/>
      <c r="K452" s="554"/>
      <c r="L452" s="554"/>
      <c r="M452" s="554"/>
      <c r="N452" s="554"/>
      <c r="O452" s="554"/>
      <c r="P452" s="554"/>
      <c r="Q452" s="554"/>
      <c r="R452" s="553"/>
    </row>
    <row r="453" spans="2:18" x14ac:dyDescent="0.25">
      <c r="B453" s="151"/>
      <c r="C453" s="143"/>
      <c r="D453" s="143"/>
      <c r="E453" s="554"/>
      <c r="F453" s="554"/>
      <c r="G453" s="554"/>
      <c r="H453" s="554"/>
      <c r="I453" s="554"/>
      <c r="J453" s="554"/>
      <c r="K453" s="554"/>
      <c r="L453" s="554"/>
      <c r="M453" s="554"/>
      <c r="N453" s="554"/>
      <c r="O453" s="554"/>
      <c r="P453" s="554"/>
      <c r="Q453" s="554"/>
      <c r="R453" s="553"/>
    </row>
    <row r="454" spans="2:18" x14ac:dyDescent="0.25">
      <c r="B454" s="151"/>
      <c r="C454" s="143"/>
      <c r="D454" s="143"/>
      <c r="E454" s="554"/>
      <c r="F454" s="554"/>
      <c r="G454" s="554"/>
      <c r="H454" s="554"/>
      <c r="I454" s="554"/>
      <c r="J454" s="554"/>
      <c r="K454" s="554"/>
      <c r="L454" s="554"/>
      <c r="M454" s="554"/>
      <c r="N454" s="554"/>
      <c r="O454" s="554"/>
      <c r="P454" s="554"/>
      <c r="Q454" s="554"/>
      <c r="R454" s="553"/>
    </row>
    <row r="455" spans="2:18" x14ac:dyDescent="0.25">
      <c r="B455" s="151"/>
      <c r="C455" s="143"/>
      <c r="D455" s="143"/>
      <c r="E455" s="554"/>
      <c r="F455" s="554"/>
      <c r="G455" s="554"/>
      <c r="H455" s="554"/>
      <c r="I455" s="554"/>
      <c r="J455" s="554"/>
      <c r="K455" s="554"/>
      <c r="L455" s="554"/>
      <c r="M455" s="554"/>
      <c r="N455" s="554"/>
      <c r="O455" s="554"/>
      <c r="P455" s="554"/>
      <c r="Q455" s="554"/>
      <c r="R455" s="553"/>
    </row>
    <row r="456" spans="2:18" x14ac:dyDescent="0.25">
      <c r="B456" s="151"/>
      <c r="C456" s="143"/>
      <c r="D456" s="143"/>
      <c r="E456" s="554"/>
      <c r="F456" s="554"/>
      <c r="G456" s="554"/>
      <c r="H456" s="554"/>
      <c r="I456" s="554"/>
      <c r="J456" s="554"/>
      <c r="K456" s="554"/>
      <c r="L456" s="554"/>
      <c r="M456" s="554"/>
      <c r="N456" s="554"/>
      <c r="O456" s="554"/>
      <c r="P456" s="554"/>
      <c r="Q456" s="554"/>
      <c r="R456" s="553"/>
    </row>
  </sheetData>
  <conditionalFormatting sqref="F3:H3">
    <cfRule type="cellIs" dxfId="27" priority="5" operator="equal">
      <formula>"ERROR"</formula>
    </cfRule>
    <cfRule type="cellIs" dxfId="26" priority="6" operator="equal">
      <formula>"GOOD"</formula>
    </cfRule>
  </conditionalFormatting>
  <conditionalFormatting sqref="J3:K3">
    <cfRule type="cellIs" dxfId="25" priority="3" operator="equal">
      <formula>"ERROR"</formula>
    </cfRule>
    <cfRule type="cellIs" dxfId="24" priority="4" operator="equal">
      <formula>"GOOD"</formula>
    </cfRule>
  </conditionalFormatting>
  <conditionalFormatting sqref="R11">
    <cfRule type="cellIs" dxfId="23" priority="21" operator="equal">
      <formula>"ERROR"</formula>
    </cfRule>
    <cfRule type="cellIs" dxfId="22" priority="22" operator="equal">
      <formula>"GOOD"</formula>
    </cfRule>
  </conditionalFormatting>
  <conditionalFormatting sqref="R14">
    <cfRule type="cellIs" dxfId="21" priority="19" operator="equal">
      <formula>"ERROR"</formula>
    </cfRule>
    <cfRule type="cellIs" dxfId="20" priority="20" operator="equal">
      <formula>"GOOD"</formula>
    </cfRule>
  </conditionalFormatting>
  <conditionalFormatting sqref="R16">
    <cfRule type="cellIs" dxfId="19" priority="17" operator="equal">
      <formula>"ERROR"</formula>
    </cfRule>
    <cfRule type="cellIs" dxfId="18" priority="18" operator="equal">
      <formula>"GOOD"</formula>
    </cfRule>
  </conditionalFormatting>
  <conditionalFormatting sqref="R18">
    <cfRule type="cellIs" dxfId="17" priority="1" operator="equal">
      <formula>"ERROR"</formula>
    </cfRule>
    <cfRule type="cellIs" dxfId="16" priority="2" operator="equal">
      <formula>"GOOD"</formula>
    </cfRule>
  </conditionalFormatting>
  <conditionalFormatting sqref="R20">
    <cfRule type="cellIs" dxfId="15" priority="7" operator="equal">
      <formula>"ERROR"</formula>
    </cfRule>
    <cfRule type="cellIs" dxfId="14" priority="8" operator="equal">
      <formula>"GOOD"</formula>
    </cfRule>
  </conditionalFormatting>
  <conditionalFormatting sqref="R22">
    <cfRule type="cellIs" dxfId="13" priority="15" operator="equal">
      <formula>"ERROR"</formula>
    </cfRule>
    <cfRule type="cellIs" dxfId="12" priority="16" operator="equal">
      <formula>"GOOD"</formula>
    </cfRule>
  </conditionalFormatting>
  <conditionalFormatting sqref="R29">
    <cfRule type="containsText" dxfId="11" priority="23" operator="containsText" text="ERROR">
      <formula>NOT(ISERROR(SEARCH("ERROR",R29)))</formula>
    </cfRule>
    <cfRule type="containsText" dxfId="10" priority="24" operator="containsText" text="GOOD">
      <formula>NOT(ISERROR(SEARCH("GOOD",R29)))</formula>
    </cfRule>
  </conditionalFormatting>
  <conditionalFormatting sqref="R33">
    <cfRule type="containsText" dxfId="9" priority="11" operator="containsText" text="ERROR">
      <formula>NOT(ISERROR(SEARCH("ERROR",R33)))</formula>
    </cfRule>
    <cfRule type="containsText" dxfId="8" priority="12" operator="containsText" text="GOOD">
      <formula>NOT(ISERROR(SEARCH("GOOD",R33)))</formula>
    </cfRule>
  </conditionalFormatting>
  <conditionalFormatting sqref="R37">
    <cfRule type="containsText" dxfId="7" priority="13" operator="containsText" text="ERROR">
      <formula>NOT(ISERROR(SEARCH("ERROR",R37)))</formula>
    </cfRule>
    <cfRule type="containsText" dxfId="6" priority="14" operator="containsText" text="GOOD">
      <formula>NOT(ISERROR(SEARCH("GOOD",R37)))</formula>
    </cfRule>
  </conditionalFormatting>
  <conditionalFormatting sqref="R39">
    <cfRule type="containsText" dxfId="5" priority="25" operator="containsText" text="ERROR">
      <formula>NOT(ISERROR(SEARCH("ERROR",R39)))</formula>
    </cfRule>
    <cfRule type="containsText" dxfId="4" priority="26" operator="containsText" text="GOOD">
      <formula>NOT(ISERROR(SEARCH("GOOD",R39)))</formula>
    </cfRule>
  </conditionalFormatting>
  <conditionalFormatting sqref="R45:R46">
    <cfRule type="cellIs" dxfId="3" priority="9" operator="equal">
      <formula>"ERROR"</formula>
    </cfRule>
    <cfRule type="cellIs" dxfId="2" priority="10" operator="equal">
      <formula>"GOOD"</formula>
    </cfRule>
  </conditionalFormatting>
  <conditionalFormatting sqref="R50">
    <cfRule type="containsText" dxfId="1" priority="27" operator="containsText" text="ERROR">
      <formula>NOT(ISERROR(SEARCH("ERROR",R50)))</formula>
    </cfRule>
    <cfRule type="containsText" dxfId="0" priority="28" operator="containsText" text="GOOD">
      <formula>NOT(ISERROR(SEARCH("GOOD",R50)))</formula>
    </cfRule>
  </conditionalFormatting>
  <printOptions horizontalCentered="1"/>
  <pageMargins left="0.5" right="0.5" top="0.5" bottom="0.5" header="0.25" footer="0.25"/>
  <pageSetup scale="48" orientation="landscape" r:id="rId1"/>
  <headerFooter alignWithMargins="0">
    <oddHeader>&amp;R&amp;"Arial,Regular"NWN WUTC Advice 25-08
Exhibit A - Supporting Materials
Page &amp;P of &amp;N</oddHeader>
  </headerFooter>
  <rowBreaks count="1" manualBreakCount="1">
    <brk id="40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E80C-57BE-49C7-AF16-D105609DD24C}">
  <sheetPr>
    <tabColor theme="0" tint="-0.14999847407452621"/>
    <pageSetUpPr fitToPage="1"/>
  </sheetPr>
  <dimension ref="A1:AI393"/>
  <sheetViews>
    <sheetView showGridLines="0" zoomScale="80" zoomScaleNormal="80" workbookViewId="0">
      <pane xSplit="3" ySplit="11" topLeftCell="D12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6640625" defaultRowHeight="15" x14ac:dyDescent="0.25"/>
  <cols>
    <col min="1" max="1" width="7.1640625" style="551" customWidth="1"/>
    <col min="2" max="2" width="35.6640625" style="551" customWidth="1"/>
    <col min="3" max="16" width="13.83203125" style="551" customWidth="1"/>
    <col min="17" max="18" width="13.83203125" style="551" hidden="1" customWidth="1"/>
    <col min="19" max="29" width="13.83203125" style="551" customWidth="1"/>
    <col min="30" max="30" width="5" style="551" customWidth="1"/>
    <col min="31" max="31" width="13.83203125" style="551" customWidth="1"/>
    <col min="32" max="32" width="5" style="551" customWidth="1"/>
    <col min="33" max="54" width="13.83203125" style="551" customWidth="1"/>
    <col min="55" max="16384" width="9.6640625" style="551"/>
  </cols>
  <sheetData>
    <row r="1" spans="1:35" x14ac:dyDescent="0.25">
      <c r="A1" s="551" t="str">
        <f>+'[14]Supply Contracts'!A1</f>
        <v>NW Natural</v>
      </c>
    </row>
    <row r="2" spans="1:35" x14ac:dyDescent="0.25">
      <c r="A2" s="551" t="str">
        <f>+'[14]Supply Contracts'!A2</f>
        <v>2025-2026 PGA - SYSTEM: September Filing</v>
      </c>
    </row>
    <row r="3" spans="1:35" x14ac:dyDescent="0.25">
      <c r="A3" s="551" t="s">
        <v>433</v>
      </c>
    </row>
    <row r="4" spans="1:35" x14ac:dyDescent="0.25">
      <c r="A4" s="551" t="s">
        <v>434</v>
      </c>
    </row>
    <row r="5" spans="1:35" ht="15.75" thickBot="1" x14ac:dyDescent="0.3"/>
    <row r="6" spans="1:35" ht="15.75" thickBot="1" x14ac:dyDescent="0.3">
      <c r="A6" s="613" t="s">
        <v>435</v>
      </c>
      <c r="B6" s="612"/>
      <c r="C6" s="611"/>
    </row>
    <row r="8" spans="1:35" x14ac:dyDescent="0.25">
      <c r="A8" s="559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0"/>
      <c r="AF8" s="610"/>
      <c r="AG8" s="610"/>
      <c r="AH8" s="610"/>
      <c r="AI8" s="610"/>
    </row>
    <row r="9" spans="1:35" x14ac:dyDescent="0.25">
      <c r="A9" s="552">
        <v>1</v>
      </c>
      <c r="B9" s="610" t="s">
        <v>331</v>
      </c>
      <c r="C9" s="610" t="s">
        <v>330</v>
      </c>
      <c r="D9" s="610" t="s">
        <v>329</v>
      </c>
      <c r="E9" s="610" t="s">
        <v>328</v>
      </c>
      <c r="F9" s="610" t="s">
        <v>366</v>
      </c>
      <c r="G9" s="610" t="s">
        <v>325</v>
      </c>
      <c r="H9" s="610" t="s">
        <v>324</v>
      </c>
      <c r="I9" s="610" t="s">
        <v>365</v>
      </c>
      <c r="J9" s="610" t="s">
        <v>376</v>
      </c>
      <c r="K9" s="610" t="s">
        <v>377</v>
      </c>
      <c r="L9" s="610" t="s">
        <v>378</v>
      </c>
      <c r="M9" s="610" t="s">
        <v>379</v>
      </c>
      <c r="N9" s="610" t="s">
        <v>380</v>
      </c>
      <c r="O9" s="610" t="s">
        <v>381</v>
      </c>
      <c r="P9" s="610" t="s">
        <v>382</v>
      </c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</row>
    <row r="10" spans="1:35" x14ac:dyDescent="0.25">
      <c r="A10" s="552">
        <f t="shared" ref="A10:A33" si="0">+A9+1</f>
        <v>2</v>
      </c>
      <c r="B10" s="131"/>
      <c r="D10" s="607" t="s">
        <v>383</v>
      </c>
      <c r="E10" s="607" t="s">
        <v>384</v>
      </c>
      <c r="F10" s="607" t="s">
        <v>385</v>
      </c>
      <c r="G10" s="607" t="s">
        <v>386</v>
      </c>
      <c r="H10" s="607" t="s">
        <v>387</v>
      </c>
      <c r="I10" s="607" t="s">
        <v>388</v>
      </c>
      <c r="J10" s="607" t="s">
        <v>389</v>
      </c>
      <c r="K10" s="607" t="s">
        <v>390</v>
      </c>
      <c r="L10" s="607" t="s">
        <v>391</v>
      </c>
      <c r="M10" s="607" t="s">
        <v>392</v>
      </c>
      <c r="N10" s="607" t="s">
        <v>393</v>
      </c>
      <c r="O10" s="607" t="s">
        <v>394</v>
      </c>
      <c r="P10" s="607" t="s">
        <v>27</v>
      </c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F10" s="552"/>
      <c r="AG10" s="552"/>
    </row>
    <row r="11" spans="1:35" x14ac:dyDescent="0.25">
      <c r="A11" s="552">
        <f t="shared" si="0"/>
        <v>3</v>
      </c>
      <c r="B11" s="131"/>
      <c r="D11" s="552">
        <f>INDEX('[14]Hedged Spot Dispatch &amp; Cost'!$D$20:$D$31,'Total Commodity Summary'!D9:O9)</f>
        <v>30</v>
      </c>
      <c r="E11" s="552">
        <f>INDEX('[14]Hedged Spot Dispatch &amp; Cost'!$D$20:$D$31,'Total Commodity Summary'!E9:P9)</f>
        <v>31</v>
      </c>
      <c r="F11" s="552">
        <f>INDEX('[14]Hedged Spot Dispatch &amp; Cost'!$D$20:$D$31,'Total Commodity Summary'!F9:P9)</f>
        <v>31</v>
      </c>
      <c r="G11" s="552">
        <f>INDEX('[14]Hedged Spot Dispatch &amp; Cost'!$D$20:$D$31,'Total Commodity Summary'!G9:P9)</f>
        <v>28</v>
      </c>
      <c r="H11" s="552">
        <f>INDEX('[14]Hedged Spot Dispatch &amp; Cost'!$D$20:$D$31,'Total Commodity Summary'!H9:P9)</f>
        <v>31</v>
      </c>
      <c r="I11" s="552">
        <f>INDEX('[14]Hedged Spot Dispatch &amp; Cost'!$D$20:$D$31,'Total Commodity Summary'!I9:P9)</f>
        <v>30</v>
      </c>
      <c r="J11" s="552">
        <f>INDEX('[14]Hedged Spot Dispatch &amp; Cost'!$D$20:$D$31,'Total Commodity Summary'!J9:P9)</f>
        <v>31</v>
      </c>
      <c r="K11" s="552">
        <f>INDEX('[14]Hedged Spot Dispatch &amp; Cost'!$D$20:$D$31,'Total Commodity Summary'!K9:P9)</f>
        <v>30</v>
      </c>
      <c r="L11" s="552">
        <f>INDEX('[14]Hedged Spot Dispatch &amp; Cost'!$D$20:$D$31,'Total Commodity Summary'!L9:P9)</f>
        <v>31</v>
      </c>
      <c r="M11" s="552">
        <f>INDEX('[14]Hedged Spot Dispatch &amp; Cost'!$D$20:$D$31,'Total Commodity Summary'!M9:P9)</f>
        <v>31</v>
      </c>
      <c r="N11" s="552">
        <f>INDEX('[14]Hedged Spot Dispatch &amp; Cost'!$D$20:$D$31,'Total Commodity Summary'!N9:P9)</f>
        <v>30</v>
      </c>
      <c r="O11" s="552">
        <f>INDEX('[14]Hedged Spot Dispatch &amp; Cost'!$D$20:$D$31,'Total Commodity Summary'!O9:P9)</f>
        <v>31</v>
      </c>
      <c r="P11" s="552">
        <f>SUM(D11:O11)</f>
        <v>365</v>
      </c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</row>
    <row r="12" spans="1:35" x14ac:dyDescent="0.25">
      <c r="A12" s="552">
        <f t="shared" si="0"/>
        <v>4</v>
      </c>
      <c r="B12" s="132" t="s">
        <v>436</v>
      </c>
      <c r="P12" s="610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</row>
    <row r="13" spans="1:35" x14ac:dyDescent="0.25">
      <c r="A13" s="552">
        <f t="shared" si="0"/>
        <v>5</v>
      </c>
      <c r="B13" s="131"/>
      <c r="C13" s="131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584"/>
      <c r="R13" s="617"/>
      <c r="S13" s="584"/>
      <c r="T13" s="584"/>
      <c r="U13" s="584"/>
      <c r="V13" s="584"/>
      <c r="W13" s="584"/>
      <c r="X13" s="584"/>
      <c r="Y13" s="584"/>
      <c r="Z13" s="584"/>
      <c r="AA13" s="584"/>
      <c r="AB13" s="584"/>
      <c r="AC13" s="584"/>
      <c r="AD13" s="584"/>
      <c r="AE13" s="552"/>
      <c r="AF13" s="584"/>
      <c r="AG13" s="584"/>
    </row>
    <row r="14" spans="1:35" x14ac:dyDescent="0.25">
      <c r="A14" s="552">
        <f t="shared" si="0"/>
        <v>6</v>
      </c>
      <c r="B14" s="131" t="s">
        <v>437</v>
      </c>
      <c r="D14" s="198">
        <f>'[38]Demand Charges'!D14</f>
        <v>4018544.125</v>
      </c>
      <c r="E14" s="198">
        <f>'[38]Demand Charges'!E14</f>
        <v>4152495.9625000004</v>
      </c>
      <c r="F14" s="198">
        <f>'[38]Demand Charges'!F14</f>
        <v>4152495.9625000004</v>
      </c>
      <c r="G14" s="198">
        <f>'[38]Demand Charges'!G14</f>
        <v>3750641.45</v>
      </c>
      <c r="H14" s="198">
        <f>'[38]Demand Charges'!H14</f>
        <v>4152495.9625000004</v>
      </c>
      <c r="I14" s="198">
        <f>'[38]Demand Charges'!I14</f>
        <v>3927859</v>
      </c>
      <c r="J14" s="198">
        <f>'[38]Demand Charges'!J14</f>
        <v>4058788</v>
      </c>
      <c r="K14" s="198">
        <f>'[38]Demand Charges'!K14</f>
        <v>3927859</v>
      </c>
      <c r="L14" s="198">
        <f>'[38]Demand Charges'!L14</f>
        <v>4058788</v>
      </c>
      <c r="M14" s="198">
        <f>'[38]Demand Charges'!M14</f>
        <v>4058788</v>
      </c>
      <c r="N14" s="198">
        <f>'[38]Demand Charges'!N14</f>
        <v>3927859</v>
      </c>
      <c r="O14" s="198">
        <f>'[38]Demand Charges'!O14</f>
        <v>4058788</v>
      </c>
      <c r="P14" s="556">
        <f>SUM(D14:O14)</f>
        <v>48245402.462499999</v>
      </c>
      <c r="Q14" s="556">
        <v>176979</v>
      </c>
      <c r="R14" s="199">
        <f>+Q14/(P14-Q14)</f>
        <v>3.6818141152074194E-3</v>
      </c>
      <c r="S14" s="584"/>
      <c r="T14" s="556"/>
      <c r="U14" s="163"/>
      <c r="V14" s="584"/>
      <c r="W14" s="584"/>
      <c r="X14" s="584"/>
      <c r="Y14" s="584"/>
      <c r="Z14" s="584"/>
      <c r="AA14" s="584"/>
      <c r="AB14" s="584"/>
      <c r="AC14" s="584"/>
      <c r="AD14" s="584"/>
      <c r="AE14" s="552"/>
      <c r="AF14" s="584"/>
      <c r="AG14" s="584"/>
    </row>
    <row r="15" spans="1:35" x14ac:dyDescent="0.25">
      <c r="A15" s="552">
        <f t="shared" si="0"/>
        <v>7</v>
      </c>
      <c r="B15" s="131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584"/>
      <c r="T15" s="145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52"/>
      <c r="AF15" s="584"/>
      <c r="AG15" s="584"/>
    </row>
    <row r="16" spans="1:35" x14ac:dyDescent="0.25">
      <c r="A16" s="552">
        <f t="shared" si="0"/>
        <v>8</v>
      </c>
      <c r="B16" s="551" t="s">
        <v>438</v>
      </c>
      <c r="D16" s="145">
        <f>'[38]Demand Charges'!D16</f>
        <v>867774.20269877836</v>
      </c>
      <c r="E16" s="145">
        <f>'[38]Demand Charges'!E16</f>
        <v>867774.20269877836</v>
      </c>
      <c r="F16" s="145">
        <f>'[38]Demand Charges'!F16</f>
        <v>867774.20269877836</v>
      </c>
      <c r="G16" s="145">
        <f>'[38]Demand Charges'!G16</f>
        <v>867774.20269877836</v>
      </c>
      <c r="H16" s="145">
        <f>'[38]Demand Charges'!H16</f>
        <v>867774.20269877836</v>
      </c>
      <c r="I16" s="145">
        <f>'[38]Demand Charges'!I16</f>
        <v>867774.20269877836</v>
      </c>
      <c r="J16" s="145">
        <f>'[38]Demand Charges'!J16</f>
        <v>867774.20269877836</v>
      </c>
      <c r="K16" s="145">
        <f>'[38]Demand Charges'!K16</f>
        <v>867774.20269877836</v>
      </c>
      <c r="L16" s="145">
        <f>'[38]Demand Charges'!L16</f>
        <v>867774.20269877836</v>
      </c>
      <c r="M16" s="145">
        <f>'[38]Demand Charges'!M16</f>
        <v>867774.20269877836</v>
      </c>
      <c r="N16" s="145">
        <f>'[38]Demand Charges'!N16</f>
        <v>867774.20269877836</v>
      </c>
      <c r="O16" s="145">
        <f>'[38]Demand Charges'!O16</f>
        <v>867774.20269877836</v>
      </c>
      <c r="P16" s="145">
        <f>SUM(D16:O16)</f>
        <v>10413290.43238534</v>
      </c>
      <c r="Q16" s="145">
        <v>1709294.3603865849</v>
      </c>
      <c r="R16" s="199">
        <f>+Q16/(P16-Q16)</f>
        <v>0.19638041495508951</v>
      </c>
      <c r="S16" s="584"/>
      <c r="T16" s="145"/>
      <c r="U16" s="163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</row>
    <row r="17" spans="1:33" x14ac:dyDescent="0.25">
      <c r="A17" s="552">
        <f t="shared" si="0"/>
        <v>9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554"/>
      <c r="T17" s="145"/>
      <c r="U17" s="554"/>
      <c r="V17" s="554"/>
      <c r="W17" s="554"/>
      <c r="X17" s="554"/>
      <c r="Y17" s="554"/>
      <c r="Z17" s="554"/>
      <c r="AA17" s="554"/>
      <c r="AB17" s="554"/>
      <c r="AC17" s="554"/>
      <c r="AD17" s="554"/>
      <c r="AE17" s="554"/>
      <c r="AF17" s="554"/>
      <c r="AG17" s="554"/>
    </row>
    <row r="18" spans="1:33" x14ac:dyDescent="0.25">
      <c r="A18" s="552">
        <f t="shared" si="0"/>
        <v>10</v>
      </c>
      <c r="B18" s="551" t="s">
        <v>439</v>
      </c>
      <c r="D18" s="145">
        <f>'[38]Demand Charges'!D18</f>
        <v>504041.96560132736</v>
      </c>
      <c r="E18" s="145">
        <f>'[38]Demand Charges'!E18</f>
        <v>504041.96560132736</v>
      </c>
      <c r="F18" s="145">
        <f>'[38]Demand Charges'!F18</f>
        <v>504041.96560132736</v>
      </c>
      <c r="G18" s="145">
        <f>'[38]Demand Charges'!G18</f>
        <v>504041.96560132736</v>
      </c>
      <c r="H18" s="145">
        <f>'[38]Demand Charges'!H18</f>
        <v>504041.96560132736</v>
      </c>
      <c r="I18" s="145">
        <f>'[38]Demand Charges'!I18</f>
        <v>449898.96560132736</v>
      </c>
      <c r="J18" s="145">
        <f>'[38]Demand Charges'!J18</f>
        <v>449898.96560132736</v>
      </c>
      <c r="K18" s="145">
        <f>'[38]Demand Charges'!K18</f>
        <v>449898.96560132736</v>
      </c>
      <c r="L18" s="145">
        <f>'[38]Demand Charges'!L18</f>
        <v>449898.96560132736</v>
      </c>
      <c r="M18" s="145">
        <f>'[38]Demand Charges'!M18</f>
        <v>449898.96560132736</v>
      </c>
      <c r="N18" s="145">
        <f>'[38]Demand Charges'!N18</f>
        <v>449898.96560132736</v>
      </c>
      <c r="O18" s="145">
        <f>'[38]Demand Charges'!O18</f>
        <v>504041.96560132736</v>
      </c>
      <c r="P18" s="145">
        <f>SUM(D18:O18)</f>
        <v>5723645.5872159265</v>
      </c>
      <c r="Q18" s="145">
        <v>2275219.639603965</v>
      </c>
      <c r="R18" s="199">
        <f>+Q18/(P18-Q18)</f>
        <v>0.65978497847099105</v>
      </c>
      <c r="S18" s="584"/>
      <c r="T18" s="145"/>
      <c r="U18" s="163"/>
      <c r="V18" s="554"/>
      <c r="W18" s="554"/>
      <c r="X18" s="554"/>
      <c r="Y18" s="554"/>
      <c r="Z18" s="554"/>
      <c r="AA18" s="554"/>
      <c r="AB18" s="554"/>
      <c r="AC18" s="554"/>
      <c r="AD18" s="554"/>
      <c r="AE18" s="554"/>
      <c r="AF18" s="554"/>
      <c r="AG18" s="554"/>
    </row>
    <row r="19" spans="1:33" x14ac:dyDescent="0.25">
      <c r="A19" s="552">
        <f t="shared" si="0"/>
        <v>11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584"/>
      <c r="T19" s="135"/>
      <c r="U19" s="584"/>
      <c r="V19" s="584"/>
      <c r="W19" s="584"/>
      <c r="X19" s="584"/>
      <c r="Y19" s="584"/>
      <c r="Z19" s="584"/>
      <c r="AA19" s="584"/>
      <c r="AB19" s="584"/>
      <c r="AC19" s="584"/>
      <c r="AD19" s="584"/>
      <c r="AE19" s="552"/>
      <c r="AF19" s="584"/>
      <c r="AG19" s="584"/>
    </row>
    <row r="20" spans="1:33" x14ac:dyDescent="0.25">
      <c r="A20" s="552">
        <f t="shared" si="0"/>
        <v>12</v>
      </c>
      <c r="B20" s="551" t="s">
        <v>440</v>
      </c>
      <c r="D20" s="145">
        <f>'[38]Demand Charges'!D20</f>
        <v>404282.20382340002</v>
      </c>
      <c r="E20" s="145">
        <f>'[38]Demand Charges'!E20</f>
        <v>417758.27728418005</v>
      </c>
      <c r="F20" s="145">
        <f>'[38]Demand Charges'!F20</f>
        <v>417758.27728418005</v>
      </c>
      <c r="G20" s="145">
        <f>'[38]Demand Charges'!G20</f>
        <v>377330.05690184003</v>
      </c>
      <c r="H20" s="145">
        <f>'[38]Demand Charges'!H20</f>
        <v>417758.27728418005</v>
      </c>
      <c r="I20" s="145">
        <f>'[38]Demand Charges'!I20</f>
        <v>340227.69407040003</v>
      </c>
      <c r="J20" s="145">
        <f>'[38]Demand Charges'!J20</f>
        <v>351568.61720608</v>
      </c>
      <c r="K20" s="145">
        <f>'[38]Demand Charges'!K20</f>
        <v>340227.69407040003</v>
      </c>
      <c r="L20" s="145">
        <f>'[38]Demand Charges'!L20</f>
        <v>351568.61720608</v>
      </c>
      <c r="M20" s="145">
        <f>'[38]Demand Charges'!M20</f>
        <v>351568.61720608</v>
      </c>
      <c r="N20" s="145">
        <f>'[38]Demand Charges'!N20</f>
        <v>340227.69407040003</v>
      </c>
      <c r="O20" s="145">
        <f>'[38]Demand Charges'!O20</f>
        <v>417758.27728418005</v>
      </c>
      <c r="P20" s="145">
        <f>SUM(D20:O20)</f>
        <v>4528034.3036914002</v>
      </c>
      <c r="Q20" s="145">
        <v>639567</v>
      </c>
      <c r="R20" s="199">
        <f>+Q20/(P20-Q20)</f>
        <v>0.16447791637410611</v>
      </c>
      <c r="S20" s="584"/>
      <c r="T20" s="145"/>
      <c r="U20" s="163"/>
      <c r="V20" s="554"/>
      <c r="W20" s="554"/>
      <c r="X20" s="554"/>
      <c r="Y20" s="554"/>
      <c r="Z20" s="554"/>
      <c r="AA20" s="554"/>
      <c r="AB20" s="554"/>
      <c r="AC20" s="554"/>
      <c r="AD20" s="554"/>
      <c r="AE20" s="554"/>
      <c r="AF20" s="554"/>
      <c r="AG20" s="554"/>
    </row>
    <row r="21" spans="1:33" x14ac:dyDescent="0.25">
      <c r="A21" s="552">
        <f t="shared" si="0"/>
        <v>13</v>
      </c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145"/>
      <c r="Q21" s="145"/>
      <c r="R21" s="145"/>
      <c r="S21" s="554"/>
      <c r="T21" s="145"/>
      <c r="U21" s="163"/>
      <c r="V21" s="554"/>
      <c r="W21" s="554"/>
      <c r="X21" s="554"/>
      <c r="Y21" s="554"/>
      <c r="Z21" s="554"/>
      <c r="AA21" s="554"/>
      <c r="AB21" s="554"/>
      <c r="AC21" s="554"/>
      <c r="AD21" s="554"/>
      <c r="AE21" s="554"/>
      <c r="AF21" s="554"/>
      <c r="AG21" s="554"/>
    </row>
    <row r="22" spans="1:33" x14ac:dyDescent="0.25">
      <c r="A22" s="552">
        <f t="shared" si="0"/>
        <v>14</v>
      </c>
      <c r="B22" s="551" t="s">
        <v>441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>
        <f>SUM(D22:O22)</f>
        <v>0</v>
      </c>
      <c r="Q22" s="145">
        <v>854656</v>
      </c>
      <c r="R22" s="199">
        <f>+Q22/(P22-Q22)</f>
        <v>-1</v>
      </c>
      <c r="S22" s="584"/>
      <c r="T22" s="145"/>
      <c r="U22" s="163"/>
      <c r="V22" s="584"/>
      <c r="W22" s="584"/>
      <c r="X22" s="584"/>
      <c r="Y22" s="584"/>
      <c r="Z22" s="584"/>
      <c r="AA22" s="584"/>
      <c r="AB22" s="584"/>
      <c r="AC22" s="584"/>
      <c r="AD22" s="584"/>
      <c r="AE22" s="552"/>
      <c r="AF22" s="584"/>
      <c r="AG22" s="584"/>
    </row>
    <row r="23" spans="1:33" x14ac:dyDescent="0.25">
      <c r="A23" s="552">
        <f t="shared" si="0"/>
        <v>15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99"/>
      <c r="S23" s="584"/>
      <c r="T23" s="145"/>
      <c r="U23" s="584"/>
      <c r="V23" s="584"/>
      <c r="W23" s="584"/>
      <c r="X23" s="584"/>
      <c r="Y23" s="584"/>
      <c r="Z23" s="584"/>
      <c r="AA23" s="584"/>
      <c r="AB23" s="584"/>
      <c r="AC23" s="584"/>
      <c r="AD23" s="584"/>
      <c r="AE23" s="552"/>
      <c r="AF23" s="584"/>
      <c r="AG23" s="584"/>
    </row>
    <row r="24" spans="1:33" x14ac:dyDescent="0.25">
      <c r="A24" s="552">
        <f t="shared" si="0"/>
        <v>16</v>
      </c>
      <c r="B24" s="551" t="s">
        <v>442</v>
      </c>
      <c r="D24" s="145">
        <f>'[38]Demand Charges'!D24</f>
        <v>3191632</v>
      </c>
      <c r="E24" s="145">
        <f>'[38]Demand Charges'!E24</f>
        <v>702082</v>
      </c>
      <c r="F24" s="145">
        <f>'[38]Demand Charges'!F24</f>
        <v>702082</v>
      </c>
      <c r="G24" s="145">
        <f>'[38]Demand Charges'!G24</f>
        <v>670732</v>
      </c>
      <c r="H24" s="145">
        <f>'[38]Demand Charges'!H24</f>
        <v>702082</v>
      </c>
      <c r="I24" s="145">
        <f>'[38]Demand Charges'!I24</f>
        <v>1295877</v>
      </c>
      <c r="J24" s="145">
        <f>'[38]Demand Charges'!J24</f>
        <v>1314117</v>
      </c>
      <c r="K24" s="145">
        <f>'[38]Demand Charges'!K24</f>
        <v>1295877</v>
      </c>
      <c r="L24" s="145">
        <f>'[38]Demand Charges'!L24</f>
        <v>1314117</v>
      </c>
      <c r="M24" s="145">
        <f>'[38]Demand Charges'!M24</f>
        <v>1314117</v>
      </c>
      <c r="N24" s="145">
        <f>'[38]Demand Charges'!N24</f>
        <v>1295877</v>
      </c>
      <c r="O24" s="145">
        <f>'[38]Demand Charges'!O24</f>
        <v>1314117</v>
      </c>
      <c r="P24" s="145">
        <f>SUM(D24:O24)</f>
        <v>15112709</v>
      </c>
      <c r="Q24" s="145"/>
      <c r="R24" s="199"/>
      <c r="S24" s="584"/>
      <c r="T24" s="145"/>
      <c r="U24" s="163"/>
      <c r="V24" s="584"/>
      <c r="W24" s="584"/>
      <c r="X24" s="584"/>
      <c r="Y24" s="584"/>
      <c r="Z24" s="584"/>
      <c r="AA24" s="584"/>
      <c r="AB24" s="584"/>
      <c r="AC24" s="584"/>
      <c r="AD24" s="584"/>
      <c r="AE24" s="552"/>
      <c r="AF24" s="584"/>
      <c r="AG24" s="584"/>
    </row>
    <row r="25" spans="1:33" x14ac:dyDescent="0.25">
      <c r="A25" s="552">
        <f t="shared" si="0"/>
        <v>17</v>
      </c>
      <c r="B25" s="131"/>
      <c r="C25" s="131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584"/>
      <c r="T25" s="145"/>
      <c r="U25" s="584"/>
      <c r="V25" s="584"/>
      <c r="W25" s="584"/>
      <c r="X25" s="584"/>
      <c r="Y25" s="584"/>
      <c r="Z25" s="584"/>
      <c r="AA25" s="584"/>
      <c r="AB25" s="584"/>
      <c r="AC25" s="584"/>
      <c r="AD25" s="584"/>
      <c r="AE25" s="552"/>
      <c r="AF25" s="584"/>
      <c r="AG25" s="584"/>
    </row>
    <row r="26" spans="1:33" x14ac:dyDescent="0.25">
      <c r="A26" s="552">
        <f t="shared" si="0"/>
        <v>18</v>
      </c>
      <c r="B26" s="131" t="s">
        <v>443</v>
      </c>
      <c r="C26" s="131"/>
      <c r="D26" s="145">
        <f>'[38]Demand Charges'!D26</f>
        <v>18688.190000000002</v>
      </c>
      <c r="E26" s="145">
        <f>'[38]Demand Charges'!E26</f>
        <v>18688.190000000002</v>
      </c>
      <c r="F26" s="145">
        <f>'[38]Demand Charges'!F26</f>
        <v>18688.190000000002</v>
      </c>
      <c r="G26" s="145">
        <f>'[38]Demand Charges'!G26</f>
        <v>18688.190000000002</v>
      </c>
      <c r="H26" s="145">
        <f>'[38]Demand Charges'!H26</f>
        <v>18688.190000000002</v>
      </c>
      <c r="I26" s="145">
        <f>'[38]Demand Charges'!I26</f>
        <v>18688.190000000002</v>
      </c>
      <c r="J26" s="145">
        <f>'[38]Demand Charges'!J26</f>
        <v>18688.190000000002</v>
      </c>
      <c r="K26" s="145">
        <f>'[38]Demand Charges'!K26</f>
        <v>18688.190000000002</v>
      </c>
      <c r="L26" s="145">
        <f>'[38]Demand Charges'!L26</f>
        <v>18688.190000000002</v>
      </c>
      <c r="M26" s="145">
        <f>'[38]Demand Charges'!M26</f>
        <v>18688.190000000002</v>
      </c>
      <c r="N26" s="145">
        <f>'[38]Demand Charges'!N26</f>
        <v>18688.190000000002</v>
      </c>
      <c r="O26" s="145">
        <f>'[38]Demand Charges'!O26</f>
        <v>18688.190000000002</v>
      </c>
      <c r="P26" s="145">
        <f>SUM(D26:O26)</f>
        <v>224258.28000000003</v>
      </c>
      <c r="Q26" s="145">
        <v>0</v>
      </c>
      <c r="R26" s="199">
        <f>+Q26/(P26-Q26)</f>
        <v>0</v>
      </c>
      <c r="S26" s="584"/>
      <c r="T26" s="145"/>
      <c r="U26" s="163"/>
      <c r="V26" s="584"/>
      <c r="W26" s="584"/>
      <c r="X26" s="584"/>
      <c r="Y26" s="584"/>
      <c r="Z26" s="584"/>
      <c r="AA26" s="584"/>
      <c r="AB26" s="584"/>
      <c r="AC26" s="584"/>
      <c r="AD26" s="584"/>
      <c r="AE26" s="552"/>
      <c r="AF26" s="584"/>
      <c r="AG26" s="584"/>
    </row>
    <row r="27" spans="1:33" x14ac:dyDescent="0.25">
      <c r="A27" s="552">
        <f t="shared" si="0"/>
        <v>19</v>
      </c>
      <c r="B27" s="131"/>
      <c r="C27" s="131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99"/>
      <c r="S27" s="584"/>
      <c r="T27" s="145"/>
      <c r="U27" s="163"/>
      <c r="V27" s="584"/>
      <c r="W27" s="584"/>
      <c r="X27" s="584"/>
      <c r="Y27" s="584"/>
      <c r="Z27" s="584"/>
      <c r="AA27" s="584"/>
      <c r="AB27" s="584"/>
      <c r="AC27" s="584"/>
      <c r="AD27" s="584"/>
      <c r="AE27" s="552"/>
      <c r="AF27" s="584"/>
      <c r="AG27" s="584"/>
    </row>
    <row r="28" spans="1:33" x14ac:dyDescent="0.25">
      <c r="A28" s="552">
        <f t="shared" si="0"/>
        <v>20</v>
      </c>
      <c r="B28" s="131" t="s">
        <v>444</v>
      </c>
      <c r="C28" s="131"/>
      <c r="D28" s="145">
        <f>'[38]Demand Charges'!D28</f>
        <v>-424043.16830010578</v>
      </c>
      <c r="E28" s="145">
        <f>'[38]Demand Charges'!E28</f>
        <v>-424043.16830010578</v>
      </c>
      <c r="F28" s="145">
        <f>'[38]Demand Charges'!F28</f>
        <v>-424043.16830010578</v>
      </c>
      <c r="G28" s="145">
        <f>'[38]Demand Charges'!G28</f>
        <v>-424043.16830010578</v>
      </c>
      <c r="H28" s="145">
        <f>'[38]Demand Charges'!H28</f>
        <v>-424043.16830010578</v>
      </c>
      <c r="I28" s="145">
        <f>'[38]Demand Charges'!I28</f>
        <v>-424043.16830010578</v>
      </c>
      <c r="J28" s="145">
        <f>'[38]Demand Charges'!J28</f>
        <v>-424043.16830010578</v>
      </c>
      <c r="K28" s="145">
        <f>'[38]Demand Charges'!K28</f>
        <v>-424043.16830010578</v>
      </c>
      <c r="L28" s="145">
        <f>'[38]Demand Charges'!L28</f>
        <v>-424043.16830010578</v>
      </c>
      <c r="M28" s="145">
        <f>'[38]Demand Charges'!M28</f>
        <v>-424043.16830010578</v>
      </c>
      <c r="N28" s="145">
        <f>'[38]Demand Charges'!N28</f>
        <v>-424043.16830010578</v>
      </c>
      <c r="O28" s="145">
        <f>'[38]Demand Charges'!O28</f>
        <v>-424043.16830010578</v>
      </c>
      <c r="P28" s="145">
        <f>SUM(D28:O28)</f>
        <v>-5088518.0196012706</v>
      </c>
      <c r="Q28" s="145"/>
      <c r="R28" s="199"/>
      <c r="S28" s="584"/>
      <c r="T28" s="145"/>
      <c r="U28" s="163"/>
      <c r="V28" s="584"/>
      <c r="W28" s="584"/>
      <c r="X28" s="584"/>
      <c r="Y28" s="584"/>
      <c r="Z28" s="584"/>
      <c r="AA28" s="584"/>
      <c r="AB28" s="584"/>
      <c r="AC28" s="584"/>
      <c r="AD28" s="584"/>
      <c r="AE28" s="552"/>
      <c r="AF28" s="584"/>
      <c r="AG28" s="584"/>
    </row>
    <row r="29" spans="1:33" x14ac:dyDescent="0.25">
      <c r="A29" s="552">
        <f t="shared" si="0"/>
        <v>21</v>
      </c>
      <c r="D29" s="143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145"/>
      <c r="Q29" s="145"/>
      <c r="R29" s="145"/>
      <c r="S29" s="554"/>
      <c r="T29" s="554"/>
      <c r="U29" s="554"/>
      <c r="V29" s="554"/>
      <c r="W29" s="554"/>
      <c r="X29" s="554"/>
      <c r="Y29" s="554"/>
      <c r="Z29" s="554"/>
      <c r="AA29" s="554"/>
      <c r="AB29" s="554"/>
      <c r="AC29" s="554"/>
      <c r="AD29" s="554"/>
      <c r="AE29" s="554"/>
      <c r="AF29" s="554"/>
      <c r="AG29" s="554"/>
    </row>
    <row r="30" spans="1:33" ht="15.75" thickBot="1" x14ac:dyDescent="0.3">
      <c r="A30" s="552">
        <f t="shared" si="0"/>
        <v>22</v>
      </c>
      <c r="B30" s="131" t="s">
        <v>445</v>
      </c>
      <c r="C30" s="131"/>
      <c r="D30" s="141">
        <f t="shared" ref="D30:O30" si="1">SUM(D13:D29)</f>
        <v>8580919.5188234001</v>
      </c>
      <c r="E30" s="141">
        <f t="shared" si="1"/>
        <v>6238797.4297841797</v>
      </c>
      <c r="F30" s="141">
        <f t="shared" si="1"/>
        <v>6238797.4297841797</v>
      </c>
      <c r="G30" s="141">
        <f t="shared" si="1"/>
        <v>5765164.6969018411</v>
      </c>
      <c r="H30" s="141">
        <f t="shared" si="1"/>
        <v>6238797.4297841797</v>
      </c>
      <c r="I30" s="141">
        <f t="shared" si="1"/>
        <v>6476281.8840703992</v>
      </c>
      <c r="J30" s="141">
        <f t="shared" si="1"/>
        <v>6636791.8072060794</v>
      </c>
      <c r="K30" s="141">
        <f t="shared" si="1"/>
        <v>6476281.8840703992</v>
      </c>
      <c r="L30" s="141">
        <f t="shared" si="1"/>
        <v>6636791.8072060794</v>
      </c>
      <c r="M30" s="141">
        <f t="shared" si="1"/>
        <v>6636791.8072060794</v>
      </c>
      <c r="N30" s="141">
        <f t="shared" si="1"/>
        <v>6476281.8840703992</v>
      </c>
      <c r="O30" s="141">
        <f t="shared" si="1"/>
        <v>6757124.4672841793</v>
      </c>
      <c r="P30" s="141">
        <f>SUM(D30:O30)</f>
        <v>79158822.046191379</v>
      </c>
      <c r="Q30" s="141">
        <f>SUM(Q14:Q29)</f>
        <v>5655715.9999905499</v>
      </c>
      <c r="R30" s="199">
        <f>+Q30/(P30-Q30)</f>
        <v>7.694526536654947E-2</v>
      </c>
      <c r="S30" s="584"/>
      <c r="T30" s="584"/>
      <c r="U30" s="163"/>
      <c r="V30" s="584"/>
      <c r="W30" s="584"/>
      <c r="X30" s="584"/>
      <c r="Y30" s="584"/>
      <c r="Z30" s="584"/>
      <c r="AA30" s="584"/>
      <c r="AB30" s="584"/>
      <c r="AC30" s="584"/>
      <c r="AD30" s="584"/>
      <c r="AE30" s="552"/>
      <c r="AF30" s="584"/>
      <c r="AG30" s="584"/>
    </row>
    <row r="31" spans="1:33" ht="15.75" thickTop="1" x14ac:dyDescent="0.25">
      <c r="A31" s="552">
        <f t="shared" si="0"/>
        <v>23</v>
      </c>
      <c r="B31" s="131"/>
      <c r="C31" s="131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52"/>
      <c r="AF31" s="584"/>
      <c r="AG31" s="584"/>
    </row>
    <row r="32" spans="1:33" x14ac:dyDescent="0.25">
      <c r="A32" s="552">
        <f t="shared" si="0"/>
        <v>24</v>
      </c>
      <c r="B32" s="559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554"/>
      <c r="R32" s="554"/>
      <c r="S32" s="554"/>
      <c r="T32" s="554"/>
      <c r="U32" s="554"/>
      <c r="V32" s="554"/>
      <c r="W32" s="554"/>
      <c r="X32" s="554"/>
      <c r="Y32" s="554"/>
      <c r="Z32" s="554"/>
      <c r="AA32" s="554"/>
      <c r="AB32" s="554"/>
      <c r="AC32" s="554"/>
      <c r="AD32" s="554"/>
      <c r="AE32" s="554"/>
      <c r="AF32" s="554"/>
      <c r="AG32" s="554"/>
    </row>
    <row r="33" spans="1:33" x14ac:dyDescent="0.25">
      <c r="A33" s="552">
        <f t="shared" si="0"/>
        <v>25</v>
      </c>
      <c r="C33" s="200"/>
      <c r="D33" s="143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145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554"/>
      <c r="AE33" s="152"/>
      <c r="AF33" s="554"/>
      <c r="AG33" s="554"/>
    </row>
    <row r="34" spans="1:33" x14ac:dyDescent="0.25">
      <c r="A34" s="552"/>
      <c r="C34" s="189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554"/>
      <c r="R34" s="554"/>
      <c r="S34" s="554"/>
      <c r="T34" s="554"/>
      <c r="U34" s="554"/>
      <c r="V34" s="554"/>
      <c r="W34" s="554"/>
      <c r="X34" s="554"/>
      <c r="Y34" s="554"/>
      <c r="Z34" s="554"/>
      <c r="AA34" s="554"/>
      <c r="AB34" s="554"/>
      <c r="AC34" s="554"/>
      <c r="AD34" s="554"/>
      <c r="AF34" s="554"/>
      <c r="AG34" s="554"/>
    </row>
    <row r="35" spans="1:33" x14ac:dyDescent="0.25">
      <c r="A35" s="552"/>
      <c r="D35" s="143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4"/>
      <c r="U35" s="554"/>
      <c r="V35" s="554"/>
      <c r="W35" s="554"/>
      <c r="X35" s="554"/>
      <c r="Y35" s="556"/>
      <c r="Z35" s="556"/>
      <c r="AA35" s="556"/>
      <c r="AB35" s="556"/>
      <c r="AC35" s="556"/>
      <c r="AD35" s="556"/>
      <c r="AE35" s="556"/>
      <c r="AF35" s="556"/>
      <c r="AG35" s="556"/>
    </row>
    <row r="36" spans="1:33" x14ac:dyDescent="0.25">
      <c r="A36" s="552"/>
      <c r="D36" s="143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4"/>
      <c r="U36" s="554"/>
      <c r="V36" s="616"/>
      <c r="W36" s="554"/>
      <c r="X36" s="554"/>
      <c r="Y36" s="556"/>
      <c r="Z36" s="556"/>
      <c r="AA36" s="556"/>
      <c r="AB36" s="556"/>
      <c r="AC36" s="556"/>
      <c r="AD36" s="556"/>
      <c r="AE36" s="556"/>
      <c r="AF36" s="556"/>
      <c r="AG36" s="556"/>
    </row>
    <row r="37" spans="1:33" x14ac:dyDescent="0.25">
      <c r="A37" s="552"/>
      <c r="D37" s="143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202"/>
      <c r="U37" s="202"/>
      <c r="V37" s="616"/>
      <c r="W37" s="554"/>
      <c r="X37" s="554"/>
      <c r="Y37" s="556"/>
      <c r="Z37" s="556"/>
      <c r="AA37" s="556"/>
      <c r="AB37" s="556"/>
      <c r="AC37" s="556"/>
      <c r="AD37" s="556"/>
      <c r="AE37" s="556"/>
      <c r="AF37" s="556"/>
      <c r="AG37" s="556"/>
    </row>
    <row r="38" spans="1:33" x14ac:dyDescent="0.25">
      <c r="A38" s="552"/>
      <c r="D38" s="143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4"/>
      <c r="U38" s="554"/>
      <c r="V38" s="616"/>
      <c r="W38" s="554"/>
      <c r="X38" s="616"/>
      <c r="Y38" s="556"/>
      <c r="Z38" s="556"/>
      <c r="AA38" s="556"/>
      <c r="AB38" s="556"/>
      <c r="AC38" s="556"/>
      <c r="AD38" s="556"/>
      <c r="AE38" s="556"/>
      <c r="AF38" s="556"/>
      <c r="AG38" s="556"/>
    </row>
    <row r="39" spans="1:33" x14ac:dyDescent="0.25">
      <c r="A39" s="552"/>
      <c r="B39" s="151"/>
      <c r="C39" s="143"/>
      <c r="D39" s="143"/>
      <c r="E39" s="556"/>
      <c r="F39" s="556"/>
      <c r="G39" s="556"/>
      <c r="H39" s="556"/>
      <c r="I39" s="556"/>
      <c r="J39" s="556"/>
      <c r="K39" s="556"/>
      <c r="L39" s="556"/>
      <c r="M39" s="556"/>
      <c r="N39" s="556"/>
      <c r="O39" s="556"/>
      <c r="P39" s="556"/>
      <c r="Q39" s="556"/>
      <c r="R39" s="556"/>
      <c r="S39" s="556"/>
      <c r="T39" s="554"/>
      <c r="U39" s="202"/>
      <c r="V39" s="554"/>
      <c r="W39" s="554"/>
      <c r="X39" s="554"/>
      <c r="Y39" s="556"/>
      <c r="Z39" s="556"/>
      <c r="AA39" s="556"/>
      <c r="AB39" s="556"/>
      <c r="AC39" s="556"/>
      <c r="AD39" s="556"/>
      <c r="AE39" s="556"/>
      <c r="AF39" s="556"/>
      <c r="AG39" s="556"/>
    </row>
    <row r="40" spans="1:33" x14ac:dyDescent="0.25">
      <c r="A40" s="552"/>
      <c r="B40" s="151"/>
      <c r="C40" s="143"/>
      <c r="D40" s="143"/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4"/>
      <c r="R40" s="554"/>
      <c r="S40" s="554"/>
      <c r="T40" s="554"/>
      <c r="U40" s="554"/>
      <c r="V40" s="554"/>
      <c r="W40" s="554"/>
      <c r="X40" s="554"/>
      <c r="Y40" s="554"/>
      <c r="Z40" s="554"/>
      <c r="AA40" s="554"/>
      <c r="AB40" s="554"/>
      <c r="AC40" s="554"/>
      <c r="AD40" s="554"/>
      <c r="AF40" s="554"/>
      <c r="AG40" s="554"/>
    </row>
    <row r="41" spans="1:33" x14ac:dyDescent="0.25">
      <c r="A41" s="552"/>
      <c r="B41" s="151"/>
      <c r="C41" s="143"/>
      <c r="D41" s="143"/>
      <c r="E41" s="554"/>
      <c r="F41" s="554"/>
      <c r="G41" s="554"/>
      <c r="H41" s="554"/>
      <c r="I41" s="554"/>
      <c r="J41" s="554"/>
      <c r="K41" s="554"/>
      <c r="L41" s="554"/>
      <c r="M41" s="554"/>
      <c r="N41" s="554"/>
      <c r="O41" s="554"/>
      <c r="P41" s="554"/>
      <c r="Q41" s="554"/>
      <c r="R41" s="554"/>
      <c r="S41" s="554"/>
      <c r="T41" s="554"/>
      <c r="U41" s="554"/>
      <c r="V41" s="554"/>
      <c r="W41" s="554"/>
      <c r="X41" s="554"/>
      <c r="Y41" s="554"/>
      <c r="Z41" s="554"/>
      <c r="AA41" s="554"/>
      <c r="AB41" s="554"/>
      <c r="AC41" s="554"/>
      <c r="AD41" s="554"/>
      <c r="AF41" s="554"/>
      <c r="AG41" s="554"/>
    </row>
    <row r="42" spans="1:33" x14ac:dyDescent="0.25">
      <c r="A42" s="552"/>
      <c r="B42" s="559"/>
      <c r="D42" s="143"/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4"/>
      <c r="P42" s="554"/>
      <c r="Q42" s="554"/>
      <c r="R42" s="554"/>
      <c r="S42" s="554"/>
      <c r="T42" s="554"/>
      <c r="U42" s="554"/>
      <c r="V42" s="554"/>
      <c r="W42" s="554"/>
      <c r="X42" s="554"/>
      <c r="Y42" s="554"/>
      <c r="Z42" s="554"/>
      <c r="AA42" s="554"/>
      <c r="AB42" s="554"/>
      <c r="AC42" s="554"/>
      <c r="AD42" s="554"/>
      <c r="AF42" s="554"/>
      <c r="AG42" s="554"/>
    </row>
    <row r="43" spans="1:33" x14ac:dyDescent="0.25">
      <c r="A43" s="552"/>
      <c r="B43" s="151"/>
      <c r="C43" s="143"/>
      <c r="D43" s="143"/>
      <c r="E43" s="554"/>
      <c r="F43" s="554"/>
      <c r="G43" s="554"/>
      <c r="H43" s="554"/>
      <c r="I43" s="554"/>
      <c r="J43" s="554"/>
      <c r="K43" s="554"/>
      <c r="L43" s="554"/>
      <c r="M43" s="554"/>
      <c r="N43" s="554"/>
      <c r="O43" s="554"/>
      <c r="P43" s="554"/>
      <c r="Q43" s="554"/>
      <c r="R43" s="554"/>
      <c r="S43" s="554"/>
      <c r="T43" s="554"/>
      <c r="U43" s="554"/>
      <c r="V43" s="554"/>
      <c r="W43" s="554"/>
      <c r="X43" s="554"/>
      <c r="Y43" s="554"/>
      <c r="Z43" s="554"/>
      <c r="AA43" s="554"/>
      <c r="AB43" s="554"/>
      <c r="AC43" s="554"/>
      <c r="AD43" s="554"/>
      <c r="AF43" s="554"/>
      <c r="AG43" s="554"/>
    </row>
    <row r="44" spans="1:33" x14ac:dyDescent="0.25">
      <c r="A44" s="552"/>
      <c r="D44" s="143"/>
      <c r="E44" s="557"/>
      <c r="F44" s="556"/>
      <c r="G44" s="556"/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6"/>
      <c r="U44" s="556"/>
      <c r="V44" s="556"/>
      <c r="W44" s="556"/>
      <c r="X44" s="556"/>
      <c r="Y44" s="556"/>
      <c r="Z44" s="556"/>
      <c r="AA44" s="556"/>
      <c r="AB44" s="556"/>
      <c r="AC44" s="556"/>
      <c r="AD44" s="556"/>
      <c r="AE44" s="557"/>
      <c r="AF44" s="556"/>
      <c r="AG44" s="556"/>
    </row>
    <row r="45" spans="1:33" x14ac:dyDescent="0.25">
      <c r="A45" s="552"/>
      <c r="D45" s="143"/>
      <c r="E45" s="557"/>
      <c r="F45" s="556"/>
      <c r="G45" s="556"/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6"/>
      <c r="X45" s="556"/>
      <c r="Y45" s="556"/>
      <c r="Z45" s="556"/>
      <c r="AA45" s="556"/>
      <c r="AB45" s="556"/>
      <c r="AC45" s="556"/>
      <c r="AD45" s="556"/>
      <c r="AE45" s="557"/>
      <c r="AF45" s="556"/>
      <c r="AG45" s="556"/>
    </row>
    <row r="46" spans="1:33" x14ac:dyDescent="0.25">
      <c r="A46" s="552"/>
      <c r="D46" s="143"/>
      <c r="E46" s="557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6"/>
      <c r="X46" s="556"/>
      <c r="Y46" s="556"/>
      <c r="Z46" s="556"/>
      <c r="AA46" s="556"/>
      <c r="AB46" s="556"/>
      <c r="AC46" s="556"/>
      <c r="AD46" s="556"/>
      <c r="AE46" s="557"/>
      <c r="AF46" s="556"/>
      <c r="AG46" s="556"/>
    </row>
    <row r="47" spans="1:33" x14ac:dyDescent="0.25">
      <c r="A47" s="552"/>
      <c r="D47" s="143"/>
      <c r="E47" s="557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6"/>
      <c r="X47" s="556"/>
      <c r="Y47" s="556"/>
      <c r="Z47" s="556"/>
      <c r="AA47" s="556"/>
      <c r="AB47" s="556"/>
      <c r="AC47" s="556"/>
      <c r="AD47" s="556"/>
      <c r="AE47" s="557"/>
      <c r="AF47" s="556"/>
      <c r="AG47" s="556"/>
    </row>
    <row r="48" spans="1:33" x14ac:dyDescent="0.25">
      <c r="A48" s="552"/>
      <c r="D48" s="143"/>
      <c r="E48" s="557"/>
      <c r="F48" s="556"/>
      <c r="G48" s="556"/>
      <c r="H48" s="556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6"/>
      <c r="X48" s="556"/>
      <c r="Y48" s="556"/>
      <c r="Z48" s="556"/>
      <c r="AA48" s="556"/>
      <c r="AB48" s="556"/>
      <c r="AC48" s="556"/>
      <c r="AD48" s="556"/>
      <c r="AE48" s="557"/>
      <c r="AF48" s="556"/>
      <c r="AG48" s="556"/>
    </row>
    <row r="49" spans="1:33" x14ac:dyDescent="0.25">
      <c r="A49" s="552"/>
      <c r="D49" s="143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7"/>
      <c r="T49" s="557"/>
      <c r="U49" s="557"/>
      <c r="V49" s="557"/>
      <c r="W49" s="557"/>
      <c r="X49" s="557"/>
      <c r="Y49" s="557"/>
      <c r="Z49" s="557"/>
      <c r="AA49" s="557"/>
      <c r="AB49" s="557"/>
      <c r="AC49" s="557"/>
      <c r="AD49" s="556"/>
      <c r="AE49" s="557"/>
      <c r="AF49" s="556"/>
      <c r="AG49" s="556"/>
    </row>
    <row r="50" spans="1:33" x14ac:dyDescent="0.25">
      <c r="A50" s="552"/>
      <c r="D50" s="143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  <c r="S50" s="557"/>
      <c r="T50" s="557"/>
      <c r="U50" s="557"/>
      <c r="V50" s="557"/>
      <c r="W50" s="557"/>
      <c r="X50" s="557"/>
      <c r="Y50" s="557"/>
      <c r="Z50" s="557"/>
      <c r="AA50" s="557"/>
      <c r="AB50" s="557"/>
      <c r="AC50" s="557"/>
      <c r="AD50" s="556"/>
      <c r="AE50" s="557"/>
      <c r="AF50" s="556"/>
      <c r="AG50" s="556"/>
    </row>
    <row r="51" spans="1:33" x14ac:dyDescent="0.25">
      <c r="A51" s="552"/>
      <c r="D51" s="143"/>
      <c r="E51" s="557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  <c r="S51" s="557"/>
      <c r="T51" s="557"/>
      <c r="U51" s="557"/>
      <c r="V51" s="557"/>
      <c r="W51" s="557"/>
      <c r="X51" s="557"/>
      <c r="Y51" s="557"/>
      <c r="Z51" s="557"/>
      <c r="AA51" s="557"/>
      <c r="AB51" s="557"/>
      <c r="AC51" s="557"/>
      <c r="AD51" s="556"/>
      <c r="AE51" s="557"/>
      <c r="AF51" s="556"/>
      <c r="AG51" s="556"/>
    </row>
    <row r="52" spans="1:33" x14ac:dyDescent="0.25">
      <c r="A52" s="552"/>
      <c r="D52" s="143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  <c r="AA52" s="557"/>
      <c r="AB52" s="557"/>
      <c r="AC52" s="557"/>
      <c r="AD52" s="556"/>
      <c r="AE52" s="557"/>
      <c r="AF52" s="556"/>
      <c r="AG52" s="556"/>
    </row>
    <row r="53" spans="1:33" x14ac:dyDescent="0.25">
      <c r="A53" s="552"/>
      <c r="D53" s="143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  <c r="T53" s="557"/>
      <c r="U53" s="557"/>
      <c r="V53" s="557"/>
      <c r="W53" s="557"/>
      <c r="X53" s="557"/>
      <c r="Y53" s="557"/>
      <c r="Z53" s="557"/>
      <c r="AA53" s="557"/>
      <c r="AB53" s="557"/>
      <c r="AC53" s="557"/>
      <c r="AD53" s="556"/>
      <c r="AE53" s="557"/>
      <c r="AF53" s="556"/>
      <c r="AG53" s="556"/>
    </row>
    <row r="54" spans="1:33" x14ac:dyDescent="0.25">
      <c r="A54" s="552"/>
      <c r="D54" s="143"/>
      <c r="E54" s="557"/>
      <c r="F54" s="557"/>
      <c r="G54" s="557"/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557"/>
      <c r="S54" s="557"/>
      <c r="T54" s="557"/>
      <c r="U54" s="557"/>
      <c r="V54" s="557"/>
      <c r="W54" s="557"/>
      <c r="X54" s="557"/>
      <c r="Y54" s="557"/>
      <c r="Z54" s="557"/>
      <c r="AA54" s="557"/>
      <c r="AB54" s="557"/>
      <c r="AC54" s="557"/>
      <c r="AD54" s="556"/>
      <c r="AE54" s="557"/>
      <c r="AF54" s="556"/>
      <c r="AG54" s="556"/>
    </row>
    <row r="55" spans="1:33" x14ac:dyDescent="0.25">
      <c r="A55" s="552"/>
      <c r="D55" s="143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6"/>
      <c r="AE55" s="557"/>
      <c r="AF55" s="556"/>
      <c r="AG55" s="556"/>
    </row>
    <row r="56" spans="1:33" x14ac:dyDescent="0.25">
      <c r="A56" s="552"/>
      <c r="B56" s="151"/>
      <c r="C56" s="143"/>
      <c r="D56" s="143"/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556"/>
      <c r="AB56" s="556"/>
      <c r="AC56" s="556"/>
      <c r="AD56" s="556"/>
      <c r="AE56" s="556"/>
      <c r="AF56" s="556"/>
      <c r="AG56" s="556"/>
    </row>
    <row r="57" spans="1:33" x14ac:dyDescent="0.25">
      <c r="A57" s="552"/>
      <c r="B57" s="151"/>
      <c r="C57" s="143"/>
      <c r="D57" s="143"/>
      <c r="E57" s="554"/>
      <c r="F57" s="554"/>
      <c r="G57" s="554"/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554"/>
      <c r="T57" s="554"/>
      <c r="U57" s="554"/>
      <c r="V57" s="554"/>
      <c r="W57" s="554"/>
      <c r="X57" s="554"/>
      <c r="Y57" s="554"/>
      <c r="Z57" s="554"/>
      <c r="AA57" s="554"/>
      <c r="AB57" s="554"/>
      <c r="AC57" s="554"/>
      <c r="AD57" s="554"/>
      <c r="AF57" s="554"/>
      <c r="AG57" s="554"/>
    </row>
    <row r="58" spans="1:33" x14ac:dyDescent="0.25">
      <c r="A58" s="552"/>
      <c r="B58" s="151"/>
      <c r="C58" s="143"/>
      <c r="D58" s="143"/>
      <c r="E58" s="554"/>
      <c r="F58" s="554"/>
      <c r="G58" s="554"/>
      <c r="H58" s="554"/>
      <c r="I58" s="554"/>
      <c r="J58" s="554"/>
      <c r="K58" s="554"/>
      <c r="L58" s="554"/>
      <c r="M58" s="554"/>
      <c r="N58" s="554"/>
      <c r="O58" s="554"/>
      <c r="P58" s="554"/>
      <c r="Q58" s="554"/>
      <c r="R58" s="554"/>
      <c r="S58" s="554"/>
      <c r="T58" s="554"/>
      <c r="U58" s="554"/>
      <c r="V58" s="554"/>
      <c r="W58" s="554"/>
      <c r="X58" s="554"/>
      <c r="Y58" s="554"/>
      <c r="Z58" s="554"/>
      <c r="AA58" s="554"/>
      <c r="AB58" s="554"/>
      <c r="AC58" s="554"/>
      <c r="AD58" s="554"/>
      <c r="AF58" s="554"/>
      <c r="AG58" s="554"/>
    </row>
    <row r="59" spans="1:33" x14ac:dyDescent="0.25">
      <c r="A59" s="552"/>
      <c r="B59" s="559"/>
      <c r="D59" s="143"/>
      <c r="E59" s="554"/>
      <c r="F59" s="554"/>
      <c r="G59" s="554"/>
      <c r="H59" s="554"/>
      <c r="I59" s="554"/>
      <c r="J59" s="554"/>
      <c r="K59" s="554"/>
      <c r="L59" s="554"/>
      <c r="M59" s="554"/>
      <c r="N59" s="554"/>
      <c r="O59" s="554"/>
      <c r="P59" s="554"/>
      <c r="Q59" s="554"/>
      <c r="R59" s="554"/>
      <c r="S59" s="554"/>
      <c r="T59" s="554"/>
      <c r="U59" s="554"/>
      <c r="V59" s="554"/>
      <c r="W59" s="554"/>
      <c r="X59" s="554"/>
      <c r="Y59" s="554"/>
      <c r="Z59" s="554"/>
      <c r="AA59" s="554"/>
      <c r="AB59" s="554"/>
      <c r="AC59" s="554"/>
      <c r="AD59" s="554"/>
      <c r="AF59" s="554"/>
      <c r="AG59" s="554"/>
    </row>
    <row r="60" spans="1:33" x14ac:dyDescent="0.25">
      <c r="A60" s="552"/>
      <c r="B60" s="151"/>
      <c r="C60" s="143"/>
      <c r="D60" s="143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554"/>
      <c r="Q60" s="554"/>
      <c r="R60" s="554"/>
      <c r="S60" s="554"/>
      <c r="T60" s="554"/>
      <c r="U60" s="554"/>
      <c r="V60" s="554"/>
      <c r="W60" s="554"/>
      <c r="X60" s="554"/>
      <c r="Y60" s="554"/>
      <c r="Z60" s="554"/>
      <c r="AA60" s="554"/>
      <c r="AB60" s="554"/>
      <c r="AC60" s="554"/>
      <c r="AD60" s="554"/>
      <c r="AF60" s="554"/>
      <c r="AG60" s="554"/>
    </row>
    <row r="61" spans="1:33" x14ac:dyDescent="0.25">
      <c r="A61" s="552"/>
      <c r="D61" s="143"/>
      <c r="E61" s="557"/>
      <c r="F61" s="557"/>
      <c r="G61" s="557"/>
      <c r="H61" s="557"/>
      <c r="I61" s="557"/>
      <c r="J61" s="557"/>
      <c r="K61" s="557"/>
      <c r="L61" s="557"/>
      <c r="M61" s="557"/>
      <c r="N61" s="557"/>
      <c r="O61" s="557"/>
      <c r="P61" s="557"/>
      <c r="Q61" s="557"/>
      <c r="R61" s="557"/>
      <c r="S61" s="557"/>
      <c r="T61" s="557"/>
      <c r="U61" s="557"/>
      <c r="V61" s="557"/>
      <c r="W61" s="557"/>
      <c r="X61" s="557"/>
      <c r="Y61" s="557"/>
      <c r="Z61" s="557"/>
      <c r="AA61" s="557"/>
      <c r="AB61" s="557"/>
      <c r="AC61" s="557"/>
      <c r="AD61" s="556"/>
      <c r="AE61" s="557"/>
      <c r="AF61" s="556"/>
      <c r="AG61" s="556"/>
    </row>
    <row r="62" spans="1:33" x14ac:dyDescent="0.25">
      <c r="A62" s="552"/>
      <c r="D62" s="143"/>
      <c r="E62" s="557"/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57"/>
      <c r="T62" s="557"/>
      <c r="U62" s="557"/>
      <c r="V62" s="557"/>
      <c r="W62" s="557"/>
      <c r="X62" s="557"/>
      <c r="Y62" s="557"/>
      <c r="Z62" s="557"/>
      <c r="AA62" s="557"/>
      <c r="AB62" s="557"/>
      <c r="AC62" s="557"/>
      <c r="AD62" s="556"/>
      <c r="AE62" s="557"/>
      <c r="AF62" s="556"/>
      <c r="AG62" s="556"/>
    </row>
    <row r="63" spans="1:33" x14ac:dyDescent="0.25">
      <c r="A63" s="552"/>
      <c r="D63" s="143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  <c r="T63" s="557"/>
      <c r="U63" s="557"/>
      <c r="V63" s="557"/>
      <c r="W63" s="557"/>
      <c r="X63" s="557"/>
      <c r="Y63" s="557"/>
      <c r="Z63" s="557"/>
      <c r="AA63" s="557"/>
      <c r="AB63" s="557"/>
      <c r="AC63" s="557"/>
      <c r="AD63" s="556"/>
      <c r="AE63" s="557"/>
      <c r="AF63" s="556"/>
      <c r="AG63" s="556"/>
    </row>
    <row r="64" spans="1:33" x14ac:dyDescent="0.25">
      <c r="A64" s="552"/>
      <c r="D64" s="143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  <c r="T64" s="557"/>
      <c r="U64" s="557"/>
      <c r="V64" s="557"/>
      <c r="W64" s="557"/>
      <c r="X64" s="557"/>
      <c r="Y64" s="557"/>
      <c r="Z64" s="557"/>
      <c r="AA64" s="557"/>
      <c r="AB64" s="557"/>
      <c r="AC64" s="557"/>
      <c r="AD64" s="556"/>
      <c r="AE64" s="557"/>
      <c r="AF64" s="556"/>
      <c r="AG64" s="556"/>
    </row>
    <row r="65" spans="1:33" x14ac:dyDescent="0.25">
      <c r="A65" s="552"/>
      <c r="D65" s="143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  <c r="T65" s="557"/>
      <c r="U65" s="557"/>
      <c r="V65" s="557"/>
      <c r="W65" s="557"/>
      <c r="X65" s="557"/>
      <c r="Y65" s="557"/>
      <c r="Z65" s="557"/>
      <c r="AA65" s="557"/>
      <c r="AB65" s="557"/>
      <c r="AC65" s="557"/>
      <c r="AD65" s="556"/>
      <c r="AE65" s="557"/>
      <c r="AF65" s="556"/>
      <c r="AG65" s="556"/>
    </row>
    <row r="66" spans="1:33" x14ac:dyDescent="0.25">
      <c r="A66" s="552"/>
      <c r="D66" s="143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57"/>
      <c r="U66" s="557"/>
      <c r="V66" s="557"/>
      <c r="W66" s="557"/>
      <c r="X66" s="557"/>
      <c r="Y66" s="557"/>
      <c r="Z66" s="557"/>
      <c r="AA66" s="557"/>
      <c r="AB66" s="557"/>
      <c r="AC66" s="557"/>
      <c r="AD66" s="556"/>
      <c r="AE66" s="557"/>
      <c r="AF66" s="556"/>
      <c r="AG66" s="556"/>
    </row>
    <row r="67" spans="1:33" x14ac:dyDescent="0.25">
      <c r="A67" s="552"/>
      <c r="D67" s="143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  <c r="W67" s="557"/>
      <c r="X67" s="557"/>
      <c r="Y67" s="557"/>
      <c r="Z67" s="557"/>
      <c r="AA67" s="557"/>
      <c r="AB67" s="557"/>
      <c r="AC67" s="557"/>
      <c r="AD67" s="556"/>
      <c r="AE67" s="557"/>
      <c r="AF67" s="556"/>
      <c r="AG67" s="556"/>
    </row>
    <row r="68" spans="1:33" x14ac:dyDescent="0.25">
      <c r="A68" s="552"/>
      <c r="D68" s="143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57"/>
      <c r="U68" s="557"/>
      <c r="V68" s="557"/>
      <c r="W68" s="557"/>
      <c r="X68" s="557"/>
      <c r="Y68" s="557"/>
      <c r="Z68" s="557"/>
      <c r="AA68" s="557"/>
      <c r="AB68" s="557"/>
      <c r="AC68" s="557"/>
      <c r="AD68" s="556"/>
      <c r="AE68" s="557"/>
      <c r="AF68" s="556"/>
      <c r="AG68" s="556"/>
    </row>
    <row r="69" spans="1:33" x14ac:dyDescent="0.25">
      <c r="A69" s="552"/>
      <c r="D69" s="143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  <c r="W69" s="557"/>
      <c r="X69" s="557"/>
      <c r="Y69" s="557"/>
      <c r="Z69" s="557"/>
      <c r="AA69" s="557"/>
      <c r="AB69" s="557"/>
      <c r="AC69" s="557"/>
      <c r="AD69" s="556"/>
      <c r="AE69" s="557"/>
      <c r="AF69" s="556"/>
      <c r="AG69" s="556"/>
    </row>
    <row r="70" spans="1:33" x14ac:dyDescent="0.25">
      <c r="A70" s="552"/>
      <c r="D70" s="143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  <c r="S70" s="557"/>
      <c r="T70" s="557"/>
      <c r="U70" s="557"/>
      <c r="V70" s="557"/>
      <c r="W70" s="557"/>
      <c r="X70" s="557"/>
      <c r="Y70" s="557"/>
      <c r="Z70" s="557"/>
      <c r="AA70" s="557"/>
      <c r="AB70" s="557"/>
      <c r="AC70" s="557"/>
      <c r="AD70" s="556"/>
      <c r="AE70" s="557"/>
      <c r="AF70" s="556"/>
      <c r="AG70" s="556"/>
    </row>
    <row r="71" spans="1:33" x14ac:dyDescent="0.25">
      <c r="A71" s="552"/>
      <c r="D71" s="143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  <c r="S71" s="557"/>
      <c r="T71" s="557"/>
      <c r="U71" s="557"/>
      <c r="V71" s="557"/>
      <c r="W71" s="557"/>
      <c r="X71" s="557"/>
      <c r="Y71" s="557"/>
      <c r="Z71" s="557"/>
      <c r="AA71" s="557"/>
      <c r="AB71" s="557"/>
      <c r="AC71" s="557"/>
      <c r="AD71" s="556"/>
      <c r="AE71" s="557"/>
      <c r="AF71" s="556"/>
      <c r="AG71" s="556"/>
    </row>
    <row r="72" spans="1:33" x14ac:dyDescent="0.25">
      <c r="A72" s="552"/>
      <c r="D72" s="143"/>
      <c r="E72" s="557"/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  <c r="S72" s="557"/>
      <c r="T72" s="557"/>
      <c r="U72" s="557"/>
      <c r="V72" s="557"/>
      <c r="W72" s="557"/>
      <c r="X72" s="557"/>
      <c r="Y72" s="557"/>
      <c r="Z72" s="557"/>
      <c r="AA72" s="557"/>
      <c r="AB72" s="557"/>
      <c r="AC72" s="557"/>
      <c r="AD72" s="556"/>
      <c r="AE72" s="557"/>
      <c r="AF72" s="556"/>
      <c r="AG72" s="556"/>
    </row>
    <row r="73" spans="1:33" x14ac:dyDescent="0.25">
      <c r="A73" s="552"/>
      <c r="B73" s="151"/>
      <c r="C73" s="143"/>
      <c r="D73" s="143"/>
      <c r="E73" s="556"/>
      <c r="F73" s="556"/>
      <c r="G73" s="556"/>
      <c r="H73" s="556"/>
      <c r="I73" s="556"/>
      <c r="J73" s="556"/>
      <c r="K73" s="556"/>
      <c r="L73" s="556"/>
      <c r="M73" s="556"/>
      <c r="N73" s="556"/>
      <c r="O73" s="556"/>
      <c r="P73" s="556"/>
      <c r="Q73" s="556"/>
      <c r="R73" s="556"/>
      <c r="S73" s="556"/>
      <c r="T73" s="556"/>
      <c r="U73" s="556"/>
      <c r="V73" s="556"/>
      <c r="W73" s="556"/>
      <c r="X73" s="556"/>
      <c r="Y73" s="556"/>
      <c r="Z73" s="556"/>
      <c r="AA73" s="556"/>
      <c r="AB73" s="556"/>
      <c r="AC73" s="556"/>
      <c r="AD73" s="556"/>
      <c r="AE73" s="556"/>
      <c r="AF73" s="556"/>
      <c r="AG73" s="556"/>
    </row>
    <row r="74" spans="1:33" x14ac:dyDescent="0.25">
      <c r="A74" s="552"/>
      <c r="B74" s="151"/>
      <c r="C74" s="143"/>
      <c r="D74" s="143"/>
      <c r="E74" s="554"/>
      <c r="F74" s="554"/>
      <c r="G74" s="554"/>
      <c r="H74" s="554"/>
      <c r="I74" s="554"/>
      <c r="J74" s="554"/>
      <c r="K74" s="554"/>
      <c r="L74" s="554"/>
      <c r="M74" s="554"/>
      <c r="N74" s="554"/>
      <c r="O74" s="554"/>
      <c r="P74" s="554"/>
      <c r="Q74" s="554"/>
      <c r="R74" s="554"/>
      <c r="S74" s="554"/>
      <c r="T74" s="554"/>
      <c r="U74" s="554"/>
      <c r="V74" s="554"/>
      <c r="W74" s="554"/>
      <c r="X74" s="554"/>
      <c r="Y74" s="554"/>
      <c r="Z74" s="554"/>
      <c r="AA74" s="554"/>
      <c r="AB74" s="554"/>
      <c r="AC74" s="554"/>
      <c r="AD74" s="554"/>
      <c r="AF74" s="554"/>
      <c r="AG74" s="554"/>
    </row>
    <row r="75" spans="1:33" x14ac:dyDescent="0.25">
      <c r="A75" s="552"/>
      <c r="B75" s="151"/>
      <c r="C75" s="143"/>
      <c r="D75" s="143"/>
      <c r="E75" s="554"/>
      <c r="F75" s="554"/>
      <c r="G75" s="554"/>
      <c r="H75" s="554"/>
      <c r="I75" s="554"/>
      <c r="J75" s="554"/>
      <c r="K75" s="554"/>
      <c r="L75" s="554"/>
      <c r="M75" s="554"/>
      <c r="N75" s="554"/>
      <c r="O75" s="554"/>
      <c r="P75" s="554"/>
      <c r="Q75" s="554"/>
      <c r="R75" s="554"/>
      <c r="S75" s="554"/>
      <c r="T75" s="554"/>
      <c r="U75" s="554"/>
      <c r="V75" s="554"/>
      <c r="W75" s="554"/>
      <c r="X75" s="554"/>
      <c r="Y75" s="554"/>
      <c r="Z75" s="554"/>
      <c r="AA75" s="554"/>
      <c r="AB75" s="554"/>
      <c r="AC75" s="554"/>
      <c r="AD75" s="554"/>
      <c r="AF75" s="554"/>
      <c r="AG75" s="554"/>
    </row>
    <row r="76" spans="1:33" x14ac:dyDescent="0.25">
      <c r="A76" s="552"/>
      <c r="B76" s="151"/>
      <c r="C76" s="143"/>
      <c r="D76" s="143"/>
      <c r="E76" s="554"/>
      <c r="F76" s="554"/>
      <c r="G76" s="554"/>
      <c r="H76" s="554"/>
      <c r="I76" s="554"/>
      <c r="J76" s="554"/>
      <c r="K76" s="554"/>
      <c r="L76" s="554"/>
      <c r="M76" s="554"/>
      <c r="N76" s="554"/>
      <c r="O76" s="554"/>
      <c r="P76" s="554"/>
      <c r="Q76" s="554"/>
      <c r="R76" s="554"/>
      <c r="S76" s="554"/>
      <c r="T76" s="554"/>
      <c r="U76" s="554"/>
      <c r="V76" s="554"/>
      <c r="W76" s="554"/>
      <c r="X76" s="554"/>
      <c r="Y76" s="554"/>
      <c r="Z76" s="554"/>
      <c r="AA76" s="554"/>
      <c r="AB76" s="554"/>
      <c r="AC76" s="554"/>
      <c r="AD76" s="554"/>
      <c r="AF76" s="554"/>
      <c r="AG76" s="554"/>
    </row>
    <row r="77" spans="1:33" x14ac:dyDescent="0.25">
      <c r="B77" s="151"/>
      <c r="C77" s="143"/>
      <c r="D77" s="143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4"/>
      <c r="Q77" s="554"/>
      <c r="R77" s="554"/>
      <c r="S77" s="554"/>
      <c r="T77" s="554"/>
      <c r="U77" s="554"/>
      <c r="V77" s="554"/>
      <c r="W77" s="554"/>
      <c r="X77" s="554"/>
      <c r="Y77" s="554"/>
      <c r="Z77" s="554"/>
      <c r="AA77" s="554"/>
      <c r="AB77" s="554"/>
      <c r="AC77" s="554"/>
      <c r="AD77" s="554"/>
      <c r="AF77" s="554"/>
      <c r="AG77" s="554"/>
    </row>
    <row r="78" spans="1:33" x14ac:dyDescent="0.25">
      <c r="B78" s="151"/>
      <c r="C78" s="143"/>
      <c r="D78" s="143"/>
      <c r="E78" s="554"/>
      <c r="F78" s="554"/>
      <c r="G78" s="554"/>
      <c r="H78" s="554"/>
      <c r="I78" s="554"/>
      <c r="J78" s="554"/>
      <c r="K78" s="554"/>
      <c r="L78" s="554"/>
      <c r="M78" s="554"/>
      <c r="N78" s="554"/>
      <c r="O78" s="554"/>
      <c r="P78" s="554"/>
      <c r="Q78" s="554"/>
      <c r="R78" s="554"/>
      <c r="S78" s="554"/>
      <c r="T78" s="554"/>
      <c r="U78" s="554"/>
      <c r="V78" s="554"/>
      <c r="W78" s="554"/>
      <c r="X78" s="554"/>
      <c r="Y78" s="554"/>
      <c r="Z78" s="554"/>
      <c r="AA78" s="554"/>
      <c r="AB78" s="554"/>
      <c r="AC78" s="554"/>
      <c r="AD78" s="554"/>
      <c r="AF78" s="554"/>
      <c r="AG78" s="554"/>
    </row>
    <row r="79" spans="1:33" x14ac:dyDescent="0.25">
      <c r="B79" s="151"/>
      <c r="C79" s="143"/>
      <c r="D79" s="143"/>
      <c r="E79" s="554"/>
      <c r="F79" s="554"/>
      <c r="G79" s="554"/>
      <c r="H79" s="554"/>
      <c r="I79" s="554"/>
      <c r="J79" s="554"/>
      <c r="K79" s="554"/>
      <c r="L79" s="554"/>
      <c r="M79" s="554"/>
      <c r="N79" s="554"/>
      <c r="O79" s="554"/>
      <c r="P79" s="554"/>
      <c r="Q79" s="554"/>
      <c r="R79" s="554"/>
      <c r="S79" s="554"/>
      <c r="T79" s="554"/>
      <c r="U79" s="554"/>
      <c r="V79" s="554"/>
      <c r="W79" s="554"/>
      <c r="X79" s="554"/>
      <c r="Y79" s="554"/>
      <c r="Z79" s="554"/>
      <c r="AA79" s="554"/>
      <c r="AB79" s="554"/>
      <c r="AC79" s="554"/>
      <c r="AD79" s="554"/>
      <c r="AF79" s="554"/>
      <c r="AG79" s="554"/>
    </row>
    <row r="80" spans="1:33" x14ac:dyDescent="0.25">
      <c r="B80" s="151"/>
      <c r="C80" s="143"/>
      <c r="D80" s="143"/>
      <c r="E80" s="554"/>
      <c r="F80" s="554"/>
      <c r="G80" s="554"/>
      <c r="H80" s="554"/>
      <c r="I80" s="554"/>
      <c r="J80" s="554"/>
      <c r="K80" s="554"/>
      <c r="L80" s="554"/>
      <c r="M80" s="554"/>
      <c r="N80" s="554"/>
      <c r="O80" s="554"/>
      <c r="P80" s="554"/>
      <c r="Q80" s="554"/>
      <c r="R80" s="554"/>
      <c r="S80" s="554"/>
      <c r="T80" s="554"/>
      <c r="U80" s="554"/>
      <c r="V80" s="554"/>
      <c r="W80" s="554"/>
      <c r="X80" s="554"/>
      <c r="Y80" s="554"/>
      <c r="Z80" s="554"/>
      <c r="AA80" s="554"/>
      <c r="AB80" s="554"/>
      <c r="AC80" s="554"/>
      <c r="AD80" s="554"/>
      <c r="AF80" s="554"/>
      <c r="AG80" s="554"/>
    </row>
    <row r="81" spans="2:33" x14ac:dyDescent="0.25">
      <c r="B81" s="151"/>
      <c r="C81" s="143"/>
      <c r="D81" s="143"/>
      <c r="E81" s="554"/>
      <c r="F81" s="554"/>
      <c r="G81" s="554"/>
      <c r="H81" s="554"/>
      <c r="I81" s="554"/>
      <c r="J81" s="554"/>
      <c r="K81" s="554"/>
      <c r="L81" s="554"/>
      <c r="M81" s="554"/>
      <c r="N81" s="554"/>
      <c r="O81" s="554"/>
      <c r="P81" s="554"/>
      <c r="Q81" s="554"/>
      <c r="R81" s="554"/>
      <c r="S81" s="554"/>
      <c r="T81" s="554"/>
      <c r="U81" s="554"/>
      <c r="V81" s="554"/>
      <c r="W81" s="554"/>
      <c r="X81" s="554"/>
      <c r="Y81" s="554"/>
      <c r="Z81" s="554"/>
      <c r="AA81" s="554"/>
      <c r="AB81" s="554"/>
      <c r="AC81" s="554"/>
      <c r="AD81" s="554"/>
      <c r="AF81" s="554"/>
      <c r="AG81" s="554"/>
    </row>
    <row r="82" spans="2:33" x14ac:dyDescent="0.25">
      <c r="B82" s="151"/>
      <c r="C82" s="143"/>
      <c r="D82" s="143"/>
      <c r="E82" s="554"/>
      <c r="F82" s="554"/>
      <c r="G82" s="554"/>
      <c r="H82" s="554"/>
      <c r="I82" s="554"/>
      <c r="J82" s="554"/>
      <c r="K82" s="554"/>
      <c r="L82" s="554"/>
      <c r="M82" s="554"/>
      <c r="N82" s="554"/>
      <c r="O82" s="554"/>
      <c r="P82" s="554"/>
      <c r="Q82" s="554"/>
      <c r="R82" s="554"/>
      <c r="S82" s="554"/>
      <c r="T82" s="554"/>
      <c r="U82" s="554"/>
      <c r="V82" s="554"/>
      <c r="W82" s="554"/>
      <c r="X82" s="554"/>
      <c r="Y82" s="554"/>
      <c r="Z82" s="554"/>
      <c r="AA82" s="554"/>
      <c r="AB82" s="554"/>
      <c r="AC82" s="554"/>
      <c r="AD82" s="554"/>
      <c r="AF82" s="554"/>
      <c r="AG82" s="554"/>
    </row>
    <row r="83" spans="2:33" x14ac:dyDescent="0.25">
      <c r="B83" s="151"/>
      <c r="C83" s="143"/>
      <c r="D83" s="143"/>
      <c r="E83" s="554"/>
      <c r="F83" s="554"/>
      <c r="G83" s="554"/>
      <c r="H83" s="554"/>
      <c r="I83" s="554"/>
      <c r="J83" s="554"/>
      <c r="K83" s="554"/>
      <c r="L83" s="554"/>
      <c r="M83" s="554"/>
      <c r="N83" s="554"/>
      <c r="O83" s="554"/>
      <c r="P83" s="554"/>
      <c r="Q83" s="554"/>
      <c r="R83" s="554"/>
      <c r="S83" s="554"/>
      <c r="T83" s="554"/>
      <c r="U83" s="554"/>
      <c r="V83" s="554"/>
      <c r="W83" s="554"/>
      <c r="X83" s="554"/>
      <c r="Y83" s="554"/>
      <c r="Z83" s="554"/>
      <c r="AA83" s="554"/>
      <c r="AB83" s="554"/>
      <c r="AC83" s="554"/>
      <c r="AD83" s="554"/>
      <c r="AF83" s="554"/>
      <c r="AG83" s="554"/>
    </row>
    <row r="84" spans="2:33" x14ac:dyDescent="0.25">
      <c r="B84" s="151"/>
      <c r="C84" s="143"/>
      <c r="D84" s="143"/>
      <c r="E84" s="554"/>
      <c r="F84" s="554"/>
      <c r="G84" s="554"/>
      <c r="H84" s="554"/>
      <c r="I84" s="554"/>
      <c r="J84" s="554"/>
      <c r="K84" s="554"/>
      <c r="L84" s="554"/>
      <c r="M84" s="554"/>
      <c r="N84" s="554"/>
      <c r="O84" s="554"/>
      <c r="P84" s="554"/>
      <c r="Q84" s="554"/>
      <c r="R84" s="554"/>
      <c r="S84" s="554"/>
      <c r="T84" s="554"/>
      <c r="U84" s="554"/>
      <c r="V84" s="554"/>
      <c r="W84" s="554"/>
      <c r="X84" s="554"/>
      <c r="Y84" s="554"/>
      <c r="Z84" s="554"/>
      <c r="AA84" s="554"/>
      <c r="AB84" s="554"/>
      <c r="AC84" s="554"/>
      <c r="AD84" s="554"/>
      <c r="AF84" s="554"/>
      <c r="AG84" s="554"/>
    </row>
    <row r="85" spans="2:33" x14ac:dyDescent="0.25">
      <c r="B85" s="151"/>
      <c r="C85" s="143"/>
      <c r="D85" s="143"/>
      <c r="E85" s="554"/>
      <c r="F85" s="554"/>
      <c r="G85" s="554"/>
      <c r="H85" s="554"/>
      <c r="I85" s="554"/>
      <c r="J85" s="554"/>
      <c r="K85" s="554"/>
      <c r="L85" s="554"/>
      <c r="M85" s="554"/>
      <c r="N85" s="554"/>
      <c r="O85" s="554"/>
      <c r="P85" s="554"/>
      <c r="Q85" s="554"/>
      <c r="R85" s="554"/>
      <c r="S85" s="554"/>
      <c r="T85" s="554"/>
      <c r="U85" s="554"/>
      <c r="V85" s="554"/>
      <c r="W85" s="554"/>
      <c r="X85" s="554"/>
      <c r="Y85" s="554"/>
      <c r="Z85" s="554"/>
      <c r="AA85" s="554"/>
      <c r="AB85" s="554"/>
      <c r="AC85" s="554"/>
      <c r="AD85" s="554"/>
      <c r="AF85" s="554"/>
      <c r="AG85" s="554"/>
    </row>
    <row r="86" spans="2:33" x14ac:dyDescent="0.25">
      <c r="B86" s="151"/>
      <c r="C86" s="143"/>
      <c r="D86" s="143"/>
      <c r="E86" s="554"/>
      <c r="F86" s="554"/>
      <c r="G86" s="554"/>
      <c r="H86" s="554"/>
      <c r="I86" s="554"/>
      <c r="J86" s="554"/>
      <c r="K86" s="554"/>
      <c r="L86" s="554"/>
      <c r="M86" s="554"/>
      <c r="N86" s="554"/>
      <c r="O86" s="554"/>
      <c r="P86" s="554"/>
      <c r="Q86" s="554"/>
      <c r="R86" s="554"/>
      <c r="S86" s="554"/>
      <c r="T86" s="554"/>
      <c r="U86" s="554"/>
      <c r="V86" s="554"/>
      <c r="W86" s="554"/>
      <c r="X86" s="554"/>
      <c r="Y86" s="554"/>
      <c r="Z86" s="554"/>
      <c r="AA86" s="554"/>
      <c r="AB86" s="554"/>
      <c r="AC86" s="554"/>
      <c r="AD86" s="554"/>
      <c r="AF86" s="554"/>
      <c r="AG86" s="554"/>
    </row>
    <row r="87" spans="2:33" x14ac:dyDescent="0.25">
      <c r="B87" s="151"/>
      <c r="C87" s="143"/>
      <c r="D87" s="143"/>
      <c r="E87" s="554"/>
      <c r="F87" s="554"/>
      <c r="G87" s="554"/>
      <c r="H87" s="554"/>
      <c r="I87" s="554"/>
      <c r="J87" s="554"/>
      <c r="K87" s="554"/>
      <c r="L87" s="554"/>
      <c r="M87" s="554"/>
      <c r="N87" s="554"/>
      <c r="O87" s="554"/>
      <c r="P87" s="554"/>
      <c r="Q87" s="554"/>
      <c r="R87" s="554"/>
      <c r="S87" s="554"/>
      <c r="T87" s="554"/>
      <c r="U87" s="554"/>
      <c r="V87" s="554"/>
      <c r="W87" s="554"/>
      <c r="X87" s="554"/>
      <c r="Y87" s="554"/>
      <c r="Z87" s="554"/>
      <c r="AA87" s="554"/>
      <c r="AB87" s="554"/>
      <c r="AC87" s="554"/>
      <c r="AD87" s="554"/>
      <c r="AF87" s="554"/>
      <c r="AG87" s="554"/>
    </row>
    <row r="88" spans="2:33" x14ac:dyDescent="0.25">
      <c r="B88" s="151"/>
      <c r="C88" s="143"/>
      <c r="D88" s="143"/>
      <c r="E88" s="554"/>
      <c r="F88" s="554"/>
      <c r="G88" s="554"/>
      <c r="H88" s="554"/>
      <c r="I88" s="554"/>
      <c r="J88" s="554"/>
      <c r="K88" s="554"/>
      <c r="L88" s="554"/>
      <c r="M88" s="554"/>
      <c r="N88" s="554"/>
      <c r="O88" s="554"/>
      <c r="P88" s="554"/>
      <c r="Q88" s="554"/>
      <c r="R88" s="554"/>
      <c r="S88" s="554"/>
      <c r="T88" s="554"/>
      <c r="U88" s="554"/>
      <c r="V88" s="554"/>
      <c r="W88" s="554"/>
      <c r="X88" s="554"/>
      <c r="Y88" s="554"/>
      <c r="Z88" s="554"/>
      <c r="AA88" s="554"/>
      <c r="AB88" s="554"/>
      <c r="AC88" s="554"/>
      <c r="AD88" s="554"/>
      <c r="AF88" s="554"/>
      <c r="AG88" s="554"/>
    </row>
    <row r="89" spans="2:33" x14ac:dyDescent="0.25">
      <c r="B89" s="151"/>
      <c r="C89" s="143"/>
      <c r="D89" s="143"/>
      <c r="E89" s="554"/>
      <c r="F89" s="554"/>
      <c r="G89" s="554"/>
      <c r="H89" s="554"/>
      <c r="I89" s="554"/>
      <c r="J89" s="554"/>
      <c r="K89" s="554"/>
      <c r="L89" s="554"/>
      <c r="M89" s="554"/>
      <c r="N89" s="554"/>
      <c r="O89" s="554"/>
      <c r="P89" s="554"/>
      <c r="Q89" s="554"/>
      <c r="R89" s="554"/>
      <c r="S89" s="554"/>
      <c r="T89" s="554"/>
      <c r="U89" s="554"/>
      <c r="V89" s="554"/>
      <c r="W89" s="554"/>
      <c r="X89" s="554"/>
      <c r="Y89" s="554"/>
      <c r="Z89" s="554"/>
      <c r="AA89" s="554"/>
      <c r="AB89" s="554"/>
      <c r="AC89" s="554"/>
      <c r="AD89" s="554"/>
      <c r="AF89" s="554"/>
      <c r="AG89" s="554"/>
    </row>
    <row r="90" spans="2:33" x14ac:dyDescent="0.25">
      <c r="B90" s="151"/>
      <c r="C90" s="143"/>
      <c r="D90" s="143"/>
      <c r="E90" s="554"/>
      <c r="F90" s="554"/>
      <c r="G90" s="554"/>
      <c r="H90" s="554"/>
      <c r="I90" s="554"/>
      <c r="J90" s="554"/>
      <c r="K90" s="554"/>
      <c r="L90" s="554"/>
      <c r="M90" s="554"/>
      <c r="N90" s="554"/>
      <c r="O90" s="554"/>
      <c r="P90" s="554"/>
      <c r="Q90" s="554"/>
      <c r="R90" s="554"/>
      <c r="S90" s="554"/>
      <c r="T90" s="554"/>
      <c r="U90" s="554"/>
      <c r="V90" s="554"/>
      <c r="W90" s="554"/>
      <c r="X90" s="554"/>
      <c r="Y90" s="554"/>
      <c r="Z90" s="554"/>
      <c r="AA90" s="554"/>
      <c r="AB90" s="554"/>
      <c r="AC90" s="554"/>
      <c r="AD90" s="554"/>
      <c r="AF90" s="554"/>
      <c r="AG90" s="554"/>
    </row>
    <row r="91" spans="2:33" x14ac:dyDescent="0.25">
      <c r="B91" s="151"/>
      <c r="C91" s="143"/>
      <c r="D91" s="143"/>
      <c r="E91" s="554"/>
      <c r="F91" s="554"/>
      <c r="G91" s="554"/>
      <c r="H91" s="554"/>
      <c r="I91" s="554"/>
      <c r="J91" s="554"/>
      <c r="K91" s="554"/>
      <c r="L91" s="554"/>
      <c r="M91" s="554"/>
      <c r="N91" s="554"/>
      <c r="O91" s="554"/>
      <c r="P91" s="554"/>
      <c r="Q91" s="554"/>
      <c r="R91" s="554"/>
      <c r="S91" s="554"/>
      <c r="T91" s="554"/>
      <c r="U91" s="554"/>
      <c r="V91" s="554"/>
      <c r="W91" s="554"/>
      <c r="X91" s="554"/>
      <c r="Y91" s="554"/>
      <c r="Z91" s="554"/>
      <c r="AA91" s="554"/>
      <c r="AB91" s="554"/>
      <c r="AC91" s="554"/>
      <c r="AD91" s="554"/>
      <c r="AF91" s="554"/>
      <c r="AG91" s="554"/>
    </row>
    <row r="92" spans="2:33" x14ac:dyDescent="0.25">
      <c r="B92" s="151"/>
      <c r="C92" s="143"/>
      <c r="D92" s="143"/>
      <c r="E92" s="554"/>
      <c r="F92" s="554"/>
      <c r="G92" s="554"/>
      <c r="H92" s="554"/>
      <c r="I92" s="554"/>
      <c r="J92" s="554"/>
      <c r="K92" s="554"/>
      <c r="L92" s="554"/>
      <c r="M92" s="554"/>
      <c r="N92" s="554"/>
      <c r="O92" s="554"/>
      <c r="P92" s="554"/>
      <c r="Q92" s="554"/>
      <c r="R92" s="554"/>
      <c r="S92" s="554"/>
      <c r="T92" s="554"/>
      <c r="U92" s="554"/>
      <c r="V92" s="554"/>
      <c r="W92" s="554"/>
      <c r="X92" s="554"/>
      <c r="Y92" s="554"/>
      <c r="Z92" s="554"/>
      <c r="AA92" s="554"/>
      <c r="AB92" s="554"/>
      <c r="AC92" s="554"/>
      <c r="AD92" s="554"/>
      <c r="AF92" s="554"/>
      <c r="AG92" s="554"/>
    </row>
    <row r="93" spans="2:33" x14ac:dyDescent="0.25">
      <c r="B93" s="151"/>
      <c r="C93" s="143"/>
      <c r="D93" s="143"/>
      <c r="E93" s="554"/>
      <c r="F93" s="554"/>
      <c r="G93" s="554"/>
      <c r="H93" s="554"/>
      <c r="I93" s="554"/>
      <c r="J93" s="554"/>
      <c r="K93" s="554"/>
      <c r="L93" s="554"/>
      <c r="M93" s="554"/>
      <c r="N93" s="554"/>
      <c r="O93" s="554"/>
      <c r="P93" s="554"/>
      <c r="Q93" s="554"/>
      <c r="R93" s="554"/>
      <c r="S93" s="554"/>
      <c r="T93" s="554"/>
      <c r="U93" s="554"/>
      <c r="V93" s="554"/>
      <c r="W93" s="554"/>
      <c r="X93" s="554"/>
      <c r="Y93" s="554"/>
      <c r="Z93" s="554"/>
      <c r="AA93" s="554"/>
      <c r="AB93" s="554"/>
      <c r="AC93" s="554"/>
      <c r="AD93" s="554"/>
      <c r="AF93" s="554"/>
      <c r="AG93" s="554"/>
    </row>
    <row r="94" spans="2:33" x14ac:dyDescent="0.25">
      <c r="B94" s="151"/>
      <c r="C94" s="143"/>
      <c r="D94" s="143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Z94" s="554"/>
      <c r="AA94" s="554"/>
      <c r="AB94" s="554"/>
      <c r="AC94" s="554"/>
      <c r="AD94" s="554"/>
      <c r="AF94" s="554"/>
      <c r="AG94" s="554"/>
    </row>
    <row r="95" spans="2:33" x14ac:dyDescent="0.25">
      <c r="B95" s="151"/>
      <c r="C95" s="143"/>
      <c r="D95" s="143"/>
      <c r="E95" s="554"/>
      <c r="F95" s="554"/>
      <c r="G95" s="554"/>
      <c r="H95" s="554"/>
      <c r="I95" s="554"/>
      <c r="J95" s="554"/>
      <c r="K95" s="554"/>
      <c r="L95" s="554"/>
      <c r="M95" s="554"/>
      <c r="N95" s="554"/>
      <c r="O95" s="554"/>
      <c r="P95" s="554"/>
      <c r="Q95" s="554"/>
      <c r="R95" s="554"/>
      <c r="S95" s="554"/>
      <c r="T95" s="554"/>
      <c r="U95" s="554"/>
      <c r="V95" s="554"/>
      <c r="W95" s="554"/>
      <c r="X95" s="554"/>
      <c r="Y95" s="554"/>
      <c r="Z95" s="554"/>
      <c r="AA95" s="554"/>
      <c r="AB95" s="554"/>
      <c r="AC95" s="554"/>
      <c r="AD95" s="554"/>
      <c r="AF95" s="554"/>
      <c r="AG95" s="554"/>
    </row>
    <row r="96" spans="2:33" x14ac:dyDescent="0.25">
      <c r="B96" s="151"/>
      <c r="C96" s="143"/>
      <c r="D96" s="143"/>
      <c r="E96" s="554"/>
      <c r="F96" s="554"/>
      <c r="G96" s="554"/>
      <c r="H96" s="554"/>
      <c r="I96" s="554"/>
      <c r="J96" s="554"/>
      <c r="K96" s="554"/>
      <c r="L96" s="554"/>
      <c r="M96" s="554"/>
      <c r="N96" s="554"/>
      <c r="O96" s="554"/>
      <c r="P96" s="554"/>
      <c r="Q96" s="554"/>
      <c r="R96" s="554"/>
      <c r="S96" s="554"/>
      <c r="T96" s="554"/>
      <c r="U96" s="554"/>
      <c r="V96" s="554"/>
      <c r="W96" s="554"/>
      <c r="X96" s="554"/>
      <c r="Y96" s="554"/>
      <c r="Z96" s="554"/>
      <c r="AA96" s="554"/>
      <c r="AB96" s="554"/>
      <c r="AC96" s="554"/>
      <c r="AD96" s="554"/>
      <c r="AF96" s="554"/>
      <c r="AG96" s="554"/>
    </row>
    <row r="97" spans="2:33" x14ac:dyDescent="0.25">
      <c r="B97" s="151"/>
      <c r="C97" s="143"/>
      <c r="D97" s="143"/>
      <c r="E97" s="554"/>
      <c r="F97" s="554"/>
      <c r="G97" s="554"/>
      <c r="H97" s="554"/>
      <c r="I97" s="554"/>
      <c r="J97" s="554"/>
      <c r="K97" s="554"/>
      <c r="L97" s="554"/>
      <c r="M97" s="554"/>
      <c r="N97" s="554"/>
      <c r="O97" s="554"/>
      <c r="P97" s="554"/>
      <c r="Q97" s="554"/>
      <c r="R97" s="554"/>
      <c r="S97" s="554"/>
      <c r="T97" s="554"/>
      <c r="U97" s="554"/>
      <c r="V97" s="554"/>
      <c r="W97" s="554"/>
      <c r="X97" s="554"/>
      <c r="Y97" s="554"/>
      <c r="Z97" s="554"/>
      <c r="AA97" s="554"/>
      <c r="AB97" s="554"/>
      <c r="AC97" s="554"/>
      <c r="AD97" s="554"/>
      <c r="AF97" s="554"/>
      <c r="AG97" s="554"/>
    </row>
    <row r="98" spans="2:33" x14ac:dyDescent="0.25">
      <c r="B98" s="151"/>
      <c r="C98" s="143"/>
      <c r="D98" s="143"/>
      <c r="E98" s="554"/>
      <c r="F98" s="554"/>
      <c r="G98" s="554"/>
      <c r="H98" s="554"/>
      <c r="I98" s="554"/>
      <c r="J98" s="554"/>
      <c r="K98" s="554"/>
      <c r="L98" s="554"/>
      <c r="M98" s="554"/>
      <c r="N98" s="554"/>
      <c r="O98" s="554"/>
      <c r="P98" s="554"/>
      <c r="Q98" s="554"/>
      <c r="R98" s="554"/>
      <c r="S98" s="554"/>
      <c r="T98" s="554"/>
      <c r="U98" s="554"/>
      <c r="V98" s="554"/>
      <c r="W98" s="554"/>
      <c r="X98" s="554"/>
      <c r="Y98" s="554"/>
      <c r="Z98" s="554"/>
      <c r="AA98" s="554"/>
      <c r="AB98" s="554"/>
      <c r="AC98" s="554"/>
      <c r="AD98" s="554"/>
      <c r="AF98" s="554"/>
      <c r="AG98" s="554"/>
    </row>
    <row r="99" spans="2:33" x14ac:dyDescent="0.25">
      <c r="B99" s="151"/>
      <c r="C99" s="143"/>
      <c r="D99" s="143"/>
      <c r="E99" s="554"/>
      <c r="F99" s="554"/>
      <c r="G99" s="554"/>
      <c r="H99" s="554"/>
      <c r="I99" s="554"/>
      <c r="J99" s="554"/>
      <c r="K99" s="554"/>
      <c r="L99" s="554"/>
      <c r="M99" s="554"/>
      <c r="N99" s="554"/>
      <c r="O99" s="554"/>
      <c r="P99" s="554"/>
      <c r="Q99" s="554"/>
      <c r="R99" s="554"/>
      <c r="S99" s="554"/>
      <c r="T99" s="554"/>
      <c r="U99" s="554"/>
      <c r="V99" s="554"/>
      <c r="W99" s="554"/>
      <c r="X99" s="554"/>
      <c r="Y99" s="554"/>
      <c r="Z99" s="554"/>
      <c r="AA99" s="554"/>
      <c r="AB99" s="554"/>
      <c r="AC99" s="554"/>
      <c r="AD99" s="554"/>
      <c r="AF99" s="554"/>
      <c r="AG99" s="554"/>
    </row>
    <row r="100" spans="2:33" x14ac:dyDescent="0.25">
      <c r="B100" s="151"/>
      <c r="C100" s="143"/>
      <c r="D100" s="143"/>
      <c r="E100" s="554"/>
      <c r="F100" s="554"/>
      <c r="G100" s="554"/>
      <c r="H100" s="554"/>
      <c r="I100" s="554"/>
      <c r="J100" s="554"/>
      <c r="K100" s="554"/>
      <c r="L100" s="554"/>
      <c r="M100" s="554"/>
      <c r="N100" s="554"/>
      <c r="O100" s="554"/>
      <c r="P100" s="554"/>
      <c r="Q100" s="554"/>
      <c r="R100" s="554"/>
      <c r="S100" s="554"/>
      <c r="T100" s="554"/>
      <c r="U100" s="554"/>
      <c r="V100" s="554"/>
      <c r="W100" s="554"/>
      <c r="X100" s="554"/>
      <c r="Y100" s="554"/>
      <c r="Z100" s="554"/>
      <c r="AA100" s="554"/>
      <c r="AB100" s="554"/>
      <c r="AC100" s="554"/>
      <c r="AD100" s="554"/>
      <c r="AF100" s="554"/>
      <c r="AG100" s="554"/>
    </row>
    <row r="101" spans="2:33" x14ac:dyDescent="0.25">
      <c r="B101" s="151"/>
      <c r="C101" s="143"/>
      <c r="D101" s="143"/>
      <c r="E101" s="554"/>
      <c r="F101" s="554"/>
      <c r="G101" s="554"/>
      <c r="H101" s="554"/>
      <c r="I101" s="554"/>
      <c r="J101" s="554"/>
      <c r="K101" s="554"/>
      <c r="L101" s="554"/>
      <c r="M101" s="554"/>
      <c r="N101" s="554"/>
      <c r="O101" s="554"/>
      <c r="P101" s="554"/>
      <c r="Q101" s="554"/>
      <c r="R101" s="554"/>
      <c r="S101" s="554"/>
      <c r="T101" s="554"/>
      <c r="U101" s="554"/>
      <c r="V101" s="554"/>
      <c r="W101" s="554"/>
      <c r="X101" s="554"/>
      <c r="Y101" s="554"/>
      <c r="Z101" s="554"/>
      <c r="AA101" s="554"/>
      <c r="AB101" s="554"/>
      <c r="AC101" s="554"/>
      <c r="AD101" s="554"/>
      <c r="AF101" s="554"/>
      <c r="AG101" s="554"/>
    </row>
    <row r="102" spans="2:33" x14ac:dyDescent="0.25">
      <c r="B102" s="151"/>
      <c r="C102" s="143"/>
      <c r="D102" s="143"/>
      <c r="E102" s="554"/>
      <c r="F102" s="554"/>
      <c r="G102" s="554"/>
      <c r="H102" s="554"/>
      <c r="I102" s="554"/>
      <c r="J102" s="554"/>
      <c r="K102" s="554"/>
      <c r="L102" s="554"/>
      <c r="M102" s="554"/>
      <c r="N102" s="554"/>
      <c r="O102" s="554"/>
      <c r="P102" s="554"/>
      <c r="Q102" s="554"/>
      <c r="R102" s="554"/>
      <c r="S102" s="554"/>
      <c r="T102" s="554"/>
      <c r="U102" s="554"/>
      <c r="V102" s="554"/>
      <c r="W102" s="554"/>
      <c r="X102" s="554"/>
      <c r="Y102" s="554"/>
      <c r="Z102" s="554"/>
      <c r="AA102" s="554"/>
      <c r="AB102" s="554"/>
      <c r="AC102" s="554"/>
      <c r="AD102" s="554"/>
      <c r="AF102" s="554"/>
      <c r="AG102" s="554"/>
    </row>
    <row r="103" spans="2:33" x14ac:dyDescent="0.25">
      <c r="B103" s="151"/>
      <c r="C103" s="143"/>
      <c r="D103" s="143"/>
      <c r="E103" s="554"/>
      <c r="F103" s="554"/>
      <c r="G103" s="554"/>
      <c r="H103" s="554"/>
      <c r="I103" s="554"/>
      <c r="J103" s="554"/>
      <c r="K103" s="554"/>
      <c r="L103" s="554"/>
      <c r="M103" s="554"/>
      <c r="N103" s="554"/>
      <c r="O103" s="554"/>
      <c r="P103" s="554"/>
      <c r="Q103" s="554"/>
      <c r="R103" s="554"/>
      <c r="S103" s="554"/>
      <c r="T103" s="554"/>
      <c r="U103" s="554"/>
      <c r="V103" s="554"/>
      <c r="W103" s="554"/>
      <c r="X103" s="554"/>
      <c r="Y103" s="554"/>
      <c r="Z103" s="554"/>
      <c r="AA103" s="554"/>
      <c r="AB103" s="554"/>
      <c r="AC103" s="554"/>
      <c r="AD103" s="554"/>
      <c r="AF103" s="554"/>
      <c r="AG103" s="554"/>
    </row>
    <row r="104" spans="2:33" x14ac:dyDescent="0.25">
      <c r="B104" s="151"/>
      <c r="C104" s="143"/>
      <c r="D104" s="143"/>
      <c r="E104" s="554"/>
      <c r="F104" s="554"/>
      <c r="G104" s="554"/>
      <c r="H104" s="554"/>
      <c r="I104" s="554"/>
      <c r="J104" s="554"/>
      <c r="K104" s="554"/>
      <c r="L104" s="554"/>
      <c r="M104" s="554"/>
      <c r="N104" s="554"/>
      <c r="O104" s="554"/>
      <c r="P104" s="554"/>
      <c r="Q104" s="554"/>
      <c r="R104" s="554"/>
      <c r="S104" s="554"/>
      <c r="T104" s="554"/>
      <c r="U104" s="554"/>
      <c r="V104" s="554"/>
      <c r="W104" s="554"/>
      <c r="X104" s="554"/>
      <c r="Y104" s="554"/>
      <c r="Z104" s="554"/>
      <c r="AA104" s="554"/>
      <c r="AB104" s="554"/>
      <c r="AC104" s="554"/>
      <c r="AD104" s="554"/>
      <c r="AF104" s="554"/>
      <c r="AG104" s="554"/>
    </row>
    <row r="105" spans="2:33" x14ac:dyDescent="0.25">
      <c r="B105" s="151"/>
      <c r="C105" s="143"/>
      <c r="D105" s="143"/>
      <c r="E105" s="554"/>
      <c r="F105" s="554"/>
      <c r="G105" s="554"/>
      <c r="H105" s="554"/>
      <c r="I105" s="554"/>
      <c r="J105" s="554"/>
      <c r="K105" s="554"/>
      <c r="L105" s="554"/>
      <c r="M105" s="554"/>
      <c r="N105" s="554"/>
      <c r="O105" s="554"/>
      <c r="P105" s="554"/>
      <c r="Q105" s="554"/>
      <c r="R105" s="554"/>
      <c r="S105" s="554"/>
      <c r="T105" s="554"/>
      <c r="U105" s="554"/>
      <c r="V105" s="554"/>
      <c r="W105" s="554"/>
      <c r="X105" s="554"/>
      <c r="Y105" s="554"/>
      <c r="Z105" s="554"/>
      <c r="AA105" s="554"/>
      <c r="AB105" s="554"/>
      <c r="AC105" s="554"/>
      <c r="AD105" s="554"/>
      <c r="AF105" s="554"/>
      <c r="AG105" s="554"/>
    </row>
    <row r="106" spans="2:33" x14ac:dyDescent="0.25">
      <c r="B106" s="151"/>
      <c r="C106" s="143"/>
      <c r="D106" s="143"/>
      <c r="E106" s="554"/>
      <c r="F106" s="554"/>
      <c r="G106" s="554"/>
      <c r="H106" s="554"/>
      <c r="I106" s="554"/>
      <c r="J106" s="554"/>
      <c r="K106" s="554"/>
      <c r="L106" s="554"/>
      <c r="M106" s="554"/>
      <c r="N106" s="554"/>
      <c r="O106" s="554"/>
      <c r="P106" s="554"/>
      <c r="Q106" s="554"/>
      <c r="R106" s="554"/>
      <c r="S106" s="554"/>
      <c r="T106" s="554"/>
      <c r="U106" s="554"/>
      <c r="V106" s="554"/>
      <c r="W106" s="554"/>
      <c r="X106" s="554"/>
      <c r="Y106" s="554"/>
      <c r="Z106" s="554"/>
      <c r="AA106" s="554"/>
      <c r="AB106" s="554"/>
      <c r="AC106" s="554"/>
      <c r="AD106" s="554"/>
      <c r="AF106" s="554"/>
      <c r="AG106" s="554"/>
    </row>
    <row r="107" spans="2:33" x14ac:dyDescent="0.25">
      <c r="B107" s="151"/>
      <c r="C107" s="143"/>
      <c r="D107" s="143"/>
      <c r="E107" s="554"/>
      <c r="F107" s="554"/>
      <c r="G107" s="554"/>
      <c r="H107" s="554"/>
      <c r="I107" s="554"/>
      <c r="J107" s="554"/>
      <c r="K107" s="554"/>
      <c r="L107" s="554"/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554"/>
      <c r="X107" s="554"/>
      <c r="Y107" s="554"/>
      <c r="Z107" s="554"/>
      <c r="AA107" s="554"/>
      <c r="AB107" s="554"/>
      <c r="AC107" s="554"/>
      <c r="AD107" s="554"/>
      <c r="AF107" s="554"/>
      <c r="AG107" s="554"/>
    </row>
    <row r="108" spans="2:33" x14ac:dyDescent="0.25">
      <c r="B108" s="151"/>
      <c r="C108" s="143"/>
      <c r="D108" s="143"/>
      <c r="E108" s="554"/>
      <c r="F108" s="554"/>
      <c r="G108" s="554"/>
      <c r="H108" s="554"/>
      <c r="I108" s="554"/>
      <c r="J108" s="554"/>
      <c r="K108" s="554"/>
      <c r="L108" s="554"/>
      <c r="M108" s="554"/>
      <c r="N108" s="554"/>
      <c r="O108" s="554"/>
      <c r="P108" s="554"/>
      <c r="Q108" s="554"/>
      <c r="R108" s="554"/>
      <c r="S108" s="554"/>
      <c r="T108" s="554"/>
      <c r="U108" s="554"/>
      <c r="V108" s="554"/>
      <c r="W108" s="554"/>
      <c r="X108" s="554"/>
      <c r="Y108" s="554"/>
      <c r="Z108" s="554"/>
      <c r="AA108" s="554"/>
      <c r="AB108" s="554"/>
      <c r="AC108" s="554"/>
      <c r="AD108" s="554"/>
      <c r="AF108" s="554"/>
      <c r="AG108" s="554"/>
    </row>
    <row r="109" spans="2:33" x14ac:dyDescent="0.25">
      <c r="B109" s="151"/>
      <c r="C109" s="143"/>
      <c r="D109" s="143"/>
      <c r="E109" s="554"/>
      <c r="F109" s="554"/>
      <c r="G109" s="554"/>
      <c r="H109" s="554"/>
      <c r="I109" s="554"/>
      <c r="J109" s="554"/>
      <c r="K109" s="554"/>
      <c r="L109" s="554"/>
      <c r="M109" s="554"/>
      <c r="N109" s="554"/>
      <c r="O109" s="554"/>
      <c r="P109" s="554"/>
      <c r="Q109" s="554"/>
      <c r="R109" s="554"/>
      <c r="S109" s="554"/>
      <c r="T109" s="554"/>
      <c r="U109" s="554"/>
      <c r="V109" s="554"/>
      <c r="W109" s="554"/>
      <c r="X109" s="554"/>
      <c r="Y109" s="554"/>
      <c r="Z109" s="554"/>
      <c r="AA109" s="554"/>
      <c r="AB109" s="554"/>
      <c r="AC109" s="554"/>
      <c r="AD109" s="554"/>
      <c r="AF109" s="554"/>
      <c r="AG109" s="554"/>
    </row>
    <row r="110" spans="2:33" x14ac:dyDescent="0.25">
      <c r="B110" s="151"/>
      <c r="C110" s="143"/>
      <c r="D110" s="143"/>
      <c r="E110" s="554"/>
      <c r="F110" s="554"/>
      <c r="G110" s="554"/>
      <c r="H110" s="554"/>
      <c r="I110" s="554"/>
      <c r="J110" s="554"/>
      <c r="K110" s="554"/>
      <c r="L110" s="554"/>
      <c r="M110" s="554"/>
      <c r="N110" s="554"/>
      <c r="O110" s="554"/>
      <c r="P110" s="554"/>
      <c r="Q110" s="554"/>
      <c r="R110" s="554"/>
      <c r="S110" s="554"/>
      <c r="T110" s="554"/>
      <c r="U110" s="554"/>
      <c r="V110" s="554"/>
      <c r="W110" s="554"/>
      <c r="X110" s="554"/>
      <c r="Y110" s="554"/>
      <c r="Z110" s="554"/>
      <c r="AA110" s="554"/>
      <c r="AB110" s="554"/>
      <c r="AC110" s="554"/>
      <c r="AD110" s="554"/>
      <c r="AF110" s="554"/>
      <c r="AG110" s="554"/>
    </row>
    <row r="111" spans="2:33" x14ac:dyDescent="0.25">
      <c r="B111" s="151"/>
      <c r="C111" s="143"/>
      <c r="D111" s="143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4"/>
      <c r="AC111" s="554"/>
      <c r="AD111" s="554"/>
      <c r="AF111" s="554"/>
      <c r="AG111" s="554"/>
    </row>
    <row r="112" spans="2:33" x14ac:dyDescent="0.25">
      <c r="B112" s="151"/>
      <c r="C112" s="143"/>
      <c r="D112" s="143"/>
      <c r="E112" s="554"/>
      <c r="F112" s="554"/>
      <c r="G112" s="554"/>
      <c r="H112" s="554"/>
      <c r="I112" s="554"/>
      <c r="J112" s="554"/>
      <c r="K112" s="554"/>
      <c r="L112" s="554"/>
      <c r="M112" s="554"/>
      <c r="N112" s="554"/>
      <c r="O112" s="554"/>
      <c r="P112" s="554"/>
      <c r="Q112" s="554"/>
      <c r="R112" s="554"/>
      <c r="S112" s="554"/>
      <c r="T112" s="554"/>
      <c r="U112" s="554"/>
      <c r="V112" s="554"/>
      <c r="W112" s="554"/>
      <c r="X112" s="554"/>
      <c r="Y112" s="554"/>
      <c r="Z112" s="554"/>
      <c r="AA112" s="554"/>
      <c r="AB112" s="554"/>
      <c r="AC112" s="554"/>
      <c r="AD112" s="554"/>
      <c r="AF112" s="554"/>
      <c r="AG112" s="554"/>
    </row>
    <row r="113" spans="2:33" x14ac:dyDescent="0.25">
      <c r="B113" s="151"/>
      <c r="C113" s="143"/>
      <c r="D113" s="143"/>
      <c r="E113" s="554"/>
      <c r="F113" s="554"/>
      <c r="G113" s="554"/>
      <c r="H113" s="554"/>
      <c r="I113" s="554"/>
      <c r="J113" s="554"/>
      <c r="K113" s="554"/>
      <c r="L113" s="554"/>
      <c r="M113" s="554"/>
      <c r="N113" s="554"/>
      <c r="O113" s="554"/>
      <c r="P113" s="554"/>
      <c r="Q113" s="554"/>
      <c r="R113" s="554"/>
      <c r="S113" s="554"/>
      <c r="T113" s="554"/>
      <c r="U113" s="554"/>
      <c r="V113" s="554"/>
      <c r="W113" s="554"/>
      <c r="X113" s="554"/>
      <c r="Y113" s="554"/>
      <c r="Z113" s="554"/>
      <c r="AA113" s="554"/>
      <c r="AB113" s="554"/>
      <c r="AC113" s="554"/>
      <c r="AD113" s="554"/>
      <c r="AF113" s="554"/>
      <c r="AG113" s="554"/>
    </row>
    <row r="114" spans="2:33" x14ac:dyDescent="0.25">
      <c r="B114" s="151"/>
      <c r="C114" s="143"/>
      <c r="D114" s="143"/>
      <c r="E114" s="554"/>
      <c r="F114" s="554"/>
      <c r="G114" s="554"/>
      <c r="H114" s="554"/>
      <c r="I114" s="554"/>
      <c r="J114" s="554"/>
      <c r="K114" s="554"/>
      <c r="L114" s="554"/>
      <c r="M114" s="554"/>
      <c r="N114" s="554"/>
      <c r="O114" s="554"/>
      <c r="P114" s="554"/>
      <c r="Q114" s="554"/>
      <c r="R114" s="554"/>
      <c r="S114" s="554"/>
      <c r="T114" s="554"/>
      <c r="U114" s="554"/>
      <c r="V114" s="554"/>
      <c r="W114" s="554"/>
      <c r="X114" s="554"/>
      <c r="Y114" s="554"/>
      <c r="Z114" s="554"/>
      <c r="AA114" s="554"/>
      <c r="AB114" s="554"/>
      <c r="AC114" s="554"/>
      <c r="AD114" s="554"/>
      <c r="AF114" s="554"/>
      <c r="AG114" s="554"/>
    </row>
    <row r="115" spans="2:33" x14ac:dyDescent="0.25">
      <c r="B115" s="151"/>
      <c r="C115" s="143"/>
      <c r="D115" s="143"/>
      <c r="E115" s="554"/>
      <c r="F115" s="554"/>
      <c r="G115" s="554"/>
      <c r="H115" s="554"/>
      <c r="I115" s="554"/>
      <c r="J115" s="554"/>
      <c r="K115" s="554"/>
      <c r="L115" s="554"/>
      <c r="M115" s="554"/>
      <c r="N115" s="554"/>
      <c r="O115" s="554"/>
      <c r="P115" s="554"/>
      <c r="Q115" s="554"/>
      <c r="R115" s="554"/>
      <c r="S115" s="554"/>
      <c r="T115" s="554"/>
      <c r="U115" s="554"/>
      <c r="V115" s="554"/>
      <c r="W115" s="554"/>
      <c r="X115" s="554"/>
      <c r="Y115" s="554"/>
      <c r="Z115" s="554"/>
      <c r="AA115" s="554"/>
      <c r="AB115" s="554"/>
      <c r="AC115" s="554"/>
      <c r="AD115" s="554"/>
      <c r="AF115" s="554"/>
      <c r="AG115" s="554"/>
    </row>
    <row r="116" spans="2:33" x14ac:dyDescent="0.25">
      <c r="B116" s="151"/>
      <c r="C116" s="143"/>
      <c r="D116" s="143"/>
      <c r="E116" s="554"/>
      <c r="F116" s="554"/>
      <c r="G116" s="554"/>
      <c r="H116" s="554"/>
      <c r="I116" s="554"/>
      <c r="J116" s="554"/>
      <c r="K116" s="554"/>
      <c r="L116" s="554"/>
      <c r="M116" s="554"/>
      <c r="N116" s="554"/>
      <c r="O116" s="554"/>
      <c r="P116" s="554"/>
      <c r="Q116" s="554"/>
      <c r="R116" s="554"/>
      <c r="S116" s="554"/>
      <c r="T116" s="554"/>
      <c r="U116" s="554"/>
      <c r="V116" s="554"/>
      <c r="W116" s="554"/>
      <c r="X116" s="554"/>
      <c r="Y116" s="554"/>
      <c r="Z116" s="554"/>
      <c r="AA116" s="554"/>
      <c r="AB116" s="554"/>
      <c r="AC116" s="554"/>
      <c r="AD116" s="554"/>
      <c r="AF116" s="554"/>
      <c r="AG116" s="554"/>
    </row>
    <row r="117" spans="2:33" x14ac:dyDescent="0.25">
      <c r="B117" s="151"/>
      <c r="C117" s="143"/>
      <c r="D117" s="143"/>
      <c r="E117" s="554"/>
      <c r="F117" s="554"/>
      <c r="G117" s="554"/>
      <c r="H117" s="554"/>
      <c r="I117" s="554"/>
      <c r="J117" s="554"/>
      <c r="K117" s="554"/>
      <c r="L117" s="554"/>
      <c r="M117" s="554"/>
      <c r="N117" s="554"/>
      <c r="O117" s="554"/>
      <c r="P117" s="554"/>
      <c r="Q117" s="554"/>
      <c r="R117" s="554"/>
      <c r="S117" s="554"/>
      <c r="T117" s="554"/>
      <c r="U117" s="554"/>
      <c r="V117" s="554"/>
      <c r="W117" s="554"/>
      <c r="X117" s="554"/>
      <c r="Y117" s="554"/>
      <c r="Z117" s="554"/>
      <c r="AA117" s="554"/>
      <c r="AB117" s="554"/>
      <c r="AC117" s="554"/>
      <c r="AD117" s="554"/>
      <c r="AF117" s="554"/>
      <c r="AG117" s="554"/>
    </row>
    <row r="118" spans="2:33" x14ac:dyDescent="0.25">
      <c r="B118" s="151"/>
      <c r="C118" s="143"/>
      <c r="D118" s="143"/>
      <c r="E118" s="554"/>
      <c r="F118" s="554"/>
      <c r="G118" s="554"/>
      <c r="H118" s="554"/>
      <c r="I118" s="554"/>
      <c r="J118" s="554"/>
      <c r="K118" s="554"/>
      <c r="L118" s="554"/>
      <c r="M118" s="554"/>
      <c r="N118" s="554"/>
      <c r="O118" s="554"/>
      <c r="P118" s="554"/>
      <c r="Q118" s="554"/>
      <c r="R118" s="554"/>
      <c r="S118" s="554"/>
      <c r="T118" s="554"/>
      <c r="U118" s="554"/>
      <c r="V118" s="554"/>
      <c r="W118" s="554"/>
      <c r="X118" s="554"/>
      <c r="Y118" s="554"/>
      <c r="Z118" s="554"/>
      <c r="AA118" s="554"/>
      <c r="AB118" s="554"/>
      <c r="AC118" s="554"/>
      <c r="AD118" s="554"/>
      <c r="AF118" s="554"/>
      <c r="AG118" s="554"/>
    </row>
    <row r="119" spans="2:33" x14ac:dyDescent="0.25">
      <c r="B119" s="151"/>
      <c r="C119" s="143"/>
      <c r="D119" s="143"/>
      <c r="E119" s="554"/>
      <c r="F119" s="554"/>
      <c r="G119" s="554"/>
      <c r="H119" s="554"/>
      <c r="I119" s="554"/>
      <c r="J119" s="554"/>
      <c r="K119" s="554"/>
      <c r="L119" s="554"/>
      <c r="M119" s="554"/>
      <c r="N119" s="554"/>
      <c r="O119" s="554"/>
      <c r="P119" s="554"/>
      <c r="Q119" s="554"/>
      <c r="R119" s="554"/>
      <c r="S119" s="554"/>
      <c r="T119" s="554"/>
      <c r="U119" s="554"/>
      <c r="V119" s="554"/>
      <c r="W119" s="554"/>
      <c r="X119" s="554"/>
      <c r="Y119" s="554"/>
      <c r="Z119" s="554"/>
      <c r="AA119" s="554"/>
      <c r="AB119" s="554"/>
      <c r="AC119" s="554"/>
      <c r="AD119" s="554"/>
      <c r="AF119" s="554"/>
      <c r="AG119" s="554"/>
    </row>
    <row r="120" spans="2:33" x14ac:dyDescent="0.25">
      <c r="B120" s="151"/>
      <c r="C120" s="143"/>
      <c r="D120" s="143"/>
      <c r="E120" s="554"/>
      <c r="F120" s="554"/>
      <c r="G120" s="554"/>
      <c r="H120" s="554"/>
      <c r="I120" s="554"/>
      <c r="J120" s="554"/>
      <c r="K120" s="554"/>
      <c r="L120" s="554"/>
      <c r="M120" s="554"/>
      <c r="N120" s="554"/>
      <c r="O120" s="554"/>
      <c r="P120" s="554"/>
      <c r="Q120" s="554"/>
      <c r="R120" s="554"/>
      <c r="S120" s="554"/>
      <c r="T120" s="554"/>
      <c r="U120" s="554"/>
      <c r="V120" s="554"/>
      <c r="W120" s="554"/>
      <c r="X120" s="554"/>
      <c r="Y120" s="554"/>
      <c r="Z120" s="554"/>
      <c r="AA120" s="554"/>
      <c r="AB120" s="554"/>
      <c r="AC120" s="554"/>
      <c r="AD120" s="554"/>
      <c r="AF120" s="554"/>
      <c r="AG120" s="554"/>
    </row>
    <row r="121" spans="2:33" x14ac:dyDescent="0.25">
      <c r="B121" s="151"/>
      <c r="C121" s="143"/>
      <c r="D121" s="143"/>
      <c r="E121" s="554"/>
      <c r="F121" s="554"/>
      <c r="G121" s="554"/>
      <c r="H121" s="554"/>
      <c r="I121" s="554"/>
      <c r="J121" s="554"/>
      <c r="K121" s="554"/>
      <c r="L121" s="554"/>
      <c r="M121" s="554"/>
      <c r="N121" s="554"/>
      <c r="O121" s="554"/>
      <c r="P121" s="554"/>
      <c r="Q121" s="554"/>
      <c r="R121" s="554"/>
      <c r="S121" s="554"/>
      <c r="T121" s="554"/>
      <c r="U121" s="554"/>
      <c r="V121" s="554"/>
      <c r="W121" s="554"/>
      <c r="X121" s="554"/>
      <c r="Y121" s="554"/>
      <c r="Z121" s="554"/>
      <c r="AA121" s="554"/>
      <c r="AB121" s="554"/>
      <c r="AC121" s="554"/>
      <c r="AD121" s="554"/>
      <c r="AF121" s="554"/>
      <c r="AG121" s="554"/>
    </row>
    <row r="122" spans="2:33" x14ac:dyDescent="0.25">
      <c r="B122" s="151"/>
      <c r="C122" s="143"/>
      <c r="D122" s="143"/>
      <c r="E122" s="554"/>
      <c r="F122" s="554"/>
      <c r="G122" s="554"/>
      <c r="H122" s="554"/>
      <c r="I122" s="554"/>
      <c r="J122" s="554"/>
      <c r="K122" s="554"/>
      <c r="L122" s="554"/>
      <c r="M122" s="554"/>
      <c r="N122" s="554"/>
      <c r="O122" s="554"/>
      <c r="P122" s="554"/>
      <c r="Q122" s="554"/>
      <c r="R122" s="554"/>
      <c r="S122" s="554"/>
      <c r="T122" s="554"/>
      <c r="U122" s="554"/>
      <c r="V122" s="554"/>
      <c r="W122" s="554"/>
      <c r="X122" s="554"/>
      <c r="Y122" s="554"/>
      <c r="Z122" s="554"/>
      <c r="AA122" s="554"/>
      <c r="AB122" s="554"/>
      <c r="AC122" s="554"/>
      <c r="AD122" s="554"/>
      <c r="AF122" s="554"/>
      <c r="AG122" s="554"/>
    </row>
    <row r="123" spans="2:33" x14ac:dyDescent="0.25">
      <c r="B123" s="151"/>
      <c r="C123" s="143"/>
      <c r="D123" s="143"/>
      <c r="E123" s="554"/>
      <c r="F123" s="554"/>
      <c r="G123" s="554"/>
      <c r="H123" s="554"/>
      <c r="I123" s="554"/>
      <c r="J123" s="554"/>
      <c r="K123" s="554"/>
      <c r="L123" s="554"/>
      <c r="M123" s="554"/>
      <c r="N123" s="554"/>
      <c r="O123" s="554"/>
      <c r="P123" s="554"/>
      <c r="Q123" s="554"/>
      <c r="R123" s="554"/>
      <c r="S123" s="554"/>
      <c r="T123" s="554"/>
      <c r="U123" s="554"/>
      <c r="V123" s="554"/>
      <c r="W123" s="554"/>
      <c r="X123" s="554"/>
      <c r="Y123" s="554"/>
      <c r="Z123" s="554"/>
      <c r="AA123" s="554"/>
      <c r="AB123" s="554"/>
      <c r="AC123" s="554"/>
      <c r="AD123" s="554"/>
      <c r="AF123" s="554"/>
      <c r="AG123" s="554"/>
    </row>
    <row r="124" spans="2:33" x14ac:dyDescent="0.25">
      <c r="B124" s="151"/>
      <c r="C124" s="143"/>
      <c r="D124" s="143"/>
      <c r="E124" s="554"/>
      <c r="F124" s="554"/>
      <c r="G124" s="554"/>
      <c r="H124" s="554"/>
      <c r="I124" s="554"/>
      <c r="J124" s="554"/>
      <c r="K124" s="554"/>
      <c r="L124" s="554"/>
      <c r="M124" s="554"/>
      <c r="N124" s="554"/>
      <c r="O124" s="554"/>
      <c r="P124" s="554"/>
      <c r="Q124" s="554"/>
      <c r="R124" s="554"/>
      <c r="S124" s="554"/>
      <c r="T124" s="554"/>
      <c r="U124" s="554"/>
      <c r="V124" s="554"/>
      <c r="W124" s="554"/>
      <c r="X124" s="554"/>
      <c r="Y124" s="554"/>
      <c r="Z124" s="554"/>
      <c r="AA124" s="554"/>
      <c r="AB124" s="554"/>
      <c r="AC124" s="554"/>
      <c r="AD124" s="554"/>
      <c r="AF124" s="554"/>
      <c r="AG124" s="554"/>
    </row>
    <row r="125" spans="2:33" x14ac:dyDescent="0.25">
      <c r="B125" s="151"/>
      <c r="C125" s="143"/>
      <c r="D125" s="143"/>
      <c r="E125" s="554"/>
      <c r="F125" s="554"/>
      <c r="G125" s="554"/>
      <c r="H125" s="554"/>
      <c r="I125" s="554"/>
      <c r="J125" s="554"/>
      <c r="K125" s="554"/>
      <c r="L125" s="554"/>
      <c r="M125" s="554"/>
      <c r="N125" s="554"/>
      <c r="O125" s="554"/>
      <c r="P125" s="554"/>
      <c r="Q125" s="554"/>
      <c r="R125" s="554"/>
      <c r="S125" s="554"/>
      <c r="T125" s="554"/>
      <c r="U125" s="554"/>
      <c r="V125" s="554"/>
      <c r="W125" s="554"/>
      <c r="X125" s="554"/>
      <c r="Y125" s="554"/>
      <c r="Z125" s="554"/>
      <c r="AA125" s="554"/>
      <c r="AB125" s="554"/>
      <c r="AC125" s="554"/>
      <c r="AD125" s="554"/>
      <c r="AF125" s="554"/>
      <c r="AG125" s="554"/>
    </row>
    <row r="126" spans="2:33" x14ac:dyDescent="0.25">
      <c r="B126" s="151"/>
      <c r="C126" s="143"/>
      <c r="D126" s="143"/>
      <c r="E126" s="554"/>
      <c r="F126" s="554"/>
      <c r="G126" s="554"/>
      <c r="H126" s="554"/>
      <c r="I126" s="554"/>
      <c r="J126" s="554"/>
      <c r="K126" s="554"/>
      <c r="L126" s="554"/>
      <c r="M126" s="554"/>
      <c r="N126" s="554"/>
      <c r="O126" s="554"/>
      <c r="P126" s="554"/>
      <c r="Q126" s="554"/>
      <c r="R126" s="554"/>
      <c r="S126" s="554"/>
      <c r="T126" s="554"/>
      <c r="U126" s="554"/>
      <c r="V126" s="554"/>
      <c r="W126" s="554"/>
      <c r="X126" s="554"/>
      <c r="Y126" s="554"/>
      <c r="Z126" s="554"/>
      <c r="AA126" s="554"/>
      <c r="AB126" s="554"/>
      <c r="AC126" s="554"/>
      <c r="AD126" s="554"/>
      <c r="AF126" s="554"/>
      <c r="AG126" s="554"/>
    </row>
    <row r="127" spans="2:33" x14ac:dyDescent="0.25">
      <c r="B127" s="151"/>
      <c r="C127" s="143"/>
      <c r="D127" s="143"/>
      <c r="E127" s="554"/>
      <c r="F127" s="554"/>
      <c r="G127" s="554"/>
      <c r="H127" s="554"/>
      <c r="I127" s="554"/>
      <c r="J127" s="554"/>
      <c r="K127" s="554"/>
      <c r="L127" s="554"/>
      <c r="M127" s="554"/>
      <c r="N127" s="554"/>
      <c r="O127" s="554"/>
      <c r="P127" s="554"/>
      <c r="Q127" s="554"/>
      <c r="R127" s="554"/>
      <c r="S127" s="554"/>
      <c r="T127" s="554"/>
      <c r="U127" s="554"/>
      <c r="V127" s="554"/>
      <c r="W127" s="554"/>
      <c r="X127" s="554"/>
      <c r="Y127" s="554"/>
      <c r="Z127" s="554"/>
      <c r="AA127" s="554"/>
      <c r="AB127" s="554"/>
      <c r="AC127" s="554"/>
      <c r="AD127" s="554"/>
      <c r="AF127" s="554"/>
      <c r="AG127" s="554"/>
    </row>
    <row r="128" spans="2:33" x14ac:dyDescent="0.25">
      <c r="B128" s="151"/>
      <c r="C128" s="143"/>
      <c r="D128" s="143"/>
      <c r="E128" s="554"/>
      <c r="F128" s="554"/>
      <c r="G128" s="554"/>
      <c r="H128" s="554"/>
      <c r="I128" s="554"/>
      <c r="J128" s="554"/>
      <c r="K128" s="554"/>
      <c r="L128" s="554"/>
      <c r="M128" s="554"/>
      <c r="N128" s="554"/>
      <c r="O128" s="554"/>
      <c r="P128" s="554"/>
      <c r="Q128" s="554"/>
      <c r="R128" s="554"/>
      <c r="S128" s="554"/>
      <c r="T128" s="554"/>
      <c r="U128" s="554"/>
      <c r="V128" s="554"/>
      <c r="W128" s="554"/>
      <c r="X128" s="554"/>
      <c r="Y128" s="554"/>
      <c r="Z128" s="554"/>
      <c r="AA128" s="554"/>
      <c r="AB128" s="554"/>
      <c r="AC128" s="554"/>
      <c r="AD128" s="554"/>
      <c r="AF128" s="554"/>
      <c r="AG128" s="554"/>
    </row>
    <row r="129" spans="2:33" x14ac:dyDescent="0.25">
      <c r="B129" s="151"/>
      <c r="C129" s="143"/>
      <c r="D129" s="143"/>
      <c r="E129" s="554"/>
      <c r="F129" s="554"/>
      <c r="G129" s="554"/>
      <c r="H129" s="554"/>
      <c r="I129" s="554"/>
      <c r="J129" s="554"/>
      <c r="K129" s="554"/>
      <c r="L129" s="554"/>
      <c r="M129" s="554"/>
      <c r="N129" s="554"/>
      <c r="O129" s="554"/>
      <c r="P129" s="554"/>
      <c r="Q129" s="554"/>
      <c r="R129" s="554"/>
      <c r="S129" s="554"/>
      <c r="T129" s="554"/>
      <c r="U129" s="554"/>
      <c r="V129" s="554"/>
      <c r="W129" s="554"/>
      <c r="X129" s="554"/>
      <c r="Y129" s="554"/>
      <c r="Z129" s="554"/>
      <c r="AA129" s="554"/>
      <c r="AB129" s="554"/>
      <c r="AC129" s="554"/>
      <c r="AD129" s="554"/>
      <c r="AF129" s="554"/>
      <c r="AG129" s="554"/>
    </row>
    <row r="130" spans="2:33" x14ac:dyDescent="0.25">
      <c r="B130" s="151"/>
      <c r="C130" s="143"/>
      <c r="D130" s="143"/>
      <c r="E130" s="554"/>
      <c r="F130" s="554"/>
      <c r="G130" s="554"/>
      <c r="H130" s="554"/>
      <c r="I130" s="554"/>
      <c r="J130" s="554"/>
      <c r="K130" s="554"/>
      <c r="L130" s="554"/>
      <c r="M130" s="554"/>
      <c r="N130" s="554"/>
      <c r="O130" s="554"/>
      <c r="P130" s="554"/>
      <c r="Q130" s="554"/>
      <c r="R130" s="554"/>
      <c r="S130" s="554"/>
      <c r="T130" s="554"/>
      <c r="U130" s="554"/>
      <c r="V130" s="554"/>
      <c r="W130" s="554"/>
      <c r="X130" s="554"/>
      <c r="Y130" s="554"/>
      <c r="Z130" s="554"/>
      <c r="AA130" s="554"/>
      <c r="AB130" s="554"/>
      <c r="AC130" s="554"/>
      <c r="AD130" s="554"/>
      <c r="AF130" s="554"/>
      <c r="AG130" s="554"/>
    </row>
    <row r="131" spans="2:33" x14ac:dyDescent="0.25">
      <c r="B131" s="151"/>
      <c r="C131" s="143"/>
      <c r="D131" s="143"/>
      <c r="E131" s="554"/>
      <c r="F131" s="554"/>
      <c r="G131" s="554"/>
      <c r="H131" s="554"/>
      <c r="I131" s="554"/>
      <c r="J131" s="554"/>
      <c r="K131" s="554"/>
      <c r="L131" s="554"/>
      <c r="M131" s="554"/>
      <c r="N131" s="554"/>
      <c r="O131" s="554"/>
      <c r="P131" s="554"/>
      <c r="Q131" s="554"/>
      <c r="R131" s="554"/>
      <c r="S131" s="554"/>
      <c r="T131" s="554"/>
      <c r="U131" s="554"/>
      <c r="V131" s="554"/>
      <c r="W131" s="554"/>
      <c r="X131" s="554"/>
      <c r="Y131" s="554"/>
      <c r="Z131" s="554"/>
      <c r="AA131" s="554"/>
      <c r="AB131" s="554"/>
      <c r="AC131" s="554"/>
      <c r="AD131" s="554"/>
      <c r="AF131" s="554"/>
      <c r="AG131" s="554"/>
    </row>
    <row r="132" spans="2:33" x14ac:dyDescent="0.25">
      <c r="B132" s="151"/>
      <c r="C132" s="143"/>
      <c r="D132" s="143"/>
      <c r="E132" s="554"/>
      <c r="F132" s="554"/>
      <c r="G132" s="554"/>
      <c r="H132" s="554"/>
      <c r="I132" s="554"/>
      <c r="J132" s="554"/>
      <c r="K132" s="554"/>
      <c r="L132" s="554"/>
      <c r="M132" s="554"/>
      <c r="N132" s="554"/>
      <c r="O132" s="554"/>
      <c r="P132" s="554"/>
      <c r="Q132" s="554"/>
      <c r="R132" s="554"/>
      <c r="S132" s="554"/>
      <c r="T132" s="554"/>
      <c r="U132" s="554"/>
      <c r="V132" s="554"/>
      <c r="W132" s="554"/>
      <c r="X132" s="554"/>
      <c r="Y132" s="554"/>
      <c r="Z132" s="554"/>
      <c r="AA132" s="554"/>
      <c r="AB132" s="554"/>
      <c r="AC132" s="554"/>
      <c r="AD132" s="554"/>
      <c r="AF132" s="554"/>
      <c r="AG132" s="554"/>
    </row>
    <row r="133" spans="2:33" x14ac:dyDescent="0.25">
      <c r="B133" s="151"/>
      <c r="C133" s="143"/>
      <c r="D133" s="143"/>
      <c r="E133" s="554"/>
      <c r="F133" s="554"/>
      <c r="G133" s="554"/>
      <c r="H133" s="554"/>
      <c r="I133" s="554"/>
      <c r="J133" s="554"/>
      <c r="K133" s="554"/>
      <c r="L133" s="554"/>
      <c r="M133" s="554"/>
      <c r="N133" s="554"/>
      <c r="O133" s="554"/>
      <c r="P133" s="554"/>
      <c r="Q133" s="554"/>
      <c r="R133" s="554"/>
      <c r="S133" s="554"/>
      <c r="T133" s="554"/>
      <c r="U133" s="554"/>
      <c r="V133" s="554"/>
      <c r="W133" s="554"/>
      <c r="X133" s="554"/>
      <c r="Y133" s="554"/>
      <c r="Z133" s="554"/>
      <c r="AA133" s="554"/>
      <c r="AB133" s="554"/>
      <c r="AC133" s="554"/>
      <c r="AD133" s="554"/>
      <c r="AF133" s="554"/>
      <c r="AG133" s="554"/>
    </row>
    <row r="134" spans="2:33" x14ac:dyDescent="0.25">
      <c r="B134" s="151"/>
      <c r="C134" s="143"/>
      <c r="D134" s="143"/>
      <c r="E134" s="554"/>
      <c r="F134" s="554"/>
      <c r="G134" s="554"/>
      <c r="H134" s="554"/>
      <c r="I134" s="554"/>
      <c r="J134" s="554"/>
      <c r="K134" s="554"/>
      <c r="L134" s="554"/>
      <c r="M134" s="554"/>
      <c r="N134" s="554"/>
      <c r="O134" s="554"/>
      <c r="P134" s="554"/>
      <c r="Q134" s="554"/>
      <c r="R134" s="554"/>
      <c r="S134" s="554"/>
      <c r="T134" s="554"/>
      <c r="U134" s="554"/>
      <c r="V134" s="554"/>
      <c r="W134" s="554"/>
      <c r="X134" s="554"/>
      <c r="Y134" s="554"/>
      <c r="Z134" s="554"/>
      <c r="AA134" s="554"/>
      <c r="AB134" s="554"/>
      <c r="AC134" s="554"/>
      <c r="AD134" s="554"/>
      <c r="AF134" s="554"/>
      <c r="AG134" s="554"/>
    </row>
    <row r="135" spans="2:33" x14ac:dyDescent="0.25">
      <c r="B135" s="151"/>
      <c r="C135" s="143"/>
      <c r="D135" s="143"/>
      <c r="E135" s="554"/>
      <c r="F135" s="554"/>
      <c r="G135" s="554"/>
      <c r="H135" s="554"/>
      <c r="I135" s="554"/>
      <c r="J135" s="554"/>
      <c r="K135" s="554"/>
      <c r="L135" s="554"/>
      <c r="M135" s="554"/>
      <c r="N135" s="554"/>
      <c r="O135" s="554"/>
      <c r="P135" s="554"/>
      <c r="Q135" s="554"/>
      <c r="R135" s="554"/>
      <c r="S135" s="554"/>
      <c r="T135" s="554"/>
      <c r="U135" s="554"/>
      <c r="V135" s="554"/>
      <c r="W135" s="554"/>
      <c r="X135" s="554"/>
      <c r="Y135" s="554"/>
      <c r="Z135" s="554"/>
      <c r="AA135" s="554"/>
      <c r="AB135" s="554"/>
      <c r="AC135" s="554"/>
      <c r="AD135" s="554"/>
      <c r="AF135" s="554"/>
      <c r="AG135" s="554"/>
    </row>
    <row r="136" spans="2:33" x14ac:dyDescent="0.25">
      <c r="B136" s="151"/>
      <c r="C136" s="143"/>
      <c r="D136" s="143"/>
      <c r="E136" s="554"/>
      <c r="F136" s="554"/>
      <c r="G136" s="554"/>
      <c r="H136" s="554"/>
      <c r="I136" s="554"/>
      <c r="J136" s="554"/>
      <c r="K136" s="554"/>
      <c r="L136" s="554"/>
      <c r="M136" s="554"/>
      <c r="N136" s="554"/>
      <c r="O136" s="554"/>
      <c r="P136" s="554"/>
      <c r="Q136" s="554"/>
      <c r="R136" s="554"/>
      <c r="S136" s="554"/>
      <c r="T136" s="554"/>
      <c r="U136" s="554"/>
      <c r="V136" s="554"/>
      <c r="W136" s="554"/>
      <c r="X136" s="554"/>
      <c r="Y136" s="554"/>
      <c r="Z136" s="554"/>
      <c r="AA136" s="554"/>
      <c r="AB136" s="554"/>
      <c r="AC136" s="554"/>
      <c r="AD136" s="554"/>
      <c r="AF136" s="554"/>
      <c r="AG136" s="554"/>
    </row>
    <row r="137" spans="2:33" x14ac:dyDescent="0.25">
      <c r="B137" s="151"/>
      <c r="C137" s="143"/>
      <c r="D137" s="143"/>
      <c r="E137" s="554"/>
      <c r="F137" s="554"/>
      <c r="G137" s="554"/>
      <c r="H137" s="554"/>
      <c r="I137" s="554"/>
      <c r="J137" s="554"/>
      <c r="K137" s="554"/>
      <c r="L137" s="554"/>
      <c r="M137" s="554"/>
      <c r="N137" s="554"/>
      <c r="O137" s="554"/>
      <c r="P137" s="554"/>
      <c r="Q137" s="554"/>
      <c r="R137" s="554"/>
      <c r="S137" s="554"/>
      <c r="T137" s="554"/>
      <c r="U137" s="554"/>
      <c r="V137" s="554"/>
      <c r="W137" s="554"/>
      <c r="X137" s="554"/>
      <c r="Y137" s="554"/>
      <c r="Z137" s="554"/>
      <c r="AA137" s="554"/>
      <c r="AB137" s="554"/>
      <c r="AC137" s="554"/>
      <c r="AD137" s="554"/>
      <c r="AF137" s="554"/>
      <c r="AG137" s="554"/>
    </row>
    <row r="138" spans="2:33" x14ac:dyDescent="0.25">
      <c r="B138" s="151"/>
      <c r="C138" s="143"/>
      <c r="D138" s="143"/>
      <c r="E138" s="554"/>
      <c r="F138" s="554"/>
      <c r="G138" s="554"/>
      <c r="H138" s="554"/>
      <c r="I138" s="554"/>
      <c r="J138" s="554"/>
      <c r="K138" s="554"/>
      <c r="L138" s="554"/>
      <c r="M138" s="554"/>
      <c r="N138" s="554"/>
      <c r="O138" s="554"/>
      <c r="P138" s="554"/>
      <c r="Q138" s="554"/>
      <c r="R138" s="554"/>
      <c r="S138" s="554"/>
      <c r="T138" s="554"/>
      <c r="U138" s="554"/>
      <c r="V138" s="554"/>
      <c r="W138" s="554"/>
      <c r="X138" s="554"/>
      <c r="Y138" s="554"/>
      <c r="Z138" s="554"/>
      <c r="AA138" s="554"/>
      <c r="AB138" s="554"/>
      <c r="AC138" s="554"/>
      <c r="AD138" s="554"/>
      <c r="AF138" s="554"/>
      <c r="AG138" s="554"/>
    </row>
    <row r="139" spans="2:33" x14ac:dyDescent="0.25">
      <c r="B139" s="151"/>
      <c r="C139" s="143"/>
      <c r="D139" s="143"/>
      <c r="E139" s="554"/>
      <c r="F139" s="554"/>
      <c r="G139" s="554"/>
      <c r="H139" s="554"/>
      <c r="I139" s="554"/>
      <c r="J139" s="554"/>
      <c r="K139" s="554"/>
      <c r="L139" s="554"/>
      <c r="M139" s="554"/>
      <c r="N139" s="554"/>
      <c r="O139" s="554"/>
      <c r="P139" s="554"/>
      <c r="Q139" s="554"/>
      <c r="R139" s="554"/>
      <c r="S139" s="554"/>
      <c r="T139" s="554"/>
      <c r="U139" s="554"/>
      <c r="V139" s="554"/>
      <c r="W139" s="554"/>
      <c r="X139" s="554"/>
      <c r="Y139" s="554"/>
      <c r="Z139" s="554"/>
      <c r="AA139" s="554"/>
      <c r="AB139" s="554"/>
      <c r="AC139" s="554"/>
      <c r="AD139" s="554"/>
      <c r="AF139" s="554"/>
      <c r="AG139" s="554"/>
    </row>
    <row r="140" spans="2:33" x14ac:dyDescent="0.25">
      <c r="B140" s="151"/>
      <c r="C140" s="143"/>
      <c r="D140" s="143"/>
      <c r="E140" s="554"/>
      <c r="F140" s="554"/>
      <c r="G140" s="554"/>
      <c r="H140" s="554"/>
      <c r="I140" s="554"/>
      <c r="J140" s="554"/>
      <c r="K140" s="554"/>
      <c r="L140" s="554"/>
      <c r="M140" s="554"/>
      <c r="N140" s="554"/>
      <c r="O140" s="554"/>
      <c r="P140" s="554"/>
      <c r="Q140" s="554"/>
      <c r="R140" s="554"/>
      <c r="S140" s="554"/>
      <c r="T140" s="554"/>
      <c r="U140" s="554"/>
      <c r="V140" s="554"/>
      <c r="W140" s="554"/>
      <c r="X140" s="554"/>
      <c r="Y140" s="554"/>
      <c r="Z140" s="554"/>
      <c r="AA140" s="554"/>
      <c r="AB140" s="554"/>
      <c r="AC140" s="554"/>
      <c r="AD140" s="554"/>
      <c r="AF140" s="554"/>
      <c r="AG140" s="554"/>
    </row>
    <row r="141" spans="2:33" x14ac:dyDescent="0.25">
      <c r="B141" s="151"/>
      <c r="C141" s="143"/>
      <c r="D141" s="143"/>
      <c r="E141" s="554"/>
      <c r="F141" s="554"/>
      <c r="G141" s="554"/>
      <c r="H141" s="554"/>
      <c r="I141" s="554"/>
      <c r="J141" s="554"/>
      <c r="K141" s="554"/>
      <c r="L141" s="554"/>
      <c r="M141" s="554"/>
      <c r="N141" s="554"/>
      <c r="O141" s="554"/>
      <c r="P141" s="554"/>
      <c r="Q141" s="554"/>
      <c r="R141" s="554"/>
      <c r="S141" s="554"/>
      <c r="T141" s="554"/>
      <c r="U141" s="554"/>
      <c r="V141" s="554"/>
      <c r="W141" s="554"/>
      <c r="X141" s="554"/>
      <c r="Y141" s="554"/>
      <c r="Z141" s="554"/>
      <c r="AA141" s="554"/>
      <c r="AB141" s="554"/>
      <c r="AC141" s="554"/>
      <c r="AD141" s="554"/>
      <c r="AF141" s="554"/>
      <c r="AG141" s="554"/>
    </row>
    <row r="142" spans="2:33" x14ac:dyDescent="0.25">
      <c r="B142" s="151"/>
      <c r="C142" s="143"/>
      <c r="D142" s="143"/>
      <c r="E142" s="554"/>
      <c r="F142" s="554"/>
      <c r="G142" s="554"/>
      <c r="H142" s="554"/>
      <c r="I142" s="554"/>
      <c r="J142" s="554"/>
      <c r="K142" s="554"/>
      <c r="L142" s="554"/>
      <c r="M142" s="554"/>
      <c r="N142" s="554"/>
      <c r="O142" s="554"/>
      <c r="P142" s="554"/>
      <c r="Q142" s="554"/>
      <c r="R142" s="554"/>
      <c r="S142" s="554"/>
      <c r="T142" s="554"/>
      <c r="U142" s="554"/>
      <c r="V142" s="554"/>
      <c r="W142" s="554"/>
      <c r="X142" s="554"/>
      <c r="Y142" s="554"/>
      <c r="Z142" s="554"/>
      <c r="AA142" s="554"/>
      <c r="AB142" s="554"/>
      <c r="AC142" s="554"/>
      <c r="AD142" s="554"/>
      <c r="AF142" s="554"/>
      <c r="AG142" s="554"/>
    </row>
    <row r="143" spans="2:33" x14ac:dyDescent="0.25">
      <c r="B143" s="151"/>
      <c r="C143" s="143"/>
      <c r="D143" s="143"/>
      <c r="E143" s="554"/>
      <c r="F143" s="554"/>
      <c r="G143" s="554"/>
      <c r="H143" s="554"/>
      <c r="I143" s="554"/>
      <c r="J143" s="554"/>
      <c r="K143" s="554"/>
      <c r="L143" s="554"/>
      <c r="M143" s="554"/>
      <c r="N143" s="554"/>
      <c r="O143" s="554"/>
      <c r="P143" s="554"/>
      <c r="Q143" s="554"/>
      <c r="R143" s="554"/>
      <c r="S143" s="554"/>
      <c r="T143" s="554"/>
      <c r="U143" s="554"/>
      <c r="V143" s="554"/>
      <c r="W143" s="554"/>
      <c r="X143" s="554"/>
      <c r="Y143" s="554"/>
      <c r="Z143" s="554"/>
      <c r="AA143" s="554"/>
      <c r="AB143" s="554"/>
      <c r="AC143" s="554"/>
      <c r="AD143" s="554"/>
      <c r="AF143" s="554"/>
      <c r="AG143" s="554"/>
    </row>
    <row r="144" spans="2:33" x14ac:dyDescent="0.25">
      <c r="B144" s="151"/>
      <c r="C144" s="143"/>
      <c r="D144" s="143"/>
      <c r="E144" s="554"/>
      <c r="F144" s="554"/>
      <c r="G144" s="554"/>
      <c r="H144" s="554"/>
      <c r="I144" s="554"/>
      <c r="J144" s="554"/>
      <c r="K144" s="554"/>
      <c r="L144" s="554"/>
      <c r="M144" s="554"/>
      <c r="N144" s="554"/>
      <c r="O144" s="554"/>
      <c r="P144" s="554"/>
      <c r="Q144" s="554"/>
      <c r="R144" s="554"/>
      <c r="S144" s="554"/>
      <c r="T144" s="554"/>
      <c r="U144" s="554"/>
      <c r="V144" s="554"/>
      <c r="W144" s="554"/>
      <c r="X144" s="554"/>
      <c r="Y144" s="554"/>
      <c r="Z144" s="554"/>
      <c r="AA144" s="554"/>
      <c r="AB144" s="554"/>
      <c r="AC144" s="554"/>
      <c r="AD144" s="554"/>
      <c r="AF144" s="554"/>
      <c r="AG144" s="554"/>
    </row>
    <row r="145" spans="2:33" x14ac:dyDescent="0.25">
      <c r="B145" s="151"/>
      <c r="C145" s="143"/>
      <c r="D145" s="143"/>
      <c r="E145" s="554"/>
      <c r="F145" s="554"/>
      <c r="G145" s="554"/>
      <c r="H145" s="554"/>
      <c r="I145" s="554"/>
      <c r="J145" s="554"/>
      <c r="K145" s="554"/>
      <c r="L145" s="554"/>
      <c r="M145" s="554"/>
      <c r="N145" s="554"/>
      <c r="O145" s="554"/>
      <c r="P145" s="554"/>
      <c r="Q145" s="554"/>
      <c r="R145" s="554"/>
      <c r="S145" s="554"/>
      <c r="T145" s="554"/>
      <c r="U145" s="554"/>
      <c r="V145" s="554"/>
      <c r="W145" s="554"/>
      <c r="X145" s="554"/>
      <c r="Y145" s="554"/>
      <c r="Z145" s="554"/>
      <c r="AA145" s="554"/>
      <c r="AB145" s="554"/>
      <c r="AC145" s="554"/>
      <c r="AD145" s="554"/>
      <c r="AF145" s="554"/>
      <c r="AG145" s="554"/>
    </row>
    <row r="146" spans="2:33" x14ac:dyDescent="0.25">
      <c r="B146" s="151"/>
      <c r="C146" s="143"/>
      <c r="D146" s="143"/>
      <c r="E146" s="554"/>
      <c r="F146" s="554"/>
      <c r="G146" s="554"/>
      <c r="H146" s="554"/>
      <c r="I146" s="554"/>
      <c r="J146" s="554"/>
      <c r="K146" s="554"/>
      <c r="L146" s="554"/>
      <c r="M146" s="554"/>
      <c r="N146" s="554"/>
      <c r="O146" s="554"/>
      <c r="P146" s="554"/>
      <c r="Q146" s="554"/>
      <c r="R146" s="554"/>
      <c r="S146" s="554"/>
      <c r="T146" s="554"/>
      <c r="U146" s="554"/>
      <c r="V146" s="554"/>
      <c r="W146" s="554"/>
      <c r="X146" s="554"/>
      <c r="Y146" s="554"/>
      <c r="Z146" s="554"/>
      <c r="AA146" s="554"/>
      <c r="AB146" s="554"/>
      <c r="AC146" s="554"/>
      <c r="AD146" s="554"/>
      <c r="AF146" s="554"/>
      <c r="AG146" s="554"/>
    </row>
    <row r="147" spans="2:33" x14ac:dyDescent="0.25">
      <c r="B147" s="151"/>
      <c r="C147" s="143"/>
      <c r="D147" s="143"/>
      <c r="E147" s="554"/>
      <c r="F147" s="554"/>
      <c r="G147" s="554"/>
      <c r="H147" s="554"/>
      <c r="I147" s="554"/>
      <c r="J147" s="554"/>
      <c r="K147" s="554"/>
      <c r="L147" s="554"/>
      <c r="M147" s="554"/>
      <c r="N147" s="554"/>
      <c r="O147" s="554"/>
      <c r="P147" s="554"/>
      <c r="Q147" s="554"/>
      <c r="R147" s="554"/>
      <c r="S147" s="554"/>
      <c r="T147" s="554"/>
      <c r="U147" s="554"/>
      <c r="V147" s="554"/>
      <c r="W147" s="554"/>
      <c r="X147" s="554"/>
      <c r="Y147" s="554"/>
      <c r="Z147" s="554"/>
      <c r="AA147" s="554"/>
      <c r="AB147" s="554"/>
      <c r="AC147" s="554"/>
      <c r="AD147" s="554"/>
      <c r="AF147" s="554"/>
      <c r="AG147" s="554"/>
    </row>
    <row r="148" spans="2:33" x14ac:dyDescent="0.25">
      <c r="B148" s="151"/>
      <c r="C148" s="143"/>
      <c r="D148" s="143"/>
      <c r="E148" s="554"/>
      <c r="F148" s="554"/>
      <c r="G148" s="554"/>
      <c r="H148" s="554"/>
      <c r="I148" s="554"/>
      <c r="J148" s="554"/>
      <c r="K148" s="554"/>
      <c r="L148" s="554"/>
      <c r="M148" s="554"/>
      <c r="N148" s="554"/>
      <c r="O148" s="554"/>
      <c r="P148" s="554"/>
      <c r="Q148" s="554"/>
      <c r="R148" s="554"/>
      <c r="S148" s="554"/>
      <c r="T148" s="554"/>
      <c r="U148" s="554"/>
      <c r="V148" s="554"/>
      <c r="W148" s="554"/>
      <c r="X148" s="554"/>
      <c r="Y148" s="554"/>
      <c r="Z148" s="554"/>
      <c r="AA148" s="554"/>
      <c r="AB148" s="554"/>
      <c r="AC148" s="554"/>
      <c r="AD148" s="554"/>
      <c r="AF148" s="554"/>
      <c r="AG148" s="554"/>
    </row>
    <row r="149" spans="2:33" x14ac:dyDescent="0.25">
      <c r="B149" s="151"/>
      <c r="C149" s="143"/>
      <c r="D149" s="143"/>
      <c r="E149" s="554"/>
      <c r="F149" s="554"/>
      <c r="G149" s="554"/>
      <c r="H149" s="554"/>
      <c r="I149" s="554"/>
      <c r="J149" s="554"/>
      <c r="K149" s="554"/>
      <c r="L149" s="554"/>
      <c r="M149" s="554"/>
      <c r="N149" s="554"/>
      <c r="O149" s="554"/>
      <c r="P149" s="554"/>
      <c r="Q149" s="554"/>
      <c r="R149" s="554"/>
      <c r="S149" s="554"/>
      <c r="T149" s="554"/>
      <c r="U149" s="554"/>
      <c r="V149" s="554"/>
      <c r="W149" s="554"/>
      <c r="X149" s="554"/>
      <c r="Y149" s="554"/>
      <c r="Z149" s="554"/>
      <c r="AA149" s="554"/>
      <c r="AB149" s="554"/>
      <c r="AC149" s="554"/>
      <c r="AD149" s="554"/>
      <c r="AF149" s="554"/>
      <c r="AG149" s="554"/>
    </row>
    <row r="150" spans="2:33" x14ac:dyDescent="0.25">
      <c r="B150" s="151"/>
      <c r="C150" s="143"/>
      <c r="D150" s="143"/>
      <c r="E150" s="554"/>
      <c r="F150" s="554"/>
      <c r="G150" s="554"/>
      <c r="H150" s="554"/>
      <c r="I150" s="554"/>
      <c r="J150" s="554"/>
      <c r="K150" s="554"/>
      <c r="L150" s="554"/>
      <c r="M150" s="554"/>
      <c r="N150" s="554"/>
      <c r="O150" s="554"/>
      <c r="P150" s="554"/>
      <c r="Q150" s="554"/>
      <c r="R150" s="554"/>
      <c r="S150" s="554"/>
      <c r="T150" s="554"/>
      <c r="U150" s="554"/>
      <c r="V150" s="554"/>
      <c r="W150" s="554"/>
      <c r="X150" s="554"/>
      <c r="Y150" s="554"/>
      <c r="Z150" s="554"/>
      <c r="AA150" s="554"/>
      <c r="AB150" s="554"/>
      <c r="AC150" s="554"/>
      <c r="AD150" s="554"/>
      <c r="AF150" s="554"/>
      <c r="AG150" s="554"/>
    </row>
    <row r="151" spans="2:33" x14ac:dyDescent="0.25">
      <c r="B151" s="151"/>
      <c r="C151" s="143"/>
      <c r="D151" s="143"/>
      <c r="E151" s="554"/>
      <c r="F151" s="554"/>
      <c r="G151" s="554"/>
      <c r="H151" s="554"/>
      <c r="I151" s="554"/>
      <c r="J151" s="554"/>
      <c r="K151" s="554"/>
      <c r="L151" s="554"/>
      <c r="M151" s="554"/>
      <c r="N151" s="554"/>
      <c r="O151" s="554"/>
      <c r="P151" s="554"/>
      <c r="Q151" s="554"/>
      <c r="R151" s="554"/>
      <c r="S151" s="554"/>
      <c r="T151" s="554"/>
      <c r="U151" s="554"/>
      <c r="V151" s="554"/>
      <c r="W151" s="554"/>
      <c r="X151" s="554"/>
      <c r="Y151" s="554"/>
      <c r="Z151" s="554"/>
      <c r="AA151" s="554"/>
      <c r="AB151" s="554"/>
      <c r="AC151" s="554"/>
      <c r="AD151" s="554"/>
      <c r="AF151" s="554"/>
      <c r="AG151" s="554"/>
    </row>
    <row r="152" spans="2:33" x14ac:dyDescent="0.25">
      <c r="B152" s="151"/>
      <c r="C152" s="143"/>
      <c r="D152" s="143"/>
      <c r="E152" s="554"/>
      <c r="F152" s="554"/>
      <c r="G152" s="554"/>
      <c r="H152" s="554"/>
      <c r="I152" s="554"/>
      <c r="J152" s="554"/>
      <c r="K152" s="554"/>
      <c r="L152" s="554"/>
      <c r="M152" s="554"/>
      <c r="N152" s="554"/>
      <c r="O152" s="554"/>
      <c r="P152" s="554"/>
      <c r="Q152" s="554"/>
      <c r="R152" s="554"/>
      <c r="S152" s="554"/>
      <c r="T152" s="554"/>
      <c r="U152" s="554"/>
      <c r="V152" s="554"/>
      <c r="W152" s="554"/>
      <c r="X152" s="554"/>
      <c r="Y152" s="554"/>
      <c r="Z152" s="554"/>
      <c r="AA152" s="554"/>
      <c r="AB152" s="554"/>
      <c r="AC152" s="554"/>
      <c r="AD152" s="554"/>
      <c r="AF152" s="554"/>
      <c r="AG152" s="554"/>
    </row>
    <row r="153" spans="2:33" x14ac:dyDescent="0.25">
      <c r="B153" s="151"/>
      <c r="C153" s="143"/>
      <c r="D153" s="143"/>
      <c r="E153" s="554"/>
      <c r="F153" s="554"/>
      <c r="G153" s="554"/>
      <c r="H153" s="554"/>
      <c r="I153" s="554"/>
      <c r="J153" s="554"/>
      <c r="K153" s="554"/>
      <c r="L153" s="554"/>
      <c r="M153" s="554"/>
      <c r="N153" s="554"/>
      <c r="O153" s="554"/>
      <c r="P153" s="554"/>
      <c r="Q153" s="554"/>
      <c r="R153" s="554"/>
      <c r="S153" s="554"/>
      <c r="T153" s="554"/>
      <c r="U153" s="554"/>
      <c r="V153" s="554"/>
      <c r="W153" s="554"/>
      <c r="X153" s="554"/>
      <c r="Y153" s="554"/>
      <c r="Z153" s="554"/>
      <c r="AA153" s="554"/>
      <c r="AB153" s="554"/>
      <c r="AC153" s="554"/>
      <c r="AD153" s="554"/>
      <c r="AF153" s="554"/>
      <c r="AG153" s="554"/>
    </row>
    <row r="154" spans="2:33" x14ac:dyDescent="0.25">
      <c r="B154" s="151"/>
      <c r="C154" s="143"/>
      <c r="D154" s="143"/>
      <c r="E154" s="554"/>
      <c r="F154" s="554"/>
      <c r="G154" s="554"/>
      <c r="H154" s="554"/>
      <c r="I154" s="554"/>
      <c r="J154" s="554"/>
      <c r="K154" s="554"/>
      <c r="L154" s="554"/>
      <c r="M154" s="554"/>
      <c r="N154" s="554"/>
      <c r="O154" s="554"/>
      <c r="P154" s="554"/>
      <c r="Q154" s="554"/>
      <c r="R154" s="554"/>
      <c r="S154" s="554"/>
      <c r="T154" s="554"/>
      <c r="U154" s="554"/>
      <c r="V154" s="554"/>
      <c r="W154" s="554"/>
      <c r="X154" s="554"/>
      <c r="Y154" s="554"/>
      <c r="Z154" s="554"/>
      <c r="AA154" s="554"/>
      <c r="AB154" s="554"/>
      <c r="AC154" s="554"/>
      <c r="AD154" s="554"/>
      <c r="AF154" s="554"/>
      <c r="AG154" s="554"/>
    </row>
    <row r="155" spans="2:33" x14ac:dyDescent="0.25">
      <c r="B155" s="151"/>
      <c r="C155" s="143"/>
      <c r="D155" s="143"/>
      <c r="E155" s="554"/>
      <c r="F155" s="554"/>
      <c r="G155" s="554"/>
      <c r="H155" s="554"/>
      <c r="I155" s="554"/>
      <c r="J155" s="554"/>
      <c r="K155" s="554"/>
      <c r="L155" s="554"/>
      <c r="M155" s="554"/>
      <c r="N155" s="554"/>
      <c r="O155" s="554"/>
      <c r="P155" s="554"/>
      <c r="Q155" s="554"/>
      <c r="R155" s="554"/>
      <c r="S155" s="554"/>
      <c r="T155" s="554"/>
      <c r="U155" s="554"/>
      <c r="V155" s="554"/>
      <c r="W155" s="554"/>
      <c r="X155" s="554"/>
      <c r="Y155" s="554"/>
      <c r="Z155" s="554"/>
      <c r="AA155" s="554"/>
      <c r="AB155" s="554"/>
      <c r="AC155" s="554"/>
      <c r="AD155" s="554"/>
      <c r="AF155" s="554"/>
      <c r="AG155" s="554"/>
    </row>
    <row r="156" spans="2:33" x14ac:dyDescent="0.25">
      <c r="B156" s="151"/>
      <c r="C156" s="143"/>
      <c r="D156" s="143"/>
      <c r="E156" s="554"/>
      <c r="F156" s="554"/>
      <c r="G156" s="554"/>
      <c r="H156" s="554"/>
      <c r="I156" s="554"/>
      <c r="J156" s="554"/>
      <c r="K156" s="554"/>
      <c r="L156" s="554"/>
      <c r="M156" s="554"/>
      <c r="N156" s="554"/>
      <c r="O156" s="554"/>
      <c r="P156" s="554"/>
      <c r="Q156" s="554"/>
      <c r="R156" s="554"/>
      <c r="S156" s="554"/>
      <c r="T156" s="554"/>
      <c r="U156" s="554"/>
      <c r="V156" s="554"/>
      <c r="W156" s="554"/>
      <c r="X156" s="554"/>
      <c r="Y156" s="554"/>
      <c r="Z156" s="554"/>
      <c r="AA156" s="554"/>
      <c r="AB156" s="554"/>
      <c r="AC156" s="554"/>
      <c r="AD156" s="554"/>
      <c r="AF156" s="554"/>
      <c r="AG156" s="554"/>
    </row>
    <row r="157" spans="2:33" x14ac:dyDescent="0.25">
      <c r="B157" s="151"/>
      <c r="C157" s="143"/>
      <c r="D157" s="143"/>
      <c r="E157" s="554"/>
      <c r="F157" s="554"/>
      <c r="G157" s="554"/>
      <c r="H157" s="554"/>
      <c r="I157" s="554"/>
      <c r="J157" s="554"/>
      <c r="K157" s="554"/>
      <c r="L157" s="554"/>
      <c r="M157" s="554"/>
      <c r="N157" s="554"/>
      <c r="O157" s="554"/>
      <c r="P157" s="554"/>
      <c r="Q157" s="554"/>
      <c r="R157" s="554"/>
      <c r="S157" s="554"/>
      <c r="T157" s="554"/>
      <c r="U157" s="554"/>
      <c r="V157" s="554"/>
      <c r="W157" s="554"/>
      <c r="X157" s="554"/>
      <c r="Y157" s="554"/>
      <c r="Z157" s="554"/>
      <c r="AA157" s="554"/>
      <c r="AB157" s="554"/>
      <c r="AC157" s="554"/>
      <c r="AD157" s="554"/>
      <c r="AF157" s="554"/>
      <c r="AG157" s="554"/>
    </row>
    <row r="158" spans="2:33" x14ac:dyDescent="0.25">
      <c r="B158" s="151"/>
      <c r="C158" s="143"/>
      <c r="D158" s="143"/>
      <c r="E158" s="554"/>
      <c r="F158" s="554"/>
      <c r="G158" s="554"/>
      <c r="H158" s="554"/>
      <c r="I158" s="554"/>
      <c r="J158" s="554"/>
      <c r="K158" s="554"/>
      <c r="L158" s="554"/>
      <c r="M158" s="554"/>
      <c r="N158" s="554"/>
      <c r="O158" s="554"/>
      <c r="P158" s="554"/>
      <c r="Q158" s="554"/>
      <c r="R158" s="554"/>
      <c r="S158" s="554"/>
      <c r="T158" s="554"/>
      <c r="U158" s="554"/>
      <c r="V158" s="554"/>
      <c r="W158" s="554"/>
      <c r="X158" s="554"/>
      <c r="Y158" s="554"/>
      <c r="Z158" s="554"/>
      <c r="AA158" s="554"/>
      <c r="AB158" s="554"/>
      <c r="AC158" s="554"/>
      <c r="AD158" s="554"/>
      <c r="AF158" s="554"/>
      <c r="AG158" s="554"/>
    </row>
    <row r="159" spans="2:33" x14ac:dyDescent="0.25">
      <c r="B159" s="151"/>
      <c r="C159" s="143"/>
      <c r="D159" s="143"/>
      <c r="E159" s="554"/>
      <c r="F159" s="554"/>
      <c r="G159" s="554"/>
      <c r="H159" s="554"/>
      <c r="I159" s="554"/>
      <c r="J159" s="554"/>
      <c r="K159" s="554"/>
      <c r="L159" s="554"/>
      <c r="M159" s="554"/>
      <c r="N159" s="554"/>
      <c r="O159" s="554"/>
      <c r="P159" s="554"/>
      <c r="Q159" s="554"/>
      <c r="R159" s="554"/>
      <c r="S159" s="554"/>
      <c r="T159" s="554"/>
      <c r="U159" s="554"/>
      <c r="V159" s="554"/>
      <c r="W159" s="554"/>
      <c r="X159" s="554"/>
      <c r="Y159" s="554"/>
      <c r="Z159" s="554"/>
      <c r="AA159" s="554"/>
      <c r="AB159" s="554"/>
      <c r="AC159" s="554"/>
      <c r="AD159" s="554"/>
      <c r="AF159" s="554"/>
      <c r="AG159" s="554"/>
    </row>
    <row r="160" spans="2:33" x14ac:dyDescent="0.25">
      <c r="B160" s="151"/>
      <c r="C160" s="143"/>
      <c r="D160" s="143"/>
      <c r="E160" s="554"/>
      <c r="F160" s="554"/>
      <c r="G160" s="554"/>
      <c r="H160" s="554"/>
      <c r="I160" s="554"/>
      <c r="J160" s="554"/>
      <c r="K160" s="554"/>
      <c r="L160" s="554"/>
      <c r="M160" s="554"/>
      <c r="N160" s="554"/>
      <c r="O160" s="554"/>
      <c r="P160" s="554"/>
      <c r="Q160" s="554"/>
      <c r="R160" s="554"/>
      <c r="S160" s="554"/>
      <c r="T160" s="554"/>
      <c r="U160" s="554"/>
      <c r="V160" s="554"/>
      <c r="W160" s="554"/>
      <c r="X160" s="554"/>
      <c r="Y160" s="554"/>
      <c r="Z160" s="554"/>
      <c r="AA160" s="554"/>
      <c r="AB160" s="554"/>
      <c r="AC160" s="554"/>
      <c r="AD160" s="554"/>
      <c r="AF160" s="554"/>
      <c r="AG160" s="554"/>
    </row>
    <row r="161" spans="2:33" x14ac:dyDescent="0.25">
      <c r="B161" s="151"/>
      <c r="C161" s="143"/>
      <c r="D161" s="143"/>
      <c r="E161" s="554"/>
      <c r="F161" s="554"/>
      <c r="G161" s="554"/>
      <c r="H161" s="554"/>
      <c r="I161" s="554"/>
      <c r="J161" s="554"/>
      <c r="K161" s="554"/>
      <c r="L161" s="554"/>
      <c r="M161" s="554"/>
      <c r="N161" s="554"/>
      <c r="O161" s="554"/>
      <c r="P161" s="554"/>
      <c r="Q161" s="554"/>
      <c r="R161" s="554"/>
      <c r="S161" s="554"/>
      <c r="T161" s="554"/>
      <c r="U161" s="554"/>
      <c r="V161" s="554"/>
      <c r="W161" s="554"/>
      <c r="X161" s="554"/>
      <c r="Y161" s="554"/>
      <c r="Z161" s="554"/>
      <c r="AA161" s="554"/>
      <c r="AB161" s="554"/>
      <c r="AC161" s="554"/>
      <c r="AD161" s="554"/>
      <c r="AF161" s="554"/>
      <c r="AG161" s="554"/>
    </row>
    <row r="162" spans="2:33" x14ac:dyDescent="0.25">
      <c r="B162" s="151"/>
      <c r="C162" s="143"/>
      <c r="D162" s="143"/>
      <c r="E162" s="554"/>
      <c r="F162" s="554"/>
      <c r="G162" s="554"/>
      <c r="H162" s="554"/>
      <c r="I162" s="554"/>
      <c r="J162" s="554"/>
      <c r="K162" s="554"/>
      <c r="L162" s="554"/>
      <c r="M162" s="554"/>
      <c r="N162" s="554"/>
      <c r="O162" s="554"/>
      <c r="P162" s="554"/>
      <c r="Q162" s="554"/>
      <c r="R162" s="554"/>
      <c r="S162" s="554"/>
      <c r="T162" s="554"/>
      <c r="U162" s="554"/>
      <c r="V162" s="554"/>
      <c r="W162" s="554"/>
      <c r="X162" s="554"/>
      <c r="Y162" s="554"/>
      <c r="Z162" s="554"/>
      <c r="AA162" s="554"/>
      <c r="AB162" s="554"/>
      <c r="AC162" s="554"/>
      <c r="AD162" s="554"/>
      <c r="AF162" s="554"/>
      <c r="AG162" s="554"/>
    </row>
    <row r="163" spans="2:33" x14ac:dyDescent="0.25">
      <c r="B163" s="151"/>
      <c r="C163" s="143"/>
      <c r="D163" s="143"/>
      <c r="E163" s="554"/>
      <c r="F163" s="554"/>
      <c r="G163" s="554"/>
      <c r="H163" s="554"/>
      <c r="I163" s="554"/>
      <c r="J163" s="554"/>
      <c r="K163" s="554"/>
      <c r="L163" s="554"/>
      <c r="M163" s="554"/>
      <c r="N163" s="554"/>
      <c r="O163" s="554"/>
      <c r="P163" s="554"/>
      <c r="Q163" s="554"/>
      <c r="R163" s="554"/>
      <c r="S163" s="554"/>
      <c r="T163" s="554"/>
      <c r="U163" s="554"/>
      <c r="V163" s="554"/>
      <c r="W163" s="554"/>
      <c r="X163" s="554"/>
      <c r="Y163" s="554"/>
      <c r="Z163" s="554"/>
      <c r="AA163" s="554"/>
      <c r="AB163" s="554"/>
      <c r="AC163" s="554"/>
      <c r="AD163" s="554"/>
      <c r="AF163" s="554"/>
      <c r="AG163" s="554"/>
    </row>
    <row r="164" spans="2:33" x14ac:dyDescent="0.25">
      <c r="B164" s="151"/>
      <c r="C164" s="143"/>
      <c r="D164" s="143"/>
      <c r="E164" s="554"/>
      <c r="F164" s="554"/>
      <c r="G164" s="554"/>
      <c r="H164" s="554"/>
      <c r="I164" s="554"/>
      <c r="J164" s="554"/>
      <c r="K164" s="554"/>
      <c r="L164" s="554"/>
      <c r="M164" s="554"/>
      <c r="N164" s="554"/>
      <c r="O164" s="554"/>
      <c r="P164" s="554"/>
      <c r="Q164" s="554"/>
      <c r="R164" s="554"/>
      <c r="S164" s="554"/>
      <c r="T164" s="554"/>
      <c r="U164" s="554"/>
      <c r="V164" s="554"/>
      <c r="W164" s="554"/>
      <c r="X164" s="554"/>
      <c r="Y164" s="554"/>
      <c r="Z164" s="554"/>
      <c r="AA164" s="554"/>
      <c r="AB164" s="554"/>
      <c r="AC164" s="554"/>
      <c r="AD164" s="554"/>
      <c r="AF164" s="554"/>
      <c r="AG164" s="554"/>
    </row>
    <row r="165" spans="2:33" x14ac:dyDescent="0.25">
      <c r="B165" s="151"/>
      <c r="C165" s="143"/>
      <c r="D165" s="143"/>
      <c r="E165" s="554"/>
      <c r="F165" s="554"/>
      <c r="G165" s="554"/>
      <c r="H165" s="554"/>
      <c r="I165" s="554"/>
      <c r="J165" s="554"/>
      <c r="K165" s="554"/>
      <c r="L165" s="554"/>
      <c r="M165" s="554"/>
      <c r="N165" s="554"/>
      <c r="O165" s="554"/>
      <c r="P165" s="554"/>
      <c r="Q165" s="554"/>
      <c r="R165" s="554"/>
      <c r="S165" s="554"/>
      <c r="T165" s="554"/>
      <c r="U165" s="554"/>
      <c r="V165" s="554"/>
      <c r="W165" s="554"/>
      <c r="X165" s="554"/>
      <c r="Y165" s="554"/>
      <c r="Z165" s="554"/>
      <c r="AA165" s="554"/>
      <c r="AB165" s="554"/>
      <c r="AC165" s="554"/>
      <c r="AD165" s="554"/>
      <c r="AF165" s="554"/>
      <c r="AG165" s="554"/>
    </row>
    <row r="166" spans="2:33" x14ac:dyDescent="0.25">
      <c r="B166" s="151"/>
      <c r="C166" s="143"/>
      <c r="D166" s="143"/>
      <c r="E166" s="554"/>
      <c r="F166" s="554"/>
      <c r="G166" s="554"/>
      <c r="H166" s="554"/>
      <c r="I166" s="554"/>
      <c r="J166" s="554"/>
      <c r="K166" s="554"/>
      <c r="L166" s="554"/>
      <c r="M166" s="554"/>
      <c r="N166" s="554"/>
      <c r="O166" s="554"/>
      <c r="P166" s="554"/>
      <c r="Q166" s="554"/>
      <c r="R166" s="554"/>
      <c r="S166" s="554"/>
      <c r="T166" s="554"/>
      <c r="U166" s="554"/>
      <c r="V166" s="554"/>
      <c r="W166" s="554"/>
      <c r="X166" s="554"/>
      <c r="Y166" s="554"/>
      <c r="Z166" s="554"/>
      <c r="AA166" s="554"/>
      <c r="AB166" s="554"/>
      <c r="AC166" s="554"/>
      <c r="AD166" s="554"/>
      <c r="AF166" s="554"/>
      <c r="AG166" s="554"/>
    </row>
    <row r="167" spans="2:33" x14ac:dyDescent="0.25">
      <c r="B167" s="151"/>
      <c r="C167" s="143"/>
      <c r="D167" s="143"/>
      <c r="E167" s="554"/>
      <c r="F167" s="554"/>
      <c r="G167" s="554"/>
      <c r="H167" s="554"/>
      <c r="I167" s="554"/>
      <c r="J167" s="554"/>
      <c r="K167" s="554"/>
      <c r="L167" s="554"/>
      <c r="M167" s="554"/>
      <c r="N167" s="554"/>
      <c r="O167" s="554"/>
      <c r="P167" s="554"/>
      <c r="Q167" s="554"/>
      <c r="R167" s="554"/>
      <c r="S167" s="554"/>
      <c r="T167" s="554"/>
      <c r="U167" s="554"/>
      <c r="V167" s="554"/>
      <c r="W167" s="554"/>
      <c r="X167" s="554"/>
      <c r="Y167" s="554"/>
      <c r="Z167" s="554"/>
      <c r="AA167" s="554"/>
      <c r="AB167" s="554"/>
      <c r="AC167" s="554"/>
      <c r="AD167" s="554"/>
      <c r="AF167" s="554"/>
      <c r="AG167" s="554"/>
    </row>
    <row r="168" spans="2:33" x14ac:dyDescent="0.25">
      <c r="B168" s="151"/>
      <c r="C168" s="143"/>
      <c r="D168" s="143"/>
      <c r="E168" s="554"/>
      <c r="F168" s="554"/>
      <c r="G168" s="554"/>
      <c r="H168" s="554"/>
      <c r="I168" s="554"/>
      <c r="J168" s="554"/>
      <c r="K168" s="554"/>
      <c r="L168" s="554"/>
      <c r="M168" s="554"/>
      <c r="N168" s="554"/>
      <c r="O168" s="554"/>
      <c r="P168" s="554"/>
      <c r="Q168" s="554"/>
      <c r="R168" s="554"/>
      <c r="S168" s="554"/>
      <c r="T168" s="554"/>
      <c r="U168" s="554"/>
      <c r="V168" s="554"/>
      <c r="W168" s="554"/>
      <c r="X168" s="554"/>
      <c r="Y168" s="554"/>
      <c r="Z168" s="554"/>
      <c r="AA168" s="554"/>
      <c r="AB168" s="554"/>
      <c r="AC168" s="554"/>
      <c r="AD168" s="554"/>
      <c r="AF168" s="554"/>
      <c r="AG168" s="554"/>
    </row>
    <row r="169" spans="2:33" x14ac:dyDescent="0.25">
      <c r="B169" s="151"/>
      <c r="C169" s="143"/>
      <c r="D169" s="143"/>
      <c r="E169" s="554"/>
      <c r="F169" s="554"/>
      <c r="G169" s="554"/>
      <c r="H169" s="554"/>
      <c r="I169" s="554"/>
      <c r="J169" s="554"/>
      <c r="K169" s="554"/>
      <c r="L169" s="554"/>
      <c r="M169" s="554"/>
      <c r="N169" s="554"/>
      <c r="O169" s="554"/>
      <c r="P169" s="554"/>
      <c r="Q169" s="554"/>
      <c r="R169" s="554"/>
      <c r="S169" s="554"/>
      <c r="T169" s="554"/>
      <c r="U169" s="554"/>
      <c r="V169" s="554"/>
      <c r="W169" s="554"/>
      <c r="X169" s="554"/>
      <c r="Y169" s="554"/>
      <c r="Z169" s="554"/>
      <c r="AA169" s="554"/>
      <c r="AB169" s="554"/>
      <c r="AC169" s="554"/>
      <c r="AD169" s="554"/>
      <c r="AF169" s="554"/>
      <c r="AG169" s="554"/>
    </row>
    <row r="170" spans="2:33" x14ac:dyDescent="0.25">
      <c r="B170" s="151"/>
      <c r="C170" s="143"/>
      <c r="D170" s="143"/>
      <c r="E170" s="554"/>
      <c r="F170" s="554"/>
      <c r="G170" s="554"/>
      <c r="H170" s="554"/>
      <c r="I170" s="554"/>
      <c r="J170" s="554"/>
      <c r="K170" s="554"/>
      <c r="L170" s="554"/>
      <c r="M170" s="554"/>
      <c r="N170" s="554"/>
      <c r="O170" s="554"/>
      <c r="P170" s="554"/>
      <c r="Q170" s="554"/>
      <c r="R170" s="554"/>
      <c r="S170" s="554"/>
      <c r="T170" s="554"/>
      <c r="U170" s="554"/>
      <c r="V170" s="554"/>
      <c r="W170" s="554"/>
      <c r="X170" s="554"/>
      <c r="Y170" s="554"/>
      <c r="Z170" s="554"/>
      <c r="AA170" s="554"/>
      <c r="AB170" s="554"/>
      <c r="AC170" s="554"/>
      <c r="AD170" s="554"/>
      <c r="AF170" s="554"/>
      <c r="AG170" s="554"/>
    </row>
    <row r="171" spans="2:33" x14ac:dyDescent="0.25">
      <c r="B171" s="151"/>
      <c r="C171" s="143"/>
      <c r="D171" s="143"/>
      <c r="E171" s="554"/>
      <c r="F171" s="554"/>
      <c r="G171" s="554"/>
      <c r="H171" s="554"/>
      <c r="I171" s="554"/>
      <c r="J171" s="554"/>
      <c r="K171" s="554"/>
      <c r="L171" s="554"/>
      <c r="M171" s="554"/>
      <c r="N171" s="554"/>
      <c r="O171" s="554"/>
      <c r="P171" s="554"/>
      <c r="Q171" s="554"/>
      <c r="R171" s="554"/>
      <c r="S171" s="554"/>
      <c r="T171" s="554"/>
      <c r="U171" s="554"/>
      <c r="V171" s="554"/>
      <c r="W171" s="554"/>
      <c r="X171" s="554"/>
      <c r="Y171" s="554"/>
      <c r="Z171" s="554"/>
      <c r="AA171" s="554"/>
      <c r="AB171" s="554"/>
      <c r="AC171" s="554"/>
      <c r="AD171" s="554"/>
      <c r="AF171" s="554"/>
      <c r="AG171" s="554"/>
    </row>
    <row r="172" spans="2:33" x14ac:dyDescent="0.25">
      <c r="B172" s="151"/>
      <c r="C172" s="143"/>
      <c r="D172" s="143"/>
      <c r="E172" s="554"/>
      <c r="F172" s="554"/>
      <c r="G172" s="554"/>
      <c r="H172" s="554"/>
      <c r="I172" s="554"/>
      <c r="J172" s="554"/>
      <c r="K172" s="554"/>
      <c r="L172" s="554"/>
      <c r="M172" s="554"/>
      <c r="N172" s="554"/>
      <c r="O172" s="554"/>
      <c r="P172" s="554"/>
      <c r="Q172" s="554"/>
      <c r="R172" s="554"/>
      <c r="S172" s="554"/>
      <c r="T172" s="554"/>
      <c r="U172" s="554"/>
      <c r="V172" s="554"/>
      <c r="W172" s="554"/>
      <c r="X172" s="554"/>
      <c r="Y172" s="554"/>
      <c r="Z172" s="554"/>
      <c r="AA172" s="554"/>
      <c r="AB172" s="554"/>
      <c r="AC172" s="554"/>
      <c r="AD172" s="554"/>
      <c r="AF172" s="554"/>
      <c r="AG172" s="554"/>
    </row>
    <row r="173" spans="2:33" x14ac:dyDescent="0.25">
      <c r="B173" s="151"/>
      <c r="C173" s="143"/>
      <c r="D173" s="143"/>
      <c r="E173" s="554"/>
      <c r="F173" s="554"/>
      <c r="G173" s="554"/>
      <c r="H173" s="554"/>
      <c r="I173" s="554"/>
      <c r="J173" s="554"/>
      <c r="K173" s="554"/>
      <c r="L173" s="554"/>
      <c r="M173" s="554"/>
      <c r="N173" s="554"/>
      <c r="O173" s="554"/>
      <c r="P173" s="554"/>
      <c r="Q173" s="554"/>
      <c r="R173" s="554"/>
      <c r="S173" s="554"/>
      <c r="T173" s="554"/>
      <c r="U173" s="554"/>
      <c r="V173" s="554"/>
      <c r="W173" s="554"/>
      <c r="X173" s="554"/>
      <c r="Y173" s="554"/>
      <c r="Z173" s="554"/>
      <c r="AA173" s="554"/>
      <c r="AB173" s="554"/>
      <c r="AC173" s="554"/>
      <c r="AD173" s="554"/>
      <c r="AF173" s="554"/>
      <c r="AG173" s="554"/>
    </row>
    <row r="174" spans="2:33" x14ac:dyDescent="0.25">
      <c r="B174" s="151"/>
      <c r="C174" s="143"/>
      <c r="D174" s="143"/>
      <c r="E174" s="554"/>
      <c r="F174" s="554"/>
      <c r="G174" s="554"/>
      <c r="H174" s="554"/>
      <c r="I174" s="554"/>
      <c r="J174" s="554"/>
      <c r="K174" s="554"/>
      <c r="L174" s="554"/>
      <c r="M174" s="554"/>
      <c r="N174" s="554"/>
      <c r="O174" s="554"/>
      <c r="P174" s="554"/>
      <c r="Q174" s="554"/>
      <c r="R174" s="554"/>
      <c r="S174" s="554"/>
      <c r="T174" s="554"/>
      <c r="U174" s="554"/>
      <c r="V174" s="554"/>
      <c r="W174" s="554"/>
      <c r="X174" s="554"/>
      <c r="Y174" s="554"/>
      <c r="Z174" s="554"/>
      <c r="AA174" s="554"/>
      <c r="AB174" s="554"/>
      <c r="AC174" s="554"/>
      <c r="AD174" s="554"/>
      <c r="AF174" s="554"/>
      <c r="AG174" s="554"/>
    </row>
    <row r="175" spans="2:33" x14ac:dyDescent="0.25">
      <c r="B175" s="151"/>
      <c r="C175" s="143"/>
      <c r="D175" s="143"/>
      <c r="E175" s="554"/>
      <c r="F175" s="554"/>
      <c r="G175" s="554"/>
      <c r="H175" s="554"/>
      <c r="I175" s="554"/>
      <c r="J175" s="554"/>
      <c r="K175" s="554"/>
      <c r="L175" s="554"/>
      <c r="M175" s="554"/>
      <c r="N175" s="554"/>
      <c r="O175" s="554"/>
      <c r="P175" s="554"/>
      <c r="Q175" s="554"/>
      <c r="R175" s="554"/>
      <c r="S175" s="554"/>
      <c r="T175" s="554"/>
      <c r="U175" s="554"/>
      <c r="V175" s="554"/>
      <c r="W175" s="554"/>
      <c r="X175" s="554"/>
      <c r="Y175" s="554"/>
      <c r="Z175" s="554"/>
      <c r="AA175" s="554"/>
      <c r="AB175" s="554"/>
      <c r="AC175" s="554"/>
      <c r="AD175" s="554"/>
      <c r="AF175" s="554"/>
      <c r="AG175" s="554"/>
    </row>
    <row r="176" spans="2:33" x14ac:dyDescent="0.25">
      <c r="B176" s="151"/>
      <c r="C176" s="143"/>
      <c r="D176" s="143"/>
      <c r="E176" s="554"/>
      <c r="F176" s="554"/>
      <c r="G176" s="554"/>
      <c r="H176" s="554"/>
      <c r="I176" s="554"/>
      <c r="J176" s="554"/>
      <c r="K176" s="554"/>
      <c r="L176" s="554"/>
      <c r="M176" s="554"/>
      <c r="N176" s="554"/>
      <c r="O176" s="554"/>
      <c r="P176" s="554"/>
      <c r="Q176" s="554"/>
      <c r="R176" s="554"/>
      <c r="S176" s="554"/>
      <c r="T176" s="554"/>
      <c r="U176" s="554"/>
      <c r="V176" s="554"/>
      <c r="W176" s="554"/>
      <c r="X176" s="554"/>
      <c r="Y176" s="554"/>
      <c r="Z176" s="554"/>
      <c r="AA176" s="554"/>
      <c r="AB176" s="554"/>
      <c r="AC176" s="554"/>
      <c r="AD176" s="554"/>
      <c r="AF176" s="554"/>
      <c r="AG176" s="554"/>
    </row>
    <row r="177" spans="2:33" x14ac:dyDescent="0.25">
      <c r="B177" s="151"/>
      <c r="C177" s="143"/>
      <c r="D177" s="143"/>
      <c r="E177" s="554"/>
      <c r="F177" s="554"/>
      <c r="G177" s="554"/>
      <c r="H177" s="554"/>
      <c r="I177" s="554"/>
      <c r="J177" s="554"/>
      <c r="K177" s="554"/>
      <c r="L177" s="554"/>
      <c r="M177" s="554"/>
      <c r="N177" s="554"/>
      <c r="O177" s="554"/>
      <c r="P177" s="554"/>
      <c r="Q177" s="554"/>
      <c r="R177" s="554"/>
      <c r="S177" s="554"/>
      <c r="T177" s="554"/>
      <c r="U177" s="554"/>
      <c r="V177" s="554"/>
      <c r="W177" s="554"/>
      <c r="X177" s="554"/>
      <c r="Y177" s="554"/>
      <c r="Z177" s="554"/>
      <c r="AA177" s="554"/>
      <c r="AB177" s="554"/>
      <c r="AC177" s="554"/>
      <c r="AD177" s="554"/>
      <c r="AF177" s="554"/>
      <c r="AG177" s="554"/>
    </row>
    <row r="178" spans="2:33" x14ac:dyDescent="0.25">
      <c r="B178" s="151"/>
      <c r="C178" s="143"/>
      <c r="D178" s="143"/>
      <c r="E178" s="554"/>
      <c r="F178" s="554"/>
      <c r="G178" s="554"/>
      <c r="H178" s="554"/>
      <c r="I178" s="554"/>
      <c r="J178" s="554"/>
      <c r="K178" s="554"/>
      <c r="L178" s="554"/>
      <c r="M178" s="554"/>
      <c r="N178" s="554"/>
      <c r="O178" s="554"/>
      <c r="P178" s="554"/>
      <c r="Q178" s="554"/>
      <c r="R178" s="554"/>
      <c r="S178" s="554"/>
      <c r="T178" s="554"/>
      <c r="U178" s="554"/>
      <c r="V178" s="554"/>
      <c r="W178" s="554"/>
      <c r="X178" s="554"/>
      <c r="Y178" s="554"/>
      <c r="Z178" s="554"/>
      <c r="AA178" s="554"/>
      <c r="AB178" s="554"/>
      <c r="AC178" s="554"/>
      <c r="AD178" s="554"/>
      <c r="AF178" s="554"/>
      <c r="AG178" s="554"/>
    </row>
    <row r="179" spans="2:33" x14ac:dyDescent="0.25">
      <c r="B179" s="151"/>
      <c r="C179" s="143"/>
      <c r="D179" s="143"/>
      <c r="E179" s="554"/>
      <c r="F179" s="554"/>
      <c r="G179" s="554"/>
      <c r="H179" s="554"/>
      <c r="I179" s="554"/>
      <c r="J179" s="554"/>
      <c r="K179" s="554"/>
      <c r="L179" s="554"/>
      <c r="M179" s="554"/>
      <c r="N179" s="554"/>
      <c r="O179" s="554"/>
      <c r="P179" s="554"/>
      <c r="Q179" s="554"/>
      <c r="R179" s="554"/>
      <c r="S179" s="554"/>
      <c r="T179" s="554"/>
      <c r="U179" s="554"/>
      <c r="V179" s="554"/>
      <c r="W179" s="554"/>
      <c r="X179" s="554"/>
      <c r="Y179" s="554"/>
      <c r="Z179" s="554"/>
      <c r="AA179" s="554"/>
      <c r="AB179" s="554"/>
      <c r="AC179" s="554"/>
      <c r="AD179" s="554"/>
      <c r="AF179" s="554"/>
      <c r="AG179" s="554"/>
    </row>
    <row r="180" spans="2:33" x14ac:dyDescent="0.25">
      <c r="B180" s="151"/>
      <c r="C180" s="143"/>
      <c r="D180" s="143"/>
      <c r="E180" s="554"/>
      <c r="F180" s="554"/>
      <c r="G180" s="554"/>
      <c r="H180" s="554"/>
      <c r="I180" s="554"/>
      <c r="J180" s="554"/>
      <c r="K180" s="554"/>
      <c r="L180" s="554"/>
      <c r="M180" s="554"/>
      <c r="N180" s="554"/>
      <c r="O180" s="554"/>
      <c r="P180" s="554"/>
      <c r="Q180" s="554"/>
      <c r="R180" s="554"/>
      <c r="S180" s="554"/>
      <c r="T180" s="554"/>
      <c r="U180" s="554"/>
      <c r="V180" s="554"/>
      <c r="W180" s="554"/>
      <c r="X180" s="554"/>
      <c r="Y180" s="554"/>
      <c r="Z180" s="554"/>
      <c r="AA180" s="554"/>
      <c r="AB180" s="554"/>
      <c r="AC180" s="554"/>
      <c r="AD180" s="554"/>
      <c r="AF180" s="554"/>
      <c r="AG180" s="554"/>
    </row>
    <row r="181" spans="2:33" x14ac:dyDescent="0.25">
      <c r="B181" s="151"/>
      <c r="C181" s="143"/>
      <c r="D181" s="143"/>
      <c r="E181" s="554"/>
      <c r="F181" s="554"/>
      <c r="G181" s="554"/>
      <c r="H181" s="554"/>
      <c r="I181" s="554"/>
      <c r="J181" s="554"/>
      <c r="K181" s="554"/>
      <c r="L181" s="554"/>
      <c r="M181" s="554"/>
      <c r="N181" s="554"/>
      <c r="O181" s="554"/>
      <c r="P181" s="554"/>
      <c r="Q181" s="554"/>
      <c r="R181" s="554"/>
      <c r="S181" s="554"/>
      <c r="T181" s="554"/>
      <c r="U181" s="554"/>
      <c r="V181" s="554"/>
      <c r="W181" s="554"/>
      <c r="X181" s="554"/>
      <c r="Y181" s="554"/>
      <c r="Z181" s="554"/>
      <c r="AA181" s="554"/>
      <c r="AB181" s="554"/>
      <c r="AC181" s="554"/>
      <c r="AD181" s="554"/>
      <c r="AF181" s="554"/>
      <c r="AG181" s="554"/>
    </row>
    <row r="182" spans="2:33" x14ac:dyDescent="0.25">
      <c r="B182" s="151"/>
      <c r="C182" s="143"/>
      <c r="D182" s="143"/>
      <c r="E182" s="554"/>
      <c r="F182" s="554"/>
      <c r="G182" s="554"/>
      <c r="H182" s="554"/>
      <c r="I182" s="554"/>
      <c r="J182" s="554"/>
      <c r="K182" s="554"/>
      <c r="L182" s="554"/>
      <c r="M182" s="554"/>
      <c r="N182" s="554"/>
      <c r="O182" s="554"/>
      <c r="P182" s="554"/>
      <c r="Q182" s="554"/>
      <c r="R182" s="554"/>
      <c r="S182" s="554"/>
      <c r="T182" s="554"/>
      <c r="U182" s="554"/>
      <c r="V182" s="554"/>
      <c r="W182" s="554"/>
      <c r="X182" s="554"/>
      <c r="Y182" s="554"/>
      <c r="Z182" s="554"/>
      <c r="AA182" s="554"/>
      <c r="AB182" s="554"/>
      <c r="AC182" s="554"/>
      <c r="AD182" s="554"/>
      <c r="AF182" s="554"/>
      <c r="AG182" s="554"/>
    </row>
    <row r="183" spans="2:33" x14ac:dyDescent="0.25">
      <c r="B183" s="151"/>
      <c r="C183" s="143"/>
      <c r="D183" s="143"/>
      <c r="E183" s="554"/>
      <c r="F183" s="554"/>
      <c r="G183" s="554"/>
      <c r="H183" s="554"/>
      <c r="I183" s="554"/>
      <c r="J183" s="554"/>
      <c r="K183" s="554"/>
      <c r="L183" s="554"/>
      <c r="M183" s="554"/>
      <c r="N183" s="554"/>
      <c r="O183" s="554"/>
      <c r="P183" s="554"/>
      <c r="Q183" s="554"/>
      <c r="R183" s="554"/>
      <c r="S183" s="554"/>
      <c r="T183" s="554"/>
      <c r="U183" s="554"/>
      <c r="V183" s="554"/>
      <c r="W183" s="554"/>
      <c r="X183" s="554"/>
      <c r="Y183" s="554"/>
      <c r="Z183" s="554"/>
      <c r="AA183" s="554"/>
      <c r="AB183" s="554"/>
      <c r="AC183" s="554"/>
      <c r="AD183" s="554"/>
      <c r="AF183" s="554"/>
      <c r="AG183" s="554"/>
    </row>
    <row r="184" spans="2:33" x14ac:dyDescent="0.25">
      <c r="B184" s="151"/>
      <c r="C184" s="143"/>
      <c r="D184" s="143"/>
      <c r="E184" s="554"/>
      <c r="F184" s="554"/>
      <c r="G184" s="554"/>
      <c r="H184" s="554"/>
      <c r="I184" s="554"/>
      <c r="J184" s="554"/>
      <c r="K184" s="554"/>
      <c r="L184" s="554"/>
      <c r="M184" s="554"/>
      <c r="N184" s="554"/>
      <c r="O184" s="554"/>
      <c r="P184" s="554"/>
      <c r="Q184" s="554"/>
      <c r="R184" s="554"/>
      <c r="S184" s="554"/>
      <c r="T184" s="554"/>
      <c r="U184" s="554"/>
      <c r="V184" s="554"/>
      <c r="W184" s="554"/>
      <c r="X184" s="554"/>
      <c r="Y184" s="554"/>
      <c r="Z184" s="554"/>
      <c r="AA184" s="554"/>
      <c r="AB184" s="554"/>
      <c r="AC184" s="554"/>
      <c r="AD184" s="554"/>
      <c r="AF184" s="554"/>
      <c r="AG184" s="554"/>
    </row>
    <row r="185" spans="2:33" x14ac:dyDescent="0.25">
      <c r="B185" s="151"/>
      <c r="C185" s="143"/>
      <c r="D185" s="143"/>
      <c r="E185" s="554"/>
      <c r="F185" s="554"/>
      <c r="G185" s="554"/>
      <c r="H185" s="554"/>
      <c r="I185" s="554"/>
      <c r="J185" s="554"/>
      <c r="K185" s="554"/>
      <c r="L185" s="554"/>
      <c r="M185" s="554"/>
      <c r="N185" s="554"/>
      <c r="O185" s="554"/>
      <c r="P185" s="554"/>
      <c r="Q185" s="554"/>
      <c r="R185" s="554"/>
      <c r="S185" s="554"/>
      <c r="T185" s="554"/>
      <c r="U185" s="554"/>
      <c r="V185" s="554"/>
      <c r="W185" s="554"/>
      <c r="X185" s="554"/>
      <c r="Y185" s="554"/>
      <c r="Z185" s="554"/>
      <c r="AA185" s="554"/>
      <c r="AB185" s="554"/>
      <c r="AC185" s="554"/>
      <c r="AD185" s="554"/>
      <c r="AF185" s="554"/>
      <c r="AG185" s="554"/>
    </row>
    <row r="186" spans="2:33" x14ac:dyDescent="0.25">
      <c r="B186" s="151"/>
      <c r="C186" s="143"/>
      <c r="D186" s="143"/>
      <c r="E186" s="554"/>
      <c r="F186" s="554"/>
      <c r="G186" s="554"/>
      <c r="H186" s="554"/>
      <c r="I186" s="554"/>
      <c r="J186" s="554"/>
      <c r="K186" s="554"/>
      <c r="L186" s="554"/>
      <c r="M186" s="554"/>
      <c r="N186" s="554"/>
      <c r="O186" s="554"/>
      <c r="P186" s="554"/>
      <c r="Q186" s="554"/>
      <c r="R186" s="554"/>
      <c r="S186" s="554"/>
      <c r="T186" s="554"/>
      <c r="U186" s="554"/>
      <c r="V186" s="554"/>
      <c r="W186" s="554"/>
      <c r="X186" s="554"/>
      <c r="Y186" s="554"/>
      <c r="Z186" s="554"/>
      <c r="AA186" s="554"/>
      <c r="AB186" s="554"/>
      <c r="AC186" s="554"/>
      <c r="AD186" s="554"/>
      <c r="AF186" s="554"/>
      <c r="AG186" s="554"/>
    </row>
    <row r="187" spans="2:33" x14ac:dyDescent="0.25">
      <c r="B187" s="151"/>
      <c r="C187" s="143"/>
      <c r="D187" s="143"/>
      <c r="E187" s="554"/>
      <c r="F187" s="554"/>
      <c r="G187" s="554"/>
      <c r="H187" s="554"/>
      <c r="I187" s="554"/>
      <c r="J187" s="554"/>
      <c r="K187" s="554"/>
      <c r="L187" s="554"/>
      <c r="M187" s="554"/>
      <c r="N187" s="554"/>
      <c r="O187" s="554"/>
      <c r="P187" s="554"/>
      <c r="Q187" s="554"/>
      <c r="R187" s="554"/>
      <c r="S187" s="554"/>
      <c r="T187" s="554"/>
      <c r="U187" s="554"/>
      <c r="V187" s="554"/>
      <c r="W187" s="554"/>
      <c r="X187" s="554"/>
      <c r="Y187" s="554"/>
      <c r="Z187" s="554"/>
      <c r="AA187" s="554"/>
      <c r="AB187" s="554"/>
      <c r="AC187" s="554"/>
      <c r="AD187" s="554"/>
      <c r="AF187" s="554"/>
      <c r="AG187" s="554"/>
    </row>
    <row r="188" spans="2:33" x14ac:dyDescent="0.25">
      <c r="B188" s="151"/>
      <c r="C188" s="143"/>
      <c r="D188" s="143"/>
      <c r="E188" s="554"/>
      <c r="F188" s="554"/>
      <c r="G188" s="554"/>
      <c r="H188" s="554"/>
      <c r="I188" s="554"/>
      <c r="J188" s="554"/>
      <c r="K188" s="554"/>
      <c r="L188" s="554"/>
      <c r="M188" s="554"/>
      <c r="N188" s="554"/>
      <c r="O188" s="554"/>
      <c r="P188" s="554"/>
      <c r="Q188" s="554"/>
      <c r="R188" s="554"/>
      <c r="S188" s="554"/>
      <c r="T188" s="554"/>
      <c r="U188" s="554"/>
      <c r="V188" s="554"/>
      <c r="W188" s="554"/>
      <c r="X188" s="554"/>
      <c r="Y188" s="554"/>
      <c r="Z188" s="554"/>
      <c r="AA188" s="554"/>
      <c r="AB188" s="554"/>
      <c r="AC188" s="554"/>
      <c r="AD188" s="554"/>
      <c r="AF188" s="554"/>
      <c r="AG188" s="554"/>
    </row>
    <row r="189" spans="2:33" x14ac:dyDescent="0.25">
      <c r="B189" s="151"/>
      <c r="C189" s="143"/>
      <c r="D189" s="143"/>
      <c r="E189" s="554"/>
      <c r="F189" s="554"/>
      <c r="G189" s="554"/>
      <c r="H189" s="554"/>
      <c r="I189" s="554"/>
      <c r="J189" s="554"/>
      <c r="K189" s="554"/>
      <c r="L189" s="554"/>
      <c r="M189" s="554"/>
      <c r="N189" s="554"/>
      <c r="O189" s="554"/>
      <c r="P189" s="554"/>
      <c r="Q189" s="554"/>
      <c r="R189" s="554"/>
      <c r="S189" s="554"/>
      <c r="T189" s="554"/>
      <c r="U189" s="554"/>
      <c r="V189" s="554"/>
      <c r="W189" s="554"/>
      <c r="X189" s="554"/>
      <c r="Y189" s="554"/>
      <c r="Z189" s="554"/>
      <c r="AA189" s="554"/>
      <c r="AB189" s="554"/>
      <c r="AC189" s="554"/>
      <c r="AD189" s="554"/>
      <c r="AF189" s="554"/>
      <c r="AG189" s="554"/>
    </row>
    <row r="190" spans="2:33" x14ac:dyDescent="0.25">
      <c r="B190" s="151"/>
      <c r="C190" s="143"/>
      <c r="D190" s="143"/>
      <c r="E190" s="554"/>
      <c r="F190" s="554"/>
      <c r="G190" s="554"/>
      <c r="H190" s="554"/>
      <c r="I190" s="554"/>
      <c r="J190" s="554"/>
      <c r="K190" s="554"/>
      <c r="L190" s="554"/>
      <c r="M190" s="554"/>
      <c r="N190" s="554"/>
      <c r="O190" s="554"/>
      <c r="P190" s="554"/>
      <c r="Q190" s="554"/>
      <c r="R190" s="554"/>
      <c r="S190" s="554"/>
      <c r="T190" s="554"/>
      <c r="U190" s="554"/>
      <c r="V190" s="554"/>
      <c r="W190" s="554"/>
      <c r="X190" s="554"/>
      <c r="Y190" s="554"/>
      <c r="Z190" s="554"/>
      <c r="AA190" s="554"/>
      <c r="AB190" s="554"/>
      <c r="AC190" s="554"/>
      <c r="AD190" s="554"/>
      <c r="AF190" s="554"/>
      <c r="AG190" s="554"/>
    </row>
    <row r="191" spans="2:33" x14ac:dyDescent="0.25">
      <c r="B191" s="151"/>
      <c r="C191" s="143"/>
      <c r="D191" s="143"/>
      <c r="E191" s="554"/>
      <c r="F191" s="554"/>
      <c r="G191" s="554"/>
      <c r="H191" s="554"/>
      <c r="I191" s="554"/>
      <c r="J191" s="554"/>
      <c r="K191" s="554"/>
      <c r="L191" s="554"/>
      <c r="M191" s="554"/>
      <c r="N191" s="554"/>
      <c r="O191" s="554"/>
      <c r="P191" s="554"/>
      <c r="Q191" s="554"/>
      <c r="R191" s="554"/>
      <c r="S191" s="554"/>
      <c r="T191" s="554"/>
      <c r="U191" s="554"/>
      <c r="V191" s="554"/>
      <c r="W191" s="554"/>
      <c r="X191" s="554"/>
      <c r="Y191" s="554"/>
      <c r="Z191" s="554"/>
      <c r="AA191" s="554"/>
      <c r="AB191" s="554"/>
      <c r="AC191" s="554"/>
      <c r="AD191" s="554"/>
      <c r="AF191" s="554"/>
      <c r="AG191" s="554"/>
    </row>
    <row r="192" spans="2:33" x14ac:dyDescent="0.25">
      <c r="B192" s="151"/>
      <c r="C192" s="143"/>
      <c r="D192" s="143"/>
      <c r="E192" s="554"/>
      <c r="F192" s="554"/>
      <c r="G192" s="554"/>
      <c r="H192" s="554"/>
      <c r="I192" s="554"/>
      <c r="J192" s="554"/>
      <c r="K192" s="554"/>
      <c r="L192" s="554"/>
      <c r="M192" s="554"/>
      <c r="N192" s="554"/>
      <c r="O192" s="554"/>
      <c r="P192" s="554"/>
      <c r="Q192" s="554"/>
      <c r="R192" s="554"/>
      <c r="S192" s="554"/>
      <c r="T192" s="554"/>
      <c r="U192" s="554"/>
      <c r="V192" s="554"/>
      <c r="W192" s="554"/>
      <c r="X192" s="554"/>
      <c r="Y192" s="554"/>
      <c r="Z192" s="554"/>
      <c r="AA192" s="554"/>
      <c r="AB192" s="554"/>
      <c r="AC192" s="554"/>
      <c r="AD192" s="554"/>
      <c r="AF192" s="554"/>
      <c r="AG192" s="554"/>
    </row>
    <row r="193" spans="2:33" x14ac:dyDescent="0.25">
      <c r="B193" s="151"/>
      <c r="C193" s="143"/>
      <c r="D193" s="143"/>
      <c r="E193" s="554"/>
      <c r="F193" s="554"/>
      <c r="G193" s="554"/>
      <c r="H193" s="554"/>
      <c r="I193" s="554"/>
      <c r="J193" s="554"/>
      <c r="K193" s="554"/>
      <c r="L193" s="554"/>
      <c r="M193" s="554"/>
      <c r="N193" s="554"/>
      <c r="O193" s="554"/>
      <c r="P193" s="554"/>
      <c r="Q193" s="554"/>
      <c r="R193" s="554"/>
      <c r="S193" s="554"/>
      <c r="T193" s="554"/>
      <c r="U193" s="554"/>
      <c r="V193" s="554"/>
      <c r="W193" s="554"/>
      <c r="X193" s="554"/>
      <c r="Y193" s="554"/>
      <c r="Z193" s="554"/>
      <c r="AA193" s="554"/>
      <c r="AB193" s="554"/>
      <c r="AC193" s="554"/>
      <c r="AD193" s="554"/>
      <c r="AF193" s="554"/>
      <c r="AG193" s="554"/>
    </row>
    <row r="194" spans="2:33" x14ac:dyDescent="0.25">
      <c r="B194" s="151"/>
      <c r="C194" s="143"/>
      <c r="D194" s="143"/>
      <c r="E194" s="554"/>
      <c r="F194" s="554"/>
      <c r="G194" s="554"/>
      <c r="H194" s="554"/>
      <c r="I194" s="554"/>
      <c r="J194" s="554"/>
      <c r="K194" s="554"/>
      <c r="L194" s="554"/>
      <c r="M194" s="554"/>
      <c r="N194" s="554"/>
      <c r="O194" s="554"/>
      <c r="P194" s="554"/>
      <c r="Q194" s="554"/>
      <c r="R194" s="554"/>
      <c r="S194" s="554"/>
      <c r="T194" s="554"/>
      <c r="U194" s="554"/>
      <c r="V194" s="554"/>
      <c r="W194" s="554"/>
      <c r="X194" s="554"/>
      <c r="Y194" s="554"/>
      <c r="Z194" s="554"/>
      <c r="AA194" s="554"/>
      <c r="AB194" s="554"/>
      <c r="AC194" s="554"/>
      <c r="AD194" s="554"/>
      <c r="AF194" s="554"/>
      <c r="AG194" s="554"/>
    </row>
    <row r="195" spans="2:33" x14ac:dyDescent="0.25">
      <c r="B195" s="151"/>
      <c r="C195" s="143"/>
      <c r="D195" s="143"/>
      <c r="E195" s="554"/>
      <c r="F195" s="554"/>
      <c r="G195" s="554"/>
      <c r="H195" s="554"/>
      <c r="I195" s="554"/>
      <c r="J195" s="554"/>
      <c r="K195" s="554"/>
      <c r="L195" s="554"/>
      <c r="M195" s="554"/>
      <c r="N195" s="554"/>
      <c r="O195" s="554"/>
      <c r="P195" s="554"/>
      <c r="Q195" s="554"/>
      <c r="R195" s="554"/>
      <c r="S195" s="554"/>
      <c r="T195" s="554"/>
      <c r="U195" s="554"/>
      <c r="V195" s="554"/>
      <c r="W195" s="554"/>
      <c r="X195" s="554"/>
      <c r="Y195" s="554"/>
      <c r="Z195" s="554"/>
      <c r="AA195" s="554"/>
      <c r="AB195" s="554"/>
      <c r="AC195" s="554"/>
      <c r="AD195" s="554"/>
      <c r="AF195" s="554"/>
      <c r="AG195" s="554"/>
    </row>
    <row r="196" spans="2:33" x14ac:dyDescent="0.25">
      <c r="B196" s="151"/>
      <c r="C196" s="143"/>
      <c r="D196" s="143"/>
      <c r="E196" s="554"/>
      <c r="F196" s="554"/>
      <c r="G196" s="554"/>
      <c r="H196" s="554"/>
      <c r="I196" s="554"/>
      <c r="J196" s="554"/>
      <c r="K196" s="554"/>
      <c r="L196" s="554"/>
      <c r="M196" s="554"/>
      <c r="N196" s="554"/>
      <c r="O196" s="554"/>
      <c r="P196" s="554"/>
      <c r="Q196" s="554"/>
      <c r="R196" s="554"/>
      <c r="S196" s="554"/>
      <c r="T196" s="554"/>
      <c r="U196" s="554"/>
      <c r="V196" s="554"/>
      <c r="W196" s="554"/>
      <c r="X196" s="554"/>
      <c r="Y196" s="554"/>
      <c r="Z196" s="554"/>
      <c r="AA196" s="554"/>
      <c r="AB196" s="554"/>
      <c r="AC196" s="554"/>
      <c r="AD196" s="554"/>
      <c r="AF196" s="554"/>
      <c r="AG196" s="554"/>
    </row>
    <row r="197" spans="2:33" x14ac:dyDescent="0.25">
      <c r="B197" s="151"/>
      <c r="C197" s="143"/>
      <c r="D197" s="143"/>
      <c r="E197" s="554"/>
      <c r="F197" s="554"/>
      <c r="G197" s="554"/>
      <c r="H197" s="554"/>
      <c r="I197" s="554"/>
      <c r="J197" s="554"/>
      <c r="K197" s="554"/>
      <c r="L197" s="554"/>
      <c r="M197" s="554"/>
      <c r="N197" s="554"/>
      <c r="O197" s="554"/>
      <c r="P197" s="554"/>
      <c r="Q197" s="554"/>
      <c r="R197" s="554"/>
      <c r="S197" s="554"/>
      <c r="T197" s="554"/>
      <c r="U197" s="554"/>
      <c r="V197" s="554"/>
      <c r="W197" s="554"/>
      <c r="X197" s="554"/>
      <c r="Y197" s="554"/>
      <c r="Z197" s="554"/>
      <c r="AA197" s="554"/>
      <c r="AB197" s="554"/>
      <c r="AC197" s="554"/>
      <c r="AD197" s="554"/>
      <c r="AF197" s="554"/>
      <c r="AG197" s="554"/>
    </row>
    <row r="198" spans="2:33" x14ac:dyDescent="0.25">
      <c r="B198" s="151"/>
      <c r="C198" s="143"/>
      <c r="D198" s="143"/>
      <c r="E198" s="554"/>
      <c r="F198" s="554"/>
      <c r="G198" s="554"/>
      <c r="H198" s="554"/>
      <c r="I198" s="554"/>
      <c r="J198" s="554"/>
      <c r="K198" s="554"/>
      <c r="L198" s="554"/>
      <c r="M198" s="554"/>
      <c r="N198" s="554"/>
      <c r="O198" s="554"/>
      <c r="P198" s="554"/>
      <c r="Q198" s="554"/>
      <c r="R198" s="554"/>
      <c r="S198" s="554"/>
      <c r="T198" s="554"/>
      <c r="U198" s="554"/>
      <c r="V198" s="554"/>
      <c r="W198" s="554"/>
      <c r="X198" s="554"/>
      <c r="Y198" s="554"/>
      <c r="Z198" s="554"/>
      <c r="AA198" s="554"/>
      <c r="AB198" s="554"/>
      <c r="AC198" s="554"/>
      <c r="AD198" s="554"/>
      <c r="AF198" s="554"/>
      <c r="AG198" s="554"/>
    </row>
    <row r="199" spans="2:33" x14ac:dyDescent="0.25">
      <c r="B199" s="151"/>
      <c r="C199" s="143"/>
      <c r="D199" s="143"/>
      <c r="E199" s="554"/>
      <c r="F199" s="554"/>
      <c r="G199" s="554"/>
      <c r="H199" s="554"/>
      <c r="I199" s="554"/>
      <c r="J199" s="554"/>
      <c r="K199" s="554"/>
      <c r="L199" s="554"/>
      <c r="M199" s="554"/>
      <c r="N199" s="554"/>
      <c r="O199" s="554"/>
      <c r="P199" s="554"/>
      <c r="Q199" s="554"/>
      <c r="R199" s="554"/>
      <c r="S199" s="554"/>
      <c r="T199" s="554"/>
      <c r="U199" s="554"/>
      <c r="V199" s="554"/>
      <c r="W199" s="554"/>
      <c r="X199" s="554"/>
      <c r="Y199" s="554"/>
      <c r="Z199" s="554"/>
      <c r="AA199" s="554"/>
      <c r="AB199" s="554"/>
      <c r="AC199" s="554"/>
      <c r="AD199" s="554"/>
      <c r="AF199" s="554"/>
      <c r="AG199" s="554"/>
    </row>
    <row r="200" spans="2:33" x14ac:dyDescent="0.25">
      <c r="B200" s="151"/>
      <c r="C200" s="143"/>
      <c r="D200" s="143"/>
      <c r="E200" s="554"/>
      <c r="F200" s="554"/>
      <c r="G200" s="554"/>
      <c r="H200" s="554"/>
      <c r="I200" s="554"/>
      <c r="J200" s="554"/>
      <c r="K200" s="554"/>
      <c r="L200" s="554"/>
      <c r="M200" s="554"/>
      <c r="N200" s="554"/>
      <c r="O200" s="554"/>
      <c r="P200" s="554"/>
      <c r="Q200" s="554"/>
      <c r="R200" s="554"/>
      <c r="S200" s="554"/>
      <c r="T200" s="554"/>
      <c r="U200" s="554"/>
      <c r="V200" s="554"/>
      <c r="W200" s="554"/>
      <c r="X200" s="554"/>
      <c r="Y200" s="554"/>
      <c r="Z200" s="554"/>
      <c r="AA200" s="554"/>
      <c r="AB200" s="554"/>
      <c r="AC200" s="554"/>
      <c r="AD200" s="554"/>
      <c r="AF200" s="554"/>
      <c r="AG200" s="554"/>
    </row>
    <row r="201" spans="2:33" x14ac:dyDescent="0.25">
      <c r="B201" s="151"/>
      <c r="C201" s="143"/>
      <c r="D201" s="143"/>
      <c r="E201" s="554"/>
      <c r="F201" s="554"/>
      <c r="G201" s="554"/>
      <c r="H201" s="554"/>
      <c r="I201" s="554"/>
      <c r="J201" s="554"/>
      <c r="K201" s="554"/>
      <c r="L201" s="554"/>
      <c r="M201" s="554"/>
      <c r="N201" s="554"/>
      <c r="O201" s="554"/>
      <c r="P201" s="554"/>
      <c r="Q201" s="554"/>
      <c r="R201" s="554"/>
      <c r="S201" s="554"/>
      <c r="T201" s="554"/>
      <c r="U201" s="554"/>
      <c r="V201" s="554"/>
      <c r="W201" s="554"/>
      <c r="X201" s="554"/>
      <c r="Y201" s="554"/>
      <c r="Z201" s="554"/>
      <c r="AA201" s="554"/>
      <c r="AB201" s="554"/>
      <c r="AC201" s="554"/>
      <c r="AD201" s="554"/>
      <c r="AF201" s="554"/>
      <c r="AG201" s="554"/>
    </row>
    <row r="202" spans="2:33" x14ac:dyDescent="0.25">
      <c r="B202" s="151"/>
      <c r="C202" s="143"/>
      <c r="D202" s="143"/>
      <c r="E202" s="554"/>
      <c r="F202" s="554"/>
      <c r="G202" s="554"/>
      <c r="H202" s="554"/>
      <c r="I202" s="554"/>
      <c r="J202" s="554"/>
      <c r="K202" s="554"/>
      <c r="L202" s="554"/>
      <c r="M202" s="554"/>
      <c r="N202" s="554"/>
      <c r="O202" s="554"/>
      <c r="P202" s="554"/>
      <c r="Q202" s="554"/>
      <c r="R202" s="554"/>
      <c r="S202" s="554"/>
      <c r="T202" s="554"/>
      <c r="U202" s="554"/>
      <c r="V202" s="554"/>
      <c r="W202" s="554"/>
      <c r="X202" s="554"/>
      <c r="Y202" s="554"/>
      <c r="Z202" s="554"/>
      <c r="AA202" s="554"/>
      <c r="AB202" s="554"/>
      <c r="AC202" s="554"/>
      <c r="AD202" s="554"/>
      <c r="AF202" s="554"/>
      <c r="AG202" s="554"/>
    </row>
    <row r="203" spans="2:33" x14ac:dyDescent="0.25">
      <c r="B203" s="151"/>
      <c r="C203" s="143"/>
      <c r="D203" s="143"/>
      <c r="E203" s="554"/>
      <c r="F203" s="554"/>
      <c r="G203" s="554"/>
      <c r="H203" s="554"/>
      <c r="I203" s="554"/>
      <c r="J203" s="554"/>
      <c r="K203" s="554"/>
      <c r="L203" s="554"/>
      <c r="M203" s="554"/>
      <c r="N203" s="554"/>
      <c r="O203" s="554"/>
      <c r="P203" s="554"/>
      <c r="Q203" s="554"/>
      <c r="R203" s="554"/>
      <c r="S203" s="554"/>
      <c r="T203" s="554"/>
      <c r="U203" s="554"/>
      <c r="V203" s="554"/>
      <c r="W203" s="554"/>
      <c r="X203" s="554"/>
      <c r="Y203" s="554"/>
      <c r="Z203" s="554"/>
      <c r="AA203" s="554"/>
      <c r="AB203" s="554"/>
      <c r="AC203" s="554"/>
      <c r="AD203" s="554"/>
      <c r="AF203" s="554"/>
      <c r="AG203" s="554"/>
    </row>
    <row r="204" spans="2:33" x14ac:dyDescent="0.25">
      <c r="B204" s="151"/>
      <c r="C204" s="143"/>
      <c r="D204" s="143"/>
      <c r="E204" s="554"/>
      <c r="F204" s="554"/>
      <c r="G204" s="554"/>
      <c r="H204" s="554"/>
      <c r="I204" s="554"/>
      <c r="J204" s="554"/>
      <c r="K204" s="554"/>
      <c r="L204" s="554"/>
      <c r="M204" s="554"/>
      <c r="N204" s="554"/>
      <c r="O204" s="554"/>
      <c r="P204" s="554"/>
      <c r="Q204" s="554"/>
      <c r="R204" s="554"/>
      <c r="S204" s="554"/>
      <c r="T204" s="554"/>
      <c r="U204" s="554"/>
      <c r="V204" s="554"/>
      <c r="W204" s="554"/>
      <c r="X204" s="554"/>
      <c r="Y204" s="554"/>
      <c r="Z204" s="554"/>
      <c r="AA204" s="554"/>
      <c r="AB204" s="554"/>
      <c r="AC204" s="554"/>
      <c r="AD204" s="554"/>
      <c r="AF204" s="554"/>
      <c r="AG204" s="554"/>
    </row>
    <row r="205" spans="2:33" x14ac:dyDescent="0.25">
      <c r="B205" s="151"/>
      <c r="C205" s="143"/>
      <c r="D205" s="143"/>
      <c r="E205" s="554"/>
      <c r="F205" s="554"/>
      <c r="G205" s="554"/>
      <c r="H205" s="554"/>
      <c r="I205" s="554"/>
      <c r="J205" s="554"/>
      <c r="K205" s="554"/>
      <c r="L205" s="554"/>
      <c r="M205" s="554"/>
      <c r="N205" s="554"/>
      <c r="O205" s="554"/>
      <c r="P205" s="554"/>
      <c r="Q205" s="554"/>
      <c r="R205" s="554"/>
      <c r="S205" s="554"/>
      <c r="T205" s="554"/>
      <c r="U205" s="554"/>
      <c r="V205" s="554"/>
      <c r="W205" s="554"/>
      <c r="X205" s="554"/>
      <c r="Y205" s="554"/>
      <c r="Z205" s="554"/>
      <c r="AA205" s="554"/>
      <c r="AB205" s="554"/>
      <c r="AC205" s="554"/>
      <c r="AD205" s="554"/>
      <c r="AF205" s="554"/>
      <c r="AG205" s="554"/>
    </row>
    <row r="206" spans="2:33" x14ac:dyDescent="0.25">
      <c r="B206" s="151"/>
      <c r="C206" s="143"/>
      <c r="D206" s="143"/>
      <c r="E206" s="554"/>
      <c r="F206" s="554"/>
      <c r="G206" s="554"/>
      <c r="H206" s="554"/>
      <c r="I206" s="554"/>
      <c r="J206" s="554"/>
      <c r="K206" s="554"/>
      <c r="L206" s="554"/>
      <c r="M206" s="554"/>
      <c r="N206" s="554"/>
      <c r="O206" s="554"/>
      <c r="P206" s="554"/>
      <c r="Q206" s="554"/>
      <c r="R206" s="554"/>
      <c r="S206" s="554"/>
      <c r="T206" s="554"/>
      <c r="U206" s="554"/>
      <c r="V206" s="554"/>
      <c r="W206" s="554"/>
      <c r="X206" s="554"/>
      <c r="Y206" s="554"/>
      <c r="Z206" s="554"/>
      <c r="AA206" s="554"/>
      <c r="AB206" s="554"/>
      <c r="AC206" s="554"/>
      <c r="AD206" s="554"/>
      <c r="AF206" s="554"/>
      <c r="AG206" s="554"/>
    </row>
    <row r="207" spans="2:33" x14ac:dyDescent="0.25">
      <c r="B207" s="151"/>
      <c r="C207" s="143"/>
      <c r="D207" s="143"/>
      <c r="E207" s="554"/>
      <c r="F207" s="554"/>
      <c r="G207" s="554"/>
      <c r="H207" s="554"/>
      <c r="I207" s="554"/>
      <c r="J207" s="554"/>
      <c r="K207" s="554"/>
      <c r="L207" s="554"/>
      <c r="M207" s="554"/>
      <c r="N207" s="554"/>
      <c r="O207" s="554"/>
      <c r="P207" s="554"/>
      <c r="Q207" s="554"/>
      <c r="R207" s="554"/>
      <c r="S207" s="554"/>
      <c r="T207" s="554"/>
      <c r="U207" s="554"/>
      <c r="V207" s="554"/>
      <c r="W207" s="554"/>
      <c r="X207" s="554"/>
      <c r="Y207" s="554"/>
      <c r="Z207" s="554"/>
      <c r="AA207" s="554"/>
      <c r="AB207" s="554"/>
      <c r="AC207" s="554"/>
      <c r="AD207" s="554"/>
      <c r="AF207" s="554"/>
      <c r="AG207" s="554"/>
    </row>
    <row r="208" spans="2:33" x14ac:dyDescent="0.25">
      <c r="B208" s="151"/>
      <c r="C208" s="143"/>
      <c r="D208" s="143"/>
      <c r="E208" s="554"/>
      <c r="F208" s="554"/>
      <c r="G208" s="554"/>
      <c r="H208" s="554"/>
      <c r="I208" s="554"/>
      <c r="J208" s="554"/>
      <c r="K208" s="554"/>
      <c r="L208" s="554"/>
      <c r="M208" s="554"/>
      <c r="N208" s="554"/>
      <c r="O208" s="554"/>
      <c r="P208" s="554"/>
      <c r="Q208" s="554"/>
      <c r="R208" s="554"/>
      <c r="S208" s="554"/>
      <c r="T208" s="554"/>
      <c r="U208" s="554"/>
      <c r="V208" s="554"/>
      <c r="W208" s="554"/>
      <c r="X208" s="554"/>
      <c r="Y208" s="554"/>
      <c r="Z208" s="554"/>
      <c r="AA208" s="554"/>
      <c r="AB208" s="554"/>
      <c r="AC208" s="554"/>
      <c r="AD208" s="554"/>
      <c r="AF208" s="554"/>
      <c r="AG208" s="554"/>
    </row>
    <row r="209" spans="2:33" x14ac:dyDescent="0.25">
      <c r="B209" s="151"/>
      <c r="C209" s="143"/>
      <c r="D209" s="143"/>
      <c r="E209" s="554"/>
      <c r="F209" s="554"/>
      <c r="G209" s="554"/>
      <c r="H209" s="554"/>
      <c r="I209" s="554"/>
      <c r="J209" s="554"/>
      <c r="K209" s="554"/>
      <c r="L209" s="554"/>
      <c r="M209" s="554"/>
      <c r="N209" s="554"/>
      <c r="O209" s="554"/>
      <c r="P209" s="554"/>
      <c r="Q209" s="554"/>
      <c r="R209" s="554"/>
      <c r="S209" s="554"/>
      <c r="T209" s="554"/>
      <c r="U209" s="554"/>
      <c r="V209" s="554"/>
      <c r="W209" s="554"/>
      <c r="X209" s="554"/>
      <c r="Y209" s="554"/>
      <c r="Z209" s="554"/>
      <c r="AA209" s="554"/>
      <c r="AB209" s="554"/>
      <c r="AC209" s="554"/>
      <c r="AD209" s="554"/>
      <c r="AF209" s="554"/>
      <c r="AG209" s="554"/>
    </row>
    <row r="210" spans="2:33" x14ac:dyDescent="0.25">
      <c r="B210" s="151"/>
      <c r="C210" s="143"/>
      <c r="D210" s="143"/>
      <c r="E210" s="554"/>
      <c r="F210" s="554"/>
      <c r="G210" s="554"/>
      <c r="H210" s="554"/>
      <c r="I210" s="554"/>
      <c r="J210" s="554"/>
      <c r="K210" s="554"/>
      <c r="L210" s="554"/>
      <c r="M210" s="554"/>
      <c r="N210" s="554"/>
      <c r="O210" s="554"/>
      <c r="P210" s="554"/>
      <c r="Q210" s="554"/>
      <c r="R210" s="554"/>
      <c r="S210" s="554"/>
      <c r="T210" s="554"/>
      <c r="U210" s="554"/>
      <c r="V210" s="554"/>
      <c r="W210" s="554"/>
      <c r="X210" s="554"/>
      <c r="Y210" s="554"/>
      <c r="Z210" s="554"/>
      <c r="AA210" s="554"/>
      <c r="AB210" s="554"/>
      <c r="AC210" s="554"/>
      <c r="AD210" s="554"/>
      <c r="AF210" s="554"/>
      <c r="AG210" s="554"/>
    </row>
    <row r="211" spans="2:33" x14ac:dyDescent="0.25">
      <c r="B211" s="151"/>
      <c r="C211" s="143"/>
      <c r="D211" s="143"/>
      <c r="E211" s="554"/>
      <c r="F211" s="554"/>
      <c r="G211" s="554"/>
      <c r="H211" s="554"/>
      <c r="I211" s="554"/>
      <c r="J211" s="554"/>
      <c r="K211" s="554"/>
      <c r="L211" s="554"/>
      <c r="M211" s="554"/>
      <c r="N211" s="554"/>
      <c r="O211" s="554"/>
      <c r="P211" s="554"/>
      <c r="Q211" s="554"/>
      <c r="R211" s="554"/>
      <c r="S211" s="554"/>
      <c r="T211" s="554"/>
      <c r="U211" s="554"/>
      <c r="V211" s="554"/>
      <c r="W211" s="554"/>
      <c r="X211" s="554"/>
      <c r="Y211" s="554"/>
      <c r="Z211" s="554"/>
      <c r="AA211" s="554"/>
      <c r="AB211" s="554"/>
      <c r="AC211" s="554"/>
      <c r="AD211" s="554"/>
      <c r="AF211" s="554"/>
      <c r="AG211" s="554"/>
    </row>
    <row r="212" spans="2:33" x14ac:dyDescent="0.25">
      <c r="B212" s="151"/>
      <c r="C212" s="143"/>
      <c r="D212" s="143"/>
      <c r="E212" s="554"/>
      <c r="F212" s="554"/>
      <c r="G212" s="554"/>
      <c r="H212" s="554"/>
      <c r="I212" s="554"/>
      <c r="J212" s="554"/>
      <c r="K212" s="554"/>
      <c r="L212" s="554"/>
      <c r="M212" s="554"/>
      <c r="N212" s="554"/>
      <c r="O212" s="554"/>
      <c r="P212" s="554"/>
      <c r="Q212" s="554"/>
      <c r="R212" s="554"/>
      <c r="S212" s="554"/>
      <c r="T212" s="554"/>
      <c r="U212" s="554"/>
      <c r="V212" s="554"/>
      <c r="W212" s="554"/>
      <c r="X212" s="554"/>
      <c r="Y212" s="554"/>
      <c r="Z212" s="554"/>
      <c r="AA212" s="554"/>
      <c r="AB212" s="554"/>
      <c r="AC212" s="554"/>
      <c r="AD212" s="554"/>
      <c r="AF212" s="554"/>
      <c r="AG212" s="554"/>
    </row>
    <row r="213" spans="2:33" x14ac:dyDescent="0.25">
      <c r="B213" s="151"/>
      <c r="C213" s="143"/>
      <c r="D213" s="143"/>
      <c r="E213" s="554"/>
      <c r="F213" s="554"/>
      <c r="G213" s="554"/>
      <c r="H213" s="554"/>
      <c r="I213" s="554"/>
      <c r="J213" s="554"/>
      <c r="K213" s="554"/>
      <c r="L213" s="554"/>
      <c r="M213" s="554"/>
      <c r="N213" s="554"/>
      <c r="O213" s="554"/>
      <c r="P213" s="554"/>
      <c r="Q213" s="554"/>
      <c r="R213" s="554"/>
      <c r="S213" s="554"/>
      <c r="T213" s="554"/>
      <c r="U213" s="554"/>
      <c r="V213" s="554"/>
      <c r="W213" s="554"/>
      <c r="X213" s="554"/>
      <c r="Y213" s="554"/>
      <c r="Z213" s="554"/>
      <c r="AA213" s="554"/>
      <c r="AB213" s="554"/>
      <c r="AC213" s="554"/>
      <c r="AD213" s="554"/>
      <c r="AF213" s="554"/>
      <c r="AG213" s="554"/>
    </row>
    <row r="214" spans="2:33" x14ac:dyDescent="0.25">
      <c r="B214" s="151"/>
      <c r="C214" s="143"/>
      <c r="D214" s="143"/>
      <c r="E214" s="554"/>
      <c r="F214" s="554"/>
      <c r="G214" s="554"/>
      <c r="H214" s="554"/>
      <c r="I214" s="554"/>
      <c r="J214" s="554"/>
      <c r="K214" s="554"/>
      <c r="L214" s="554"/>
      <c r="M214" s="554"/>
      <c r="N214" s="554"/>
      <c r="O214" s="554"/>
      <c r="P214" s="554"/>
      <c r="Q214" s="554"/>
      <c r="R214" s="554"/>
      <c r="S214" s="554"/>
      <c r="T214" s="554"/>
      <c r="U214" s="554"/>
      <c r="V214" s="554"/>
      <c r="W214" s="554"/>
      <c r="X214" s="554"/>
      <c r="Y214" s="554"/>
      <c r="Z214" s="554"/>
      <c r="AA214" s="554"/>
      <c r="AB214" s="554"/>
      <c r="AC214" s="554"/>
      <c r="AD214" s="554"/>
      <c r="AF214" s="554"/>
      <c r="AG214" s="554"/>
    </row>
    <row r="215" spans="2:33" x14ac:dyDescent="0.25">
      <c r="B215" s="151"/>
      <c r="C215" s="143"/>
      <c r="D215" s="143"/>
      <c r="E215" s="554"/>
      <c r="F215" s="554"/>
      <c r="G215" s="554"/>
      <c r="H215" s="554"/>
      <c r="I215" s="554"/>
      <c r="J215" s="554"/>
      <c r="K215" s="554"/>
      <c r="L215" s="554"/>
      <c r="M215" s="554"/>
      <c r="N215" s="554"/>
      <c r="O215" s="554"/>
      <c r="P215" s="554"/>
      <c r="Q215" s="554"/>
      <c r="R215" s="554"/>
      <c r="S215" s="554"/>
      <c r="T215" s="554"/>
      <c r="U215" s="554"/>
      <c r="V215" s="554"/>
      <c r="W215" s="554"/>
      <c r="X215" s="554"/>
      <c r="Y215" s="554"/>
      <c r="Z215" s="554"/>
      <c r="AA215" s="554"/>
      <c r="AB215" s="554"/>
      <c r="AC215" s="554"/>
      <c r="AD215" s="554"/>
      <c r="AF215" s="554"/>
      <c r="AG215" s="554"/>
    </row>
    <row r="216" spans="2:33" x14ac:dyDescent="0.25">
      <c r="B216" s="151"/>
      <c r="C216" s="143"/>
      <c r="D216" s="143"/>
      <c r="E216" s="554"/>
      <c r="F216" s="554"/>
      <c r="G216" s="554"/>
      <c r="H216" s="554"/>
      <c r="I216" s="554"/>
      <c r="J216" s="554"/>
      <c r="K216" s="554"/>
      <c r="L216" s="554"/>
      <c r="M216" s="554"/>
      <c r="N216" s="554"/>
      <c r="O216" s="554"/>
      <c r="P216" s="554"/>
      <c r="Q216" s="554"/>
      <c r="R216" s="554"/>
      <c r="S216" s="554"/>
      <c r="T216" s="554"/>
      <c r="U216" s="554"/>
      <c r="V216" s="554"/>
      <c r="W216" s="554"/>
      <c r="X216" s="554"/>
      <c r="Y216" s="554"/>
      <c r="Z216" s="554"/>
      <c r="AA216" s="554"/>
      <c r="AB216" s="554"/>
      <c r="AC216" s="554"/>
      <c r="AD216" s="554"/>
      <c r="AF216" s="554"/>
      <c r="AG216" s="554"/>
    </row>
    <row r="217" spans="2:33" x14ac:dyDescent="0.25">
      <c r="B217" s="151"/>
      <c r="C217" s="143"/>
      <c r="D217" s="143"/>
      <c r="E217" s="554"/>
      <c r="F217" s="554"/>
      <c r="G217" s="554"/>
      <c r="H217" s="554"/>
      <c r="I217" s="554"/>
      <c r="J217" s="554"/>
      <c r="K217" s="554"/>
      <c r="L217" s="554"/>
      <c r="M217" s="554"/>
      <c r="N217" s="554"/>
      <c r="O217" s="554"/>
      <c r="P217" s="554"/>
      <c r="Q217" s="554"/>
      <c r="R217" s="554"/>
      <c r="S217" s="554"/>
      <c r="T217" s="554"/>
      <c r="U217" s="554"/>
      <c r="V217" s="554"/>
      <c r="W217" s="554"/>
      <c r="X217" s="554"/>
      <c r="Y217" s="554"/>
      <c r="Z217" s="554"/>
      <c r="AA217" s="554"/>
      <c r="AB217" s="554"/>
      <c r="AC217" s="554"/>
      <c r="AD217" s="554"/>
      <c r="AF217" s="554"/>
      <c r="AG217" s="554"/>
    </row>
    <row r="218" spans="2:33" x14ac:dyDescent="0.25">
      <c r="B218" s="151"/>
      <c r="C218" s="143"/>
      <c r="D218" s="143"/>
      <c r="E218" s="554"/>
      <c r="F218" s="554"/>
      <c r="G218" s="554"/>
      <c r="H218" s="554"/>
      <c r="I218" s="554"/>
      <c r="J218" s="554"/>
      <c r="K218" s="554"/>
      <c r="L218" s="554"/>
      <c r="M218" s="554"/>
      <c r="N218" s="554"/>
      <c r="O218" s="554"/>
      <c r="P218" s="554"/>
      <c r="Q218" s="554"/>
      <c r="R218" s="554"/>
      <c r="S218" s="554"/>
      <c r="T218" s="554"/>
      <c r="U218" s="554"/>
      <c r="V218" s="554"/>
      <c r="W218" s="554"/>
      <c r="X218" s="554"/>
      <c r="Y218" s="554"/>
      <c r="Z218" s="554"/>
      <c r="AA218" s="554"/>
      <c r="AB218" s="554"/>
      <c r="AC218" s="554"/>
      <c r="AD218" s="554"/>
      <c r="AF218" s="554"/>
      <c r="AG218" s="554"/>
    </row>
    <row r="219" spans="2:33" x14ac:dyDescent="0.25">
      <c r="B219" s="151"/>
      <c r="C219" s="143"/>
      <c r="D219" s="143"/>
      <c r="E219" s="554"/>
      <c r="F219" s="554"/>
      <c r="G219" s="554"/>
      <c r="H219" s="554"/>
      <c r="I219" s="554"/>
      <c r="J219" s="554"/>
      <c r="K219" s="554"/>
      <c r="L219" s="554"/>
      <c r="M219" s="554"/>
      <c r="N219" s="554"/>
      <c r="O219" s="554"/>
      <c r="P219" s="554"/>
      <c r="Q219" s="554"/>
      <c r="R219" s="554"/>
      <c r="S219" s="554"/>
      <c r="T219" s="554"/>
      <c r="U219" s="554"/>
      <c r="V219" s="554"/>
      <c r="W219" s="554"/>
      <c r="X219" s="554"/>
      <c r="Y219" s="554"/>
      <c r="Z219" s="554"/>
      <c r="AA219" s="554"/>
      <c r="AB219" s="554"/>
      <c r="AC219" s="554"/>
      <c r="AD219" s="554"/>
      <c r="AF219" s="554"/>
      <c r="AG219" s="554"/>
    </row>
    <row r="220" spans="2:33" x14ac:dyDescent="0.25">
      <c r="B220" s="151"/>
      <c r="C220" s="143"/>
      <c r="D220" s="143"/>
      <c r="E220" s="554"/>
      <c r="F220" s="554"/>
      <c r="G220" s="554"/>
      <c r="H220" s="554"/>
      <c r="I220" s="554"/>
      <c r="J220" s="554"/>
      <c r="K220" s="554"/>
      <c r="L220" s="554"/>
      <c r="M220" s="554"/>
      <c r="N220" s="554"/>
      <c r="O220" s="554"/>
      <c r="P220" s="554"/>
      <c r="Q220" s="554"/>
      <c r="R220" s="554"/>
      <c r="S220" s="554"/>
      <c r="T220" s="554"/>
      <c r="U220" s="554"/>
      <c r="V220" s="554"/>
      <c r="W220" s="554"/>
      <c r="X220" s="554"/>
      <c r="Y220" s="554"/>
      <c r="Z220" s="554"/>
      <c r="AA220" s="554"/>
      <c r="AB220" s="554"/>
      <c r="AC220" s="554"/>
      <c r="AD220" s="554"/>
      <c r="AF220" s="554"/>
      <c r="AG220" s="554"/>
    </row>
    <row r="221" spans="2:33" x14ac:dyDescent="0.25">
      <c r="B221" s="151"/>
      <c r="C221" s="143"/>
      <c r="D221" s="143"/>
      <c r="E221" s="554"/>
      <c r="F221" s="554"/>
      <c r="G221" s="554"/>
      <c r="H221" s="554"/>
      <c r="I221" s="554"/>
      <c r="J221" s="554"/>
      <c r="K221" s="554"/>
      <c r="L221" s="554"/>
      <c r="M221" s="554"/>
      <c r="N221" s="554"/>
      <c r="O221" s="554"/>
      <c r="P221" s="554"/>
      <c r="Q221" s="554"/>
      <c r="R221" s="554"/>
      <c r="S221" s="554"/>
      <c r="T221" s="554"/>
      <c r="U221" s="554"/>
      <c r="V221" s="554"/>
      <c r="W221" s="554"/>
      <c r="X221" s="554"/>
      <c r="Y221" s="554"/>
      <c r="Z221" s="554"/>
      <c r="AA221" s="554"/>
      <c r="AB221" s="554"/>
      <c r="AC221" s="554"/>
      <c r="AD221" s="554"/>
      <c r="AF221" s="554"/>
      <c r="AG221" s="554"/>
    </row>
    <row r="222" spans="2:33" x14ac:dyDescent="0.25">
      <c r="B222" s="151"/>
      <c r="C222" s="143"/>
      <c r="D222" s="143"/>
      <c r="E222" s="554"/>
      <c r="F222" s="554"/>
      <c r="G222" s="554"/>
      <c r="H222" s="554"/>
      <c r="I222" s="554"/>
      <c r="J222" s="554"/>
      <c r="K222" s="554"/>
      <c r="L222" s="554"/>
      <c r="M222" s="554"/>
      <c r="N222" s="554"/>
      <c r="O222" s="554"/>
      <c r="P222" s="554"/>
      <c r="Q222" s="554"/>
      <c r="R222" s="554"/>
      <c r="S222" s="554"/>
      <c r="T222" s="554"/>
      <c r="U222" s="554"/>
      <c r="V222" s="554"/>
      <c r="W222" s="554"/>
      <c r="X222" s="554"/>
      <c r="Y222" s="554"/>
      <c r="Z222" s="554"/>
      <c r="AA222" s="554"/>
      <c r="AB222" s="554"/>
      <c r="AC222" s="554"/>
      <c r="AD222" s="554"/>
      <c r="AF222" s="554"/>
      <c r="AG222" s="554"/>
    </row>
    <row r="223" spans="2:33" x14ac:dyDescent="0.25">
      <c r="B223" s="151"/>
      <c r="C223" s="143"/>
      <c r="D223" s="143"/>
      <c r="E223" s="554"/>
      <c r="F223" s="554"/>
      <c r="G223" s="554"/>
      <c r="H223" s="554"/>
      <c r="I223" s="554"/>
      <c r="J223" s="554"/>
      <c r="K223" s="554"/>
      <c r="L223" s="554"/>
      <c r="M223" s="554"/>
      <c r="N223" s="554"/>
      <c r="O223" s="554"/>
      <c r="P223" s="554"/>
      <c r="Q223" s="554"/>
      <c r="R223" s="554"/>
      <c r="S223" s="554"/>
      <c r="T223" s="554"/>
      <c r="U223" s="554"/>
      <c r="V223" s="554"/>
      <c r="W223" s="554"/>
      <c r="X223" s="554"/>
      <c r="Y223" s="554"/>
      <c r="Z223" s="554"/>
      <c r="AA223" s="554"/>
      <c r="AB223" s="554"/>
      <c r="AC223" s="554"/>
      <c r="AD223" s="554"/>
      <c r="AF223" s="554"/>
      <c r="AG223" s="554"/>
    </row>
    <row r="224" spans="2:33" x14ac:dyDescent="0.25">
      <c r="B224" s="151"/>
      <c r="C224" s="143"/>
      <c r="D224" s="143"/>
      <c r="E224" s="554"/>
      <c r="F224" s="554"/>
      <c r="G224" s="554"/>
      <c r="H224" s="554"/>
      <c r="I224" s="554"/>
      <c r="J224" s="554"/>
      <c r="K224" s="554"/>
      <c r="L224" s="554"/>
      <c r="M224" s="554"/>
      <c r="N224" s="554"/>
      <c r="O224" s="554"/>
      <c r="P224" s="554"/>
      <c r="Q224" s="554"/>
      <c r="R224" s="554"/>
      <c r="S224" s="554"/>
      <c r="T224" s="554"/>
      <c r="U224" s="554"/>
      <c r="V224" s="554"/>
      <c r="W224" s="554"/>
      <c r="X224" s="554"/>
      <c r="Y224" s="554"/>
      <c r="Z224" s="554"/>
      <c r="AA224" s="554"/>
      <c r="AB224" s="554"/>
      <c r="AC224" s="554"/>
      <c r="AD224" s="554"/>
      <c r="AF224" s="554"/>
      <c r="AG224" s="554"/>
    </row>
    <row r="225" spans="2:33" x14ac:dyDescent="0.25">
      <c r="B225" s="151"/>
      <c r="C225" s="143"/>
      <c r="D225" s="143"/>
      <c r="E225" s="554"/>
      <c r="F225" s="554"/>
      <c r="G225" s="554"/>
      <c r="H225" s="554"/>
      <c r="I225" s="554"/>
      <c r="J225" s="554"/>
      <c r="K225" s="554"/>
      <c r="L225" s="554"/>
      <c r="M225" s="554"/>
      <c r="N225" s="554"/>
      <c r="O225" s="554"/>
      <c r="P225" s="554"/>
      <c r="Q225" s="554"/>
      <c r="R225" s="554"/>
      <c r="S225" s="554"/>
      <c r="T225" s="554"/>
      <c r="U225" s="554"/>
      <c r="V225" s="554"/>
      <c r="W225" s="554"/>
      <c r="X225" s="554"/>
      <c r="Y225" s="554"/>
      <c r="Z225" s="554"/>
      <c r="AA225" s="554"/>
      <c r="AB225" s="554"/>
      <c r="AC225" s="554"/>
      <c r="AD225" s="554"/>
      <c r="AF225" s="554"/>
      <c r="AG225" s="554"/>
    </row>
    <row r="226" spans="2:33" x14ac:dyDescent="0.25">
      <c r="B226" s="151"/>
      <c r="C226" s="143"/>
      <c r="D226" s="143"/>
      <c r="E226" s="554"/>
      <c r="F226" s="554"/>
      <c r="G226" s="554"/>
      <c r="H226" s="554"/>
      <c r="I226" s="554"/>
      <c r="J226" s="554"/>
      <c r="K226" s="554"/>
      <c r="L226" s="554"/>
      <c r="M226" s="554"/>
      <c r="N226" s="554"/>
      <c r="O226" s="554"/>
      <c r="P226" s="554"/>
      <c r="Q226" s="554"/>
      <c r="R226" s="554"/>
      <c r="S226" s="554"/>
      <c r="T226" s="554"/>
      <c r="U226" s="554"/>
      <c r="V226" s="554"/>
      <c r="W226" s="554"/>
      <c r="X226" s="554"/>
      <c r="Y226" s="554"/>
      <c r="Z226" s="554"/>
      <c r="AA226" s="554"/>
      <c r="AB226" s="554"/>
      <c r="AC226" s="554"/>
      <c r="AD226" s="554"/>
      <c r="AF226" s="554"/>
      <c r="AG226" s="554"/>
    </row>
    <row r="227" spans="2:33" x14ac:dyDescent="0.25">
      <c r="B227" s="151"/>
      <c r="C227" s="143"/>
      <c r="D227" s="143"/>
      <c r="E227" s="554"/>
      <c r="F227" s="554"/>
      <c r="G227" s="554"/>
      <c r="H227" s="554"/>
      <c r="I227" s="554"/>
      <c r="J227" s="554"/>
      <c r="K227" s="554"/>
      <c r="L227" s="554"/>
      <c r="M227" s="554"/>
      <c r="N227" s="554"/>
      <c r="O227" s="554"/>
      <c r="P227" s="554"/>
      <c r="Q227" s="554"/>
      <c r="R227" s="554"/>
      <c r="S227" s="554"/>
      <c r="T227" s="554"/>
      <c r="U227" s="554"/>
      <c r="V227" s="554"/>
      <c r="W227" s="554"/>
      <c r="X227" s="554"/>
      <c r="Y227" s="554"/>
      <c r="Z227" s="554"/>
      <c r="AA227" s="554"/>
      <c r="AB227" s="554"/>
      <c r="AC227" s="554"/>
      <c r="AD227" s="554"/>
      <c r="AF227" s="554"/>
      <c r="AG227" s="554"/>
    </row>
    <row r="228" spans="2:33" x14ac:dyDescent="0.25">
      <c r="B228" s="151"/>
      <c r="C228" s="143"/>
      <c r="D228" s="143"/>
      <c r="E228" s="554"/>
      <c r="F228" s="554"/>
      <c r="G228" s="554"/>
      <c r="H228" s="554"/>
      <c r="I228" s="554"/>
      <c r="J228" s="554"/>
      <c r="K228" s="554"/>
      <c r="L228" s="554"/>
      <c r="M228" s="554"/>
      <c r="N228" s="554"/>
      <c r="O228" s="554"/>
      <c r="P228" s="554"/>
      <c r="Q228" s="554"/>
      <c r="R228" s="554"/>
      <c r="S228" s="554"/>
      <c r="T228" s="554"/>
      <c r="U228" s="554"/>
      <c r="V228" s="554"/>
      <c r="W228" s="554"/>
      <c r="X228" s="554"/>
      <c r="Y228" s="554"/>
      <c r="Z228" s="554"/>
      <c r="AA228" s="554"/>
      <c r="AB228" s="554"/>
      <c r="AC228" s="554"/>
      <c r="AD228" s="554"/>
      <c r="AF228" s="554"/>
      <c r="AG228" s="554"/>
    </row>
    <row r="229" spans="2:33" x14ac:dyDescent="0.25">
      <c r="B229" s="151"/>
      <c r="C229" s="143"/>
      <c r="D229" s="143"/>
      <c r="E229" s="554"/>
      <c r="F229" s="554"/>
      <c r="G229" s="554"/>
      <c r="H229" s="554"/>
      <c r="I229" s="554"/>
      <c r="J229" s="554"/>
      <c r="K229" s="554"/>
      <c r="L229" s="554"/>
      <c r="M229" s="554"/>
      <c r="N229" s="554"/>
      <c r="O229" s="554"/>
      <c r="P229" s="554"/>
      <c r="Q229" s="554"/>
      <c r="R229" s="554"/>
      <c r="S229" s="554"/>
      <c r="T229" s="554"/>
      <c r="U229" s="554"/>
      <c r="V229" s="554"/>
      <c r="W229" s="554"/>
      <c r="X229" s="554"/>
      <c r="Y229" s="554"/>
      <c r="Z229" s="554"/>
      <c r="AA229" s="554"/>
      <c r="AB229" s="554"/>
      <c r="AC229" s="554"/>
      <c r="AD229" s="554"/>
      <c r="AF229" s="554"/>
      <c r="AG229" s="554"/>
    </row>
    <row r="230" spans="2:33" x14ac:dyDescent="0.25">
      <c r="B230" s="151"/>
      <c r="C230" s="143"/>
      <c r="D230" s="143"/>
      <c r="E230" s="554"/>
      <c r="F230" s="554"/>
      <c r="G230" s="554"/>
      <c r="H230" s="554"/>
      <c r="I230" s="554"/>
      <c r="J230" s="554"/>
      <c r="K230" s="554"/>
      <c r="L230" s="554"/>
      <c r="M230" s="554"/>
      <c r="N230" s="554"/>
      <c r="O230" s="554"/>
      <c r="P230" s="554"/>
      <c r="Q230" s="554"/>
      <c r="R230" s="554"/>
      <c r="S230" s="554"/>
      <c r="T230" s="554"/>
      <c r="U230" s="554"/>
      <c r="V230" s="554"/>
      <c r="W230" s="554"/>
      <c r="X230" s="554"/>
      <c r="Y230" s="554"/>
      <c r="Z230" s="554"/>
      <c r="AA230" s="554"/>
      <c r="AB230" s="554"/>
      <c r="AC230" s="554"/>
      <c r="AD230" s="554"/>
      <c r="AF230" s="554"/>
      <c r="AG230" s="554"/>
    </row>
    <row r="231" spans="2:33" x14ac:dyDescent="0.25">
      <c r="B231" s="151"/>
      <c r="C231" s="143"/>
      <c r="D231" s="143"/>
      <c r="E231" s="554"/>
      <c r="F231" s="554"/>
      <c r="G231" s="554"/>
      <c r="H231" s="554"/>
      <c r="I231" s="554"/>
      <c r="J231" s="554"/>
      <c r="K231" s="554"/>
      <c r="L231" s="554"/>
      <c r="M231" s="554"/>
      <c r="N231" s="554"/>
      <c r="O231" s="554"/>
      <c r="P231" s="554"/>
      <c r="Q231" s="554"/>
      <c r="R231" s="554"/>
      <c r="S231" s="554"/>
      <c r="T231" s="554"/>
      <c r="U231" s="554"/>
      <c r="V231" s="554"/>
      <c r="W231" s="554"/>
      <c r="X231" s="554"/>
      <c r="Y231" s="554"/>
      <c r="Z231" s="554"/>
      <c r="AA231" s="554"/>
      <c r="AB231" s="554"/>
      <c r="AC231" s="554"/>
      <c r="AD231" s="554"/>
      <c r="AF231" s="554"/>
      <c r="AG231" s="554"/>
    </row>
    <row r="232" spans="2:33" x14ac:dyDescent="0.25">
      <c r="B232" s="151"/>
      <c r="C232" s="143"/>
      <c r="D232" s="143"/>
      <c r="E232" s="554"/>
      <c r="F232" s="554"/>
      <c r="G232" s="554"/>
      <c r="H232" s="554"/>
      <c r="I232" s="554"/>
      <c r="J232" s="554"/>
      <c r="K232" s="554"/>
      <c r="L232" s="554"/>
      <c r="M232" s="554"/>
      <c r="N232" s="554"/>
      <c r="O232" s="554"/>
      <c r="P232" s="554"/>
      <c r="Q232" s="554"/>
      <c r="R232" s="554"/>
      <c r="S232" s="554"/>
      <c r="T232" s="554"/>
      <c r="U232" s="554"/>
      <c r="V232" s="554"/>
      <c r="W232" s="554"/>
      <c r="X232" s="554"/>
      <c r="Y232" s="554"/>
      <c r="Z232" s="554"/>
      <c r="AA232" s="554"/>
      <c r="AB232" s="554"/>
      <c r="AC232" s="554"/>
      <c r="AD232" s="554"/>
      <c r="AF232" s="554"/>
      <c r="AG232" s="554"/>
    </row>
    <row r="233" spans="2:33" x14ac:dyDescent="0.25">
      <c r="B233" s="151"/>
      <c r="C233" s="143"/>
      <c r="D233" s="143"/>
      <c r="E233" s="554"/>
      <c r="F233" s="554"/>
      <c r="G233" s="554"/>
      <c r="H233" s="554"/>
      <c r="I233" s="554"/>
      <c r="J233" s="554"/>
      <c r="K233" s="554"/>
      <c r="L233" s="554"/>
      <c r="M233" s="554"/>
      <c r="N233" s="554"/>
      <c r="O233" s="554"/>
      <c r="P233" s="554"/>
      <c r="Q233" s="554"/>
      <c r="R233" s="554"/>
      <c r="S233" s="554"/>
      <c r="T233" s="554"/>
      <c r="U233" s="554"/>
      <c r="V233" s="554"/>
      <c r="W233" s="554"/>
      <c r="X233" s="554"/>
      <c r="Y233" s="554"/>
      <c r="Z233" s="554"/>
      <c r="AA233" s="554"/>
      <c r="AB233" s="554"/>
      <c r="AC233" s="554"/>
      <c r="AD233" s="554"/>
      <c r="AF233" s="554"/>
      <c r="AG233" s="554"/>
    </row>
    <row r="234" spans="2:33" x14ac:dyDescent="0.25">
      <c r="B234" s="151"/>
      <c r="C234" s="143"/>
      <c r="D234" s="143"/>
      <c r="E234" s="554"/>
      <c r="F234" s="554"/>
      <c r="G234" s="554"/>
      <c r="H234" s="554"/>
      <c r="I234" s="554"/>
      <c r="J234" s="554"/>
      <c r="K234" s="554"/>
      <c r="L234" s="554"/>
      <c r="M234" s="554"/>
      <c r="N234" s="554"/>
      <c r="O234" s="554"/>
      <c r="P234" s="554"/>
      <c r="Q234" s="554"/>
      <c r="R234" s="554"/>
      <c r="S234" s="554"/>
      <c r="T234" s="554"/>
      <c r="U234" s="554"/>
      <c r="V234" s="554"/>
      <c r="W234" s="554"/>
      <c r="X234" s="554"/>
      <c r="Y234" s="554"/>
      <c r="Z234" s="554"/>
      <c r="AA234" s="554"/>
      <c r="AB234" s="554"/>
      <c r="AC234" s="554"/>
      <c r="AD234" s="554"/>
      <c r="AF234" s="554"/>
      <c r="AG234" s="554"/>
    </row>
    <row r="235" spans="2:33" x14ac:dyDescent="0.25">
      <c r="B235" s="151"/>
      <c r="C235" s="143"/>
      <c r="D235" s="143"/>
      <c r="E235" s="554"/>
      <c r="F235" s="554"/>
      <c r="G235" s="554"/>
      <c r="H235" s="554"/>
      <c r="I235" s="554"/>
      <c r="J235" s="554"/>
      <c r="K235" s="554"/>
      <c r="L235" s="554"/>
      <c r="M235" s="554"/>
      <c r="N235" s="554"/>
      <c r="O235" s="554"/>
      <c r="P235" s="554"/>
      <c r="Q235" s="554"/>
      <c r="R235" s="554"/>
      <c r="S235" s="554"/>
      <c r="T235" s="554"/>
      <c r="U235" s="554"/>
      <c r="V235" s="554"/>
      <c r="W235" s="554"/>
      <c r="X235" s="554"/>
      <c r="Y235" s="554"/>
      <c r="Z235" s="554"/>
      <c r="AA235" s="554"/>
      <c r="AB235" s="554"/>
      <c r="AC235" s="554"/>
      <c r="AD235" s="554"/>
      <c r="AF235" s="554"/>
      <c r="AG235" s="554"/>
    </row>
    <row r="236" spans="2:33" x14ac:dyDescent="0.25">
      <c r="B236" s="151"/>
      <c r="C236" s="143"/>
      <c r="D236" s="143"/>
      <c r="E236" s="554"/>
      <c r="F236" s="554"/>
      <c r="G236" s="554"/>
      <c r="H236" s="554"/>
      <c r="I236" s="554"/>
      <c r="J236" s="554"/>
      <c r="K236" s="554"/>
      <c r="L236" s="554"/>
      <c r="M236" s="554"/>
      <c r="N236" s="554"/>
      <c r="O236" s="554"/>
      <c r="P236" s="554"/>
      <c r="Q236" s="554"/>
      <c r="R236" s="554"/>
      <c r="S236" s="554"/>
      <c r="T236" s="554"/>
      <c r="U236" s="554"/>
      <c r="V236" s="554"/>
      <c r="W236" s="554"/>
      <c r="X236" s="554"/>
      <c r="Y236" s="554"/>
      <c r="Z236" s="554"/>
      <c r="AA236" s="554"/>
      <c r="AB236" s="554"/>
      <c r="AC236" s="554"/>
      <c r="AD236" s="554"/>
      <c r="AF236" s="554"/>
      <c r="AG236" s="554"/>
    </row>
    <row r="237" spans="2:33" x14ac:dyDescent="0.25">
      <c r="B237" s="151"/>
      <c r="C237" s="143"/>
      <c r="D237" s="143"/>
      <c r="E237" s="554"/>
      <c r="F237" s="554"/>
      <c r="G237" s="554"/>
      <c r="H237" s="554"/>
      <c r="I237" s="554"/>
      <c r="J237" s="554"/>
      <c r="K237" s="554"/>
      <c r="L237" s="554"/>
      <c r="M237" s="554"/>
      <c r="N237" s="554"/>
      <c r="O237" s="554"/>
      <c r="P237" s="554"/>
      <c r="Q237" s="554"/>
      <c r="R237" s="554"/>
      <c r="S237" s="554"/>
      <c r="T237" s="554"/>
      <c r="U237" s="554"/>
      <c r="V237" s="554"/>
      <c r="W237" s="554"/>
      <c r="X237" s="554"/>
      <c r="Y237" s="554"/>
      <c r="Z237" s="554"/>
      <c r="AA237" s="554"/>
      <c r="AB237" s="554"/>
      <c r="AC237" s="554"/>
      <c r="AD237" s="554"/>
      <c r="AF237" s="554"/>
      <c r="AG237" s="554"/>
    </row>
    <row r="238" spans="2:33" x14ac:dyDescent="0.25">
      <c r="B238" s="151"/>
      <c r="C238" s="143"/>
      <c r="D238" s="143"/>
      <c r="E238" s="554"/>
      <c r="F238" s="554"/>
      <c r="G238" s="554"/>
      <c r="H238" s="554"/>
      <c r="I238" s="554"/>
      <c r="J238" s="554"/>
      <c r="K238" s="554"/>
      <c r="L238" s="554"/>
      <c r="M238" s="554"/>
      <c r="N238" s="554"/>
      <c r="O238" s="554"/>
      <c r="P238" s="554"/>
      <c r="Q238" s="554"/>
      <c r="R238" s="554"/>
      <c r="S238" s="554"/>
      <c r="T238" s="554"/>
      <c r="U238" s="554"/>
      <c r="V238" s="554"/>
      <c r="W238" s="554"/>
      <c r="X238" s="554"/>
      <c r="Y238" s="554"/>
      <c r="Z238" s="554"/>
      <c r="AA238" s="554"/>
      <c r="AB238" s="554"/>
      <c r="AC238" s="554"/>
      <c r="AD238" s="554"/>
      <c r="AF238" s="554"/>
      <c r="AG238" s="554"/>
    </row>
    <row r="239" spans="2:33" x14ac:dyDescent="0.25">
      <c r="B239" s="151"/>
      <c r="C239" s="143"/>
      <c r="D239" s="143"/>
      <c r="E239" s="554"/>
      <c r="F239" s="554"/>
      <c r="G239" s="554"/>
      <c r="H239" s="554"/>
      <c r="I239" s="554"/>
      <c r="J239" s="554"/>
      <c r="K239" s="554"/>
      <c r="L239" s="554"/>
      <c r="M239" s="554"/>
      <c r="N239" s="554"/>
      <c r="O239" s="554"/>
      <c r="P239" s="554"/>
      <c r="Q239" s="554"/>
      <c r="R239" s="554"/>
      <c r="S239" s="554"/>
      <c r="T239" s="554"/>
      <c r="U239" s="554"/>
      <c r="V239" s="554"/>
      <c r="W239" s="554"/>
      <c r="X239" s="554"/>
      <c r="Y239" s="554"/>
      <c r="Z239" s="554"/>
      <c r="AA239" s="554"/>
      <c r="AB239" s="554"/>
      <c r="AC239" s="554"/>
      <c r="AD239" s="554"/>
      <c r="AF239" s="554"/>
      <c r="AG239" s="554"/>
    </row>
    <row r="240" spans="2:33" x14ac:dyDescent="0.25">
      <c r="B240" s="151"/>
      <c r="C240" s="143"/>
      <c r="D240" s="143"/>
      <c r="E240" s="554"/>
      <c r="F240" s="554"/>
      <c r="G240" s="554"/>
      <c r="H240" s="554"/>
      <c r="I240" s="554"/>
      <c r="J240" s="554"/>
      <c r="K240" s="554"/>
      <c r="L240" s="554"/>
      <c r="M240" s="554"/>
      <c r="N240" s="554"/>
      <c r="O240" s="554"/>
      <c r="P240" s="554"/>
      <c r="Q240" s="554"/>
      <c r="R240" s="554"/>
      <c r="S240" s="554"/>
      <c r="T240" s="554"/>
      <c r="U240" s="554"/>
      <c r="V240" s="554"/>
      <c r="W240" s="554"/>
      <c r="X240" s="554"/>
      <c r="Y240" s="554"/>
      <c r="Z240" s="554"/>
      <c r="AA240" s="554"/>
      <c r="AB240" s="554"/>
      <c r="AC240" s="554"/>
      <c r="AD240" s="554"/>
      <c r="AF240" s="554"/>
      <c r="AG240" s="554"/>
    </row>
    <row r="241" spans="2:33" x14ac:dyDescent="0.25">
      <c r="B241" s="151"/>
      <c r="C241" s="143"/>
      <c r="D241" s="143"/>
      <c r="E241" s="554"/>
      <c r="F241" s="554"/>
      <c r="G241" s="554"/>
      <c r="H241" s="554"/>
      <c r="I241" s="554"/>
      <c r="J241" s="554"/>
      <c r="K241" s="554"/>
      <c r="L241" s="554"/>
      <c r="M241" s="554"/>
      <c r="N241" s="554"/>
      <c r="O241" s="554"/>
      <c r="P241" s="554"/>
      <c r="Q241" s="554"/>
      <c r="R241" s="554"/>
      <c r="S241" s="554"/>
      <c r="T241" s="554"/>
      <c r="U241" s="554"/>
      <c r="V241" s="554"/>
      <c r="W241" s="554"/>
      <c r="X241" s="554"/>
      <c r="Y241" s="554"/>
      <c r="Z241" s="554"/>
      <c r="AA241" s="554"/>
      <c r="AB241" s="554"/>
      <c r="AC241" s="554"/>
      <c r="AD241" s="554"/>
      <c r="AF241" s="554"/>
      <c r="AG241" s="554"/>
    </row>
    <row r="242" spans="2:33" x14ac:dyDescent="0.25">
      <c r="B242" s="151"/>
      <c r="C242" s="143"/>
      <c r="D242" s="143"/>
      <c r="E242" s="554"/>
      <c r="F242" s="554"/>
      <c r="G242" s="554"/>
      <c r="H242" s="554"/>
      <c r="I242" s="554"/>
      <c r="J242" s="554"/>
      <c r="K242" s="554"/>
      <c r="L242" s="554"/>
      <c r="M242" s="554"/>
      <c r="N242" s="554"/>
      <c r="O242" s="554"/>
      <c r="P242" s="554"/>
      <c r="Q242" s="554"/>
      <c r="R242" s="554"/>
      <c r="S242" s="554"/>
      <c r="T242" s="554"/>
      <c r="U242" s="554"/>
      <c r="V242" s="554"/>
      <c r="W242" s="554"/>
      <c r="X242" s="554"/>
      <c r="Y242" s="554"/>
      <c r="Z242" s="554"/>
      <c r="AA242" s="554"/>
      <c r="AB242" s="554"/>
      <c r="AC242" s="554"/>
      <c r="AD242" s="554"/>
      <c r="AF242" s="554"/>
      <c r="AG242" s="554"/>
    </row>
    <row r="243" spans="2:33" x14ac:dyDescent="0.25">
      <c r="B243" s="151"/>
      <c r="C243" s="143"/>
      <c r="D243" s="143"/>
      <c r="E243" s="554"/>
      <c r="F243" s="554"/>
      <c r="G243" s="554"/>
      <c r="H243" s="554"/>
      <c r="I243" s="554"/>
      <c r="J243" s="554"/>
      <c r="K243" s="554"/>
      <c r="L243" s="554"/>
      <c r="M243" s="554"/>
      <c r="N243" s="554"/>
      <c r="O243" s="554"/>
      <c r="P243" s="554"/>
      <c r="Q243" s="554"/>
      <c r="R243" s="554"/>
      <c r="S243" s="554"/>
      <c r="T243" s="554"/>
      <c r="U243" s="554"/>
      <c r="V243" s="554"/>
      <c r="W243" s="554"/>
      <c r="X243" s="554"/>
      <c r="Y243" s="554"/>
      <c r="Z243" s="554"/>
      <c r="AA243" s="554"/>
      <c r="AB243" s="554"/>
      <c r="AC243" s="554"/>
      <c r="AD243" s="554"/>
      <c r="AF243" s="554"/>
      <c r="AG243" s="554"/>
    </row>
    <row r="244" spans="2:33" x14ac:dyDescent="0.25">
      <c r="B244" s="151"/>
      <c r="C244" s="143"/>
      <c r="D244" s="143"/>
      <c r="E244" s="554"/>
      <c r="F244" s="554"/>
      <c r="G244" s="554"/>
      <c r="H244" s="554"/>
      <c r="I244" s="554"/>
      <c r="J244" s="554"/>
      <c r="K244" s="554"/>
      <c r="L244" s="554"/>
      <c r="M244" s="554"/>
      <c r="N244" s="554"/>
      <c r="O244" s="554"/>
      <c r="P244" s="554"/>
      <c r="Q244" s="554"/>
      <c r="R244" s="554"/>
      <c r="S244" s="554"/>
      <c r="T244" s="554"/>
      <c r="U244" s="554"/>
      <c r="V244" s="554"/>
      <c r="W244" s="554"/>
      <c r="X244" s="554"/>
      <c r="Y244" s="554"/>
      <c r="Z244" s="554"/>
      <c r="AA244" s="554"/>
      <c r="AB244" s="554"/>
      <c r="AC244" s="554"/>
      <c r="AD244" s="554"/>
      <c r="AF244" s="554"/>
      <c r="AG244" s="554"/>
    </row>
    <row r="245" spans="2:33" x14ac:dyDescent="0.25">
      <c r="B245" s="151"/>
      <c r="C245" s="143"/>
      <c r="D245" s="143"/>
      <c r="E245" s="554"/>
      <c r="F245" s="554"/>
      <c r="G245" s="554"/>
      <c r="H245" s="554"/>
      <c r="I245" s="554"/>
      <c r="J245" s="554"/>
      <c r="K245" s="554"/>
      <c r="L245" s="554"/>
      <c r="M245" s="554"/>
      <c r="N245" s="554"/>
      <c r="O245" s="554"/>
      <c r="P245" s="554"/>
      <c r="Q245" s="554"/>
      <c r="R245" s="554"/>
      <c r="S245" s="554"/>
      <c r="T245" s="554"/>
      <c r="U245" s="554"/>
      <c r="V245" s="554"/>
      <c r="W245" s="554"/>
      <c r="X245" s="554"/>
      <c r="Y245" s="554"/>
      <c r="Z245" s="554"/>
      <c r="AA245" s="554"/>
      <c r="AB245" s="554"/>
      <c r="AC245" s="554"/>
      <c r="AD245" s="554"/>
      <c r="AF245" s="554"/>
      <c r="AG245" s="554"/>
    </row>
    <row r="246" spans="2:33" x14ac:dyDescent="0.25">
      <c r="B246" s="151"/>
      <c r="C246" s="143"/>
      <c r="D246" s="143"/>
      <c r="E246" s="554"/>
      <c r="F246" s="554"/>
      <c r="G246" s="554"/>
      <c r="H246" s="554"/>
      <c r="I246" s="554"/>
      <c r="J246" s="554"/>
      <c r="K246" s="554"/>
      <c r="L246" s="554"/>
      <c r="M246" s="554"/>
      <c r="N246" s="554"/>
      <c r="O246" s="554"/>
      <c r="P246" s="554"/>
      <c r="Q246" s="554"/>
      <c r="R246" s="554"/>
      <c r="S246" s="554"/>
      <c r="T246" s="554"/>
      <c r="U246" s="554"/>
      <c r="V246" s="554"/>
      <c r="W246" s="554"/>
      <c r="X246" s="554"/>
      <c r="Y246" s="554"/>
      <c r="Z246" s="554"/>
      <c r="AA246" s="554"/>
      <c r="AB246" s="554"/>
      <c r="AC246" s="554"/>
      <c r="AD246" s="554"/>
      <c r="AF246" s="554"/>
      <c r="AG246" s="554"/>
    </row>
    <row r="247" spans="2:33" x14ac:dyDescent="0.25">
      <c r="B247" s="151"/>
      <c r="C247" s="143"/>
      <c r="D247" s="143"/>
      <c r="E247" s="554"/>
      <c r="F247" s="554"/>
      <c r="G247" s="554"/>
      <c r="H247" s="554"/>
      <c r="I247" s="554"/>
      <c r="J247" s="554"/>
      <c r="K247" s="554"/>
      <c r="L247" s="554"/>
      <c r="M247" s="554"/>
      <c r="N247" s="554"/>
      <c r="O247" s="554"/>
      <c r="P247" s="554"/>
      <c r="Q247" s="554"/>
      <c r="R247" s="554"/>
      <c r="S247" s="554"/>
      <c r="T247" s="554"/>
      <c r="U247" s="554"/>
      <c r="V247" s="554"/>
      <c r="W247" s="554"/>
      <c r="X247" s="554"/>
      <c r="Y247" s="554"/>
      <c r="Z247" s="554"/>
      <c r="AA247" s="554"/>
      <c r="AB247" s="554"/>
      <c r="AC247" s="554"/>
      <c r="AD247" s="554"/>
      <c r="AF247" s="554"/>
      <c r="AG247" s="554"/>
    </row>
    <row r="248" spans="2:33" x14ac:dyDescent="0.25">
      <c r="B248" s="151"/>
      <c r="C248" s="143"/>
      <c r="D248" s="143"/>
      <c r="E248" s="554"/>
      <c r="F248" s="554"/>
      <c r="G248" s="554"/>
      <c r="H248" s="554"/>
      <c r="I248" s="554"/>
      <c r="J248" s="554"/>
      <c r="K248" s="554"/>
      <c r="L248" s="554"/>
      <c r="M248" s="554"/>
      <c r="N248" s="554"/>
      <c r="O248" s="554"/>
      <c r="P248" s="554"/>
      <c r="Q248" s="554"/>
      <c r="R248" s="554"/>
      <c r="S248" s="554"/>
      <c r="T248" s="554"/>
      <c r="U248" s="554"/>
      <c r="V248" s="554"/>
      <c r="W248" s="554"/>
      <c r="X248" s="554"/>
      <c r="Y248" s="554"/>
      <c r="Z248" s="554"/>
      <c r="AA248" s="554"/>
      <c r="AB248" s="554"/>
      <c r="AC248" s="554"/>
      <c r="AD248" s="554"/>
      <c r="AF248" s="554"/>
      <c r="AG248" s="554"/>
    </row>
    <row r="249" spans="2:33" x14ac:dyDescent="0.25">
      <c r="B249" s="151"/>
      <c r="C249" s="143"/>
      <c r="D249" s="143"/>
      <c r="E249" s="554"/>
      <c r="F249" s="554"/>
      <c r="G249" s="554"/>
      <c r="H249" s="554"/>
      <c r="I249" s="554"/>
      <c r="J249" s="554"/>
      <c r="K249" s="554"/>
      <c r="L249" s="554"/>
      <c r="M249" s="554"/>
      <c r="N249" s="554"/>
      <c r="O249" s="554"/>
      <c r="P249" s="554"/>
      <c r="Q249" s="554"/>
      <c r="R249" s="554"/>
      <c r="S249" s="554"/>
      <c r="T249" s="554"/>
      <c r="U249" s="554"/>
      <c r="V249" s="554"/>
      <c r="W249" s="554"/>
      <c r="X249" s="554"/>
      <c r="Y249" s="554"/>
      <c r="Z249" s="554"/>
      <c r="AA249" s="554"/>
      <c r="AB249" s="554"/>
      <c r="AC249" s="554"/>
      <c r="AD249" s="554"/>
      <c r="AF249" s="554"/>
      <c r="AG249" s="554"/>
    </row>
    <row r="250" spans="2:33" x14ac:dyDescent="0.25">
      <c r="B250" s="151"/>
      <c r="C250" s="143"/>
      <c r="D250" s="143"/>
      <c r="E250" s="554"/>
      <c r="F250" s="554"/>
      <c r="G250" s="554"/>
      <c r="H250" s="554"/>
      <c r="I250" s="554"/>
      <c r="J250" s="554"/>
      <c r="K250" s="554"/>
      <c r="L250" s="554"/>
      <c r="M250" s="554"/>
      <c r="N250" s="554"/>
      <c r="O250" s="554"/>
      <c r="P250" s="554"/>
      <c r="Q250" s="554"/>
      <c r="R250" s="554"/>
      <c r="S250" s="554"/>
      <c r="T250" s="554"/>
      <c r="U250" s="554"/>
      <c r="V250" s="554"/>
      <c r="W250" s="554"/>
      <c r="X250" s="554"/>
      <c r="Y250" s="554"/>
      <c r="Z250" s="554"/>
      <c r="AA250" s="554"/>
      <c r="AB250" s="554"/>
      <c r="AC250" s="554"/>
      <c r="AD250" s="554"/>
      <c r="AF250" s="554"/>
      <c r="AG250" s="554"/>
    </row>
    <row r="251" spans="2:33" x14ac:dyDescent="0.25">
      <c r="B251" s="151"/>
      <c r="C251" s="143"/>
      <c r="D251" s="143"/>
      <c r="E251" s="554"/>
      <c r="F251" s="554"/>
      <c r="G251" s="554"/>
      <c r="H251" s="554"/>
      <c r="I251" s="554"/>
      <c r="J251" s="554"/>
      <c r="K251" s="554"/>
      <c r="L251" s="554"/>
      <c r="M251" s="554"/>
      <c r="N251" s="554"/>
      <c r="O251" s="554"/>
      <c r="P251" s="554"/>
      <c r="Q251" s="554"/>
      <c r="R251" s="554"/>
      <c r="S251" s="554"/>
      <c r="T251" s="554"/>
      <c r="U251" s="554"/>
      <c r="V251" s="554"/>
      <c r="W251" s="554"/>
      <c r="X251" s="554"/>
      <c r="Y251" s="554"/>
      <c r="Z251" s="554"/>
      <c r="AA251" s="554"/>
      <c r="AB251" s="554"/>
      <c r="AC251" s="554"/>
      <c r="AD251" s="554"/>
      <c r="AF251" s="554"/>
      <c r="AG251" s="554"/>
    </row>
    <row r="252" spans="2:33" x14ac:dyDescent="0.25">
      <c r="B252" s="151"/>
      <c r="C252" s="143"/>
      <c r="D252" s="143"/>
      <c r="E252" s="554"/>
      <c r="F252" s="554"/>
      <c r="G252" s="554"/>
      <c r="H252" s="554"/>
      <c r="I252" s="554"/>
      <c r="J252" s="554"/>
      <c r="K252" s="554"/>
      <c r="L252" s="554"/>
      <c r="M252" s="554"/>
      <c r="N252" s="554"/>
      <c r="O252" s="554"/>
      <c r="P252" s="554"/>
      <c r="Q252" s="554"/>
      <c r="R252" s="554"/>
      <c r="S252" s="554"/>
      <c r="T252" s="554"/>
      <c r="U252" s="554"/>
      <c r="V252" s="554"/>
      <c r="W252" s="554"/>
      <c r="X252" s="554"/>
      <c r="Y252" s="554"/>
      <c r="Z252" s="554"/>
      <c r="AA252" s="554"/>
      <c r="AB252" s="554"/>
      <c r="AC252" s="554"/>
      <c r="AD252" s="554"/>
      <c r="AF252" s="554"/>
      <c r="AG252" s="554"/>
    </row>
    <row r="253" spans="2:33" x14ac:dyDescent="0.25">
      <c r="B253" s="151"/>
      <c r="C253" s="143"/>
      <c r="D253" s="143"/>
      <c r="E253" s="554"/>
      <c r="F253" s="554"/>
      <c r="G253" s="554"/>
      <c r="H253" s="554"/>
      <c r="I253" s="554"/>
      <c r="J253" s="554"/>
      <c r="K253" s="554"/>
      <c r="L253" s="554"/>
      <c r="M253" s="554"/>
      <c r="N253" s="554"/>
      <c r="O253" s="554"/>
      <c r="P253" s="554"/>
      <c r="Q253" s="554"/>
      <c r="R253" s="554"/>
      <c r="S253" s="554"/>
      <c r="T253" s="554"/>
      <c r="U253" s="554"/>
      <c r="V253" s="554"/>
      <c r="W253" s="554"/>
      <c r="X253" s="554"/>
      <c r="Y253" s="554"/>
      <c r="Z253" s="554"/>
      <c r="AA253" s="554"/>
      <c r="AB253" s="554"/>
      <c r="AC253" s="554"/>
      <c r="AD253" s="554"/>
      <c r="AF253" s="554"/>
      <c r="AG253" s="554"/>
    </row>
    <row r="254" spans="2:33" x14ac:dyDescent="0.25">
      <c r="B254" s="151"/>
      <c r="C254" s="143"/>
      <c r="D254" s="143"/>
      <c r="E254" s="554"/>
      <c r="F254" s="554"/>
      <c r="G254" s="554"/>
      <c r="H254" s="554"/>
      <c r="I254" s="554"/>
      <c r="J254" s="554"/>
      <c r="K254" s="554"/>
      <c r="L254" s="554"/>
      <c r="M254" s="554"/>
      <c r="N254" s="554"/>
      <c r="O254" s="554"/>
      <c r="P254" s="554"/>
      <c r="Q254" s="554"/>
      <c r="R254" s="554"/>
      <c r="S254" s="554"/>
      <c r="T254" s="554"/>
      <c r="U254" s="554"/>
      <c r="V254" s="554"/>
      <c r="W254" s="554"/>
      <c r="X254" s="554"/>
      <c r="Y254" s="554"/>
      <c r="Z254" s="554"/>
      <c r="AA254" s="554"/>
      <c r="AB254" s="554"/>
      <c r="AC254" s="554"/>
      <c r="AD254" s="554"/>
      <c r="AF254" s="554"/>
      <c r="AG254" s="554"/>
    </row>
    <row r="255" spans="2:33" x14ac:dyDescent="0.25">
      <c r="B255" s="151"/>
      <c r="C255" s="143"/>
      <c r="D255" s="143"/>
      <c r="E255" s="554"/>
      <c r="F255" s="554"/>
      <c r="G255" s="554"/>
      <c r="H255" s="554"/>
      <c r="I255" s="554"/>
      <c r="J255" s="554"/>
      <c r="K255" s="554"/>
      <c r="L255" s="554"/>
      <c r="M255" s="554"/>
      <c r="N255" s="554"/>
      <c r="O255" s="554"/>
      <c r="P255" s="554"/>
      <c r="Q255" s="554"/>
      <c r="R255" s="554"/>
      <c r="S255" s="554"/>
      <c r="T255" s="554"/>
      <c r="U255" s="554"/>
      <c r="V255" s="554"/>
      <c r="W255" s="554"/>
      <c r="X255" s="554"/>
      <c r="Y255" s="554"/>
      <c r="Z255" s="554"/>
      <c r="AA255" s="554"/>
      <c r="AB255" s="554"/>
      <c r="AC255" s="554"/>
      <c r="AD255" s="554"/>
      <c r="AF255" s="554"/>
      <c r="AG255" s="554"/>
    </row>
    <row r="256" spans="2:33" x14ac:dyDescent="0.25">
      <c r="B256" s="151"/>
      <c r="C256" s="143"/>
      <c r="D256" s="143"/>
      <c r="E256" s="554"/>
      <c r="F256" s="554"/>
      <c r="G256" s="554"/>
      <c r="H256" s="554"/>
      <c r="I256" s="554"/>
      <c r="J256" s="554"/>
      <c r="K256" s="554"/>
      <c r="L256" s="554"/>
      <c r="M256" s="554"/>
      <c r="N256" s="554"/>
      <c r="O256" s="554"/>
      <c r="P256" s="554"/>
      <c r="Q256" s="554"/>
      <c r="R256" s="554"/>
      <c r="S256" s="554"/>
      <c r="T256" s="554"/>
      <c r="U256" s="554"/>
      <c r="V256" s="554"/>
      <c r="W256" s="554"/>
      <c r="X256" s="554"/>
      <c r="Y256" s="554"/>
      <c r="Z256" s="554"/>
      <c r="AA256" s="554"/>
      <c r="AB256" s="554"/>
      <c r="AC256" s="554"/>
      <c r="AD256" s="554"/>
      <c r="AF256" s="554"/>
      <c r="AG256" s="554"/>
    </row>
    <row r="257" spans="2:33" x14ac:dyDescent="0.25">
      <c r="B257" s="151"/>
      <c r="C257" s="143"/>
      <c r="D257" s="143"/>
      <c r="E257" s="554"/>
      <c r="F257" s="554"/>
      <c r="G257" s="554"/>
      <c r="H257" s="554"/>
      <c r="I257" s="554"/>
      <c r="J257" s="554"/>
      <c r="K257" s="554"/>
      <c r="L257" s="554"/>
      <c r="M257" s="554"/>
      <c r="N257" s="554"/>
      <c r="O257" s="554"/>
      <c r="P257" s="554"/>
      <c r="Q257" s="554"/>
      <c r="R257" s="554"/>
      <c r="S257" s="554"/>
      <c r="T257" s="554"/>
      <c r="U257" s="554"/>
      <c r="V257" s="554"/>
      <c r="W257" s="554"/>
      <c r="X257" s="554"/>
      <c r="Y257" s="554"/>
      <c r="Z257" s="554"/>
      <c r="AA257" s="554"/>
      <c r="AB257" s="554"/>
      <c r="AC257" s="554"/>
      <c r="AD257" s="554"/>
      <c r="AF257" s="554"/>
      <c r="AG257" s="554"/>
    </row>
    <row r="258" spans="2:33" x14ac:dyDescent="0.25">
      <c r="B258" s="151"/>
      <c r="C258" s="143"/>
      <c r="D258" s="143"/>
      <c r="E258" s="554"/>
      <c r="F258" s="554"/>
      <c r="G258" s="554"/>
      <c r="H258" s="554"/>
      <c r="I258" s="554"/>
      <c r="J258" s="554"/>
      <c r="K258" s="554"/>
      <c r="L258" s="554"/>
      <c r="M258" s="554"/>
      <c r="N258" s="554"/>
      <c r="O258" s="554"/>
      <c r="P258" s="554"/>
      <c r="Q258" s="554"/>
      <c r="R258" s="554"/>
      <c r="S258" s="554"/>
      <c r="T258" s="554"/>
      <c r="U258" s="554"/>
      <c r="V258" s="554"/>
      <c r="W258" s="554"/>
      <c r="X258" s="554"/>
      <c r="Y258" s="554"/>
      <c r="Z258" s="554"/>
      <c r="AA258" s="554"/>
      <c r="AB258" s="554"/>
      <c r="AC258" s="554"/>
      <c r="AD258" s="554"/>
      <c r="AF258" s="554"/>
      <c r="AG258" s="554"/>
    </row>
    <row r="259" spans="2:33" x14ac:dyDescent="0.25">
      <c r="B259" s="151"/>
      <c r="C259" s="143"/>
      <c r="D259" s="143"/>
      <c r="E259" s="554"/>
      <c r="F259" s="554"/>
      <c r="G259" s="554"/>
      <c r="H259" s="554"/>
      <c r="I259" s="554"/>
      <c r="J259" s="554"/>
      <c r="K259" s="554"/>
      <c r="L259" s="554"/>
      <c r="M259" s="554"/>
      <c r="N259" s="554"/>
      <c r="O259" s="554"/>
      <c r="P259" s="554"/>
      <c r="Q259" s="554"/>
      <c r="R259" s="554"/>
      <c r="S259" s="554"/>
      <c r="T259" s="554"/>
      <c r="U259" s="554"/>
      <c r="V259" s="554"/>
      <c r="W259" s="554"/>
      <c r="X259" s="554"/>
      <c r="Y259" s="554"/>
      <c r="Z259" s="554"/>
      <c r="AA259" s="554"/>
      <c r="AB259" s="554"/>
      <c r="AC259" s="554"/>
      <c r="AD259" s="554"/>
      <c r="AF259" s="554"/>
      <c r="AG259" s="554"/>
    </row>
    <row r="260" spans="2:33" x14ac:dyDescent="0.25">
      <c r="B260" s="151"/>
      <c r="C260" s="143"/>
      <c r="D260" s="143"/>
      <c r="E260" s="554"/>
      <c r="F260" s="554"/>
      <c r="G260" s="554"/>
      <c r="H260" s="554"/>
      <c r="I260" s="554"/>
      <c r="J260" s="554"/>
      <c r="K260" s="554"/>
      <c r="L260" s="554"/>
      <c r="M260" s="554"/>
      <c r="N260" s="554"/>
      <c r="O260" s="554"/>
      <c r="P260" s="554"/>
      <c r="Q260" s="554"/>
      <c r="R260" s="554"/>
      <c r="S260" s="554"/>
      <c r="T260" s="554"/>
      <c r="U260" s="554"/>
      <c r="V260" s="554"/>
      <c r="W260" s="554"/>
      <c r="X260" s="554"/>
      <c r="Y260" s="554"/>
      <c r="Z260" s="554"/>
      <c r="AA260" s="554"/>
      <c r="AB260" s="554"/>
      <c r="AC260" s="554"/>
      <c r="AD260" s="554"/>
      <c r="AF260" s="554"/>
      <c r="AG260" s="554"/>
    </row>
    <row r="261" spans="2:33" x14ac:dyDescent="0.25">
      <c r="B261" s="151"/>
      <c r="C261" s="143"/>
      <c r="D261" s="143"/>
      <c r="E261" s="554"/>
      <c r="F261" s="554"/>
      <c r="G261" s="554"/>
      <c r="H261" s="554"/>
      <c r="I261" s="554"/>
      <c r="J261" s="554"/>
      <c r="K261" s="554"/>
      <c r="L261" s="554"/>
      <c r="M261" s="554"/>
      <c r="N261" s="554"/>
      <c r="O261" s="554"/>
      <c r="P261" s="554"/>
      <c r="Q261" s="554"/>
      <c r="R261" s="554"/>
      <c r="S261" s="554"/>
      <c r="T261" s="554"/>
      <c r="U261" s="554"/>
      <c r="V261" s="554"/>
      <c r="W261" s="554"/>
      <c r="X261" s="554"/>
      <c r="Y261" s="554"/>
      <c r="Z261" s="554"/>
      <c r="AA261" s="554"/>
      <c r="AB261" s="554"/>
      <c r="AC261" s="554"/>
      <c r="AD261" s="554"/>
      <c r="AF261" s="554"/>
      <c r="AG261" s="554"/>
    </row>
    <row r="262" spans="2:33" x14ac:dyDescent="0.25">
      <c r="B262" s="151"/>
      <c r="C262" s="143"/>
      <c r="D262" s="143"/>
      <c r="E262" s="554"/>
      <c r="F262" s="554"/>
      <c r="G262" s="554"/>
      <c r="H262" s="554"/>
      <c r="I262" s="554"/>
      <c r="J262" s="554"/>
      <c r="K262" s="554"/>
      <c r="L262" s="554"/>
      <c r="M262" s="554"/>
      <c r="N262" s="554"/>
      <c r="O262" s="554"/>
      <c r="P262" s="554"/>
      <c r="Q262" s="554"/>
      <c r="R262" s="554"/>
      <c r="S262" s="554"/>
      <c r="T262" s="554"/>
      <c r="U262" s="554"/>
      <c r="V262" s="554"/>
      <c r="W262" s="554"/>
      <c r="X262" s="554"/>
      <c r="Y262" s="554"/>
      <c r="Z262" s="554"/>
      <c r="AA262" s="554"/>
      <c r="AB262" s="554"/>
      <c r="AC262" s="554"/>
      <c r="AD262" s="554"/>
      <c r="AF262" s="554"/>
      <c r="AG262" s="554"/>
    </row>
    <row r="263" spans="2:33" x14ac:dyDescent="0.25">
      <c r="B263" s="151"/>
      <c r="C263" s="143"/>
      <c r="D263" s="143"/>
      <c r="E263" s="554"/>
      <c r="F263" s="554"/>
      <c r="G263" s="554"/>
      <c r="H263" s="554"/>
      <c r="I263" s="554"/>
      <c r="J263" s="554"/>
      <c r="K263" s="554"/>
      <c r="L263" s="554"/>
      <c r="M263" s="554"/>
      <c r="N263" s="554"/>
      <c r="O263" s="554"/>
      <c r="P263" s="554"/>
      <c r="Q263" s="554"/>
      <c r="R263" s="554"/>
      <c r="S263" s="554"/>
      <c r="T263" s="554"/>
      <c r="U263" s="554"/>
      <c r="V263" s="554"/>
      <c r="W263" s="554"/>
      <c r="X263" s="554"/>
      <c r="Y263" s="554"/>
      <c r="Z263" s="554"/>
      <c r="AA263" s="554"/>
      <c r="AB263" s="554"/>
      <c r="AC263" s="554"/>
      <c r="AD263" s="554"/>
      <c r="AF263" s="554"/>
      <c r="AG263" s="554"/>
    </row>
    <row r="264" spans="2:33" x14ac:dyDescent="0.25">
      <c r="B264" s="151"/>
      <c r="C264" s="143"/>
      <c r="D264" s="143"/>
      <c r="E264" s="554"/>
      <c r="F264" s="554"/>
      <c r="G264" s="554"/>
      <c r="H264" s="554"/>
      <c r="I264" s="554"/>
      <c r="J264" s="554"/>
      <c r="K264" s="554"/>
      <c r="L264" s="554"/>
      <c r="M264" s="554"/>
      <c r="N264" s="554"/>
      <c r="O264" s="554"/>
      <c r="P264" s="554"/>
      <c r="Q264" s="554"/>
      <c r="R264" s="554"/>
      <c r="S264" s="554"/>
      <c r="T264" s="554"/>
      <c r="U264" s="554"/>
      <c r="V264" s="554"/>
      <c r="W264" s="554"/>
      <c r="X264" s="554"/>
      <c r="Y264" s="554"/>
      <c r="Z264" s="554"/>
      <c r="AA264" s="554"/>
      <c r="AB264" s="554"/>
      <c r="AC264" s="554"/>
      <c r="AD264" s="554"/>
      <c r="AF264" s="554"/>
      <c r="AG264" s="554"/>
    </row>
    <row r="265" spans="2:33" x14ac:dyDescent="0.25">
      <c r="B265" s="151"/>
      <c r="C265" s="143"/>
      <c r="D265" s="143"/>
      <c r="E265" s="554"/>
      <c r="F265" s="554"/>
      <c r="G265" s="554"/>
      <c r="H265" s="554"/>
      <c r="I265" s="554"/>
      <c r="J265" s="554"/>
      <c r="K265" s="554"/>
      <c r="L265" s="554"/>
      <c r="M265" s="554"/>
      <c r="N265" s="554"/>
      <c r="O265" s="554"/>
      <c r="P265" s="554"/>
      <c r="Q265" s="554"/>
      <c r="R265" s="554"/>
      <c r="S265" s="554"/>
      <c r="T265" s="554"/>
      <c r="U265" s="554"/>
      <c r="V265" s="554"/>
      <c r="W265" s="554"/>
      <c r="X265" s="554"/>
      <c r="Y265" s="554"/>
      <c r="Z265" s="554"/>
      <c r="AA265" s="554"/>
      <c r="AB265" s="554"/>
      <c r="AC265" s="554"/>
      <c r="AD265" s="554"/>
      <c r="AF265" s="554"/>
      <c r="AG265" s="554"/>
    </row>
    <row r="266" spans="2:33" x14ac:dyDescent="0.25">
      <c r="B266" s="151"/>
      <c r="C266" s="143"/>
      <c r="D266" s="143"/>
      <c r="E266" s="554"/>
      <c r="F266" s="554"/>
      <c r="G266" s="554"/>
      <c r="H266" s="554"/>
      <c r="I266" s="554"/>
      <c r="J266" s="554"/>
      <c r="K266" s="554"/>
      <c r="L266" s="554"/>
      <c r="M266" s="554"/>
      <c r="N266" s="554"/>
      <c r="O266" s="554"/>
      <c r="P266" s="554"/>
      <c r="Q266" s="554"/>
      <c r="R266" s="554"/>
      <c r="S266" s="554"/>
      <c r="T266" s="554"/>
      <c r="U266" s="554"/>
      <c r="V266" s="554"/>
      <c r="W266" s="554"/>
      <c r="X266" s="554"/>
      <c r="Y266" s="554"/>
      <c r="Z266" s="554"/>
      <c r="AA266" s="554"/>
      <c r="AB266" s="554"/>
      <c r="AC266" s="554"/>
      <c r="AD266" s="554"/>
      <c r="AF266" s="554"/>
      <c r="AG266" s="554"/>
    </row>
    <row r="267" spans="2:33" x14ac:dyDescent="0.25">
      <c r="B267" s="151"/>
      <c r="C267" s="143"/>
      <c r="D267" s="143"/>
      <c r="E267" s="554"/>
      <c r="F267" s="554"/>
      <c r="G267" s="554"/>
      <c r="H267" s="554"/>
      <c r="I267" s="554"/>
      <c r="J267" s="554"/>
      <c r="K267" s="554"/>
      <c r="L267" s="554"/>
      <c r="M267" s="554"/>
      <c r="N267" s="554"/>
      <c r="O267" s="554"/>
      <c r="P267" s="554"/>
      <c r="Q267" s="554"/>
      <c r="R267" s="554"/>
      <c r="S267" s="554"/>
      <c r="T267" s="554"/>
      <c r="U267" s="554"/>
      <c r="V267" s="554"/>
      <c r="W267" s="554"/>
      <c r="X267" s="554"/>
      <c r="Y267" s="554"/>
      <c r="Z267" s="554"/>
      <c r="AA267" s="554"/>
      <c r="AB267" s="554"/>
      <c r="AC267" s="554"/>
      <c r="AD267" s="554"/>
      <c r="AF267" s="554"/>
      <c r="AG267" s="554"/>
    </row>
    <row r="268" spans="2:33" x14ac:dyDescent="0.25">
      <c r="B268" s="151"/>
      <c r="C268" s="143"/>
      <c r="D268" s="143"/>
      <c r="E268" s="554"/>
      <c r="F268" s="554"/>
      <c r="G268" s="554"/>
      <c r="H268" s="554"/>
      <c r="I268" s="554"/>
      <c r="J268" s="554"/>
      <c r="K268" s="554"/>
      <c r="L268" s="554"/>
      <c r="M268" s="554"/>
      <c r="N268" s="554"/>
      <c r="O268" s="554"/>
      <c r="P268" s="554"/>
      <c r="Q268" s="554"/>
      <c r="R268" s="554"/>
      <c r="S268" s="554"/>
      <c r="T268" s="554"/>
      <c r="U268" s="554"/>
      <c r="V268" s="554"/>
      <c r="W268" s="554"/>
      <c r="X268" s="554"/>
      <c r="Y268" s="554"/>
      <c r="Z268" s="554"/>
      <c r="AA268" s="554"/>
      <c r="AB268" s="554"/>
      <c r="AC268" s="554"/>
      <c r="AD268" s="554"/>
      <c r="AF268" s="554"/>
      <c r="AG268" s="554"/>
    </row>
    <row r="269" spans="2:33" x14ac:dyDescent="0.25">
      <c r="B269" s="151"/>
      <c r="C269" s="143"/>
      <c r="D269" s="143"/>
      <c r="E269" s="554"/>
      <c r="F269" s="554"/>
      <c r="G269" s="554"/>
      <c r="H269" s="554"/>
      <c r="I269" s="554"/>
      <c r="J269" s="554"/>
      <c r="K269" s="554"/>
      <c r="L269" s="554"/>
      <c r="M269" s="554"/>
      <c r="N269" s="554"/>
      <c r="O269" s="554"/>
      <c r="P269" s="554"/>
      <c r="Q269" s="554"/>
      <c r="R269" s="554"/>
      <c r="S269" s="554"/>
      <c r="T269" s="554"/>
      <c r="U269" s="554"/>
      <c r="V269" s="554"/>
      <c r="W269" s="554"/>
      <c r="X269" s="554"/>
      <c r="Y269" s="554"/>
      <c r="Z269" s="554"/>
      <c r="AA269" s="554"/>
      <c r="AB269" s="554"/>
      <c r="AC269" s="554"/>
      <c r="AD269" s="554"/>
      <c r="AF269" s="554"/>
      <c r="AG269" s="554"/>
    </row>
    <row r="270" spans="2:33" x14ac:dyDescent="0.25">
      <c r="B270" s="151"/>
      <c r="C270" s="143"/>
      <c r="D270" s="143"/>
      <c r="E270" s="554"/>
      <c r="F270" s="554"/>
      <c r="G270" s="554"/>
      <c r="H270" s="554"/>
      <c r="I270" s="554"/>
      <c r="J270" s="554"/>
      <c r="K270" s="554"/>
      <c r="L270" s="554"/>
      <c r="M270" s="554"/>
      <c r="N270" s="554"/>
      <c r="O270" s="554"/>
      <c r="P270" s="554"/>
      <c r="Q270" s="554"/>
      <c r="R270" s="554"/>
      <c r="S270" s="554"/>
      <c r="T270" s="554"/>
      <c r="U270" s="554"/>
      <c r="V270" s="554"/>
      <c r="W270" s="554"/>
      <c r="X270" s="554"/>
      <c r="Y270" s="554"/>
      <c r="Z270" s="554"/>
      <c r="AA270" s="554"/>
      <c r="AB270" s="554"/>
      <c r="AC270" s="554"/>
      <c r="AD270" s="554"/>
      <c r="AF270" s="554"/>
      <c r="AG270" s="554"/>
    </row>
    <row r="271" spans="2:33" x14ac:dyDescent="0.25">
      <c r="B271" s="151"/>
      <c r="C271" s="143"/>
      <c r="D271" s="143"/>
      <c r="E271" s="554"/>
      <c r="F271" s="554"/>
      <c r="G271" s="554"/>
      <c r="H271" s="554"/>
      <c r="I271" s="554"/>
      <c r="J271" s="554"/>
      <c r="K271" s="554"/>
      <c r="L271" s="554"/>
      <c r="M271" s="554"/>
      <c r="N271" s="554"/>
      <c r="O271" s="554"/>
      <c r="P271" s="554"/>
      <c r="Q271" s="554"/>
      <c r="R271" s="554"/>
      <c r="S271" s="554"/>
      <c r="T271" s="554"/>
      <c r="U271" s="554"/>
      <c r="V271" s="554"/>
      <c r="W271" s="554"/>
      <c r="X271" s="554"/>
      <c r="Y271" s="554"/>
      <c r="Z271" s="554"/>
      <c r="AA271" s="554"/>
      <c r="AB271" s="554"/>
      <c r="AC271" s="554"/>
      <c r="AD271" s="554"/>
      <c r="AF271" s="554"/>
      <c r="AG271" s="554"/>
    </row>
    <row r="272" spans="2:33" x14ac:dyDescent="0.25">
      <c r="B272" s="151"/>
      <c r="C272" s="143"/>
      <c r="D272" s="143"/>
      <c r="E272" s="554"/>
      <c r="F272" s="554"/>
      <c r="G272" s="554"/>
      <c r="H272" s="554"/>
      <c r="I272" s="554"/>
      <c r="J272" s="554"/>
      <c r="K272" s="554"/>
      <c r="L272" s="554"/>
      <c r="M272" s="554"/>
      <c r="N272" s="554"/>
      <c r="O272" s="554"/>
      <c r="P272" s="554"/>
      <c r="Q272" s="554"/>
      <c r="R272" s="554"/>
      <c r="S272" s="554"/>
      <c r="T272" s="554"/>
      <c r="U272" s="554"/>
      <c r="V272" s="554"/>
      <c r="W272" s="554"/>
      <c r="X272" s="554"/>
      <c r="Y272" s="554"/>
      <c r="Z272" s="554"/>
      <c r="AA272" s="554"/>
      <c r="AB272" s="554"/>
      <c r="AC272" s="554"/>
      <c r="AD272" s="554"/>
      <c r="AF272" s="554"/>
      <c r="AG272" s="554"/>
    </row>
    <row r="273" spans="2:33" x14ac:dyDescent="0.25">
      <c r="B273" s="151"/>
      <c r="C273" s="143"/>
      <c r="D273" s="143"/>
      <c r="E273" s="554"/>
      <c r="F273" s="554"/>
      <c r="G273" s="554"/>
      <c r="H273" s="554"/>
      <c r="I273" s="554"/>
      <c r="J273" s="554"/>
      <c r="K273" s="554"/>
      <c r="L273" s="554"/>
      <c r="M273" s="554"/>
      <c r="N273" s="554"/>
      <c r="O273" s="554"/>
      <c r="P273" s="554"/>
      <c r="Q273" s="554"/>
      <c r="R273" s="554"/>
      <c r="S273" s="554"/>
      <c r="T273" s="554"/>
      <c r="U273" s="554"/>
      <c r="V273" s="554"/>
      <c r="W273" s="554"/>
      <c r="X273" s="554"/>
      <c r="Y273" s="554"/>
      <c r="Z273" s="554"/>
      <c r="AA273" s="554"/>
      <c r="AB273" s="554"/>
      <c r="AC273" s="554"/>
      <c r="AD273" s="554"/>
      <c r="AF273" s="554"/>
      <c r="AG273" s="554"/>
    </row>
    <row r="274" spans="2:33" x14ac:dyDescent="0.25">
      <c r="B274" s="151"/>
      <c r="C274" s="143"/>
      <c r="D274" s="143"/>
      <c r="E274" s="554"/>
      <c r="F274" s="554"/>
      <c r="G274" s="554"/>
      <c r="H274" s="554"/>
      <c r="I274" s="554"/>
      <c r="J274" s="554"/>
      <c r="K274" s="554"/>
      <c r="L274" s="554"/>
      <c r="M274" s="554"/>
      <c r="N274" s="554"/>
      <c r="O274" s="554"/>
      <c r="P274" s="554"/>
      <c r="Q274" s="554"/>
      <c r="R274" s="554"/>
      <c r="S274" s="554"/>
      <c r="T274" s="554"/>
      <c r="U274" s="554"/>
      <c r="V274" s="554"/>
      <c r="W274" s="554"/>
      <c r="X274" s="554"/>
      <c r="Y274" s="554"/>
      <c r="Z274" s="554"/>
      <c r="AA274" s="554"/>
      <c r="AB274" s="554"/>
      <c r="AC274" s="554"/>
      <c r="AD274" s="554"/>
      <c r="AF274" s="554"/>
      <c r="AG274" s="554"/>
    </row>
    <row r="275" spans="2:33" x14ac:dyDescent="0.25">
      <c r="B275" s="151"/>
      <c r="C275" s="143"/>
      <c r="D275" s="143"/>
      <c r="E275" s="554"/>
      <c r="F275" s="554"/>
      <c r="G275" s="554"/>
      <c r="H275" s="554"/>
      <c r="I275" s="554"/>
      <c r="J275" s="554"/>
      <c r="K275" s="554"/>
      <c r="L275" s="554"/>
      <c r="M275" s="554"/>
      <c r="N275" s="554"/>
      <c r="O275" s="554"/>
      <c r="P275" s="554"/>
      <c r="Q275" s="554"/>
      <c r="R275" s="554"/>
      <c r="S275" s="554"/>
      <c r="T275" s="554"/>
      <c r="U275" s="554"/>
      <c r="V275" s="554"/>
      <c r="W275" s="554"/>
      <c r="X275" s="554"/>
      <c r="Y275" s="554"/>
      <c r="Z275" s="554"/>
      <c r="AA275" s="554"/>
      <c r="AB275" s="554"/>
      <c r="AC275" s="554"/>
      <c r="AD275" s="554"/>
      <c r="AF275" s="554"/>
      <c r="AG275" s="554"/>
    </row>
    <row r="276" spans="2:33" x14ac:dyDescent="0.25">
      <c r="B276" s="151"/>
      <c r="C276" s="143"/>
      <c r="D276" s="143"/>
      <c r="E276" s="554"/>
      <c r="F276" s="554"/>
      <c r="G276" s="554"/>
      <c r="H276" s="554"/>
      <c r="I276" s="554"/>
      <c r="J276" s="554"/>
      <c r="K276" s="554"/>
      <c r="L276" s="554"/>
      <c r="M276" s="554"/>
      <c r="N276" s="554"/>
      <c r="O276" s="554"/>
      <c r="P276" s="554"/>
      <c r="Q276" s="554"/>
      <c r="R276" s="554"/>
      <c r="S276" s="554"/>
      <c r="T276" s="554"/>
      <c r="U276" s="554"/>
      <c r="V276" s="554"/>
      <c r="W276" s="554"/>
      <c r="X276" s="554"/>
      <c r="Y276" s="554"/>
      <c r="Z276" s="554"/>
      <c r="AA276" s="554"/>
      <c r="AB276" s="554"/>
      <c r="AC276" s="554"/>
      <c r="AD276" s="554"/>
      <c r="AF276" s="554"/>
      <c r="AG276" s="554"/>
    </row>
    <row r="277" spans="2:33" x14ac:dyDescent="0.25">
      <c r="B277" s="151"/>
      <c r="C277" s="143"/>
      <c r="D277" s="143"/>
      <c r="E277" s="554"/>
      <c r="F277" s="554"/>
      <c r="G277" s="554"/>
      <c r="H277" s="554"/>
      <c r="I277" s="554"/>
      <c r="J277" s="554"/>
      <c r="K277" s="554"/>
      <c r="L277" s="554"/>
      <c r="M277" s="554"/>
      <c r="N277" s="554"/>
      <c r="O277" s="554"/>
      <c r="P277" s="554"/>
      <c r="Q277" s="554"/>
      <c r="R277" s="554"/>
      <c r="S277" s="554"/>
      <c r="T277" s="554"/>
      <c r="U277" s="554"/>
      <c r="V277" s="554"/>
      <c r="W277" s="554"/>
      <c r="X277" s="554"/>
      <c r="Y277" s="554"/>
      <c r="Z277" s="554"/>
      <c r="AA277" s="554"/>
      <c r="AB277" s="554"/>
      <c r="AC277" s="554"/>
      <c r="AD277" s="554"/>
      <c r="AF277" s="554"/>
      <c r="AG277" s="554"/>
    </row>
    <row r="278" spans="2:33" x14ac:dyDescent="0.25">
      <c r="B278" s="151"/>
      <c r="C278" s="143"/>
      <c r="D278" s="143"/>
      <c r="E278" s="554"/>
      <c r="F278" s="554"/>
      <c r="G278" s="554"/>
      <c r="H278" s="554"/>
      <c r="I278" s="554"/>
      <c r="J278" s="554"/>
      <c r="K278" s="554"/>
      <c r="L278" s="554"/>
      <c r="M278" s="554"/>
      <c r="N278" s="554"/>
      <c r="O278" s="554"/>
      <c r="P278" s="554"/>
      <c r="Q278" s="554"/>
      <c r="R278" s="554"/>
      <c r="S278" s="554"/>
      <c r="T278" s="554"/>
      <c r="U278" s="554"/>
      <c r="V278" s="554"/>
      <c r="W278" s="554"/>
      <c r="X278" s="554"/>
      <c r="Y278" s="554"/>
      <c r="Z278" s="554"/>
      <c r="AA278" s="554"/>
      <c r="AB278" s="554"/>
      <c r="AC278" s="554"/>
      <c r="AD278" s="554"/>
      <c r="AF278" s="554"/>
      <c r="AG278" s="554"/>
    </row>
    <row r="279" spans="2:33" x14ac:dyDescent="0.25">
      <c r="B279" s="151"/>
      <c r="C279" s="143"/>
      <c r="D279" s="143"/>
      <c r="E279" s="554"/>
      <c r="F279" s="554"/>
      <c r="G279" s="554"/>
      <c r="H279" s="554"/>
      <c r="I279" s="554"/>
      <c r="J279" s="554"/>
      <c r="K279" s="554"/>
      <c r="L279" s="554"/>
      <c r="M279" s="554"/>
      <c r="N279" s="554"/>
      <c r="O279" s="554"/>
      <c r="P279" s="554"/>
      <c r="Q279" s="554"/>
      <c r="R279" s="554"/>
      <c r="S279" s="554"/>
      <c r="T279" s="554"/>
      <c r="U279" s="554"/>
      <c r="V279" s="554"/>
      <c r="W279" s="554"/>
      <c r="X279" s="554"/>
      <c r="Y279" s="554"/>
      <c r="Z279" s="554"/>
      <c r="AA279" s="554"/>
      <c r="AB279" s="554"/>
      <c r="AC279" s="554"/>
      <c r="AD279" s="554"/>
      <c r="AF279" s="554"/>
      <c r="AG279" s="554"/>
    </row>
    <row r="280" spans="2:33" x14ac:dyDescent="0.25">
      <c r="B280" s="151"/>
      <c r="C280" s="143"/>
      <c r="D280" s="143"/>
      <c r="E280" s="554"/>
      <c r="F280" s="554"/>
      <c r="G280" s="554"/>
      <c r="H280" s="554"/>
      <c r="I280" s="554"/>
      <c r="J280" s="554"/>
      <c r="K280" s="554"/>
      <c r="L280" s="554"/>
      <c r="M280" s="554"/>
      <c r="N280" s="554"/>
      <c r="O280" s="554"/>
      <c r="P280" s="554"/>
      <c r="Q280" s="554"/>
      <c r="R280" s="554"/>
      <c r="S280" s="554"/>
      <c r="T280" s="554"/>
      <c r="U280" s="554"/>
      <c r="V280" s="554"/>
      <c r="W280" s="554"/>
      <c r="X280" s="554"/>
      <c r="Y280" s="554"/>
      <c r="Z280" s="554"/>
      <c r="AA280" s="554"/>
      <c r="AB280" s="554"/>
      <c r="AC280" s="554"/>
      <c r="AD280" s="554"/>
      <c r="AF280" s="554"/>
      <c r="AG280" s="554"/>
    </row>
    <row r="281" spans="2:33" x14ac:dyDescent="0.25">
      <c r="B281" s="151"/>
      <c r="C281" s="143"/>
      <c r="D281" s="143"/>
      <c r="E281" s="554"/>
      <c r="F281" s="554"/>
      <c r="G281" s="554"/>
      <c r="H281" s="554"/>
      <c r="I281" s="554"/>
      <c r="J281" s="554"/>
      <c r="K281" s="554"/>
      <c r="L281" s="554"/>
      <c r="M281" s="554"/>
      <c r="N281" s="554"/>
      <c r="O281" s="554"/>
      <c r="P281" s="554"/>
      <c r="Q281" s="554"/>
      <c r="R281" s="554"/>
      <c r="S281" s="554"/>
      <c r="T281" s="554"/>
      <c r="U281" s="554"/>
      <c r="V281" s="554"/>
      <c r="W281" s="554"/>
      <c r="X281" s="554"/>
      <c r="Y281" s="554"/>
      <c r="Z281" s="554"/>
      <c r="AA281" s="554"/>
      <c r="AB281" s="554"/>
      <c r="AC281" s="554"/>
      <c r="AD281" s="554"/>
      <c r="AF281" s="554"/>
      <c r="AG281" s="554"/>
    </row>
    <row r="282" spans="2:33" x14ac:dyDescent="0.25">
      <c r="B282" s="151"/>
      <c r="C282" s="143"/>
      <c r="D282" s="143"/>
      <c r="E282" s="554"/>
      <c r="F282" s="554"/>
      <c r="G282" s="554"/>
      <c r="H282" s="554"/>
      <c r="I282" s="554"/>
      <c r="J282" s="554"/>
      <c r="K282" s="554"/>
      <c r="L282" s="554"/>
      <c r="M282" s="554"/>
      <c r="N282" s="554"/>
      <c r="O282" s="554"/>
      <c r="P282" s="554"/>
      <c r="Q282" s="554"/>
      <c r="R282" s="554"/>
      <c r="S282" s="554"/>
      <c r="T282" s="554"/>
      <c r="U282" s="554"/>
      <c r="V282" s="554"/>
      <c r="W282" s="554"/>
      <c r="X282" s="554"/>
      <c r="Y282" s="554"/>
      <c r="Z282" s="554"/>
      <c r="AA282" s="554"/>
      <c r="AB282" s="554"/>
      <c r="AC282" s="554"/>
      <c r="AD282" s="554"/>
      <c r="AF282" s="554"/>
      <c r="AG282" s="554"/>
    </row>
    <row r="283" spans="2:33" x14ac:dyDescent="0.25">
      <c r="B283" s="151"/>
      <c r="C283" s="143"/>
      <c r="D283" s="143"/>
      <c r="E283" s="554"/>
      <c r="F283" s="554"/>
      <c r="G283" s="554"/>
      <c r="H283" s="554"/>
      <c r="I283" s="554"/>
      <c r="J283" s="554"/>
      <c r="K283" s="554"/>
      <c r="L283" s="554"/>
      <c r="M283" s="554"/>
      <c r="N283" s="554"/>
      <c r="O283" s="554"/>
      <c r="P283" s="554"/>
      <c r="Q283" s="554"/>
      <c r="R283" s="554"/>
      <c r="S283" s="554"/>
      <c r="T283" s="554"/>
      <c r="U283" s="554"/>
      <c r="V283" s="554"/>
      <c r="W283" s="554"/>
      <c r="X283" s="554"/>
      <c r="Y283" s="554"/>
      <c r="Z283" s="554"/>
      <c r="AA283" s="554"/>
      <c r="AB283" s="554"/>
      <c r="AC283" s="554"/>
      <c r="AD283" s="554"/>
      <c r="AF283" s="554"/>
      <c r="AG283" s="554"/>
    </row>
    <row r="284" spans="2:33" x14ac:dyDescent="0.25">
      <c r="B284" s="151"/>
      <c r="C284" s="143"/>
      <c r="D284" s="143"/>
      <c r="E284" s="554"/>
      <c r="F284" s="554"/>
      <c r="G284" s="554"/>
      <c r="H284" s="554"/>
      <c r="I284" s="554"/>
      <c r="J284" s="554"/>
      <c r="K284" s="554"/>
      <c r="L284" s="554"/>
      <c r="M284" s="554"/>
      <c r="N284" s="554"/>
      <c r="O284" s="554"/>
      <c r="P284" s="554"/>
      <c r="Q284" s="554"/>
      <c r="R284" s="554"/>
      <c r="S284" s="554"/>
      <c r="T284" s="554"/>
      <c r="U284" s="554"/>
      <c r="V284" s="554"/>
      <c r="W284" s="554"/>
      <c r="X284" s="554"/>
      <c r="Y284" s="554"/>
      <c r="Z284" s="554"/>
      <c r="AA284" s="554"/>
      <c r="AB284" s="554"/>
      <c r="AC284" s="554"/>
      <c r="AD284" s="554"/>
      <c r="AF284" s="554"/>
      <c r="AG284" s="554"/>
    </row>
    <row r="285" spans="2:33" x14ac:dyDescent="0.25">
      <c r="B285" s="151"/>
      <c r="C285" s="143"/>
      <c r="D285" s="143"/>
      <c r="E285" s="554"/>
      <c r="F285" s="554"/>
      <c r="G285" s="554"/>
      <c r="H285" s="554"/>
      <c r="I285" s="554"/>
      <c r="J285" s="554"/>
      <c r="K285" s="554"/>
      <c r="L285" s="554"/>
      <c r="M285" s="554"/>
      <c r="N285" s="554"/>
      <c r="O285" s="554"/>
      <c r="P285" s="554"/>
      <c r="Q285" s="554"/>
      <c r="R285" s="554"/>
      <c r="S285" s="554"/>
      <c r="T285" s="554"/>
      <c r="U285" s="554"/>
      <c r="V285" s="554"/>
      <c r="W285" s="554"/>
      <c r="X285" s="554"/>
      <c r="Y285" s="554"/>
      <c r="Z285" s="554"/>
      <c r="AA285" s="554"/>
      <c r="AB285" s="554"/>
      <c r="AC285" s="554"/>
      <c r="AD285" s="554"/>
      <c r="AF285" s="554"/>
      <c r="AG285" s="554"/>
    </row>
    <row r="286" spans="2:33" x14ac:dyDescent="0.25">
      <c r="B286" s="151"/>
      <c r="C286" s="143"/>
      <c r="D286" s="143"/>
      <c r="E286" s="554"/>
      <c r="F286" s="554"/>
      <c r="G286" s="554"/>
      <c r="H286" s="554"/>
      <c r="I286" s="554"/>
      <c r="J286" s="554"/>
      <c r="K286" s="554"/>
      <c r="L286" s="554"/>
      <c r="M286" s="554"/>
      <c r="N286" s="554"/>
      <c r="O286" s="554"/>
      <c r="P286" s="554"/>
      <c r="Q286" s="554"/>
      <c r="R286" s="554"/>
      <c r="S286" s="554"/>
      <c r="T286" s="554"/>
      <c r="U286" s="554"/>
      <c r="V286" s="554"/>
      <c r="W286" s="554"/>
      <c r="X286" s="554"/>
      <c r="Y286" s="554"/>
      <c r="Z286" s="554"/>
      <c r="AA286" s="554"/>
      <c r="AB286" s="554"/>
      <c r="AC286" s="554"/>
      <c r="AD286" s="554"/>
      <c r="AF286" s="554"/>
      <c r="AG286" s="554"/>
    </row>
    <row r="287" spans="2:33" x14ac:dyDescent="0.25">
      <c r="B287" s="151"/>
      <c r="C287" s="143"/>
      <c r="D287" s="143"/>
      <c r="E287" s="554"/>
      <c r="F287" s="554"/>
      <c r="G287" s="554"/>
      <c r="H287" s="554"/>
      <c r="I287" s="554"/>
      <c r="J287" s="554"/>
      <c r="K287" s="554"/>
      <c r="L287" s="554"/>
      <c r="M287" s="554"/>
      <c r="N287" s="554"/>
      <c r="O287" s="554"/>
      <c r="P287" s="554"/>
      <c r="Q287" s="554"/>
      <c r="R287" s="554"/>
      <c r="S287" s="554"/>
      <c r="T287" s="554"/>
      <c r="U287" s="554"/>
      <c r="V287" s="554"/>
      <c r="W287" s="554"/>
      <c r="X287" s="554"/>
      <c r="Y287" s="554"/>
      <c r="Z287" s="554"/>
      <c r="AA287" s="554"/>
      <c r="AB287" s="554"/>
      <c r="AC287" s="554"/>
      <c r="AD287" s="554"/>
      <c r="AF287" s="554"/>
      <c r="AG287" s="554"/>
    </row>
    <row r="288" spans="2:33" x14ac:dyDescent="0.25">
      <c r="B288" s="151"/>
      <c r="C288" s="143"/>
      <c r="D288" s="143"/>
      <c r="E288" s="554"/>
      <c r="F288" s="554"/>
      <c r="G288" s="554"/>
      <c r="H288" s="554"/>
      <c r="I288" s="554"/>
      <c r="J288" s="554"/>
      <c r="K288" s="554"/>
      <c r="L288" s="554"/>
      <c r="M288" s="554"/>
      <c r="N288" s="554"/>
      <c r="O288" s="554"/>
      <c r="P288" s="554"/>
      <c r="Q288" s="554"/>
      <c r="R288" s="554"/>
      <c r="S288" s="554"/>
      <c r="T288" s="554"/>
      <c r="U288" s="554"/>
      <c r="V288" s="554"/>
      <c r="W288" s="554"/>
      <c r="X288" s="554"/>
      <c r="Y288" s="554"/>
      <c r="Z288" s="554"/>
      <c r="AA288" s="554"/>
      <c r="AB288" s="554"/>
      <c r="AC288" s="554"/>
      <c r="AD288" s="554"/>
      <c r="AF288" s="554"/>
      <c r="AG288" s="554"/>
    </row>
    <row r="289" spans="2:33" x14ac:dyDescent="0.25">
      <c r="B289" s="151"/>
      <c r="C289" s="143"/>
      <c r="D289" s="143"/>
      <c r="E289" s="554"/>
      <c r="F289" s="554"/>
      <c r="G289" s="554"/>
      <c r="H289" s="554"/>
      <c r="I289" s="554"/>
      <c r="J289" s="554"/>
      <c r="K289" s="554"/>
      <c r="L289" s="554"/>
      <c r="M289" s="554"/>
      <c r="N289" s="554"/>
      <c r="O289" s="554"/>
      <c r="P289" s="554"/>
      <c r="Q289" s="554"/>
      <c r="R289" s="554"/>
      <c r="S289" s="554"/>
      <c r="T289" s="554"/>
      <c r="U289" s="554"/>
      <c r="V289" s="554"/>
      <c r="W289" s="554"/>
      <c r="X289" s="554"/>
      <c r="Y289" s="554"/>
      <c r="Z289" s="554"/>
      <c r="AA289" s="554"/>
      <c r="AB289" s="554"/>
      <c r="AC289" s="554"/>
      <c r="AD289" s="554"/>
      <c r="AF289" s="554"/>
      <c r="AG289" s="554"/>
    </row>
    <row r="290" spans="2:33" x14ac:dyDescent="0.25">
      <c r="B290" s="151"/>
      <c r="C290" s="143"/>
      <c r="D290" s="143"/>
      <c r="E290" s="554"/>
      <c r="F290" s="554"/>
      <c r="G290" s="554"/>
      <c r="H290" s="554"/>
      <c r="I290" s="554"/>
      <c r="J290" s="554"/>
      <c r="K290" s="554"/>
      <c r="L290" s="554"/>
      <c r="M290" s="554"/>
      <c r="N290" s="554"/>
      <c r="O290" s="554"/>
      <c r="P290" s="554"/>
      <c r="Q290" s="554"/>
      <c r="R290" s="554"/>
      <c r="S290" s="554"/>
      <c r="T290" s="554"/>
      <c r="U290" s="554"/>
      <c r="V290" s="554"/>
      <c r="W290" s="554"/>
      <c r="X290" s="554"/>
      <c r="Y290" s="554"/>
      <c r="Z290" s="554"/>
      <c r="AA290" s="554"/>
      <c r="AB290" s="554"/>
      <c r="AC290" s="554"/>
      <c r="AD290" s="554"/>
      <c r="AF290" s="554"/>
      <c r="AG290" s="554"/>
    </row>
    <row r="291" spans="2:33" x14ac:dyDescent="0.25">
      <c r="B291" s="151"/>
      <c r="C291" s="143"/>
      <c r="D291" s="143"/>
      <c r="E291" s="554"/>
      <c r="F291" s="554"/>
      <c r="G291" s="554"/>
      <c r="H291" s="554"/>
      <c r="I291" s="554"/>
      <c r="J291" s="554"/>
      <c r="K291" s="554"/>
      <c r="L291" s="554"/>
      <c r="M291" s="554"/>
      <c r="N291" s="554"/>
      <c r="O291" s="554"/>
      <c r="P291" s="554"/>
      <c r="Q291" s="554"/>
      <c r="R291" s="554"/>
      <c r="S291" s="554"/>
      <c r="T291" s="554"/>
      <c r="U291" s="554"/>
      <c r="V291" s="554"/>
      <c r="W291" s="554"/>
      <c r="X291" s="554"/>
      <c r="Y291" s="554"/>
      <c r="Z291" s="554"/>
      <c r="AA291" s="554"/>
      <c r="AB291" s="554"/>
      <c r="AC291" s="554"/>
      <c r="AD291" s="554"/>
      <c r="AF291" s="554"/>
      <c r="AG291" s="554"/>
    </row>
    <row r="292" spans="2:33" x14ac:dyDescent="0.25">
      <c r="B292" s="151"/>
      <c r="C292" s="143"/>
      <c r="D292" s="143"/>
      <c r="E292" s="554"/>
      <c r="F292" s="554"/>
      <c r="G292" s="554"/>
      <c r="H292" s="554"/>
      <c r="I292" s="554"/>
      <c r="J292" s="554"/>
      <c r="K292" s="554"/>
      <c r="L292" s="554"/>
      <c r="M292" s="554"/>
      <c r="N292" s="554"/>
      <c r="O292" s="554"/>
      <c r="P292" s="554"/>
      <c r="Q292" s="554"/>
      <c r="R292" s="554"/>
      <c r="S292" s="554"/>
      <c r="T292" s="554"/>
      <c r="U292" s="554"/>
      <c r="V292" s="554"/>
      <c r="W292" s="554"/>
      <c r="X292" s="554"/>
      <c r="Y292" s="554"/>
      <c r="Z292" s="554"/>
      <c r="AA292" s="554"/>
      <c r="AB292" s="554"/>
      <c r="AC292" s="554"/>
      <c r="AD292" s="554"/>
      <c r="AF292" s="554"/>
      <c r="AG292" s="554"/>
    </row>
    <row r="293" spans="2:33" x14ac:dyDescent="0.25">
      <c r="B293" s="151"/>
      <c r="C293" s="143"/>
      <c r="D293" s="143"/>
      <c r="E293" s="554"/>
      <c r="F293" s="554"/>
      <c r="G293" s="554"/>
      <c r="H293" s="554"/>
      <c r="I293" s="554"/>
      <c r="J293" s="554"/>
      <c r="K293" s="554"/>
      <c r="L293" s="554"/>
      <c r="M293" s="554"/>
      <c r="N293" s="554"/>
      <c r="O293" s="554"/>
      <c r="P293" s="554"/>
      <c r="Q293" s="554"/>
      <c r="R293" s="554"/>
      <c r="S293" s="554"/>
      <c r="T293" s="554"/>
      <c r="U293" s="554"/>
      <c r="V293" s="554"/>
      <c r="W293" s="554"/>
      <c r="X293" s="554"/>
      <c r="Y293" s="554"/>
      <c r="Z293" s="554"/>
      <c r="AA293" s="554"/>
      <c r="AB293" s="554"/>
      <c r="AC293" s="554"/>
      <c r="AD293" s="554"/>
      <c r="AF293" s="554"/>
      <c r="AG293" s="554"/>
    </row>
    <row r="294" spans="2:33" x14ac:dyDescent="0.25">
      <c r="B294" s="151"/>
      <c r="C294" s="143"/>
      <c r="D294" s="143"/>
      <c r="E294" s="554"/>
      <c r="F294" s="554"/>
      <c r="G294" s="554"/>
      <c r="H294" s="554"/>
      <c r="I294" s="554"/>
      <c r="J294" s="554"/>
      <c r="K294" s="554"/>
      <c r="L294" s="554"/>
      <c r="M294" s="554"/>
      <c r="N294" s="554"/>
      <c r="O294" s="554"/>
      <c r="P294" s="554"/>
      <c r="Q294" s="554"/>
      <c r="R294" s="554"/>
      <c r="S294" s="554"/>
      <c r="T294" s="554"/>
      <c r="U294" s="554"/>
      <c r="V294" s="554"/>
      <c r="W294" s="554"/>
      <c r="X294" s="554"/>
      <c r="Y294" s="554"/>
      <c r="Z294" s="554"/>
      <c r="AA294" s="554"/>
      <c r="AB294" s="554"/>
      <c r="AC294" s="554"/>
      <c r="AD294" s="554"/>
      <c r="AF294" s="554"/>
      <c r="AG294" s="554"/>
    </row>
    <row r="295" spans="2:33" x14ac:dyDescent="0.25">
      <c r="B295" s="151"/>
      <c r="C295" s="143"/>
      <c r="D295" s="143"/>
      <c r="E295" s="554"/>
      <c r="F295" s="554"/>
      <c r="G295" s="554"/>
      <c r="H295" s="554"/>
      <c r="I295" s="554"/>
      <c r="J295" s="554"/>
      <c r="K295" s="554"/>
      <c r="L295" s="554"/>
      <c r="M295" s="554"/>
      <c r="N295" s="554"/>
      <c r="O295" s="554"/>
      <c r="P295" s="554"/>
      <c r="Q295" s="554"/>
      <c r="R295" s="554"/>
      <c r="S295" s="554"/>
      <c r="T295" s="554"/>
      <c r="U295" s="554"/>
      <c r="V295" s="554"/>
      <c r="W295" s="554"/>
      <c r="X295" s="554"/>
      <c r="Y295" s="554"/>
      <c r="Z295" s="554"/>
      <c r="AA295" s="554"/>
      <c r="AB295" s="554"/>
      <c r="AC295" s="554"/>
      <c r="AD295" s="554"/>
      <c r="AF295" s="554"/>
      <c r="AG295" s="554"/>
    </row>
    <row r="296" spans="2:33" x14ac:dyDescent="0.25">
      <c r="B296" s="151"/>
      <c r="C296" s="143"/>
      <c r="D296" s="143"/>
      <c r="E296" s="554"/>
      <c r="F296" s="554"/>
      <c r="G296" s="554"/>
      <c r="H296" s="554"/>
      <c r="I296" s="554"/>
      <c r="J296" s="554"/>
      <c r="K296" s="554"/>
      <c r="L296" s="554"/>
      <c r="M296" s="554"/>
      <c r="N296" s="554"/>
      <c r="O296" s="554"/>
      <c r="P296" s="554"/>
      <c r="Q296" s="554"/>
      <c r="R296" s="554"/>
      <c r="S296" s="554"/>
      <c r="T296" s="554"/>
      <c r="U296" s="554"/>
      <c r="V296" s="554"/>
      <c r="W296" s="554"/>
      <c r="X296" s="554"/>
      <c r="Y296" s="554"/>
      <c r="Z296" s="554"/>
      <c r="AA296" s="554"/>
      <c r="AB296" s="554"/>
      <c r="AC296" s="554"/>
      <c r="AD296" s="554"/>
      <c r="AF296" s="554"/>
      <c r="AG296" s="554"/>
    </row>
    <row r="297" spans="2:33" x14ac:dyDescent="0.25">
      <c r="B297" s="151"/>
      <c r="C297" s="143"/>
      <c r="D297" s="143"/>
      <c r="E297" s="554"/>
      <c r="F297" s="554"/>
      <c r="G297" s="554"/>
      <c r="H297" s="554"/>
      <c r="I297" s="554"/>
      <c r="J297" s="554"/>
      <c r="K297" s="554"/>
      <c r="L297" s="554"/>
      <c r="M297" s="554"/>
      <c r="N297" s="554"/>
      <c r="O297" s="554"/>
      <c r="P297" s="554"/>
      <c r="Q297" s="554"/>
      <c r="R297" s="554"/>
      <c r="S297" s="554"/>
      <c r="T297" s="554"/>
      <c r="U297" s="554"/>
      <c r="V297" s="554"/>
      <c r="W297" s="554"/>
      <c r="X297" s="554"/>
      <c r="Y297" s="554"/>
      <c r="Z297" s="554"/>
      <c r="AA297" s="554"/>
      <c r="AB297" s="554"/>
      <c r="AC297" s="554"/>
      <c r="AD297" s="554"/>
      <c r="AF297" s="554"/>
      <c r="AG297" s="554"/>
    </row>
    <row r="298" spans="2:33" x14ac:dyDescent="0.25">
      <c r="B298" s="151"/>
      <c r="C298" s="143"/>
      <c r="D298" s="143"/>
      <c r="E298" s="554"/>
      <c r="F298" s="554"/>
      <c r="G298" s="554"/>
      <c r="H298" s="554"/>
      <c r="I298" s="554"/>
      <c r="J298" s="554"/>
      <c r="K298" s="554"/>
      <c r="L298" s="554"/>
      <c r="M298" s="554"/>
      <c r="N298" s="554"/>
      <c r="O298" s="554"/>
      <c r="P298" s="554"/>
      <c r="Q298" s="554"/>
      <c r="R298" s="554"/>
      <c r="S298" s="554"/>
      <c r="T298" s="554"/>
      <c r="U298" s="554"/>
      <c r="V298" s="554"/>
      <c r="W298" s="554"/>
      <c r="X298" s="554"/>
      <c r="Y298" s="554"/>
      <c r="Z298" s="554"/>
      <c r="AA298" s="554"/>
      <c r="AB298" s="554"/>
      <c r="AC298" s="554"/>
      <c r="AD298" s="554"/>
      <c r="AF298" s="554"/>
      <c r="AG298" s="554"/>
    </row>
    <row r="299" spans="2:33" x14ac:dyDescent="0.25">
      <c r="B299" s="151"/>
      <c r="C299" s="143"/>
      <c r="D299" s="143"/>
      <c r="E299" s="554"/>
      <c r="F299" s="554"/>
      <c r="G299" s="554"/>
      <c r="H299" s="554"/>
      <c r="I299" s="554"/>
      <c r="J299" s="554"/>
      <c r="K299" s="554"/>
      <c r="L299" s="554"/>
      <c r="M299" s="554"/>
      <c r="N299" s="554"/>
      <c r="O299" s="554"/>
      <c r="P299" s="554"/>
      <c r="Q299" s="554"/>
      <c r="R299" s="554"/>
      <c r="S299" s="554"/>
      <c r="T299" s="554"/>
      <c r="U299" s="554"/>
      <c r="V299" s="554"/>
      <c r="W299" s="554"/>
      <c r="X299" s="554"/>
      <c r="Y299" s="554"/>
      <c r="Z299" s="554"/>
      <c r="AA299" s="554"/>
      <c r="AB299" s="554"/>
      <c r="AC299" s="554"/>
      <c r="AD299" s="554"/>
      <c r="AF299" s="554"/>
      <c r="AG299" s="554"/>
    </row>
    <row r="300" spans="2:33" x14ac:dyDescent="0.25">
      <c r="B300" s="151"/>
      <c r="C300" s="143"/>
      <c r="D300" s="143"/>
      <c r="E300" s="554"/>
      <c r="F300" s="554"/>
      <c r="G300" s="554"/>
      <c r="H300" s="554"/>
      <c r="I300" s="554"/>
      <c r="J300" s="554"/>
      <c r="K300" s="554"/>
      <c r="L300" s="554"/>
      <c r="M300" s="554"/>
      <c r="N300" s="554"/>
      <c r="O300" s="554"/>
      <c r="P300" s="554"/>
      <c r="Q300" s="554"/>
      <c r="R300" s="554"/>
      <c r="S300" s="554"/>
      <c r="T300" s="554"/>
      <c r="U300" s="554"/>
      <c r="V300" s="554"/>
      <c r="W300" s="554"/>
      <c r="X300" s="554"/>
      <c r="Y300" s="554"/>
      <c r="Z300" s="554"/>
      <c r="AA300" s="554"/>
      <c r="AB300" s="554"/>
      <c r="AC300" s="554"/>
      <c r="AD300" s="554"/>
      <c r="AF300" s="554"/>
      <c r="AG300" s="554"/>
    </row>
    <row r="301" spans="2:33" x14ac:dyDescent="0.25">
      <c r="B301" s="151"/>
      <c r="C301" s="143"/>
      <c r="D301" s="143"/>
      <c r="E301" s="554"/>
      <c r="F301" s="554"/>
      <c r="G301" s="554"/>
      <c r="H301" s="554"/>
      <c r="I301" s="554"/>
      <c r="J301" s="554"/>
      <c r="K301" s="554"/>
      <c r="L301" s="554"/>
      <c r="M301" s="554"/>
      <c r="N301" s="554"/>
      <c r="O301" s="554"/>
      <c r="P301" s="554"/>
      <c r="Q301" s="554"/>
      <c r="R301" s="554"/>
      <c r="S301" s="554"/>
      <c r="T301" s="554"/>
      <c r="U301" s="554"/>
      <c r="V301" s="554"/>
      <c r="W301" s="554"/>
      <c r="X301" s="554"/>
      <c r="Y301" s="554"/>
      <c r="Z301" s="554"/>
      <c r="AA301" s="554"/>
      <c r="AB301" s="554"/>
      <c r="AC301" s="554"/>
      <c r="AD301" s="554"/>
      <c r="AF301" s="554"/>
      <c r="AG301" s="554"/>
    </row>
    <row r="302" spans="2:33" x14ac:dyDescent="0.25">
      <c r="B302" s="151"/>
      <c r="C302" s="143"/>
      <c r="D302" s="143"/>
      <c r="E302" s="554"/>
      <c r="F302" s="554"/>
      <c r="G302" s="554"/>
      <c r="H302" s="554"/>
      <c r="I302" s="554"/>
      <c r="J302" s="554"/>
      <c r="K302" s="554"/>
      <c r="L302" s="554"/>
      <c r="M302" s="554"/>
      <c r="N302" s="554"/>
      <c r="O302" s="554"/>
      <c r="P302" s="554"/>
      <c r="Q302" s="554"/>
      <c r="R302" s="554"/>
      <c r="S302" s="554"/>
      <c r="T302" s="554"/>
      <c r="U302" s="554"/>
      <c r="V302" s="554"/>
      <c r="W302" s="554"/>
      <c r="X302" s="554"/>
      <c r="Y302" s="554"/>
      <c r="Z302" s="554"/>
      <c r="AA302" s="554"/>
      <c r="AB302" s="554"/>
      <c r="AC302" s="554"/>
      <c r="AD302" s="554"/>
      <c r="AF302" s="554"/>
      <c r="AG302" s="554"/>
    </row>
    <row r="303" spans="2:33" x14ac:dyDescent="0.25">
      <c r="B303" s="151"/>
      <c r="C303" s="143"/>
      <c r="D303" s="143"/>
      <c r="E303" s="554"/>
      <c r="F303" s="554"/>
      <c r="G303" s="554"/>
      <c r="H303" s="554"/>
      <c r="I303" s="554"/>
      <c r="J303" s="554"/>
      <c r="K303" s="554"/>
      <c r="L303" s="554"/>
      <c r="M303" s="554"/>
      <c r="N303" s="554"/>
      <c r="O303" s="554"/>
      <c r="P303" s="554"/>
      <c r="Q303" s="554"/>
      <c r="R303" s="554"/>
      <c r="S303" s="554"/>
      <c r="T303" s="554"/>
      <c r="U303" s="554"/>
      <c r="V303" s="554"/>
      <c r="W303" s="554"/>
      <c r="X303" s="554"/>
      <c r="Y303" s="554"/>
      <c r="Z303" s="554"/>
      <c r="AA303" s="554"/>
      <c r="AB303" s="554"/>
      <c r="AC303" s="554"/>
      <c r="AD303" s="554"/>
      <c r="AF303" s="554"/>
      <c r="AG303" s="554"/>
    </row>
    <row r="304" spans="2:33" x14ac:dyDescent="0.25">
      <c r="B304" s="151"/>
      <c r="C304" s="143"/>
      <c r="D304" s="143"/>
      <c r="E304" s="554"/>
      <c r="F304" s="554"/>
      <c r="G304" s="554"/>
      <c r="H304" s="554"/>
      <c r="I304" s="554"/>
      <c r="J304" s="554"/>
      <c r="K304" s="554"/>
      <c r="L304" s="554"/>
      <c r="M304" s="554"/>
      <c r="N304" s="554"/>
      <c r="O304" s="554"/>
      <c r="P304" s="554"/>
      <c r="Q304" s="554"/>
      <c r="R304" s="554"/>
      <c r="S304" s="554"/>
      <c r="T304" s="554"/>
      <c r="U304" s="554"/>
      <c r="V304" s="554"/>
      <c r="W304" s="554"/>
      <c r="X304" s="554"/>
      <c r="Y304" s="554"/>
      <c r="Z304" s="554"/>
      <c r="AA304" s="554"/>
      <c r="AB304" s="554"/>
      <c r="AC304" s="554"/>
      <c r="AD304" s="554"/>
      <c r="AF304" s="554"/>
      <c r="AG304" s="554"/>
    </row>
    <row r="305" spans="2:33" x14ac:dyDescent="0.25">
      <c r="B305" s="151"/>
      <c r="C305" s="143"/>
      <c r="D305" s="143"/>
      <c r="E305" s="554"/>
      <c r="F305" s="554"/>
      <c r="G305" s="554"/>
      <c r="H305" s="554"/>
      <c r="I305" s="554"/>
      <c r="J305" s="554"/>
      <c r="K305" s="554"/>
      <c r="L305" s="554"/>
      <c r="M305" s="554"/>
      <c r="N305" s="554"/>
      <c r="O305" s="554"/>
      <c r="P305" s="554"/>
      <c r="Q305" s="554"/>
      <c r="R305" s="554"/>
      <c r="S305" s="554"/>
      <c r="T305" s="554"/>
      <c r="U305" s="554"/>
      <c r="V305" s="554"/>
      <c r="W305" s="554"/>
      <c r="X305" s="554"/>
      <c r="Y305" s="554"/>
      <c r="Z305" s="554"/>
      <c r="AA305" s="554"/>
      <c r="AB305" s="554"/>
      <c r="AC305" s="554"/>
      <c r="AD305" s="554"/>
      <c r="AF305" s="554"/>
      <c r="AG305" s="554"/>
    </row>
    <row r="306" spans="2:33" x14ac:dyDescent="0.25">
      <c r="B306" s="151"/>
      <c r="C306" s="143"/>
      <c r="D306" s="143"/>
      <c r="E306" s="554"/>
      <c r="F306" s="554"/>
      <c r="G306" s="554"/>
      <c r="H306" s="554"/>
      <c r="I306" s="554"/>
      <c r="J306" s="554"/>
      <c r="K306" s="554"/>
      <c r="L306" s="554"/>
      <c r="M306" s="554"/>
      <c r="N306" s="554"/>
      <c r="O306" s="554"/>
      <c r="P306" s="554"/>
      <c r="Q306" s="554"/>
      <c r="R306" s="554"/>
      <c r="S306" s="554"/>
      <c r="T306" s="554"/>
      <c r="U306" s="554"/>
      <c r="V306" s="554"/>
      <c r="W306" s="554"/>
      <c r="X306" s="554"/>
      <c r="Y306" s="554"/>
      <c r="Z306" s="554"/>
      <c r="AA306" s="554"/>
      <c r="AB306" s="554"/>
      <c r="AC306" s="554"/>
      <c r="AD306" s="554"/>
      <c r="AF306" s="554"/>
      <c r="AG306" s="554"/>
    </row>
    <row r="307" spans="2:33" x14ac:dyDescent="0.25">
      <c r="B307" s="151"/>
      <c r="C307" s="143"/>
      <c r="D307" s="143"/>
      <c r="E307" s="554"/>
      <c r="F307" s="554"/>
      <c r="G307" s="554"/>
      <c r="H307" s="554"/>
      <c r="I307" s="554"/>
      <c r="J307" s="554"/>
      <c r="K307" s="554"/>
      <c r="L307" s="554"/>
      <c r="M307" s="554"/>
      <c r="N307" s="554"/>
      <c r="O307" s="554"/>
      <c r="P307" s="554"/>
      <c r="Q307" s="554"/>
      <c r="R307" s="554"/>
      <c r="S307" s="554"/>
      <c r="T307" s="554"/>
      <c r="U307" s="554"/>
      <c r="V307" s="554"/>
      <c r="W307" s="554"/>
      <c r="X307" s="554"/>
      <c r="Y307" s="554"/>
      <c r="Z307" s="554"/>
      <c r="AA307" s="554"/>
      <c r="AB307" s="554"/>
      <c r="AC307" s="554"/>
      <c r="AD307" s="554"/>
      <c r="AF307" s="554"/>
      <c r="AG307" s="554"/>
    </row>
    <row r="308" spans="2:33" x14ac:dyDescent="0.25">
      <c r="B308" s="151"/>
      <c r="C308" s="143"/>
      <c r="D308" s="143"/>
      <c r="E308" s="554"/>
      <c r="F308" s="554"/>
      <c r="G308" s="554"/>
      <c r="H308" s="554"/>
      <c r="I308" s="554"/>
      <c r="J308" s="554"/>
      <c r="K308" s="554"/>
      <c r="L308" s="554"/>
      <c r="M308" s="554"/>
      <c r="N308" s="554"/>
      <c r="O308" s="554"/>
      <c r="P308" s="554"/>
      <c r="Q308" s="554"/>
      <c r="R308" s="554"/>
      <c r="S308" s="554"/>
      <c r="T308" s="554"/>
      <c r="U308" s="554"/>
      <c r="V308" s="554"/>
      <c r="W308" s="554"/>
      <c r="X308" s="554"/>
      <c r="Y308" s="554"/>
      <c r="Z308" s="554"/>
      <c r="AA308" s="554"/>
      <c r="AB308" s="554"/>
      <c r="AC308" s="554"/>
      <c r="AD308" s="554"/>
      <c r="AF308" s="554"/>
      <c r="AG308" s="554"/>
    </row>
    <row r="309" spans="2:33" x14ac:dyDescent="0.25">
      <c r="B309" s="151"/>
      <c r="C309" s="143"/>
      <c r="D309" s="143"/>
      <c r="E309" s="554"/>
      <c r="F309" s="554"/>
      <c r="G309" s="554"/>
      <c r="H309" s="554"/>
      <c r="I309" s="554"/>
      <c r="J309" s="554"/>
      <c r="K309" s="554"/>
      <c r="L309" s="554"/>
      <c r="M309" s="554"/>
      <c r="N309" s="554"/>
      <c r="O309" s="554"/>
      <c r="P309" s="554"/>
      <c r="Q309" s="554"/>
      <c r="R309" s="554"/>
      <c r="S309" s="554"/>
      <c r="T309" s="554"/>
      <c r="U309" s="554"/>
      <c r="V309" s="554"/>
      <c r="W309" s="554"/>
      <c r="X309" s="554"/>
      <c r="Y309" s="554"/>
      <c r="Z309" s="554"/>
      <c r="AA309" s="554"/>
      <c r="AB309" s="554"/>
      <c r="AC309" s="554"/>
      <c r="AD309" s="554"/>
      <c r="AF309" s="554"/>
      <c r="AG309" s="554"/>
    </row>
    <row r="310" spans="2:33" x14ac:dyDescent="0.25">
      <c r="B310" s="151"/>
      <c r="C310" s="143"/>
      <c r="D310" s="143"/>
      <c r="E310" s="554"/>
      <c r="F310" s="554"/>
      <c r="G310" s="554"/>
      <c r="H310" s="554"/>
      <c r="I310" s="554"/>
      <c r="J310" s="554"/>
      <c r="K310" s="554"/>
      <c r="L310" s="554"/>
      <c r="M310" s="554"/>
      <c r="N310" s="554"/>
      <c r="O310" s="554"/>
      <c r="P310" s="554"/>
      <c r="Q310" s="554"/>
      <c r="R310" s="554"/>
      <c r="S310" s="554"/>
      <c r="T310" s="554"/>
      <c r="U310" s="554"/>
      <c r="V310" s="554"/>
      <c r="W310" s="554"/>
      <c r="X310" s="554"/>
      <c r="Y310" s="554"/>
      <c r="Z310" s="554"/>
      <c r="AA310" s="554"/>
      <c r="AB310" s="554"/>
      <c r="AC310" s="554"/>
      <c r="AD310" s="554"/>
      <c r="AF310" s="554"/>
      <c r="AG310" s="554"/>
    </row>
    <row r="311" spans="2:33" x14ac:dyDescent="0.25">
      <c r="B311" s="151"/>
      <c r="C311" s="143"/>
      <c r="D311" s="143"/>
      <c r="E311" s="554"/>
      <c r="F311" s="554"/>
      <c r="G311" s="554"/>
      <c r="H311" s="554"/>
      <c r="I311" s="554"/>
      <c r="J311" s="554"/>
      <c r="K311" s="554"/>
      <c r="L311" s="554"/>
      <c r="M311" s="554"/>
      <c r="N311" s="554"/>
      <c r="O311" s="554"/>
      <c r="P311" s="554"/>
      <c r="Q311" s="554"/>
      <c r="R311" s="554"/>
      <c r="S311" s="554"/>
      <c r="T311" s="554"/>
      <c r="U311" s="554"/>
      <c r="V311" s="554"/>
      <c r="W311" s="554"/>
      <c r="X311" s="554"/>
      <c r="Y311" s="554"/>
      <c r="Z311" s="554"/>
      <c r="AA311" s="554"/>
      <c r="AB311" s="554"/>
      <c r="AC311" s="554"/>
      <c r="AD311" s="554"/>
      <c r="AF311" s="554"/>
      <c r="AG311" s="554"/>
    </row>
    <row r="312" spans="2:33" x14ac:dyDescent="0.25">
      <c r="B312" s="151"/>
      <c r="C312" s="143"/>
      <c r="D312" s="143"/>
      <c r="E312" s="554"/>
      <c r="F312" s="554"/>
      <c r="G312" s="554"/>
      <c r="H312" s="554"/>
      <c r="I312" s="554"/>
      <c r="J312" s="554"/>
      <c r="K312" s="554"/>
      <c r="L312" s="554"/>
      <c r="M312" s="554"/>
      <c r="N312" s="554"/>
      <c r="O312" s="554"/>
      <c r="P312" s="554"/>
      <c r="Q312" s="554"/>
      <c r="R312" s="554"/>
      <c r="S312" s="554"/>
      <c r="T312" s="554"/>
      <c r="U312" s="554"/>
      <c r="V312" s="554"/>
      <c r="W312" s="554"/>
      <c r="X312" s="554"/>
      <c r="Y312" s="554"/>
      <c r="Z312" s="554"/>
      <c r="AA312" s="554"/>
      <c r="AB312" s="554"/>
      <c r="AC312" s="554"/>
      <c r="AD312" s="554"/>
      <c r="AF312" s="554"/>
      <c r="AG312" s="554"/>
    </row>
    <row r="313" spans="2:33" x14ac:dyDescent="0.25">
      <c r="B313" s="151"/>
      <c r="C313" s="143"/>
      <c r="D313" s="143"/>
      <c r="E313" s="554"/>
      <c r="F313" s="554"/>
      <c r="G313" s="554"/>
      <c r="H313" s="554"/>
      <c r="I313" s="554"/>
      <c r="J313" s="554"/>
      <c r="K313" s="554"/>
      <c r="L313" s="554"/>
      <c r="M313" s="554"/>
      <c r="N313" s="554"/>
      <c r="O313" s="554"/>
      <c r="P313" s="554"/>
      <c r="Q313" s="554"/>
      <c r="R313" s="554"/>
      <c r="S313" s="554"/>
      <c r="T313" s="554"/>
      <c r="U313" s="554"/>
      <c r="V313" s="554"/>
      <c r="W313" s="554"/>
      <c r="X313" s="554"/>
      <c r="Y313" s="554"/>
      <c r="Z313" s="554"/>
      <c r="AA313" s="554"/>
      <c r="AB313" s="554"/>
      <c r="AC313" s="554"/>
      <c r="AD313" s="554"/>
      <c r="AF313" s="554"/>
      <c r="AG313" s="554"/>
    </row>
    <row r="314" spans="2:33" x14ac:dyDescent="0.25">
      <c r="B314" s="151"/>
      <c r="C314" s="143"/>
      <c r="D314" s="143"/>
      <c r="E314" s="554"/>
      <c r="F314" s="554"/>
      <c r="G314" s="554"/>
      <c r="H314" s="554"/>
      <c r="I314" s="554"/>
      <c r="J314" s="554"/>
      <c r="K314" s="554"/>
      <c r="L314" s="554"/>
      <c r="M314" s="554"/>
      <c r="N314" s="554"/>
      <c r="O314" s="554"/>
      <c r="P314" s="554"/>
      <c r="Q314" s="554"/>
      <c r="R314" s="554"/>
      <c r="S314" s="554"/>
      <c r="T314" s="554"/>
      <c r="U314" s="554"/>
      <c r="V314" s="554"/>
      <c r="W314" s="554"/>
      <c r="X314" s="554"/>
      <c r="Y314" s="554"/>
      <c r="Z314" s="554"/>
      <c r="AA314" s="554"/>
      <c r="AB314" s="554"/>
      <c r="AC314" s="554"/>
      <c r="AD314" s="554"/>
      <c r="AF314" s="554"/>
      <c r="AG314" s="554"/>
    </row>
    <row r="315" spans="2:33" x14ac:dyDescent="0.25">
      <c r="B315" s="151"/>
      <c r="C315" s="143"/>
      <c r="D315" s="143"/>
      <c r="E315" s="554"/>
      <c r="F315" s="554"/>
      <c r="G315" s="554"/>
      <c r="H315" s="554"/>
      <c r="I315" s="554"/>
      <c r="J315" s="554"/>
      <c r="K315" s="554"/>
      <c r="L315" s="554"/>
      <c r="M315" s="554"/>
      <c r="N315" s="554"/>
      <c r="O315" s="554"/>
      <c r="P315" s="554"/>
      <c r="Q315" s="554"/>
      <c r="R315" s="554"/>
      <c r="S315" s="554"/>
      <c r="T315" s="554"/>
      <c r="U315" s="554"/>
      <c r="V315" s="554"/>
      <c r="W315" s="554"/>
      <c r="X315" s="554"/>
      <c r="Y315" s="554"/>
      <c r="Z315" s="554"/>
      <c r="AA315" s="554"/>
      <c r="AB315" s="554"/>
      <c r="AC315" s="554"/>
      <c r="AD315" s="554"/>
      <c r="AF315" s="554"/>
      <c r="AG315" s="554"/>
    </row>
    <row r="316" spans="2:33" x14ac:dyDescent="0.25">
      <c r="B316" s="151"/>
      <c r="C316" s="143"/>
      <c r="D316" s="143"/>
      <c r="E316" s="554"/>
      <c r="F316" s="554"/>
      <c r="G316" s="554"/>
      <c r="H316" s="554"/>
      <c r="I316" s="554"/>
      <c r="J316" s="554"/>
      <c r="K316" s="554"/>
      <c r="L316" s="554"/>
      <c r="M316" s="554"/>
      <c r="N316" s="554"/>
      <c r="O316" s="554"/>
      <c r="P316" s="554"/>
      <c r="Q316" s="554"/>
      <c r="R316" s="554"/>
      <c r="S316" s="554"/>
      <c r="T316" s="554"/>
      <c r="U316" s="554"/>
      <c r="V316" s="554"/>
      <c r="W316" s="554"/>
      <c r="X316" s="554"/>
      <c r="Y316" s="554"/>
      <c r="Z316" s="554"/>
      <c r="AA316" s="554"/>
      <c r="AB316" s="554"/>
      <c r="AC316" s="554"/>
      <c r="AD316" s="554"/>
      <c r="AF316" s="554"/>
      <c r="AG316" s="554"/>
    </row>
    <row r="317" spans="2:33" x14ac:dyDescent="0.25">
      <c r="B317" s="151"/>
      <c r="C317" s="143"/>
      <c r="D317" s="143"/>
      <c r="E317" s="554"/>
      <c r="F317" s="554"/>
      <c r="G317" s="554"/>
      <c r="H317" s="554"/>
      <c r="I317" s="554"/>
      <c r="J317" s="554"/>
      <c r="K317" s="554"/>
      <c r="L317" s="554"/>
      <c r="M317" s="554"/>
      <c r="N317" s="554"/>
      <c r="O317" s="554"/>
      <c r="P317" s="554"/>
      <c r="Q317" s="554"/>
      <c r="R317" s="554"/>
      <c r="S317" s="554"/>
      <c r="T317" s="554"/>
      <c r="U317" s="554"/>
      <c r="V317" s="554"/>
      <c r="W317" s="554"/>
      <c r="X317" s="554"/>
      <c r="Y317" s="554"/>
      <c r="Z317" s="554"/>
      <c r="AA317" s="554"/>
      <c r="AB317" s="554"/>
      <c r="AC317" s="554"/>
      <c r="AD317" s="554"/>
      <c r="AF317" s="554"/>
      <c r="AG317" s="554"/>
    </row>
    <row r="318" spans="2:33" x14ac:dyDescent="0.25">
      <c r="B318" s="151"/>
      <c r="C318" s="143"/>
      <c r="D318" s="143"/>
      <c r="E318" s="554"/>
      <c r="F318" s="554"/>
      <c r="G318" s="554"/>
      <c r="H318" s="554"/>
      <c r="I318" s="554"/>
      <c r="J318" s="554"/>
      <c r="K318" s="554"/>
      <c r="L318" s="554"/>
      <c r="M318" s="554"/>
      <c r="N318" s="554"/>
      <c r="O318" s="554"/>
      <c r="P318" s="554"/>
      <c r="Q318" s="554"/>
      <c r="R318" s="554"/>
      <c r="S318" s="554"/>
      <c r="T318" s="554"/>
      <c r="U318" s="554"/>
      <c r="V318" s="554"/>
      <c r="W318" s="554"/>
      <c r="X318" s="554"/>
      <c r="Y318" s="554"/>
      <c r="Z318" s="554"/>
      <c r="AA318" s="554"/>
      <c r="AB318" s="554"/>
      <c r="AC318" s="554"/>
      <c r="AD318" s="554"/>
      <c r="AF318" s="554"/>
      <c r="AG318" s="554"/>
    </row>
    <row r="319" spans="2:33" x14ac:dyDescent="0.25">
      <c r="B319" s="151"/>
      <c r="C319" s="143"/>
      <c r="D319" s="143"/>
      <c r="E319" s="554"/>
      <c r="F319" s="554"/>
      <c r="G319" s="554"/>
      <c r="H319" s="554"/>
      <c r="I319" s="554"/>
      <c r="J319" s="554"/>
      <c r="K319" s="554"/>
      <c r="L319" s="554"/>
      <c r="M319" s="554"/>
      <c r="N319" s="554"/>
      <c r="O319" s="554"/>
      <c r="P319" s="554"/>
      <c r="Q319" s="554"/>
      <c r="R319" s="554"/>
      <c r="S319" s="554"/>
      <c r="T319" s="554"/>
      <c r="U319" s="554"/>
      <c r="V319" s="554"/>
      <c r="W319" s="554"/>
      <c r="X319" s="554"/>
      <c r="Y319" s="554"/>
      <c r="Z319" s="554"/>
      <c r="AA319" s="554"/>
      <c r="AB319" s="554"/>
      <c r="AC319" s="554"/>
      <c r="AD319" s="554"/>
      <c r="AF319" s="554"/>
      <c r="AG319" s="554"/>
    </row>
    <row r="320" spans="2:33" x14ac:dyDescent="0.25">
      <c r="B320" s="151"/>
      <c r="C320" s="143"/>
      <c r="D320" s="143"/>
      <c r="E320" s="554"/>
      <c r="F320" s="554"/>
      <c r="G320" s="554"/>
      <c r="H320" s="554"/>
      <c r="I320" s="554"/>
      <c r="J320" s="554"/>
      <c r="K320" s="554"/>
      <c r="L320" s="554"/>
      <c r="M320" s="554"/>
      <c r="N320" s="554"/>
      <c r="O320" s="554"/>
      <c r="P320" s="554"/>
      <c r="Q320" s="554"/>
      <c r="R320" s="554"/>
      <c r="S320" s="554"/>
      <c r="T320" s="554"/>
      <c r="U320" s="554"/>
      <c r="V320" s="554"/>
      <c r="W320" s="554"/>
      <c r="X320" s="554"/>
      <c r="Y320" s="554"/>
      <c r="Z320" s="554"/>
      <c r="AA320" s="554"/>
      <c r="AB320" s="554"/>
      <c r="AC320" s="554"/>
      <c r="AD320" s="554"/>
      <c r="AF320" s="554"/>
      <c r="AG320" s="554"/>
    </row>
    <row r="321" spans="2:33" x14ac:dyDescent="0.25">
      <c r="B321" s="151"/>
      <c r="C321" s="143"/>
      <c r="D321" s="143"/>
      <c r="E321" s="554"/>
      <c r="F321" s="554"/>
      <c r="G321" s="554"/>
      <c r="H321" s="554"/>
      <c r="I321" s="554"/>
      <c r="J321" s="554"/>
      <c r="K321" s="554"/>
      <c r="L321" s="554"/>
      <c r="M321" s="554"/>
      <c r="N321" s="554"/>
      <c r="O321" s="554"/>
      <c r="P321" s="554"/>
      <c r="Q321" s="554"/>
      <c r="R321" s="554"/>
      <c r="S321" s="554"/>
      <c r="T321" s="554"/>
      <c r="U321" s="554"/>
      <c r="V321" s="554"/>
      <c r="W321" s="554"/>
      <c r="X321" s="554"/>
      <c r="Y321" s="554"/>
      <c r="Z321" s="554"/>
      <c r="AA321" s="554"/>
      <c r="AB321" s="554"/>
      <c r="AC321" s="554"/>
      <c r="AD321" s="554"/>
      <c r="AF321" s="554"/>
      <c r="AG321" s="554"/>
    </row>
    <row r="322" spans="2:33" x14ac:dyDescent="0.25">
      <c r="B322" s="151"/>
      <c r="C322" s="143"/>
      <c r="D322" s="143"/>
      <c r="E322" s="554"/>
      <c r="F322" s="554"/>
      <c r="G322" s="554"/>
      <c r="H322" s="554"/>
      <c r="I322" s="554"/>
      <c r="J322" s="554"/>
      <c r="K322" s="554"/>
      <c r="L322" s="554"/>
      <c r="M322" s="554"/>
      <c r="N322" s="554"/>
      <c r="O322" s="554"/>
      <c r="P322" s="554"/>
      <c r="Q322" s="554"/>
      <c r="R322" s="554"/>
      <c r="S322" s="554"/>
      <c r="T322" s="554"/>
      <c r="U322" s="554"/>
      <c r="V322" s="554"/>
      <c r="W322" s="554"/>
      <c r="X322" s="554"/>
      <c r="Y322" s="554"/>
      <c r="Z322" s="554"/>
      <c r="AA322" s="554"/>
      <c r="AB322" s="554"/>
      <c r="AC322" s="554"/>
      <c r="AD322" s="554"/>
      <c r="AF322" s="554"/>
      <c r="AG322" s="554"/>
    </row>
    <row r="323" spans="2:33" x14ac:dyDescent="0.25">
      <c r="B323" s="151"/>
      <c r="C323" s="143"/>
      <c r="D323" s="143"/>
      <c r="E323" s="554"/>
      <c r="F323" s="554"/>
      <c r="G323" s="554"/>
      <c r="H323" s="554"/>
      <c r="I323" s="554"/>
      <c r="J323" s="554"/>
      <c r="K323" s="554"/>
      <c r="L323" s="554"/>
      <c r="M323" s="554"/>
      <c r="N323" s="554"/>
      <c r="O323" s="554"/>
      <c r="P323" s="554"/>
      <c r="Q323" s="554"/>
      <c r="R323" s="554"/>
      <c r="S323" s="554"/>
      <c r="T323" s="554"/>
      <c r="U323" s="554"/>
      <c r="V323" s="554"/>
      <c r="W323" s="554"/>
      <c r="X323" s="554"/>
      <c r="Y323" s="554"/>
      <c r="Z323" s="554"/>
      <c r="AA323" s="554"/>
      <c r="AB323" s="554"/>
      <c r="AC323" s="554"/>
      <c r="AD323" s="554"/>
      <c r="AF323" s="554"/>
      <c r="AG323" s="554"/>
    </row>
    <row r="324" spans="2:33" x14ac:dyDescent="0.25">
      <c r="B324" s="151"/>
      <c r="C324" s="143"/>
      <c r="D324" s="143"/>
      <c r="E324" s="554"/>
      <c r="F324" s="554"/>
      <c r="G324" s="554"/>
      <c r="H324" s="554"/>
      <c r="I324" s="554"/>
      <c r="J324" s="554"/>
      <c r="K324" s="554"/>
      <c r="L324" s="554"/>
      <c r="M324" s="554"/>
      <c r="N324" s="554"/>
      <c r="O324" s="554"/>
      <c r="P324" s="554"/>
      <c r="Q324" s="554"/>
      <c r="R324" s="554"/>
      <c r="S324" s="554"/>
      <c r="T324" s="554"/>
      <c r="U324" s="554"/>
      <c r="V324" s="554"/>
      <c r="W324" s="554"/>
      <c r="X324" s="554"/>
      <c r="Y324" s="554"/>
      <c r="Z324" s="554"/>
      <c r="AA324" s="554"/>
      <c r="AB324" s="554"/>
      <c r="AC324" s="554"/>
      <c r="AD324" s="554"/>
      <c r="AF324" s="554"/>
      <c r="AG324" s="554"/>
    </row>
    <row r="325" spans="2:33" x14ac:dyDescent="0.25">
      <c r="B325" s="151"/>
      <c r="C325" s="143"/>
      <c r="D325" s="143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4"/>
      <c r="T325" s="554"/>
      <c r="U325" s="554"/>
      <c r="V325" s="554"/>
      <c r="W325" s="554"/>
      <c r="X325" s="554"/>
      <c r="Y325" s="554"/>
      <c r="Z325" s="554"/>
      <c r="AA325" s="554"/>
      <c r="AB325" s="554"/>
      <c r="AC325" s="554"/>
      <c r="AD325" s="554"/>
      <c r="AF325" s="554"/>
      <c r="AG325" s="554"/>
    </row>
    <row r="326" spans="2:33" x14ac:dyDescent="0.25">
      <c r="B326" s="151"/>
      <c r="C326" s="143"/>
      <c r="D326" s="143"/>
      <c r="E326" s="554"/>
      <c r="F326" s="554"/>
      <c r="G326" s="554"/>
      <c r="H326" s="554"/>
      <c r="I326" s="554"/>
      <c r="J326" s="554"/>
      <c r="K326" s="554"/>
      <c r="L326" s="554"/>
      <c r="M326" s="554"/>
      <c r="N326" s="554"/>
      <c r="O326" s="554"/>
      <c r="P326" s="554"/>
      <c r="Q326" s="554"/>
      <c r="R326" s="554"/>
      <c r="S326" s="554"/>
      <c r="T326" s="554"/>
      <c r="U326" s="554"/>
      <c r="V326" s="554"/>
      <c r="W326" s="554"/>
      <c r="X326" s="554"/>
      <c r="Y326" s="554"/>
      <c r="Z326" s="554"/>
      <c r="AA326" s="554"/>
      <c r="AB326" s="554"/>
      <c r="AC326" s="554"/>
      <c r="AD326" s="554"/>
      <c r="AF326" s="554"/>
      <c r="AG326" s="554"/>
    </row>
    <row r="327" spans="2:33" x14ac:dyDescent="0.25">
      <c r="B327" s="151"/>
      <c r="C327" s="143"/>
      <c r="D327" s="143"/>
      <c r="E327" s="554"/>
      <c r="F327" s="554"/>
      <c r="G327" s="554"/>
      <c r="H327" s="554"/>
      <c r="I327" s="554"/>
      <c r="J327" s="554"/>
      <c r="K327" s="554"/>
      <c r="L327" s="554"/>
      <c r="M327" s="554"/>
      <c r="N327" s="554"/>
      <c r="O327" s="554"/>
      <c r="P327" s="554"/>
      <c r="Q327" s="554"/>
      <c r="R327" s="554"/>
      <c r="S327" s="554"/>
      <c r="T327" s="554"/>
      <c r="U327" s="554"/>
      <c r="V327" s="554"/>
      <c r="W327" s="554"/>
      <c r="X327" s="554"/>
      <c r="Y327" s="554"/>
      <c r="Z327" s="554"/>
      <c r="AA327" s="554"/>
      <c r="AB327" s="554"/>
      <c r="AC327" s="554"/>
      <c r="AD327" s="554"/>
      <c r="AF327" s="554"/>
      <c r="AG327" s="554"/>
    </row>
    <row r="328" spans="2:33" x14ac:dyDescent="0.25">
      <c r="B328" s="151"/>
      <c r="C328" s="143"/>
      <c r="D328" s="143"/>
      <c r="E328" s="554"/>
      <c r="F328" s="554"/>
      <c r="G328" s="554"/>
      <c r="H328" s="554"/>
      <c r="I328" s="554"/>
      <c r="J328" s="554"/>
      <c r="K328" s="554"/>
      <c r="L328" s="554"/>
      <c r="M328" s="554"/>
      <c r="N328" s="554"/>
      <c r="O328" s="554"/>
      <c r="P328" s="554"/>
      <c r="Q328" s="554"/>
      <c r="R328" s="554"/>
      <c r="S328" s="554"/>
      <c r="T328" s="554"/>
      <c r="U328" s="554"/>
      <c r="V328" s="554"/>
      <c r="W328" s="554"/>
      <c r="X328" s="554"/>
      <c r="Y328" s="554"/>
      <c r="Z328" s="554"/>
      <c r="AA328" s="554"/>
      <c r="AB328" s="554"/>
      <c r="AC328" s="554"/>
      <c r="AD328" s="554"/>
      <c r="AF328" s="554"/>
      <c r="AG328" s="554"/>
    </row>
    <row r="329" spans="2:33" x14ac:dyDescent="0.25">
      <c r="B329" s="151"/>
      <c r="C329" s="143"/>
      <c r="D329" s="143"/>
      <c r="E329" s="554"/>
      <c r="F329" s="554"/>
      <c r="G329" s="554"/>
      <c r="H329" s="554"/>
      <c r="I329" s="554"/>
      <c r="J329" s="554"/>
      <c r="K329" s="554"/>
      <c r="L329" s="554"/>
      <c r="M329" s="554"/>
      <c r="N329" s="554"/>
      <c r="O329" s="554"/>
      <c r="P329" s="554"/>
      <c r="Q329" s="554"/>
      <c r="R329" s="554"/>
      <c r="S329" s="554"/>
      <c r="T329" s="554"/>
      <c r="U329" s="554"/>
      <c r="V329" s="554"/>
      <c r="W329" s="554"/>
      <c r="X329" s="554"/>
      <c r="Y329" s="554"/>
      <c r="Z329" s="554"/>
      <c r="AA329" s="554"/>
      <c r="AB329" s="554"/>
      <c r="AC329" s="554"/>
      <c r="AD329" s="554"/>
      <c r="AF329" s="554"/>
      <c r="AG329" s="554"/>
    </row>
    <row r="330" spans="2:33" x14ac:dyDescent="0.25">
      <c r="B330" s="151"/>
      <c r="C330" s="143"/>
      <c r="D330" s="143"/>
      <c r="E330" s="554"/>
      <c r="F330" s="554"/>
      <c r="G330" s="554"/>
      <c r="H330" s="554"/>
      <c r="I330" s="554"/>
      <c r="J330" s="554"/>
      <c r="K330" s="554"/>
      <c r="L330" s="554"/>
      <c r="M330" s="554"/>
      <c r="N330" s="554"/>
      <c r="O330" s="554"/>
      <c r="P330" s="554"/>
      <c r="Q330" s="554"/>
      <c r="R330" s="554"/>
      <c r="S330" s="554"/>
      <c r="T330" s="554"/>
      <c r="U330" s="554"/>
      <c r="V330" s="554"/>
      <c r="W330" s="554"/>
      <c r="X330" s="554"/>
      <c r="Y330" s="554"/>
      <c r="Z330" s="554"/>
      <c r="AA330" s="554"/>
      <c r="AB330" s="554"/>
      <c r="AC330" s="554"/>
      <c r="AD330" s="554"/>
      <c r="AF330" s="554"/>
      <c r="AG330" s="554"/>
    </row>
    <row r="331" spans="2:33" x14ac:dyDescent="0.25">
      <c r="B331" s="151"/>
      <c r="C331" s="143"/>
      <c r="D331" s="143"/>
      <c r="E331" s="554"/>
      <c r="F331" s="554"/>
      <c r="G331" s="554"/>
      <c r="H331" s="554"/>
      <c r="I331" s="554"/>
      <c r="J331" s="554"/>
      <c r="K331" s="554"/>
      <c r="L331" s="554"/>
      <c r="M331" s="554"/>
      <c r="N331" s="554"/>
      <c r="O331" s="554"/>
      <c r="P331" s="554"/>
      <c r="Q331" s="554"/>
      <c r="R331" s="554"/>
      <c r="S331" s="554"/>
      <c r="T331" s="554"/>
      <c r="U331" s="554"/>
      <c r="V331" s="554"/>
      <c r="W331" s="554"/>
      <c r="X331" s="554"/>
      <c r="Y331" s="554"/>
      <c r="Z331" s="554"/>
      <c r="AA331" s="554"/>
      <c r="AB331" s="554"/>
      <c r="AC331" s="554"/>
      <c r="AD331" s="554"/>
      <c r="AF331" s="554"/>
      <c r="AG331" s="554"/>
    </row>
    <row r="332" spans="2:33" x14ac:dyDescent="0.25">
      <c r="B332" s="151"/>
      <c r="C332" s="143"/>
      <c r="D332" s="143"/>
      <c r="E332" s="554"/>
      <c r="F332" s="554"/>
      <c r="G332" s="554"/>
      <c r="H332" s="554"/>
      <c r="I332" s="554"/>
      <c r="J332" s="554"/>
      <c r="K332" s="554"/>
      <c r="L332" s="554"/>
      <c r="M332" s="554"/>
      <c r="N332" s="554"/>
      <c r="O332" s="554"/>
      <c r="P332" s="554"/>
      <c r="Q332" s="554"/>
      <c r="R332" s="554"/>
      <c r="S332" s="554"/>
      <c r="T332" s="554"/>
      <c r="U332" s="554"/>
      <c r="V332" s="554"/>
      <c r="W332" s="554"/>
      <c r="X332" s="554"/>
      <c r="Y332" s="554"/>
      <c r="Z332" s="554"/>
      <c r="AA332" s="554"/>
      <c r="AB332" s="554"/>
      <c r="AC332" s="554"/>
      <c r="AD332" s="554"/>
      <c r="AF332" s="554"/>
      <c r="AG332" s="554"/>
    </row>
    <row r="333" spans="2:33" x14ac:dyDescent="0.25">
      <c r="B333" s="151"/>
      <c r="C333" s="143"/>
      <c r="D333" s="143"/>
      <c r="E333" s="554"/>
      <c r="F333" s="554"/>
      <c r="G333" s="554"/>
      <c r="H333" s="554"/>
      <c r="I333" s="554"/>
      <c r="J333" s="554"/>
      <c r="K333" s="554"/>
      <c r="L333" s="554"/>
      <c r="M333" s="554"/>
      <c r="N333" s="554"/>
      <c r="O333" s="554"/>
      <c r="P333" s="554"/>
      <c r="Q333" s="554"/>
      <c r="R333" s="554"/>
      <c r="S333" s="554"/>
      <c r="T333" s="554"/>
      <c r="U333" s="554"/>
      <c r="V333" s="554"/>
      <c r="W333" s="554"/>
      <c r="X333" s="554"/>
      <c r="Y333" s="554"/>
      <c r="Z333" s="554"/>
      <c r="AA333" s="554"/>
      <c r="AB333" s="554"/>
      <c r="AC333" s="554"/>
      <c r="AD333" s="554"/>
      <c r="AF333" s="554"/>
      <c r="AG333" s="554"/>
    </row>
    <row r="334" spans="2:33" x14ac:dyDescent="0.25">
      <c r="B334" s="151"/>
      <c r="C334" s="143"/>
      <c r="D334" s="143"/>
      <c r="E334" s="554"/>
      <c r="F334" s="554"/>
      <c r="G334" s="554"/>
      <c r="H334" s="554"/>
      <c r="I334" s="554"/>
      <c r="J334" s="554"/>
      <c r="K334" s="554"/>
      <c r="L334" s="554"/>
      <c r="M334" s="554"/>
      <c r="N334" s="554"/>
      <c r="O334" s="554"/>
      <c r="P334" s="554"/>
      <c r="Q334" s="554"/>
      <c r="R334" s="554"/>
      <c r="S334" s="554"/>
      <c r="T334" s="554"/>
      <c r="U334" s="554"/>
      <c r="V334" s="554"/>
      <c r="W334" s="554"/>
      <c r="X334" s="554"/>
      <c r="Y334" s="554"/>
      <c r="Z334" s="554"/>
      <c r="AA334" s="554"/>
      <c r="AB334" s="554"/>
      <c r="AC334" s="554"/>
      <c r="AD334" s="554"/>
      <c r="AF334" s="554"/>
      <c r="AG334" s="554"/>
    </row>
    <row r="335" spans="2:33" x14ac:dyDescent="0.25">
      <c r="B335" s="151"/>
      <c r="C335" s="143"/>
      <c r="D335" s="143"/>
      <c r="E335" s="554"/>
      <c r="F335" s="554"/>
      <c r="G335" s="554"/>
      <c r="H335" s="554"/>
      <c r="I335" s="554"/>
      <c r="J335" s="554"/>
      <c r="K335" s="554"/>
      <c r="L335" s="554"/>
      <c r="M335" s="554"/>
      <c r="N335" s="554"/>
      <c r="O335" s="554"/>
      <c r="P335" s="554"/>
      <c r="Q335" s="554"/>
      <c r="R335" s="554"/>
      <c r="S335" s="554"/>
      <c r="T335" s="554"/>
      <c r="U335" s="554"/>
      <c r="V335" s="554"/>
      <c r="W335" s="554"/>
      <c r="X335" s="554"/>
      <c r="Y335" s="554"/>
      <c r="Z335" s="554"/>
      <c r="AA335" s="554"/>
      <c r="AB335" s="554"/>
      <c r="AC335" s="554"/>
      <c r="AD335" s="554"/>
      <c r="AF335" s="554"/>
      <c r="AG335" s="554"/>
    </row>
    <row r="336" spans="2:33" x14ac:dyDescent="0.25">
      <c r="B336" s="151"/>
      <c r="C336" s="143"/>
      <c r="D336" s="143"/>
      <c r="E336" s="554"/>
      <c r="F336" s="554"/>
      <c r="G336" s="554"/>
      <c r="H336" s="554"/>
      <c r="I336" s="554"/>
      <c r="J336" s="554"/>
      <c r="K336" s="554"/>
      <c r="L336" s="554"/>
      <c r="M336" s="554"/>
      <c r="N336" s="554"/>
      <c r="O336" s="554"/>
      <c r="P336" s="554"/>
      <c r="Q336" s="554"/>
      <c r="R336" s="554"/>
      <c r="S336" s="554"/>
      <c r="T336" s="554"/>
      <c r="U336" s="554"/>
      <c r="V336" s="554"/>
      <c r="W336" s="554"/>
      <c r="X336" s="554"/>
      <c r="Y336" s="554"/>
      <c r="Z336" s="554"/>
      <c r="AA336" s="554"/>
      <c r="AB336" s="554"/>
      <c r="AC336" s="554"/>
      <c r="AD336" s="554"/>
      <c r="AF336" s="554"/>
      <c r="AG336" s="554"/>
    </row>
    <row r="337" spans="2:33" x14ac:dyDescent="0.25">
      <c r="B337" s="151"/>
      <c r="C337" s="143"/>
      <c r="D337" s="143"/>
      <c r="E337" s="554"/>
      <c r="F337" s="554"/>
      <c r="G337" s="554"/>
      <c r="H337" s="554"/>
      <c r="I337" s="554"/>
      <c r="J337" s="554"/>
      <c r="K337" s="554"/>
      <c r="L337" s="554"/>
      <c r="M337" s="554"/>
      <c r="N337" s="554"/>
      <c r="O337" s="554"/>
      <c r="P337" s="554"/>
      <c r="Q337" s="554"/>
      <c r="R337" s="554"/>
      <c r="S337" s="554"/>
      <c r="T337" s="554"/>
      <c r="U337" s="554"/>
      <c r="V337" s="554"/>
      <c r="W337" s="554"/>
      <c r="X337" s="554"/>
      <c r="Y337" s="554"/>
      <c r="Z337" s="554"/>
      <c r="AA337" s="554"/>
      <c r="AB337" s="554"/>
      <c r="AC337" s="554"/>
      <c r="AD337" s="554"/>
      <c r="AF337" s="554"/>
      <c r="AG337" s="554"/>
    </row>
    <row r="338" spans="2:33" x14ac:dyDescent="0.25">
      <c r="B338" s="151"/>
      <c r="C338" s="143"/>
      <c r="D338" s="143"/>
      <c r="E338" s="554"/>
      <c r="F338" s="554"/>
      <c r="G338" s="554"/>
      <c r="H338" s="554"/>
      <c r="I338" s="554"/>
      <c r="J338" s="554"/>
      <c r="K338" s="554"/>
      <c r="L338" s="554"/>
      <c r="M338" s="554"/>
      <c r="N338" s="554"/>
      <c r="O338" s="554"/>
      <c r="P338" s="554"/>
      <c r="Q338" s="554"/>
      <c r="R338" s="554"/>
      <c r="S338" s="554"/>
      <c r="T338" s="554"/>
      <c r="U338" s="554"/>
      <c r="V338" s="554"/>
      <c r="W338" s="554"/>
      <c r="X338" s="554"/>
      <c r="Y338" s="554"/>
      <c r="Z338" s="554"/>
      <c r="AA338" s="554"/>
      <c r="AB338" s="554"/>
      <c r="AC338" s="554"/>
      <c r="AD338" s="554"/>
      <c r="AF338" s="554"/>
      <c r="AG338" s="554"/>
    </row>
    <row r="339" spans="2:33" x14ac:dyDescent="0.25">
      <c r="B339" s="151"/>
      <c r="C339" s="143"/>
      <c r="D339" s="143"/>
      <c r="E339" s="554"/>
      <c r="F339" s="554"/>
      <c r="G339" s="554"/>
      <c r="H339" s="554"/>
      <c r="I339" s="554"/>
      <c r="J339" s="554"/>
      <c r="K339" s="554"/>
      <c r="L339" s="554"/>
      <c r="M339" s="554"/>
      <c r="N339" s="554"/>
      <c r="O339" s="554"/>
      <c r="P339" s="554"/>
      <c r="Q339" s="554"/>
      <c r="R339" s="554"/>
      <c r="S339" s="554"/>
      <c r="T339" s="554"/>
      <c r="U339" s="554"/>
      <c r="V339" s="554"/>
      <c r="W339" s="554"/>
      <c r="X339" s="554"/>
      <c r="Y339" s="554"/>
      <c r="Z339" s="554"/>
      <c r="AA339" s="554"/>
      <c r="AB339" s="554"/>
      <c r="AC339" s="554"/>
      <c r="AD339" s="554"/>
      <c r="AF339" s="554"/>
      <c r="AG339" s="554"/>
    </row>
    <row r="340" spans="2:33" x14ac:dyDescent="0.25">
      <c r="B340" s="151"/>
      <c r="C340" s="143"/>
      <c r="D340" s="143"/>
      <c r="E340" s="554"/>
      <c r="F340" s="554"/>
      <c r="G340" s="554"/>
      <c r="H340" s="554"/>
      <c r="I340" s="554"/>
      <c r="J340" s="554"/>
      <c r="K340" s="554"/>
      <c r="L340" s="554"/>
      <c r="M340" s="554"/>
      <c r="N340" s="554"/>
      <c r="O340" s="554"/>
      <c r="P340" s="554"/>
      <c r="Q340" s="554"/>
      <c r="R340" s="554"/>
      <c r="S340" s="554"/>
      <c r="T340" s="554"/>
      <c r="U340" s="554"/>
      <c r="V340" s="554"/>
      <c r="W340" s="554"/>
      <c r="X340" s="554"/>
      <c r="Y340" s="554"/>
      <c r="Z340" s="554"/>
      <c r="AA340" s="554"/>
      <c r="AB340" s="554"/>
      <c r="AC340" s="554"/>
      <c r="AD340" s="554"/>
      <c r="AF340" s="554"/>
      <c r="AG340" s="554"/>
    </row>
    <row r="341" spans="2:33" x14ac:dyDescent="0.25">
      <c r="B341" s="151"/>
      <c r="C341" s="143"/>
      <c r="D341" s="143"/>
      <c r="E341" s="554"/>
      <c r="F341" s="554"/>
      <c r="G341" s="554"/>
      <c r="H341" s="554"/>
      <c r="I341" s="554"/>
      <c r="J341" s="554"/>
      <c r="K341" s="554"/>
      <c r="L341" s="554"/>
      <c r="M341" s="554"/>
      <c r="N341" s="554"/>
      <c r="O341" s="554"/>
      <c r="P341" s="554"/>
      <c r="Q341" s="554"/>
      <c r="R341" s="554"/>
      <c r="S341" s="554"/>
      <c r="T341" s="554"/>
      <c r="U341" s="554"/>
      <c r="V341" s="554"/>
      <c r="W341" s="554"/>
      <c r="X341" s="554"/>
      <c r="Y341" s="554"/>
      <c r="Z341" s="554"/>
      <c r="AA341" s="554"/>
      <c r="AB341" s="554"/>
      <c r="AC341" s="554"/>
      <c r="AD341" s="554"/>
      <c r="AF341" s="554"/>
      <c r="AG341" s="554"/>
    </row>
    <row r="342" spans="2:33" x14ac:dyDescent="0.25">
      <c r="B342" s="151"/>
      <c r="C342" s="143"/>
      <c r="D342" s="143"/>
      <c r="E342" s="554"/>
      <c r="F342" s="554"/>
      <c r="G342" s="554"/>
      <c r="H342" s="554"/>
      <c r="I342" s="554"/>
      <c r="J342" s="554"/>
      <c r="K342" s="554"/>
      <c r="L342" s="554"/>
      <c r="M342" s="554"/>
      <c r="N342" s="554"/>
      <c r="O342" s="554"/>
      <c r="P342" s="554"/>
      <c r="Q342" s="554"/>
      <c r="R342" s="554"/>
      <c r="S342" s="554"/>
      <c r="T342" s="554"/>
      <c r="U342" s="554"/>
      <c r="V342" s="554"/>
      <c r="W342" s="554"/>
      <c r="X342" s="554"/>
      <c r="Y342" s="554"/>
      <c r="Z342" s="554"/>
      <c r="AA342" s="554"/>
      <c r="AB342" s="554"/>
      <c r="AC342" s="554"/>
      <c r="AD342" s="554"/>
      <c r="AF342" s="554"/>
      <c r="AG342" s="554"/>
    </row>
    <row r="343" spans="2:33" x14ac:dyDescent="0.25">
      <c r="B343" s="151"/>
      <c r="C343" s="143"/>
      <c r="D343" s="143"/>
      <c r="E343" s="554"/>
      <c r="F343" s="554"/>
      <c r="G343" s="554"/>
      <c r="H343" s="554"/>
      <c r="I343" s="554"/>
      <c r="J343" s="554"/>
      <c r="K343" s="554"/>
      <c r="L343" s="554"/>
      <c r="M343" s="554"/>
      <c r="N343" s="554"/>
      <c r="O343" s="554"/>
      <c r="P343" s="554"/>
      <c r="Q343" s="554"/>
      <c r="R343" s="554"/>
      <c r="S343" s="554"/>
      <c r="T343" s="554"/>
      <c r="U343" s="554"/>
      <c r="V343" s="554"/>
      <c r="W343" s="554"/>
      <c r="X343" s="554"/>
      <c r="Y343" s="554"/>
      <c r="Z343" s="554"/>
      <c r="AA343" s="554"/>
      <c r="AB343" s="554"/>
      <c r="AC343" s="554"/>
      <c r="AD343" s="554"/>
      <c r="AF343" s="554"/>
      <c r="AG343" s="554"/>
    </row>
    <row r="344" spans="2:33" x14ac:dyDescent="0.25">
      <c r="B344" s="151"/>
      <c r="C344" s="143"/>
      <c r="D344" s="143"/>
      <c r="E344" s="554"/>
      <c r="F344" s="554"/>
      <c r="G344" s="554"/>
      <c r="H344" s="554"/>
      <c r="I344" s="554"/>
      <c r="J344" s="554"/>
      <c r="K344" s="554"/>
      <c r="L344" s="554"/>
      <c r="M344" s="554"/>
      <c r="N344" s="554"/>
      <c r="O344" s="554"/>
      <c r="P344" s="554"/>
      <c r="Q344" s="554"/>
      <c r="R344" s="554"/>
      <c r="S344" s="554"/>
      <c r="T344" s="554"/>
      <c r="U344" s="554"/>
      <c r="V344" s="554"/>
      <c r="W344" s="554"/>
      <c r="X344" s="554"/>
      <c r="Y344" s="554"/>
      <c r="Z344" s="554"/>
      <c r="AA344" s="554"/>
      <c r="AB344" s="554"/>
      <c r="AC344" s="554"/>
      <c r="AD344" s="554"/>
      <c r="AF344" s="554"/>
      <c r="AG344" s="554"/>
    </row>
    <row r="345" spans="2:33" x14ac:dyDescent="0.25">
      <c r="B345" s="151"/>
      <c r="C345" s="143"/>
      <c r="D345" s="143"/>
      <c r="E345" s="554"/>
      <c r="F345" s="554"/>
      <c r="G345" s="554"/>
      <c r="H345" s="554"/>
      <c r="I345" s="554"/>
      <c r="J345" s="554"/>
      <c r="K345" s="554"/>
      <c r="L345" s="554"/>
      <c r="M345" s="554"/>
      <c r="N345" s="554"/>
      <c r="O345" s="554"/>
      <c r="P345" s="554"/>
      <c r="Q345" s="554"/>
      <c r="R345" s="554"/>
      <c r="S345" s="554"/>
      <c r="T345" s="554"/>
      <c r="U345" s="554"/>
      <c r="V345" s="554"/>
      <c r="W345" s="554"/>
      <c r="X345" s="554"/>
      <c r="Y345" s="554"/>
      <c r="Z345" s="554"/>
      <c r="AA345" s="554"/>
      <c r="AB345" s="554"/>
      <c r="AC345" s="554"/>
      <c r="AD345" s="554"/>
      <c r="AF345" s="554"/>
      <c r="AG345" s="554"/>
    </row>
    <row r="346" spans="2:33" x14ac:dyDescent="0.25">
      <c r="B346" s="151"/>
      <c r="C346" s="143"/>
      <c r="D346" s="143"/>
      <c r="E346" s="554"/>
      <c r="F346" s="554"/>
      <c r="G346" s="554"/>
      <c r="H346" s="554"/>
      <c r="I346" s="554"/>
      <c r="J346" s="554"/>
      <c r="K346" s="554"/>
      <c r="L346" s="554"/>
      <c r="M346" s="554"/>
      <c r="N346" s="554"/>
      <c r="O346" s="554"/>
      <c r="P346" s="554"/>
      <c r="Q346" s="554"/>
      <c r="R346" s="554"/>
      <c r="S346" s="554"/>
      <c r="T346" s="554"/>
      <c r="U346" s="554"/>
      <c r="V346" s="554"/>
      <c r="W346" s="554"/>
      <c r="X346" s="554"/>
      <c r="Y346" s="554"/>
      <c r="Z346" s="554"/>
      <c r="AA346" s="554"/>
      <c r="AB346" s="554"/>
      <c r="AC346" s="554"/>
      <c r="AD346" s="554"/>
      <c r="AF346" s="554"/>
      <c r="AG346" s="554"/>
    </row>
    <row r="347" spans="2:33" x14ac:dyDescent="0.25">
      <c r="B347" s="151"/>
      <c r="C347" s="143"/>
      <c r="D347" s="143"/>
      <c r="E347" s="554"/>
      <c r="F347" s="554"/>
      <c r="G347" s="554"/>
      <c r="H347" s="554"/>
      <c r="I347" s="554"/>
      <c r="J347" s="554"/>
      <c r="K347" s="554"/>
      <c r="L347" s="554"/>
      <c r="M347" s="554"/>
      <c r="N347" s="554"/>
      <c r="O347" s="554"/>
      <c r="P347" s="554"/>
      <c r="Q347" s="554"/>
      <c r="R347" s="554"/>
      <c r="S347" s="554"/>
      <c r="T347" s="554"/>
      <c r="U347" s="554"/>
      <c r="V347" s="554"/>
      <c r="W347" s="554"/>
      <c r="X347" s="554"/>
      <c r="Y347" s="554"/>
      <c r="Z347" s="554"/>
      <c r="AA347" s="554"/>
      <c r="AB347" s="554"/>
      <c r="AC347" s="554"/>
      <c r="AD347" s="554"/>
      <c r="AF347" s="554"/>
      <c r="AG347" s="554"/>
    </row>
    <row r="348" spans="2:33" x14ac:dyDescent="0.25">
      <c r="B348" s="151"/>
      <c r="C348" s="143"/>
      <c r="D348" s="143"/>
      <c r="E348" s="554"/>
      <c r="F348" s="554"/>
      <c r="G348" s="554"/>
      <c r="H348" s="554"/>
      <c r="I348" s="554"/>
      <c r="J348" s="554"/>
      <c r="K348" s="554"/>
      <c r="L348" s="554"/>
      <c r="M348" s="554"/>
      <c r="N348" s="554"/>
      <c r="O348" s="554"/>
      <c r="P348" s="554"/>
      <c r="Q348" s="554"/>
      <c r="R348" s="554"/>
      <c r="S348" s="554"/>
      <c r="T348" s="554"/>
      <c r="U348" s="554"/>
      <c r="V348" s="554"/>
      <c r="W348" s="554"/>
      <c r="X348" s="554"/>
      <c r="Y348" s="554"/>
      <c r="Z348" s="554"/>
      <c r="AA348" s="554"/>
      <c r="AB348" s="554"/>
      <c r="AC348" s="554"/>
      <c r="AD348" s="554"/>
      <c r="AF348" s="554"/>
      <c r="AG348" s="554"/>
    </row>
    <row r="349" spans="2:33" x14ac:dyDescent="0.25">
      <c r="B349" s="151"/>
      <c r="C349" s="143"/>
      <c r="D349" s="143"/>
      <c r="E349" s="554"/>
      <c r="F349" s="554"/>
      <c r="G349" s="554"/>
      <c r="H349" s="554"/>
      <c r="I349" s="554"/>
      <c r="J349" s="554"/>
      <c r="K349" s="554"/>
      <c r="L349" s="554"/>
      <c r="M349" s="554"/>
      <c r="N349" s="554"/>
      <c r="O349" s="554"/>
      <c r="P349" s="554"/>
      <c r="Q349" s="554"/>
      <c r="R349" s="554"/>
      <c r="S349" s="554"/>
      <c r="T349" s="554"/>
      <c r="U349" s="554"/>
      <c r="V349" s="554"/>
      <c r="W349" s="554"/>
      <c r="X349" s="554"/>
      <c r="Y349" s="554"/>
      <c r="Z349" s="554"/>
      <c r="AA349" s="554"/>
      <c r="AB349" s="554"/>
      <c r="AC349" s="554"/>
      <c r="AD349" s="554"/>
      <c r="AF349" s="554"/>
      <c r="AG349" s="554"/>
    </row>
    <row r="350" spans="2:33" x14ac:dyDescent="0.25">
      <c r="B350" s="151"/>
      <c r="C350" s="143"/>
      <c r="D350" s="143"/>
      <c r="E350" s="554"/>
      <c r="F350" s="554"/>
      <c r="G350" s="554"/>
      <c r="H350" s="554"/>
      <c r="I350" s="554"/>
      <c r="J350" s="554"/>
      <c r="K350" s="554"/>
      <c r="L350" s="554"/>
      <c r="M350" s="554"/>
      <c r="N350" s="554"/>
      <c r="O350" s="554"/>
      <c r="P350" s="554"/>
      <c r="Q350" s="554"/>
      <c r="R350" s="554"/>
      <c r="S350" s="554"/>
      <c r="T350" s="554"/>
      <c r="U350" s="554"/>
      <c r="V350" s="554"/>
      <c r="W350" s="554"/>
      <c r="X350" s="554"/>
      <c r="Y350" s="554"/>
      <c r="Z350" s="554"/>
      <c r="AA350" s="554"/>
      <c r="AB350" s="554"/>
      <c r="AC350" s="554"/>
      <c r="AD350" s="554"/>
      <c r="AF350" s="554"/>
      <c r="AG350" s="554"/>
    </row>
    <row r="351" spans="2:33" x14ac:dyDescent="0.25">
      <c r="B351" s="151"/>
      <c r="C351" s="143"/>
      <c r="D351" s="143"/>
      <c r="E351" s="554"/>
      <c r="F351" s="554"/>
      <c r="G351" s="554"/>
      <c r="H351" s="554"/>
      <c r="I351" s="554"/>
      <c r="J351" s="554"/>
      <c r="K351" s="554"/>
      <c r="L351" s="554"/>
      <c r="M351" s="554"/>
      <c r="N351" s="554"/>
      <c r="O351" s="554"/>
      <c r="P351" s="554"/>
      <c r="Q351" s="554"/>
      <c r="R351" s="554"/>
      <c r="S351" s="554"/>
      <c r="T351" s="554"/>
      <c r="U351" s="554"/>
      <c r="V351" s="554"/>
      <c r="W351" s="554"/>
      <c r="X351" s="554"/>
      <c r="Y351" s="554"/>
      <c r="Z351" s="554"/>
      <c r="AA351" s="554"/>
      <c r="AB351" s="554"/>
      <c r="AC351" s="554"/>
      <c r="AD351" s="554"/>
      <c r="AF351" s="554"/>
      <c r="AG351" s="554"/>
    </row>
    <row r="352" spans="2:33" x14ac:dyDescent="0.25">
      <c r="B352" s="151"/>
      <c r="C352" s="143"/>
      <c r="D352" s="143"/>
      <c r="E352" s="554"/>
      <c r="F352" s="554"/>
      <c r="G352" s="554"/>
      <c r="H352" s="554"/>
      <c r="I352" s="554"/>
      <c r="J352" s="554"/>
      <c r="K352" s="554"/>
      <c r="L352" s="554"/>
      <c r="M352" s="554"/>
      <c r="N352" s="554"/>
      <c r="O352" s="554"/>
      <c r="P352" s="554"/>
      <c r="Q352" s="554"/>
      <c r="R352" s="554"/>
      <c r="S352" s="554"/>
      <c r="T352" s="554"/>
      <c r="U352" s="554"/>
      <c r="V352" s="554"/>
      <c r="W352" s="554"/>
      <c r="X352" s="554"/>
      <c r="Y352" s="554"/>
      <c r="Z352" s="554"/>
      <c r="AA352" s="554"/>
      <c r="AB352" s="554"/>
      <c r="AC352" s="554"/>
      <c r="AD352" s="554"/>
      <c r="AF352" s="554"/>
      <c r="AG352" s="554"/>
    </row>
    <row r="353" spans="2:33" x14ac:dyDescent="0.25">
      <c r="B353" s="151"/>
      <c r="C353" s="143"/>
      <c r="D353" s="143"/>
      <c r="E353" s="554"/>
      <c r="F353" s="554"/>
      <c r="G353" s="554"/>
      <c r="H353" s="554"/>
      <c r="I353" s="554"/>
      <c r="J353" s="554"/>
      <c r="K353" s="554"/>
      <c r="L353" s="554"/>
      <c r="M353" s="554"/>
      <c r="N353" s="554"/>
      <c r="O353" s="554"/>
      <c r="P353" s="554"/>
      <c r="Q353" s="554"/>
      <c r="R353" s="554"/>
      <c r="S353" s="554"/>
      <c r="T353" s="554"/>
      <c r="U353" s="554"/>
      <c r="V353" s="554"/>
      <c r="W353" s="554"/>
      <c r="X353" s="554"/>
      <c r="Y353" s="554"/>
      <c r="Z353" s="554"/>
      <c r="AA353" s="554"/>
      <c r="AB353" s="554"/>
      <c r="AC353" s="554"/>
      <c r="AD353" s="554"/>
      <c r="AF353" s="554"/>
      <c r="AG353" s="554"/>
    </row>
    <row r="354" spans="2:33" x14ac:dyDescent="0.25">
      <c r="B354" s="151"/>
      <c r="C354" s="143"/>
      <c r="D354" s="143"/>
      <c r="E354" s="554"/>
      <c r="F354" s="554"/>
      <c r="G354" s="554"/>
      <c r="H354" s="554"/>
      <c r="I354" s="554"/>
      <c r="J354" s="554"/>
      <c r="K354" s="554"/>
      <c r="L354" s="554"/>
      <c r="M354" s="554"/>
      <c r="N354" s="554"/>
      <c r="O354" s="554"/>
      <c r="P354" s="554"/>
      <c r="Q354" s="554"/>
      <c r="R354" s="554"/>
      <c r="S354" s="554"/>
      <c r="T354" s="554"/>
      <c r="U354" s="554"/>
      <c r="V354" s="554"/>
      <c r="W354" s="554"/>
      <c r="X354" s="554"/>
      <c r="Y354" s="554"/>
      <c r="Z354" s="554"/>
      <c r="AA354" s="554"/>
      <c r="AB354" s="554"/>
      <c r="AC354" s="554"/>
      <c r="AD354" s="554"/>
      <c r="AF354" s="554"/>
      <c r="AG354" s="554"/>
    </row>
    <row r="355" spans="2:33" x14ac:dyDescent="0.25">
      <c r="B355" s="151"/>
      <c r="C355" s="143"/>
      <c r="D355" s="143"/>
      <c r="E355" s="554"/>
      <c r="F355" s="554"/>
      <c r="G355" s="554"/>
      <c r="H355" s="554"/>
      <c r="I355" s="554"/>
      <c r="J355" s="554"/>
      <c r="K355" s="554"/>
      <c r="L355" s="554"/>
      <c r="M355" s="554"/>
      <c r="N355" s="554"/>
      <c r="O355" s="554"/>
      <c r="P355" s="554"/>
      <c r="Q355" s="554"/>
      <c r="R355" s="554"/>
      <c r="S355" s="554"/>
      <c r="T355" s="554"/>
      <c r="U355" s="554"/>
      <c r="V355" s="554"/>
      <c r="W355" s="554"/>
      <c r="X355" s="554"/>
      <c r="Y355" s="554"/>
      <c r="Z355" s="554"/>
      <c r="AA355" s="554"/>
      <c r="AB355" s="554"/>
      <c r="AC355" s="554"/>
      <c r="AD355" s="554"/>
      <c r="AF355" s="554"/>
      <c r="AG355" s="554"/>
    </row>
    <row r="356" spans="2:33" x14ac:dyDescent="0.25">
      <c r="B356" s="151"/>
      <c r="C356" s="143"/>
      <c r="D356" s="143"/>
      <c r="E356" s="554"/>
      <c r="F356" s="554"/>
      <c r="G356" s="554"/>
      <c r="H356" s="554"/>
      <c r="I356" s="554"/>
      <c r="J356" s="554"/>
      <c r="K356" s="554"/>
      <c r="L356" s="554"/>
      <c r="M356" s="554"/>
      <c r="N356" s="554"/>
      <c r="O356" s="554"/>
      <c r="P356" s="554"/>
      <c r="Q356" s="554"/>
      <c r="R356" s="554"/>
      <c r="S356" s="554"/>
      <c r="T356" s="554"/>
      <c r="U356" s="554"/>
      <c r="V356" s="554"/>
      <c r="W356" s="554"/>
      <c r="X356" s="554"/>
      <c r="Y356" s="554"/>
      <c r="Z356" s="554"/>
      <c r="AA356" s="554"/>
      <c r="AB356" s="554"/>
      <c r="AC356" s="554"/>
      <c r="AD356" s="554"/>
      <c r="AF356" s="554"/>
      <c r="AG356" s="554"/>
    </row>
    <row r="357" spans="2:33" x14ac:dyDescent="0.25">
      <c r="B357" s="151"/>
      <c r="C357" s="143"/>
      <c r="D357" s="143"/>
      <c r="E357" s="554"/>
      <c r="F357" s="554"/>
      <c r="G357" s="554"/>
      <c r="H357" s="554"/>
      <c r="I357" s="554"/>
      <c r="J357" s="554"/>
      <c r="K357" s="554"/>
      <c r="L357" s="554"/>
      <c r="M357" s="554"/>
      <c r="N357" s="554"/>
      <c r="O357" s="554"/>
      <c r="P357" s="554"/>
      <c r="Q357" s="554"/>
      <c r="R357" s="554"/>
      <c r="S357" s="554"/>
      <c r="T357" s="554"/>
      <c r="U357" s="554"/>
      <c r="V357" s="554"/>
      <c r="W357" s="554"/>
      <c r="X357" s="554"/>
      <c r="Y357" s="554"/>
      <c r="Z357" s="554"/>
      <c r="AA357" s="554"/>
      <c r="AB357" s="554"/>
      <c r="AC357" s="554"/>
      <c r="AD357" s="554"/>
      <c r="AF357" s="554"/>
      <c r="AG357" s="554"/>
    </row>
    <row r="358" spans="2:33" x14ac:dyDescent="0.25">
      <c r="B358" s="151"/>
      <c r="C358" s="143"/>
      <c r="D358" s="143"/>
      <c r="E358" s="554"/>
      <c r="F358" s="554"/>
      <c r="G358" s="554"/>
      <c r="H358" s="554"/>
      <c r="I358" s="554"/>
      <c r="J358" s="554"/>
      <c r="K358" s="554"/>
      <c r="L358" s="554"/>
      <c r="M358" s="554"/>
      <c r="N358" s="554"/>
      <c r="O358" s="554"/>
      <c r="P358" s="554"/>
      <c r="Q358" s="554"/>
      <c r="R358" s="554"/>
      <c r="S358" s="554"/>
      <c r="T358" s="554"/>
      <c r="U358" s="554"/>
      <c r="V358" s="554"/>
      <c r="W358" s="554"/>
      <c r="X358" s="554"/>
      <c r="Y358" s="554"/>
      <c r="Z358" s="554"/>
      <c r="AA358" s="554"/>
      <c r="AB358" s="554"/>
      <c r="AC358" s="554"/>
      <c r="AD358" s="554"/>
      <c r="AF358" s="554"/>
      <c r="AG358" s="554"/>
    </row>
    <row r="359" spans="2:33" x14ac:dyDescent="0.25">
      <c r="B359" s="151"/>
      <c r="C359" s="143"/>
      <c r="D359" s="143"/>
      <c r="E359" s="554"/>
      <c r="F359" s="554"/>
      <c r="G359" s="554"/>
      <c r="H359" s="554"/>
      <c r="I359" s="554"/>
      <c r="J359" s="554"/>
      <c r="K359" s="554"/>
      <c r="L359" s="554"/>
      <c r="M359" s="554"/>
      <c r="N359" s="554"/>
      <c r="O359" s="554"/>
      <c r="P359" s="554"/>
      <c r="Q359" s="554"/>
      <c r="R359" s="554"/>
      <c r="S359" s="554"/>
      <c r="T359" s="554"/>
      <c r="U359" s="554"/>
      <c r="V359" s="554"/>
      <c r="W359" s="554"/>
      <c r="X359" s="554"/>
      <c r="Y359" s="554"/>
      <c r="Z359" s="554"/>
      <c r="AA359" s="554"/>
      <c r="AB359" s="554"/>
      <c r="AC359" s="554"/>
      <c r="AD359" s="554"/>
      <c r="AF359" s="554"/>
      <c r="AG359" s="554"/>
    </row>
    <row r="360" spans="2:33" x14ac:dyDescent="0.25">
      <c r="B360" s="151"/>
      <c r="C360" s="143"/>
      <c r="D360" s="143"/>
      <c r="E360" s="554"/>
      <c r="F360" s="554"/>
      <c r="G360" s="554"/>
      <c r="H360" s="554"/>
      <c r="I360" s="554"/>
      <c r="J360" s="554"/>
      <c r="K360" s="554"/>
      <c r="L360" s="554"/>
      <c r="M360" s="554"/>
      <c r="N360" s="554"/>
      <c r="O360" s="554"/>
      <c r="P360" s="554"/>
      <c r="Q360" s="554"/>
      <c r="R360" s="554"/>
      <c r="S360" s="554"/>
      <c r="T360" s="554"/>
      <c r="U360" s="554"/>
      <c r="V360" s="554"/>
      <c r="W360" s="554"/>
      <c r="X360" s="554"/>
      <c r="Y360" s="554"/>
      <c r="Z360" s="554"/>
      <c r="AA360" s="554"/>
      <c r="AB360" s="554"/>
      <c r="AC360" s="554"/>
      <c r="AD360" s="554"/>
      <c r="AF360" s="554"/>
      <c r="AG360" s="554"/>
    </row>
    <row r="361" spans="2:33" x14ac:dyDescent="0.25">
      <c r="B361" s="151"/>
      <c r="C361" s="143"/>
      <c r="D361" s="143"/>
      <c r="E361" s="554"/>
      <c r="F361" s="554"/>
      <c r="G361" s="554"/>
      <c r="H361" s="554"/>
      <c r="I361" s="554"/>
      <c r="J361" s="554"/>
      <c r="K361" s="554"/>
      <c r="L361" s="554"/>
      <c r="M361" s="554"/>
      <c r="N361" s="554"/>
      <c r="O361" s="554"/>
      <c r="P361" s="554"/>
      <c r="Q361" s="554"/>
      <c r="R361" s="554"/>
      <c r="S361" s="554"/>
      <c r="T361" s="554"/>
      <c r="U361" s="554"/>
      <c r="V361" s="554"/>
      <c r="W361" s="554"/>
      <c r="X361" s="554"/>
      <c r="Y361" s="554"/>
      <c r="Z361" s="554"/>
      <c r="AA361" s="554"/>
      <c r="AB361" s="554"/>
      <c r="AC361" s="554"/>
      <c r="AD361" s="554"/>
      <c r="AF361" s="554"/>
      <c r="AG361" s="554"/>
    </row>
    <row r="362" spans="2:33" x14ac:dyDescent="0.25">
      <c r="B362" s="151"/>
      <c r="C362" s="143"/>
      <c r="D362" s="143"/>
      <c r="E362" s="554"/>
      <c r="F362" s="554"/>
      <c r="G362" s="554"/>
      <c r="H362" s="554"/>
      <c r="I362" s="554"/>
      <c r="J362" s="554"/>
      <c r="K362" s="554"/>
      <c r="L362" s="554"/>
      <c r="M362" s="554"/>
      <c r="N362" s="554"/>
      <c r="O362" s="554"/>
      <c r="P362" s="554"/>
      <c r="Q362" s="554"/>
      <c r="R362" s="554"/>
      <c r="S362" s="554"/>
      <c r="T362" s="554"/>
      <c r="U362" s="554"/>
      <c r="V362" s="554"/>
      <c r="W362" s="554"/>
      <c r="X362" s="554"/>
      <c r="Y362" s="554"/>
      <c r="Z362" s="554"/>
      <c r="AA362" s="554"/>
      <c r="AB362" s="554"/>
      <c r="AC362" s="554"/>
      <c r="AD362" s="554"/>
      <c r="AF362" s="554"/>
      <c r="AG362" s="554"/>
    </row>
    <row r="363" spans="2:33" x14ac:dyDescent="0.25">
      <c r="B363" s="151"/>
      <c r="C363" s="143"/>
      <c r="D363" s="143"/>
      <c r="E363" s="554"/>
      <c r="F363" s="554"/>
      <c r="G363" s="554"/>
      <c r="H363" s="554"/>
      <c r="I363" s="554"/>
      <c r="J363" s="554"/>
      <c r="K363" s="554"/>
      <c r="L363" s="554"/>
      <c r="M363" s="554"/>
      <c r="N363" s="554"/>
      <c r="O363" s="554"/>
      <c r="P363" s="554"/>
      <c r="Q363" s="554"/>
      <c r="R363" s="554"/>
      <c r="S363" s="554"/>
      <c r="T363" s="554"/>
      <c r="U363" s="554"/>
      <c r="V363" s="554"/>
      <c r="W363" s="554"/>
      <c r="X363" s="554"/>
      <c r="Y363" s="554"/>
      <c r="Z363" s="554"/>
      <c r="AA363" s="554"/>
      <c r="AB363" s="554"/>
      <c r="AC363" s="554"/>
      <c r="AD363" s="554"/>
      <c r="AF363" s="554"/>
      <c r="AG363" s="554"/>
    </row>
    <row r="364" spans="2:33" x14ac:dyDescent="0.25">
      <c r="B364" s="151"/>
      <c r="C364" s="143"/>
      <c r="D364" s="143"/>
      <c r="E364" s="554"/>
      <c r="F364" s="554"/>
      <c r="G364" s="554"/>
      <c r="H364" s="554"/>
      <c r="I364" s="554"/>
      <c r="J364" s="554"/>
      <c r="K364" s="554"/>
      <c r="L364" s="554"/>
      <c r="M364" s="554"/>
      <c r="N364" s="554"/>
      <c r="O364" s="554"/>
      <c r="P364" s="554"/>
      <c r="Q364" s="554"/>
      <c r="R364" s="554"/>
      <c r="S364" s="554"/>
      <c r="T364" s="554"/>
      <c r="U364" s="554"/>
      <c r="V364" s="554"/>
      <c r="W364" s="554"/>
      <c r="X364" s="554"/>
      <c r="Y364" s="554"/>
      <c r="Z364" s="554"/>
      <c r="AA364" s="554"/>
      <c r="AB364" s="554"/>
      <c r="AC364" s="554"/>
      <c r="AD364" s="554"/>
      <c r="AF364" s="554"/>
      <c r="AG364" s="554"/>
    </row>
    <row r="365" spans="2:33" x14ac:dyDescent="0.25">
      <c r="B365" s="151"/>
      <c r="C365" s="143"/>
      <c r="D365" s="143"/>
      <c r="E365" s="554"/>
      <c r="F365" s="554"/>
      <c r="G365" s="554"/>
      <c r="H365" s="554"/>
      <c r="I365" s="554"/>
      <c r="J365" s="554"/>
      <c r="K365" s="554"/>
      <c r="L365" s="554"/>
      <c r="M365" s="554"/>
      <c r="N365" s="554"/>
      <c r="O365" s="554"/>
      <c r="P365" s="554"/>
      <c r="Q365" s="554"/>
      <c r="R365" s="554"/>
      <c r="S365" s="554"/>
      <c r="T365" s="554"/>
      <c r="U365" s="554"/>
      <c r="V365" s="554"/>
      <c r="W365" s="554"/>
      <c r="X365" s="554"/>
      <c r="Y365" s="554"/>
      <c r="Z365" s="554"/>
      <c r="AA365" s="554"/>
      <c r="AB365" s="554"/>
      <c r="AC365" s="554"/>
      <c r="AD365" s="554"/>
      <c r="AF365" s="554"/>
      <c r="AG365" s="554"/>
    </row>
    <row r="366" spans="2:33" x14ac:dyDescent="0.25">
      <c r="B366" s="151"/>
      <c r="C366" s="143"/>
      <c r="D366" s="143"/>
      <c r="E366" s="554"/>
      <c r="F366" s="554"/>
      <c r="G366" s="554"/>
      <c r="H366" s="554"/>
      <c r="I366" s="554"/>
      <c r="J366" s="554"/>
      <c r="K366" s="554"/>
      <c r="L366" s="554"/>
      <c r="M366" s="554"/>
      <c r="N366" s="554"/>
      <c r="O366" s="554"/>
      <c r="P366" s="554"/>
      <c r="Q366" s="554"/>
      <c r="R366" s="554"/>
      <c r="S366" s="554"/>
      <c r="T366" s="554"/>
      <c r="U366" s="554"/>
      <c r="V366" s="554"/>
      <c r="W366" s="554"/>
      <c r="X366" s="554"/>
      <c r="Y366" s="554"/>
      <c r="Z366" s="554"/>
      <c r="AA366" s="554"/>
      <c r="AB366" s="554"/>
      <c r="AC366" s="554"/>
      <c r="AD366" s="554"/>
      <c r="AF366" s="554"/>
      <c r="AG366" s="554"/>
    </row>
    <row r="367" spans="2:33" x14ac:dyDescent="0.25">
      <c r="B367" s="151"/>
      <c r="C367" s="143"/>
      <c r="D367" s="143"/>
      <c r="E367" s="554"/>
      <c r="F367" s="554"/>
      <c r="G367" s="554"/>
      <c r="H367" s="554"/>
      <c r="I367" s="554"/>
      <c r="J367" s="554"/>
      <c r="K367" s="554"/>
      <c r="L367" s="554"/>
      <c r="M367" s="554"/>
      <c r="N367" s="554"/>
      <c r="O367" s="554"/>
      <c r="P367" s="554"/>
      <c r="Q367" s="554"/>
      <c r="R367" s="554"/>
      <c r="S367" s="554"/>
      <c r="T367" s="554"/>
      <c r="U367" s="554"/>
      <c r="V367" s="554"/>
      <c r="W367" s="554"/>
      <c r="X367" s="554"/>
      <c r="Y367" s="554"/>
      <c r="Z367" s="554"/>
      <c r="AA367" s="554"/>
      <c r="AB367" s="554"/>
      <c r="AC367" s="554"/>
      <c r="AD367" s="554"/>
      <c r="AF367" s="554"/>
      <c r="AG367" s="554"/>
    </row>
    <row r="368" spans="2:33" x14ac:dyDescent="0.25">
      <c r="B368" s="151"/>
      <c r="C368" s="143"/>
      <c r="D368" s="143"/>
      <c r="E368" s="554"/>
      <c r="F368" s="554"/>
      <c r="G368" s="554"/>
      <c r="H368" s="554"/>
      <c r="I368" s="554"/>
      <c r="J368" s="554"/>
      <c r="K368" s="554"/>
      <c r="L368" s="554"/>
      <c r="M368" s="554"/>
      <c r="N368" s="554"/>
      <c r="O368" s="554"/>
      <c r="P368" s="554"/>
      <c r="Q368" s="554"/>
      <c r="R368" s="554"/>
      <c r="S368" s="554"/>
      <c r="T368" s="554"/>
      <c r="U368" s="554"/>
      <c r="V368" s="554"/>
      <c r="W368" s="554"/>
      <c r="X368" s="554"/>
      <c r="Y368" s="554"/>
      <c r="Z368" s="554"/>
      <c r="AA368" s="554"/>
      <c r="AB368" s="554"/>
      <c r="AC368" s="554"/>
      <c r="AD368" s="554"/>
      <c r="AF368" s="554"/>
      <c r="AG368" s="554"/>
    </row>
    <row r="369" spans="2:33" x14ac:dyDescent="0.25">
      <c r="B369" s="151"/>
      <c r="C369" s="143"/>
      <c r="D369" s="143"/>
      <c r="E369" s="554"/>
      <c r="F369" s="554"/>
      <c r="G369" s="554"/>
      <c r="H369" s="554"/>
      <c r="I369" s="554"/>
      <c r="J369" s="554"/>
      <c r="K369" s="554"/>
      <c r="L369" s="554"/>
      <c r="M369" s="554"/>
      <c r="N369" s="554"/>
      <c r="O369" s="554"/>
      <c r="P369" s="554"/>
      <c r="Q369" s="554"/>
      <c r="R369" s="554"/>
      <c r="S369" s="554"/>
      <c r="T369" s="554"/>
      <c r="U369" s="554"/>
      <c r="V369" s="554"/>
      <c r="W369" s="554"/>
      <c r="X369" s="554"/>
      <c r="Y369" s="554"/>
      <c r="Z369" s="554"/>
      <c r="AA369" s="554"/>
      <c r="AB369" s="554"/>
      <c r="AC369" s="554"/>
      <c r="AD369" s="554"/>
      <c r="AF369" s="554"/>
      <c r="AG369" s="554"/>
    </row>
    <row r="370" spans="2:33" x14ac:dyDescent="0.25">
      <c r="B370" s="151"/>
      <c r="C370" s="143"/>
      <c r="D370" s="143"/>
      <c r="E370" s="554"/>
      <c r="F370" s="554"/>
      <c r="G370" s="554"/>
      <c r="H370" s="554"/>
      <c r="I370" s="554"/>
      <c r="J370" s="554"/>
      <c r="K370" s="554"/>
      <c r="L370" s="554"/>
      <c r="M370" s="554"/>
      <c r="N370" s="554"/>
      <c r="O370" s="554"/>
      <c r="P370" s="554"/>
      <c r="Q370" s="554"/>
      <c r="R370" s="554"/>
      <c r="S370" s="554"/>
      <c r="T370" s="554"/>
      <c r="U370" s="554"/>
      <c r="V370" s="554"/>
      <c r="W370" s="554"/>
      <c r="X370" s="554"/>
      <c r="Y370" s="554"/>
      <c r="Z370" s="554"/>
      <c r="AA370" s="554"/>
      <c r="AB370" s="554"/>
      <c r="AC370" s="554"/>
      <c r="AD370" s="554"/>
      <c r="AF370" s="554"/>
      <c r="AG370" s="554"/>
    </row>
    <row r="371" spans="2:33" x14ac:dyDescent="0.25">
      <c r="B371" s="151"/>
      <c r="C371" s="143"/>
      <c r="D371" s="143"/>
      <c r="E371" s="554"/>
      <c r="F371" s="554"/>
      <c r="G371" s="554"/>
      <c r="H371" s="554"/>
      <c r="I371" s="554"/>
      <c r="J371" s="554"/>
      <c r="K371" s="554"/>
      <c r="L371" s="554"/>
      <c r="M371" s="554"/>
      <c r="N371" s="554"/>
      <c r="O371" s="554"/>
      <c r="P371" s="554"/>
      <c r="Q371" s="554"/>
      <c r="R371" s="554"/>
      <c r="S371" s="554"/>
      <c r="T371" s="554"/>
      <c r="U371" s="554"/>
      <c r="V371" s="554"/>
      <c r="W371" s="554"/>
      <c r="X371" s="554"/>
      <c r="Y371" s="554"/>
      <c r="Z371" s="554"/>
      <c r="AA371" s="554"/>
      <c r="AB371" s="554"/>
      <c r="AC371" s="554"/>
      <c r="AD371" s="554"/>
      <c r="AF371" s="554"/>
      <c r="AG371" s="554"/>
    </row>
    <row r="372" spans="2:33" x14ac:dyDescent="0.25">
      <c r="B372" s="151"/>
      <c r="C372" s="143"/>
      <c r="D372" s="143"/>
      <c r="E372" s="554"/>
      <c r="F372" s="554"/>
      <c r="G372" s="554"/>
      <c r="H372" s="554"/>
      <c r="I372" s="554"/>
      <c r="J372" s="554"/>
      <c r="K372" s="554"/>
      <c r="L372" s="554"/>
      <c r="M372" s="554"/>
      <c r="N372" s="554"/>
      <c r="O372" s="554"/>
      <c r="P372" s="554"/>
      <c r="Q372" s="554"/>
      <c r="R372" s="554"/>
      <c r="S372" s="554"/>
      <c r="T372" s="554"/>
      <c r="U372" s="554"/>
      <c r="V372" s="554"/>
      <c r="W372" s="554"/>
      <c r="X372" s="554"/>
      <c r="Y372" s="554"/>
      <c r="Z372" s="554"/>
      <c r="AA372" s="554"/>
      <c r="AB372" s="554"/>
      <c r="AC372" s="554"/>
      <c r="AD372" s="554"/>
      <c r="AF372" s="554"/>
      <c r="AG372" s="554"/>
    </row>
    <row r="373" spans="2:33" x14ac:dyDescent="0.25">
      <c r="B373" s="151"/>
      <c r="C373" s="143"/>
      <c r="D373" s="143"/>
      <c r="E373" s="554"/>
      <c r="F373" s="554"/>
      <c r="G373" s="554"/>
      <c r="H373" s="554"/>
      <c r="I373" s="554"/>
      <c r="J373" s="554"/>
      <c r="K373" s="554"/>
      <c r="L373" s="554"/>
      <c r="M373" s="554"/>
      <c r="N373" s="554"/>
      <c r="O373" s="554"/>
      <c r="P373" s="554"/>
      <c r="Q373" s="554"/>
      <c r="R373" s="554"/>
      <c r="S373" s="554"/>
      <c r="T373" s="554"/>
      <c r="U373" s="554"/>
      <c r="V373" s="554"/>
      <c r="W373" s="554"/>
      <c r="X373" s="554"/>
      <c r="Y373" s="554"/>
      <c r="Z373" s="554"/>
      <c r="AA373" s="554"/>
      <c r="AB373" s="554"/>
      <c r="AC373" s="554"/>
      <c r="AD373" s="554"/>
      <c r="AF373" s="554"/>
      <c r="AG373" s="554"/>
    </row>
    <row r="374" spans="2:33" x14ac:dyDescent="0.25">
      <c r="B374" s="151"/>
      <c r="C374" s="143"/>
      <c r="D374" s="143"/>
      <c r="E374" s="554"/>
      <c r="F374" s="554"/>
      <c r="G374" s="554"/>
      <c r="H374" s="554"/>
      <c r="I374" s="554"/>
      <c r="J374" s="554"/>
      <c r="K374" s="554"/>
      <c r="L374" s="554"/>
      <c r="M374" s="554"/>
      <c r="N374" s="554"/>
      <c r="O374" s="554"/>
      <c r="P374" s="554"/>
      <c r="Q374" s="554"/>
      <c r="R374" s="554"/>
      <c r="S374" s="554"/>
      <c r="T374" s="554"/>
      <c r="U374" s="554"/>
      <c r="V374" s="554"/>
      <c r="W374" s="554"/>
      <c r="X374" s="554"/>
      <c r="Y374" s="554"/>
      <c r="Z374" s="554"/>
      <c r="AA374" s="554"/>
      <c r="AB374" s="554"/>
      <c r="AC374" s="554"/>
      <c r="AD374" s="554"/>
      <c r="AF374" s="554"/>
      <c r="AG374" s="554"/>
    </row>
    <row r="375" spans="2:33" x14ac:dyDescent="0.25">
      <c r="B375" s="151"/>
      <c r="C375" s="143"/>
      <c r="D375" s="143"/>
      <c r="E375" s="554"/>
      <c r="F375" s="554"/>
      <c r="G375" s="554"/>
      <c r="H375" s="554"/>
      <c r="I375" s="554"/>
      <c r="J375" s="554"/>
      <c r="K375" s="554"/>
      <c r="L375" s="554"/>
      <c r="M375" s="554"/>
      <c r="N375" s="554"/>
      <c r="O375" s="554"/>
      <c r="P375" s="554"/>
      <c r="Q375" s="554"/>
      <c r="R375" s="554"/>
      <c r="S375" s="554"/>
      <c r="T375" s="554"/>
      <c r="U375" s="554"/>
      <c r="V375" s="554"/>
      <c r="W375" s="554"/>
      <c r="X375" s="554"/>
      <c r="Y375" s="554"/>
      <c r="Z375" s="554"/>
      <c r="AA375" s="554"/>
      <c r="AB375" s="554"/>
      <c r="AC375" s="554"/>
      <c r="AD375" s="554"/>
      <c r="AF375" s="554"/>
      <c r="AG375" s="554"/>
    </row>
    <row r="376" spans="2:33" x14ac:dyDescent="0.25">
      <c r="B376" s="151"/>
      <c r="C376" s="143"/>
      <c r="D376" s="143"/>
      <c r="E376" s="554"/>
      <c r="F376" s="554"/>
      <c r="G376" s="554"/>
      <c r="H376" s="554"/>
      <c r="I376" s="554"/>
      <c r="J376" s="554"/>
      <c r="K376" s="554"/>
      <c r="L376" s="554"/>
      <c r="M376" s="554"/>
      <c r="N376" s="554"/>
      <c r="O376" s="554"/>
      <c r="P376" s="554"/>
      <c r="Q376" s="554"/>
      <c r="R376" s="554"/>
      <c r="S376" s="554"/>
      <c r="T376" s="554"/>
      <c r="U376" s="554"/>
      <c r="V376" s="554"/>
      <c r="W376" s="554"/>
      <c r="X376" s="554"/>
      <c r="Y376" s="554"/>
      <c r="Z376" s="554"/>
      <c r="AA376" s="554"/>
      <c r="AB376" s="554"/>
      <c r="AC376" s="554"/>
      <c r="AD376" s="554"/>
      <c r="AF376" s="554"/>
      <c r="AG376" s="554"/>
    </row>
    <row r="377" spans="2:33" x14ac:dyDescent="0.25">
      <c r="B377" s="151"/>
      <c r="C377" s="143"/>
      <c r="D377" s="143"/>
      <c r="E377" s="554"/>
      <c r="F377" s="554"/>
      <c r="G377" s="554"/>
      <c r="H377" s="554"/>
      <c r="I377" s="554"/>
      <c r="J377" s="554"/>
      <c r="K377" s="554"/>
      <c r="L377" s="554"/>
      <c r="M377" s="554"/>
      <c r="N377" s="554"/>
      <c r="O377" s="554"/>
      <c r="P377" s="554"/>
      <c r="Q377" s="554"/>
      <c r="R377" s="554"/>
      <c r="S377" s="554"/>
      <c r="T377" s="554"/>
      <c r="U377" s="554"/>
      <c r="V377" s="554"/>
      <c r="W377" s="554"/>
      <c r="X377" s="554"/>
      <c r="Y377" s="554"/>
      <c r="Z377" s="554"/>
      <c r="AA377" s="554"/>
      <c r="AB377" s="554"/>
      <c r="AC377" s="554"/>
      <c r="AD377" s="554"/>
      <c r="AF377" s="554"/>
      <c r="AG377" s="554"/>
    </row>
    <row r="378" spans="2:33" x14ac:dyDescent="0.25">
      <c r="B378" s="151"/>
      <c r="C378" s="143"/>
      <c r="D378" s="143"/>
      <c r="E378" s="554"/>
      <c r="F378" s="554"/>
      <c r="G378" s="554"/>
      <c r="H378" s="554"/>
      <c r="I378" s="554"/>
      <c r="J378" s="554"/>
      <c r="K378" s="554"/>
      <c r="L378" s="554"/>
      <c r="M378" s="554"/>
      <c r="N378" s="554"/>
      <c r="O378" s="554"/>
      <c r="P378" s="554"/>
      <c r="Q378" s="554"/>
      <c r="R378" s="554"/>
      <c r="S378" s="554"/>
      <c r="T378" s="554"/>
      <c r="U378" s="554"/>
      <c r="V378" s="554"/>
      <c r="W378" s="554"/>
      <c r="X378" s="554"/>
      <c r="Y378" s="554"/>
      <c r="Z378" s="554"/>
      <c r="AA378" s="554"/>
      <c r="AB378" s="554"/>
      <c r="AC378" s="554"/>
      <c r="AD378" s="554"/>
      <c r="AF378" s="554"/>
      <c r="AG378" s="554"/>
    </row>
    <row r="379" spans="2:33" x14ac:dyDescent="0.25">
      <c r="B379" s="151"/>
      <c r="C379" s="143"/>
      <c r="D379" s="143"/>
      <c r="E379" s="554"/>
      <c r="F379" s="554"/>
      <c r="G379" s="554"/>
      <c r="H379" s="554"/>
      <c r="I379" s="554"/>
      <c r="J379" s="554"/>
      <c r="K379" s="554"/>
      <c r="L379" s="554"/>
      <c r="M379" s="554"/>
      <c r="N379" s="554"/>
      <c r="O379" s="554"/>
      <c r="P379" s="554"/>
      <c r="Q379" s="554"/>
      <c r="R379" s="554"/>
      <c r="S379" s="554"/>
      <c r="T379" s="554"/>
      <c r="U379" s="554"/>
      <c r="V379" s="554"/>
      <c r="W379" s="554"/>
      <c r="X379" s="554"/>
      <c r="Y379" s="554"/>
      <c r="Z379" s="554"/>
      <c r="AA379" s="554"/>
      <c r="AB379" s="554"/>
      <c r="AC379" s="554"/>
      <c r="AD379" s="554"/>
      <c r="AF379" s="554"/>
      <c r="AG379" s="554"/>
    </row>
    <row r="380" spans="2:33" x14ac:dyDescent="0.25">
      <c r="B380" s="151"/>
      <c r="C380" s="143"/>
      <c r="D380" s="143"/>
      <c r="E380" s="554"/>
      <c r="F380" s="554"/>
      <c r="G380" s="554"/>
      <c r="H380" s="554"/>
      <c r="I380" s="554"/>
      <c r="J380" s="554"/>
      <c r="K380" s="554"/>
      <c r="L380" s="554"/>
      <c r="M380" s="554"/>
      <c r="N380" s="554"/>
      <c r="O380" s="554"/>
      <c r="P380" s="554"/>
      <c r="Q380" s="554"/>
      <c r="R380" s="554"/>
      <c r="S380" s="554"/>
      <c r="T380" s="554"/>
      <c r="U380" s="554"/>
      <c r="V380" s="554"/>
      <c r="W380" s="554"/>
      <c r="X380" s="554"/>
      <c r="Y380" s="554"/>
      <c r="Z380" s="554"/>
      <c r="AA380" s="554"/>
      <c r="AB380" s="554"/>
      <c r="AC380" s="554"/>
      <c r="AD380" s="554"/>
      <c r="AF380" s="554"/>
      <c r="AG380" s="554"/>
    </row>
    <row r="381" spans="2:33" x14ac:dyDescent="0.25">
      <c r="B381" s="151"/>
      <c r="C381" s="143"/>
      <c r="D381" s="143"/>
      <c r="E381" s="554"/>
      <c r="F381" s="554"/>
      <c r="G381" s="554"/>
      <c r="H381" s="554"/>
      <c r="I381" s="554"/>
      <c r="J381" s="554"/>
      <c r="K381" s="554"/>
      <c r="L381" s="554"/>
      <c r="M381" s="554"/>
      <c r="N381" s="554"/>
      <c r="O381" s="554"/>
      <c r="P381" s="554"/>
      <c r="Q381" s="554"/>
      <c r="R381" s="554"/>
      <c r="S381" s="554"/>
      <c r="T381" s="554"/>
      <c r="U381" s="554"/>
      <c r="V381" s="554"/>
      <c r="W381" s="554"/>
      <c r="X381" s="554"/>
      <c r="Y381" s="554"/>
      <c r="Z381" s="554"/>
      <c r="AA381" s="554"/>
      <c r="AB381" s="554"/>
      <c r="AC381" s="554"/>
      <c r="AD381" s="554"/>
      <c r="AF381" s="554"/>
      <c r="AG381" s="554"/>
    </row>
    <row r="382" spans="2:33" x14ac:dyDescent="0.25">
      <c r="B382" s="151"/>
      <c r="C382" s="143"/>
      <c r="D382" s="143"/>
      <c r="E382" s="554"/>
      <c r="F382" s="554"/>
      <c r="G382" s="554"/>
      <c r="H382" s="554"/>
      <c r="I382" s="554"/>
      <c r="J382" s="554"/>
      <c r="K382" s="554"/>
      <c r="L382" s="554"/>
      <c r="M382" s="554"/>
      <c r="N382" s="554"/>
      <c r="O382" s="554"/>
      <c r="P382" s="554"/>
      <c r="Q382" s="554"/>
      <c r="R382" s="554"/>
      <c r="S382" s="554"/>
      <c r="T382" s="554"/>
      <c r="U382" s="554"/>
      <c r="V382" s="554"/>
      <c r="W382" s="554"/>
      <c r="X382" s="554"/>
      <c r="Y382" s="554"/>
      <c r="Z382" s="554"/>
      <c r="AA382" s="554"/>
      <c r="AB382" s="554"/>
      <c r="AC382" s="554"/>
      <c r="AD382" s="554"/>
      <c r="AF382" s="554"/>
      <c r="AG382" s="554"/>
    </row>
    <row r="383" spans="2:33" x14ac:dyDescent="0.25">
      <c r="B383" s="151"/>
      <c r="C383" s="143"/>
      <c r="D383" s="143"/>
      <c r="E383" s="554"/>
      <c r="F383" s="554"/>
      <c r="G383" s="554"/>
      <c r="H383" s="554"/>
      <c r="I383" s="554"/>
      <c r="J383" s="554"/>
      <c r="K383" s="554"/>
      <c r="L383" s="554"/>
      <c r="M383" s="554"/>
      <c r="N383" s="554"/>
      <c r="O383" s="554"/>
      <c r="P383" s="554"/>
      <c r="Q383" s="554"/>
      <c r="R383" s="554"/>
      <c r="S383" s="554"/>
      <c r="T383" s="554"/>
      <c r="U383" s="554"/>
      <c r="V383" s="554"/>
      <c r="W383" s="554"/>
      <c r="X383" s="554"/>
      <c r="Y383" s="554"/>
      <c r="Z383" s="554"/>
      <c r="AA383" s="554"/>
      <c r="AB383" s="554"/>
      <c r="AC383" s="554"/>
      <c r="AD383" s="554"/>
      <c r="AF383" s="554"/>
      <c r="AG383" s="554"/>
    </row>
    <row r="384" spans="2:33" x14ac:dyDescent="0.25">
      <c r="B384" s="151"/>
      <c r="C384" s="143"/>
      <c r="D384" s="143"/>
      <c r="E384" s="554"/>
      <c r="F384" s="554"/>
      <c r="G384" s="554"/>
      <c r="H384" s="554"/>
      <c r="I384" s="554"/>
      <c r="J384" s="554"/>
      <c r="K384" s="554"/>
      <c r="L384" s="554"/>
      <c r="M384" s="554"/>
      <c r="N384" s="554"/>
      <c r="O384" s="554"/>
      <c r="P384" s="554"/>
      <c r="Q384" s="554"/>
      <c r="R384" s="554"/>
      <c r="S384" s="554"/>
      <c r="T384" s="554"/>
      <c r="U384" s="554"/>
      <c r="V384" s="554"/>
      <c r="W384" s="554"/>
      <c r="X384" s="554"/>
      <c r="Y384" s="554"/>
      <c r="Z384" s="554"/>
      <c r="AA384" s="554"/>
      <c r="AB384" s="554"/>
      <c r="AC384" s="554"/>
      <c r="AD384" s="554"/>
      <c r="AF384" s="554"/>
      <c r="AG384" s="554"/>
    </row>
    <row r="385" spans="2:33" x14ac:dyDescent="0.25">
      <c r="B385" s="151"/>
      <c r="C385" s="143"/>
      <c r="D385" s="143"/>
      <c r="E385" s="554"/>
      <c r="F385" s="554"/>
      <c r="G385" s="554"/>
      <c r="H385" s="554"/>
      <c r="I385" s="554"/>
      <c r="J385" s="554"/>
      <c r="K385" s="554"/>
      <c r="L385" s="554"/>
      <c r="M385" s="554"/>
      <c r="N385" s="554"/>
      <c r="O385" s="554"/>
      <c r="P385" s="554"/>
      <c r="Q385" s="554"/>
      <c r="R385" s="554"/>
      <c r="S385" s="554"/>
      <c r="T385" s="554"/>
      <c r="U385" s="554"/>
      <c r="V385" s="554"/>
      <c r="W385" s="554"/>
      <c r="X385" s="554"/>
      <c r="Y385" s="554"/>
      <c r="Z385" s="554"/>
      <c r="AA385" s="554"/>
      <c r="AB385" s="554"/>
      <c r="AC385" s="554"/>
      <c r="AD385" s="554"/>
      <c r="AF385" s="554"/>
      <c r="AG385" s="554"/>
    </row>
    <row r="386" spans="2:33" x14ac:dyDescent="0.25">
      <c r="B386" s="151"/>
      <c r="C386" s="143"/>
      <c r="D386" s="143"/>
      <c r="E386" s="554"/>
      <c r="F386" s="554"/>
      <c r="G386" s="554"/>
      <c r="H386" s="554"/>
      <c r="I386" s="554"/>
      <c r="J386" s="554"/>
      <c r="K386" s="554"/>
      <c r="L386" s="554"/>
      <c r="M386" s="554"/>
      <c r="N386" s="554"/>
      <c r="O386" s="554"/>
      <c r="P386" s="554"/>
      <c r="Q386" s="554"/>
      <c r="R386" s="554"/>
      <c r="S386" s="554"/>
      <c r="T386" s="554"/>
      <c r="U386" s="554"/>
      <c r="V386" s="554"/>
      <c r="W386" s="554"/>
      <c r="X386" s="554"/>
      <c r="Y386" s="554"/>
      <c r="Z386" s="554"/>
      <c r="AA386" s="554"/>
      <c r="AB386" s="554"/>
      <c r="AC386" s="554"/>
      <c r="AD386" s="554"/>
      <c r="AF386" s="554"/>
      <c r="AG386" s="554"/>
    </row>
    <row r="387" spans="2:33" x14ac:dyDescent="0.25">
      <c r="B387" s="151"/>
      <c r="C387" s="143"/>
      <c r="D387" s="143"/>
      <c r="E387" s="554"/>
      <c r="F387" s="554"/>
      <c r="G387" s="554"/>
      <c r="H387" s="554"/>
      <c r="I387" s="554"/>
      <c r="J387" s="554"/>
      <c r="K387" s="554"/>
      <c r="L387" s="554"/>
      <c r="M387" s="554"/>
      <c r="N387" s="554"/>
      <c r="O387" s="554"/>
      <c r="P387" s="554"/>
      <c r="Q387" s="554"/>
      <c r="R387" s="554"/>
      <c r="S387" s="554"/>
      <c r="T387" s="554"/>
      <c r="U387" s="554"/>
      <c r="V387" s="554"/>
      <c r="W387" s="554"/>
      <c r="X387" s="554"/>
      <c r="Y387" s="554"/>
      <c r="Z387" s="554"/>
      <c r="AA387" s="554"/>
      <c r="AB387" s="554"/>
      <c r="AC387" s="554"/>
      <c r="AD387" s="554"/>
      <c r="AF387" s="554"/>
      <c r="AG387" s="554"/>
    </row>
    <row r="388" spans="2:33" x14ac:dyDescent="0.25">
      <c r="B388" s="151"/>
      <c r="C388" s="143"/>
      <c r="D388" s="143"/>
      <c r="E388" s="554"/>
      <c r="F388" s="554"/>
      <c r="G388" s="554"/>
      <c r="H388" s="554"/>
      <c r="I388" s="554"/>
      <c r="J388" s="554"/>
      <c r="K388" s="554"/>
      <c r="L388" s="554"/>
      <c r="M388" s="554"/>
      <c r="N388" s="554"/>
      <c r="O388" s="554"/>
      <c r="P388" s="554"/>
      <c r="Q388" s="554"/>
      <c r="R388" s="554"/>
      <c r="S388" s="554"/>
      <c r="T388" s="554"/>
      <c r="U388" s="554"/>
      <c r="V388" s="554"/>
      <c r="W388" s="554"/>
      <c r="X388" s="554"/>
      <c r="Y388" s="554"/>
      <c r="Z388" s="554"/>
      <c r="AA388" s="554"/>
      <c r="AB388" s="554"/>
      <c r="AC388" s="554"/>
      <c r="AD388" s="554"/>
      <c r="AF388" s="554"/>
      <c r="AG388" s="554"/>
    </row>
    <row r="389" spans="2:33" x14ac:dyDescent="0.25">
      <c r="B389" s="151"/>
      <c r="C389" s="143"/>
      <c r="D389" s="143"/>
      <c r="E389" s="554"/>
      <c r="F389" s="554"/>
      <c r="G389" s="554"/>
      <c r="H389" s="554"/>
      <c r="I389" s="554"/>
      <c r="J389" s="554"/>
      <c r="K389" s="554"/>
      <c r="L389" s="554"/>
      <c r="M389" s="554"/>
      <c r="N389" s="554"/>
      <c r="O389" s="554"/>
      <c r="P389" s="554"/>
      <c r="Q389" s="554"/>
      <c r="R389" s="554"/>
      <c r="S389" s="554"/>
      <c r="T389" s="554"/>
      <c r="U389" s="554"/>
      <c r="V389" s="554"/>
      <c r="W389" s="554"/>
      <c r="X389" s="554"/>
      <c r="Y389" s="554"/>
      <c r="Z389" s="554"/>
      <c r="AA389" s="554"/>
      <c r="AB389" s="554"/>
      <c r="AC389" s="554"/>
      <c r="AD389" s="554"/>
      <c r="AF389" s="554"/>
      <c r="AG389" s="554"/>
    </row>
    <row r="390" spans="2:33" x14ac:dyDescent="0.25">
      <c r="B390" s="151"/>
      <c r="C390" s="143"/>
      <c r="D390" s="143"/>
      <c r="E390" s="554"/>
      <c r="F390" s="554"/>
      <c r="G390" s="554"/>
      <c r="H390" s="554"/>
      <c r="I390" s="554"/>
      <c r="J390" s="554"/>
      <c r="K390" s="554"/>
      <c r="L390" s="554"/>
      <c r="M390" s="554"/>
      <c r="N390" s="554"/>
      <c r="O390" s="554"/>
      <c r="P390" s="554"/>
      <c r="Q390" s="554"/>
      <c r="R390" s="554"/>
      <c r="S390" s="554"/>
      <c r="T390" s="554"/>
      <c r="U390" s="554"/>
      <c r="V390" s="554"/>
      <c r="W390" s="554"/>
      <c r="X390" s="554"/>
      <c r="Y390" s="554"/>
      <c r="Z390" s="554"/>
      <c r="AA390" s="554"/>
      <c r="AB390" s="554"/>
      <c r="AC390" s="554"/>
      <c r="AD390" s="554"/>
      <c r="AF390" s="554"/>
      <c r="AG390" s="554"/>
    </row>
    <row r="391" spans="2:33" x14ac:dyDescent="0.25">
      <c r="B391" s="151"/>
      <c r="C391" s="143"/>
      <c r="D391" s="143"/>
      <c r="E391" s="554"/>
      <c r="F391" s="554"/>
      <c r="G391" s="554"/>
      <c r="H391" s="554"/>
      <c r="I391" s="554"/>
      <c r="J391" s="554"/>
      <c r="K391" s="554"/>
      <c r="L391" s="554"/>
      <c r="M391" s="554"/>
      <c r="N391" s="554"/>
      <c r="O391" s="554"/>
      <c r="P391" s="554"/>
      <c r="Q391" s="554"/>
      <c r="R391" s="554"/>
      <c r="S391" s="554"/>
      <c r="T391" s="554"/>
      <c r="U391" s="554"/>
      <c r="V391" s="554"/>
      <c r="W391" s="554"/>
      <c r="X391" s="554"/>
      <c r="Y391" s="554"/>
      <c r="Z391" s="554"/>
      <c r="AA391" s="554"/>
      <c r="AB391" s="554"/>
      <c r="AC391" s="554"/>
      <c r="AD391" s="554"/>
      <c r="AF391" s="554"/>
      <c r="AG391" s="554"/>
    </row>
    <row r="392" spans="2:33" x14ac:dyDescent="0.25">
      <c r="B392" s="151"/>
      <c r="C392" s="143"/>
      <c r="D392" s="143"/>
      <c r="E392" s="554"/>
      <c r="F392" s="554"/>
      <c r="G392" s="554"/>
      <c r="H392" s="554"/>
      <c r="I392" s="554"/>
      <c r="J392" s="554"/>
      <c r="K392" s="554"/>
      <c r="L392" s="554"/>
      <c r="M392" s="554"/>
      <c r="N392" s="554"/>
      <c r="O392" s="554"/>
      <c r="P392" s="554"/>
      <c r="Q392" s="554"/>
      <c r="R392" s="554"/>
      <c r="S392" s="554"/>
      <c r="T392" s="554"/>
      <c r="U392" s="554"/>
      <c r="V392" s="554"/>
      <c r="W392" s="554"/>
      <c r="X392" s="554"/>
      <c r="Y392" s="554"/>
      <c r="Z392" s="554"/>
      <c r="AA392" s="554"/>
      <c r="AB392" s="554"/>
      <c r="AC392" s="554"/>
      <c r="AD392" s="554"/>
      <c r="AF392" s="554"/>
      <c r="AG392" s="554"/>
    </row>
    <row r="393" spans="2:33" x14ac:dyDescent="0.25">
      <c r="B393" s="151"/>
      <c r="C393" s="143"/>
      <c r="D393" s="143"/>
      <c r="E393" s="554"/>
      <c r="F393" s="554"/>
      <c r="G393" s="554"/>
      <c r="H393" s="554"/>
      <c r="I393" s="554"/>
      <c r="J393" s="554"/>
      <c r="K393" s="554"/>
      <c r="L393" s="554"/>
      <c r="M393" s="554"/>
      <c r="N393" s="554"/>
      <c r="O393" s="554"/>
      <c r="P393" s="554"/>
      <c r="Q393" s="554"/>
      <c r="R393" s="554"/>
      <c r="S393" s="554"/>
      <c r="T393" s="554"/>
      <c r="U393" s="554"/>
      <c r="V393" s="554"/>
      <c r="W393" s="554"/>
      <c r="X393" s="554"/>
      <c r="Y393" s="554"/>
      <c r="Z393" s="554"/>
      <c r="AA393" s="554"/>
      <c r="AB393" s="554"/>
      <c r="AC393" s="554"/>
      <c r="AD393" s="554"/>
      <c r="AF393" s="554"/>
      <c r="AG393" s="554"/>
    </row>
  </sheetData>
  <printOptions horizontalCentered="1"/>
  <pageMargins left="0.5" right="0.5" top="0.5" bottom="0.5" header="0.25" footer="0.25"/>
  <pageSetup scale="60" orientation="landscape" r:id="rId1"/>
  <headerFooter alignWithMargins="0">
    <oddHeader>&amp;R&amp;"Arial,Regular"NWN WUTC Advice 25-08
Exhibit A - Supporting Materials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33FA-B32D-48F5-B9AE-87CB9EDB2F31}">
  <sheetPr>
    <tabColor theme="0" tint="-0.14999847407452621"/>
    <pageSetUpPr fitToPage="1"/>
  </sheetPr>
  <dimension ref="A1:H49"/>
  <sheetViews>
    <sheetView zoomScale="90" zoomScaleNormal="90" workbookViewId="0">
      <pane xSplit="3" ySplit="11" topLeftCell="D12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10.1640625" defaultRowHeight="15" x14ac:dyDescent="0.25"/>
  <cols>
    <col min="1" max="1" width="10.1640625" style="582"/>
    <col min="2" max="2" width="24.33203125" style="582" customWidth="1"/>
    <col min="3" max="3" width="33.33203125" style="582" customWidth="1"/>
    <col min="4" max="4" width="18.1640625" style="582" customWidth="1"/>
    <col min="5" max="5" width="5" style="582" customWidth="1"/>
    <col min="6" max="6" width="18.1640625" style="582" customWidth="1"/>
    <col min="7" max="22" width="14.83203125" style="582" customWidth="1"/>
    <col min="23" max="16384" width="10.1640625" style="582"/>
  </cols>
  <sheetData>
    <row r="1" spans="1:8" x14ac:dyDescent="0.25">
      <c r="A1" s="582" t="str">
        <f>+'[14]Supply Contracts'!A1</f>
        <v>NW Natural</v>
      </c>
    </row>
    <row r="2" spans="1:8" x14ac:dyDescent="0.25">
      <c r="A2" s="582" t="str">
        <f>+'Total Commodity Summary'!A2</f>
        <v>2025-2026 PGA - SYSTEM: September Filing</v>
      </c>
    </row>
    <row r="3" spans="1:8" x14ac:dyDescent="0.25">
      <c r="A3" s="582" t="s">
        <v>446</v>
      </c>
    </row>
    <row r="4" spans="1:8" x14ac:dyDescent="0.25">
      <c r="A4" s="628" t="s">
        <v>374</v>
      </c>
    </row>
    <row r="6" spans="1:8" x14ac:dyDescent="0.25">
      <c r="A6" s="583" t="s">
        <v>447</v>
      </c>
    </row>
    <row r="8" spans="1:8" x14ac:dyDescent="0.25">
      <c r="A8" s="583"/>
    </row>
    <row r="9" spans="1:8" x14ac:dyDescent="0.25">
      <c r="A9" s="581">
        <v>1</v>
      </c>
      <c r="D9" s="581" t="s">
        <v>448</v>
      </c>
      <c r="E9" s="581"/>
      <c r="F9" s="581" t="s">
        <v>449</v>
      </c>
    </row>
    <row r="10" spans="1:8" x14ac:dyDescent="0.25">
      <c r="A10" s="581">
        <v>2</v>
      </c>
      <c r="D10" s="581" t="s">
        <v>450</v>
      </c>
      <c r="E10" s="581"/>
      <c r="F10" s="581" t="s">
        <v>450</v>
      </c>
    </row>
    <row r="11" spans="1:8" x14ac:dyDescent="0.25">
      <c r="A11" s="581">
        <v>3</v>
      </c>
      <c r="B11" s="627" t="s">
        <v>331</v>
      </c>
      <c r="C11" s="627" t="s">
        <v>330</v>
      </c>
      <c r="D11" s="627" t="s">
        <v>329</v>
      </c>
      <c r="E11" s="627"/>
      <c r="F11" s="627" t="s">
        <v>328</v>
      </c>
      <c r="G11" s="627"/>
      <c r="H11" s="627"/>
    </row>
    <row r="12" spans="1:8" x14ac:dyDescent="0.25">
      <c r="A12" s="581">
        <v>4</v>
      </c>
      <c r="B12" s="582" t="s">
        <v>451</v>
      </c>
      <c r="D12" s="619">
        <f>'Demand Charges'!P30</f>
        <v>79158822.046191379</v>
      </c>
    </row>
    <row r="13" spans="1:8" x14ac:dyDescent="0.25">
      <c r="A13" s="581">
        <v>5</v>
      </c>
      <c r="B13" s="582" t="s">
        <v>452</v>
      </c>
      <c r="D13" s="623">
        <f>C34</f>
        <v>0.11119999999999999</v>
      </c>
    </row>
    <row r="14" spans="1:8" x14ac:dyDescent="0.25">
      <c r="A14" s="581">
        <v>6</v>
      </c>
      <c r="B14" s="582" t="s">
        <v>453</v>
      </c>
      <c r="D14" s="619">
        <f>ROUND(D12*D13,0)</f>
        <v>8802461</v>
      </c>
    </row>
    <row r="15" spans="1:8" x14ac:dyDescent="0.25">
      <c r="A15" s="581">
        <v>7</v>
      </c>
    </row>
    <row r="16" spans="1:8" x14ac:dyDescent="0.25">
      <c r="A16" s="581">
        <v>8</v>
      </c>
      <c r="B16" s="582" t="s">
        <v>454</v>
      </c>
      <c r="D16" s="624">
        <f>+'[14]General Inputs'!E68</f>
        <v>90908754.469081819</v>
      </c>
    </row>
    <row r="17" spans="1:8" x14ac:dyDescent="0.25">
      <c r="A17" s="581">
        <v>9</v>
      </c>
      <c r="B17" s="582" t="s">
        <v>455</v>
      </c>
      <c r="D17" s="624">
        <f>+'[14]General Inputs'!E69</f>
        <v>1147774.976154</v>
      </c>
    </row>
    <row r="18" spans="1:8" x14ac:dyDescent="0.25">
      <c r="A18" s="581">
        <v>10</v>
      </c>
    </row>
    <row r="19" spans="1:8" x14ac:dyDescent="0.25">
      <c r="A19" s="581">
        <v>11</v>
      </c>
    </row>
    <row r="20" spans="1:8" x14ac:dyDescent="0.25">
      <c r="A20" s="581">
        <v>12</v>
      </c>
      <c r="B20" s="582" t="s">
        <v>456</v>
      </c>
      <c r="D20" s="621">
        <f>ROUND(F40/D16,5)</f>
        <v>9.5949999999999994E-2</v>
      </c>
      <c r="F20" s="621">
        <f>ROUND(D20/(1-wa_revsens),5)</f>
        <v>0.10032000000000001</v>
      </c>
      <c r="G20" s="621"/>
    </row>
    <row r="21" spans="1:8" x14ac:dyDescent="0.25">
      <c r="A21" s="581">
        <v>13</v>
      </c>
      <c r="B21" s="582" t="s">
        <v>457</v>
      </c>
      <c r="D21" s="621">
        <f>ROUND(F41/D17,5)</f>
        <v>3.3529999999999997E-2</v>
      </c>
      <c r="F21" s="621">
        <f>ROUND(D21/(1-wa_revsens),5)</f>
        <v>3.5060000000000001E-2</v>
      </c>
      <c r="G21" s="621"/>
    </row>
    <row r="22" spans="1:8" x14ac:dyDescent="0.25">
      <c r="A22" s="581">
        <v>14</v>
      </c>
      <c r="B22" s="582" t="s">
        <v>458</v>
      </c>
      <c r="D22" s="626">
        <f>ROUND(D26*(1+D28),2)</f>
        <v>1.43</v>
      </c>
      <c r="F22" s="626">
        <f>ROUND(D22/(1-wa_revsens),2)</f>
        <v>1.5</v>
      </c>
    </row>
    <row r="23" spans="1:8" x14ac:dyDescent="0.25">
      <c r="A23" s="581">
        <v>15</v>
      </c>
    </row>
    <row r="24" spans="1:8" x14ac:dyDescent="0.25">
      <c r="A24" s="581">
        <v>16</v>
      </c>
      <c r="B24" s="582" t="s">
        <v>459</v>
      </c>
      <c r="D24" s="621">
        <f>+'[14]General Inputs'!D77</f>
        <v>9.887E-2</v>
      </c>
      <c r="F24" s="621">
        <f>+'[14]General Inputs'!E77</f>
        <v>0.10337</v>
      </c>
      <c r="H24" s="621"/>
    </row>
    <row r="25" spans="1:8" x14ac:dyDescent="0.25">
      <c r="A25" s="581">
        <v>17</v>
      </c>
      <c r="B25" s="582" t="s">
        <v>460</v>
      </c>
      <c r="D25" s="621">
        <f>+'[14]General Inputs'!D78</f>
        <v>3.4549999999999997E-2</v>
      </c>
      <c r="F25" s="621">
        <f>+'[14]General Inputs'!E78</f>
        <v>3.6119999999999999E-2</v>
      </c>
      <c r="G25" s="621"/>
    </row>
    <row r="26" spans="1:8" x14ac:dyDescent="0.25">
      <c r="A26" s="581">
        <v>18</v>
      </c>
      <c r="B26" s="582" t="s">
        <v>461</v>
      </c>
      <c r="D26" s="626">
        <f>+'[14]General Inputs'!D79</f>
        <v>1.47</v>
      </c>
      <c r="E26" s="626"/>
      <c r="F26" s="626">
        <f>+'[14]General Inputs'!E79</f>
        <v>1.54</v>
      </c>
    </row>
    <row r="27" spans="1:8" x14ac:dyDescent="0.25">
      <c r="A27" s="581">
        <v>19</v>
      </c>
    </row>
    <row r="28" spans="1:8" x14ac:dyDescent="0.25">
      <c r="A28" s="581">
        <v>20</v>
      </c>
      <c r="B28" s="582" t="s">
        <v>462</v>
      </c>
      <c r="D28" s="203">
        <f>ROUND((D20-D24)/D24,4)</f>
        <v>-2.9499999999999998E-2</v>
      </c>
      <c r="F28" s="203"/>
    </row>
    <row r="29" spans="1:8" x14ac:dyDescent="0.25">
      <c r="A29" s="581">
        <v>21</v>
      </c>
    </row>
    <row r="30" spans="1:8" x14ac:dyDescent="0.25">
      <c r="A30" s="581">
        <v>22</v>
      </c>
    </row>
    <row r="31" spans="1:8" x14ac:dyDescent="0.25">
      <c r="A31" s="581">
        <v>23</v>
      </c>
      <c r="B31" s="582" t="s">
        <v>463</v>
      </c>
    </row>
    <row r="32" spans="1:8" x14ac:dyDescent="0.25">
      <c r="A32" s="581">
        <v>24</v>
      </c>
      <c r="C32" s="625" t="s">
        <v>2</v>
      </c>
      <c r="D32" s="625" t="s">
        <v>464</v>
      </c>
      <c r="E32" s="625"/>
      <c r="F32" s="625" t="s">
        <v>465</v>
      </c>
    </row>
    <row r="33" spans="1:6" x14ac:dyDescent="0.25">
      <c r="A33" s="581">
        <v>25</v>
      </c>
      <c r="B33" s="582" t="s">
        <v>466</v>
      </c>
      <c r="C33" s="624">
        <f>'[14]General Inputs'!E68</f>
        <v>90908754.469081819</v>
      </c>
      <c r="D33" s="624">
        <f>'[14]General Inputs'!D68</f>
        <v>726491658.36307311</v>
      </c>
      <c r="F33" s="624">
        <f>+C33+D33</f>
        <v>817400412.83215499</v>
      </c>
    </row>
    <row r="34" spans="1:6" x14ac:dyDescent="0.25">
      <c r="A34" s="581">
        <v>26</v>
      </c>
      <c r="C34" s="623">
        <f>ROUND(C33/F33,4)</f>
        <v>0.11119999999999999</v>
      </c>
      <c r="D34" s="623">
        <f>1-C34</f>
        <v>0.88880000000000003</v>
      </c>
      <c r="F34" s="623">
        <f>+C34+D34</f>
        <v>1</v>
      </c>
    </row>
    <row r="35" spans="1:6" x14ac:dyDescent="0.25">
      <c r="A35" s="581">
        <v>27</v>
      </c>
      <c r="C35" s="623"/>
      <c r="D35" s="623"/>
      <c r="F35" s="623"/>
    </row>
    <row r="36" spans="1:6" x14ac:dyDescent="0.25">
      <c r="A36" s="581">
        <v>28</v>
      </c>
      <c r="B36" s="582" t="s">
        <v>467</v>
      </c>
      <c r="C36" s="623"/>
      <c r="D36" s="623"/>
      <c r="F36" s="623"/>
    </row>
    <row r="37" spans="1:6" x14ac:dyDescent="0.25">
      <c r="A37" s="581">
        <v>29</v>
      </c>
    </row>
    <row r="38" spans="1:6" x14ac:dyDescent="0.25">
      <c r="A38" s="581">
        <v>30</v>
      </c>
      <c r="B38" s="582" t="s">
        <v>468</v>
      </c>
      <c r="D38" s="622">
        <v>0.97051014351712728</v>
      </c>
    </row>
    <row r="39" spans="1:6" x14ac:dyDescent="0.25">
      <c r="A39" s="581">
        <v>31</v>
      </c>
    </row>
    <row r="40" spans="1:6" x14ac:dyDescent="0.25">
      <c r="A40" s="581">
        <v>32</v>
      </c>
      <c r="B40" s="582" t="s">
        <v>469</v>
      </c>
      <c r="D40" s="621">
        <f>+D38*D24</f>
        <v>9.5954337889538374E-2</v>
      </c>
      <c r="F40" s="619">
        <f>ROUND(+D40*D16,0)</f>
        <v>8723089</v>
      </c>
    </row>
    <row r="41" spans="1:6" x14ac:dyDescent="0.25">
      <c r="A41" s="581">
        <v>33</v>
      </c>
      <c r="B41" s="582" t="s">
        <v>470</v>
      </c>
      <c r="D41" s="621">
        <f>ROUND(D38*D25,6)</f>
        <v>3.3530999999999998E-2</v>
      </c>
      <c r="F41" s="620">
        <f>ROUND(+D41*D17,0)</f>
        <v>38486</v>
      </c>
    </row>
    <row r="42" spans="1:6" x14ac:dyDescent="0.25">
      <c r="A42" s="581">
        <v>34</v>
      </c>
      <c r="F42" s="619">
        <f>SUM(F40:F41)</f>
        <v>8761575</v>
      </c>
    </row>
    <row r="43" spans="1:6" x14ac:dyDescent="0.25">
      <c r="A43" s="581">
        <v>35</v>
      </c>
      <c r="F43" s="619">
        <f>D14-F42</f>
        <v>40886</v>
      </c>
    </row>
    <row r="49" spans="6:6" x14ac:dyDescent="0.25">
      <c r="F49" s="618"/>
    </row>
  </sheetData>
  <printOptions horizontalCentered="1"/>
  <pageMargins left="0.5" right="0.5" top="0.5" bottom="0.5" header="0.25" footer="0.25"/>
  <pageSetup scale="83" orientation="landscape" r:id="rId1"/>
  <headerFooter alignWithMargins="0">
    <oddHeader>&amp;R&amp;"Arial,Regular"NWN WUTC Advice 25-08
Exhibit A - Supporting Materials
Page &amp;P of &amp;N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CB36-72B2-475A-A146-C245BAA5CEBC}">
  <sheetPr>
    <tabColor theme="0" tint="-0.14999847407452621"/>
    <pageSetUpPr fitToPage="1"/>
  </sheetPr>
  <dimension ref="A1:H44"/>
  <sheetViews>
    <sheetView topLeftCell="A16" workbookViewId="0">
      <selection activeCell="BK11" sqref="BK11"/>
    </sheetView>
  </sheetViews>
  <sheetFormatPr defaultColWidth="10.1640625" defaultRowHeight="15" x14ac:dyDescent="0.25"/>
  <cols>
    <col min="1" max="1" width="6.1640625" style="582" customWidth="1"/>
    <col min="2" max="3" width="20.33203125" style="582" customWidth="1"/>
    <col min="4" max="4" width="16" style="582" customWidth="1"/>
    <col min="5" max="5" width="22.6640625" style="582" customWidth="1"/>
    <col min="6" max="22" width="14.83203125" style="582" customWidth="1"/>
    <col min="23" max="16384" width="10.1640625" style="582"/>
  </cols>
  <sheetData>
    <row r="1" spans="1:4" x14ac:dyDescent="0.25">
      <c r="A1" s="583" t="str">
        <f>+'[14]Supply Contracts'!A1</f>
        <v>NW Natural</v>
      </c>
    </row>
    <row r="2" spans="1:4" x14ac:dyDescent="0.25">
      <c r="A2" s="583" t="str">
        <f>+'[14]Supply Contracts'!A2</f>
        <v>2025-2026 PGA - SYSTEM: September Filing</v>
      </c>
    </row>
    <row r="3" spans="1:4" x14ac:dyDescent="0.25">
      <c r="A3" s="582" t="s">
        <v>471</v>
      </c>
    </row>
    <row r="4" spans="1:4" x14ac:dyDescent="0.25">
      <c r="A4" s="582" t="s">
        <v>472</v>
      </c>
    </row>
    <row r="9" spans="1:4" x14ac:dyDescent="0.25">
      <c r="A9" s="581">
        <v>1</v>
      </c>
      <c r="B9" s="582" t="s">
        <v>473</v>
      </c>
    </row>
    <row r="10" spans="1:4" x14ac:dyDescent="0.25">
      <c r="A10" s="581">
        <f t="shared" ref="A10:A34" si="0">+A9+1</f>
        <v>2</v>
      </c>
      <c r="D10" s="635"/>
    </row>
    <row r="11" spans="1:4" x14ac:dyDescent="0.25">
      <c r="A11" s="581">
        <f t="shared" si="0"/>
        <v>3</v>
      </c>
      <c r="C11" s="634" t="s">
        <v>474</v>
      </c>
    </row>
    <row r="12" spans="1:4" x14ac:dyDescent="0.25">
      <c r="A12" s="581">
        <f t="shared" si="0"/>
        <v>4</v>
      </c>
      <c r="C12" s="633"/>
    </row>
    <row r="13" spans="1:4" x14ac:dyDescent="0.25">
      <c r="A13" s="581">
        <f t="shared" si="0"/>
        <v>5</v>
      </c>
      <c r="B13" s="582" t="s">
        <v>383</v>
      </c>
      <c r="C13" s="630">
        <f>+'[14]Index Prices'!E13</f>
        <v>0.19319999999999998</v>
      </c>
    </row>
    <row r="14" spans="1:4" x14ac:dyDescent="0.25">
      <c r="A14" s="581">
        <f t="shared" si="0"/>
        <v>6</v>
      </c>
      <c r="B14" s="582" t="s">
        <v>384</v>
      </c>
      <c r="C14" s="630">
        <f>+'[14]Index Prices'!E14</f>
        <v>0.23380113636363645</v>
      </c>
    </row>
    <row r="15" spans="1:4" x14ac:dyDescent="0.25">
      <c r="A15" s="581">
        <f t="shared" si="0"/>
        <v>7</v>
      </c>
      <c r="B15" s="582" t="s">
        <v>385</v>
      </c>
      <c r="C15" s="630">
        <f>+'[14]Index Prices'!E15</f>
        <v>0.24265340909090907</v>
      </c>
    </row>
    <row r="16" spans="1:4" x14ac:dyDescent="0.25">
      <c r="A16" s="581">
        <f t="shared" si="0"/>
        <v>8</v>
      </c>
      <c r="B16" s="582" t="s">
        <v>386</v>
      </c>
      <c r="C16" s="630">
        <f>+'[14]Index Prices'!E16</f>
        <v>0.24413749999999995</v>
      </c>
    </row>
    <row r="17" spans="1:5" x14ac:dyDescent="0.25">
      <c r="A17" s="581">
        <f t="shared" si="0"/>
        <v>9</v>
      </c>
      <c r="B17" s="582" t="s">
        <v>387</v>
      </c>
      <c r="C17" s="630">
        <f>+'[14]Index Prices'!E17</f>
        <v>0.2163352272727273</v>
      </c>
    </row>
    <row r="18" spans="1:5" x14ac:dyDescent="0.25">
      <c r="A18" s="581">
        <f t="shared" si="0"/>
        <v>10</v>
      </c>
      <c r="B18" s="582" t="s">
        <v>388</v>
      </c>
      <c r="C18" s="630">
        <f>+'[14]Index Prices'!E18</f>
        <v>0.19808977272727271</v>
      </c>
    </row>
    <row r="19" spans="1:5" x14ac:dyDescent="0.25">
      <c r="A19" s="581">
        <f t="shared" si="0"/>
        <v>11</v>
      </c>
      <c r="B19" s="582" t="s">
        <v>389</v>
      </c>
      <c r="C19" s="630">
        <f>+'[14]Index Prices'!E19</f>
        <v>0.1898806818181818</v>
      </c>
    </row>
    <row r="20" spans="1:5" x14ac:dyDescent="0.25">
      <c r="A20" s="581">
        <f t="shared" si="0"/>
        <v>12</v>
      </c>
      <c r="B20" s="582" t="s">
        <v>390</v>
      </c>
      <c r="C20" s="630">
        <f>+'[14]Index Prices'!E20</f>
        <v>0.19474090909090908</v>
      </c>
    </row>
    <row r="21" spans="1:5" x14ac:dyDescent="0.25">
      <c r="A21" s="581">
        <f t="shared" si="0"/>
        <v>13</v>
      </c>
      <c r="B21" s="582" t="s">
        <v>391</v>
      </c>
      <c r="C21" s="630">
        <f>+'[14]Index Prices'!E21</f>
        <v>0.19820113636363637</v>
      </c>
    </row>
    <row r="22" spans="1:5" x14ac:dyDescent="0.25">
      <c r="A22" s="581">
        <f t="shared" si="0"/>
        <v>14</v>
      </c>
      <c r="B22" s="582" t="s">
        <v>392</v>
      </c>
      <c r="C22" s="630">
        <f>+'[14]Index Prices'!E22</f>
        <v>0.19978522727272732</v>
      </c>
    </row>
    <row r="23" spans="1:5" x14ac:dyDescent="0.25">
      <c r="A23" s="581">
        <f t="shared" si="0"/>
        <v>15</v>
      </c>
      <c r="B23" s="582" t="s">
        <v>393</v>
      </c>
      <c r="C23" s="630">
        <f>+'[14]Index Prices'!E23</f>
        <v>0.2000079545454545</v>
      </c>
    </row>
    <row r="24" spans="1:5" x14ac:dyDescent="0.25">
      <c r="A24" s="581">
        <f t="shared" si="0"/>
        <v>16</v>
      </c>
      <c r="B24" s="582" t="s">
        <v>394</v>
      </c>
      <c r="C24" s="630">
        <f>+'[14]Index Prices'!E24</f>
        <v>0.2192465909090909</v>
      </c>
    </row>
    <row r="25" spans="1:5" x14ac:dyDescent="0.25">
      <c r="A25" s="581">
        <f t="shared" si="0"/>
        <v>17</v>
      </c>
    </row>
    <row r="26" spans="1:5" x14ac:dyDescent="0.25">
      <c r="A26" s="581">
        <f t="shared" si="0"/>
        <v>18</v>
      </c>
    </row>
    <row r="27" spans="1:5" x14ac:dyDescent="0.25">
      <c r="A27" s="581">
        <f t="shared" si="0"/>
        <v>19</v>
      </c>
      <c r="B27" s="582" t="s">
        <v>475</v>
      </c>
      <c r="D27" s="630">
        <f>ROUND(AVERAGE(C13:C17),5)</f>
        <v>0.22603000000000001</v>
      </c>
      <c r="E27" s="582" t="s">
        <v>476</v>
      </c>
    </row>
    <row r="28" spans="1:5" x14ac:dyDescent="0.25">
      <c r="A28" s="581">
        <f t="shared" si="0"/>
        <v>20</v>
      </c>
      <c r="D28" s="581"/>
    </row>
    <row r="29" spans="1:5" x14ac:dyDescent="0.25">
      <c r="A29" s="581">
        <f t="shared" si="0"/>
        <v>21</v>
      </c>
      <c r="B29" s="582" t="s">
        <v>477</v>
      </c>
      <c r="D29" s="630">
        <f>ROUND(AVERAGE(C13:C24),5)</f>
        <v>0.21084</v>
      </c>
      <c r="E29" s="582" t="s">
        <v>478</v>
      </c>
    </row>
    <row r="30" spans="1:5" x14ac:dyDescent="0.25">
      <c r="A30" s="581">
        <f t="shared" si="0"/>
        <v>22</v>
      </c>
      <c r="D30" s="581"/>
    </row>
    <row r="31" spans="1:5" x14ac:dyDescent="0.25">
      <c r="A31" s="581">
        <f t="shared" si="0"/>
        <v>23</v>
      </c>
      <c r="B31" s="582" t="s">
        <v>479</v>
      </c>
      <c r="D31" s="581">
        <f>ROUND(D27/D29,5)</f>
        <v>1.0720499999999999</v>
      </c>
      <c r="E31" s="582" t="s">
        <v>480</v>
      </c>
    </row>
    <row r="32" spans="1:5" x14ac:dyDescent="0.25">
      <c r="A32" s="581">
        <f t="shared" si="0"/>
        <v>24</v>
      </c>
    </row>
    <row r="33" spans="1:8" x14ac:dyDescent="0.25">
      <c r="A33" s="581">
        <f t="shared" si="0"/>
        <v>25</v>
      </c>
      <c r="D33" s="581" t="s">
        <v>481</v>
      </c>
      <c r="E33" s="581" t="s">
        <v>482</v>
      </c>
    </row>
    <row r="34" spans="1:8" x14ac:dyDescent="0.25">
      <c r="A34" s="581">
        <f t="shared" si="0"/>
        <v>26</v>
      </c>
      <c r="D34" s="625" t="s">
        <v>483</v>
      </c>
      <c r="E34" s="625" t="s">
        <v>483</v>
      </c>
    </row>
    <row r="35" spans="1:8" x14ac:dyDescent="0.25">
      <c r="A35" s="581" t="s">
        <v>484</v>
      </c>
      <c r="B35" s="582" t="s">
        <v>485</v>
      </c>
      <c r="D35" s="630">
        <f>+'Total Commodity Summary'!P57</f>
        <v>0.38869999999999999</v>
      </c>
      <c r="E35" s="630">
        <f>+'Total Commodity Summary'!P59</f>
        <v>0.40640999999999999</v>
      </c>
      <c r="G35" s="632"/>
    </row>
    <row r="36" spans="1:8" x14ac:dyDescent="0.25">
      <c r="A36" s="581" t="s">
        <v>484</v>
      </c>
      <c r="B36" s="582" t="s">
        <v>486</v>
      </c>
      <c r="D36" s="630">
        <f>ROUND(D31*D35,5)</f>
        <v>0.41671000000000002</v>
      </c>
      <c r="E36" s="630">
        <f>ROUND(D36/(1-wa_revsens),5)</f>
        <v>0.43569000000000002</v>
      </c>
    </row>
    <row r="37" spans="1:8" x14ac:dyDescent="0.25">
      <c r="A37" s="581"/>
      <c r="D37" s="581" t="str">
        <f>CONCATENATE("line 23 * $"&amp;D35)</f>
        <v>line 23 * $0.3887</v>
      </c>
    </row>
    <row r="38" spans="1:8" x14ac:dyDescent="0.25">
      <c r="A38" s="581"/>
      <c r="D38" s="630"/>
      <c r="E38" s="630"/>
      <c r="F38" s="632"/>
      <c r="G38" s="631"/>
      <c r="H38" s="631"/>
    </row>
    <row r="39" spans="1:8" x14ac:dyDescent="0.25">
      <c r="A39" s="581"/>
      <c r="D39" s="630"/>
      <c r="E39" s="629"/>
    </row>
    <row r="40" spans="1:8" x14ac:dyDescent="0.25">
      <c r="A40" s="581"/>
      <c r="D40" s="581"/>
    </row>
    <row r="41" spans="1:8" x14ac:dyDescent="0.25">
      <c r="A41" s="581"/>
    </row>
    <row r="42" spans="1:8" x14ac:dyDescent="0.25">
      <c r="A42" s="581"/>
    </row>
    <row r="43" spans="1:8" x14ac:dyDescent="0.25">
      <c r="A43" s="581"/>
    </row>
    <row r="44" spans="1:8" x14ac:dyDescent="0.25">
      <c r="A44" s="581"/>
    </row>
  </sheetData>
  <printOptions horizontalCentered="1"/>
  <pageMargins left="0.5" right="0.5" top="0.5" bottom="0.5" header="0.25" footer="0.25"/>
  <pageSetup scale="97" orientation="landscape" r:id="rId1"/>
  <headerFooter alignWithMargins="0">
    <oddHeader>&amp;R&amp;"Arial,Regular"NWN WUTC Advice 25-08
Exhibit A - Supporting Materials
Page &amp;P of 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B2DC-B38C-4FE2-9987-D22D55B511D3}">
  <sheetPr>
    <tabColor theme="0" tint="-0.14999847407452621"/>
    <pageSetUpPr fitToPage="1"/>
  </sheetPr>
  <dimension ref="A1:J78"/>
  <sheetViews>
    <sheetView workbookViewId="0">
      <selection activeCell="BK11" sqref="BK11"/>
    </sheetView>
  </sheetViews>
  <sheetFormatPr defaultColWidth="9.33203125" defaultRowHeight="12.75" x14ac:dyDescent="0.2"/>
  <cols>
    <col min="1" max="1" width="7.83203125" style="205" customWidth="1"/>
    <col min="2" max="5" width="14.83203125" style="205" customWidth="1"/>
    <col min="6" max="6" width="18.1640625" style="205" customWidth="1"/>
    <col min="7" max="7" width="5.83203125" style="205" customWidth="1"/>
    <col min="8" max="8" width="43.1640625" style="205" bestFit="1" customWidth="1"/>
    <col min="9" max="10" width="16.83203125" style="205" hidden="1" customWidth="1"/>
    <col min="11" max="15" width="16.83203125" style="205" customWidth="1"/>
    <col min="16" max="23" width="14.83203125" style="205" customWidth="1"/>
    <col min="24" max="16384" width="9.33203125" style="205"/>
  </cols>
  <sheetData>
    <row r="1" spans="1:10" ht="14.25" x14ac:dyDescent="0.2">
      <c r="A1" s="204" t="s">
        <v>255</v>
      </c>
    </row>
    <row r="2" spans="1:10" ht="14.25" x14ac:dyDescent="0.2">
      <c r="A2" s="204" t="s">
        <v>256</v>
      </c>
    </row>
    <row r="3" spans="1:10" ht="14.25" x14ac:dyDescent="0.2">
      <c r="A3" s="204" t="str">
        <f>'[39]25-02 ECRM'!A3</f>
        <v xml:space="preserve">2025-26 Washington: September Filing </v>
      </c>
    </row>
    <row r="4" spans="1:10" ht="14.25" x14ac:dyDescent="0.2">
      <c r="A4" s="206" t="s">
        <v>487</v>
      </c>
      <c r="B4" s="207"/>
    </row>
    <row r="7" spans="1:10" x14ac:dyDescent="0.2">
      <c r="A7" s="208">
        <v>1</v>
      </c>
      <c r="F7" s="209" t="s">
        <v>488</v>
      </c>
      <c r="H7" s="209" t="s">
        <v>489</v>
      </c>
      <c r="I7" s="209" t="s">
        <v>490</v>
      </c>
      <c r="J7" s="209" t="s">
        <v>427</v>
      </c>
    </row>
    <row r="8" spans="1:10" x14ac:dyDescent="0.2">
      <c r="A8" s="208">
        <f>+A7+1</f>
        <v>2</v>
      </c>
      <c r="B8" s="210" t="s">
        <v>491</v>
      </c>
    </row>
    <row r="9" spans="1:10" x14ac:dyDescent="0.2">
      <c r="A9" s="208">
        <f>+A8+1</f>
        <v>3</v>
      </c>
      <c r="H9" s="211"/>
    </row>
    <row r="10" spans="1:10" x14ac:dyDescent="0.2">
      <c r="A10" s="208">
        <f t="shared" ref="A10:A29" si="0">+A9+1</f>
        <v>4</v>
      </c>
      <c r="B10" s="205" t="s">
        <v>492</v>
      </c>
      <c r="F10" s="212">
        <f>'[39]25-08 Combined'!F10</f>
        <v>-2424539</v>
      </c>
      <c r="H10" s="211" t="str">
        <f>'[39]25-08 Combined'!H10</f>
        <v>NWN 2025-26 PGA gas cost development file September filing_WA.xls</v>
      </c>
      <c r="I10" s="212"/>
      <c r="J10" s="212">
        <f>+F10-I10</f>
        <v>-2424539</v>
      </c>
    </row>
    <row r="11" spans="1:10" x14ac:dyDescent="0.2">
      <c r="A11" s="208">
        <f t="shared" si="0"/>
        <v>5</v>
      </c>
      <c r="F11" s="213"/>
      <c r="H11" s="211"/>
      <c r="I11" s="213"/>
      <c r="J11" s="213"/>
    </row>
    <row r="12" spans="1:10" x14ac:dyDescent="0.2">
      <c r="A12" s="208">
        <f t="shared" si="0"/>
        <v>6</v>
      </c>
      <c r="B12" s="205" t="s">
        <v>493</v>
      </c>
      <c r="F12" s="214">
        <f>'[39]25-08 Combined'!F12</f>
        <v>-243514</v>
      </c>
      <c r="H12" s="211" t="str">
        <f>+H10</f>
        <v>NWN 2025-26 PGA gas cost development file September filing_WA.xls</v>
      </c>
      <c r="I12" s="214"/>
      <c r="J12" s="214">
        <f>+F12-I12</f>
        <v>-243514</v>
      </c>
    </row>
    <row r="13" spans="1:10" x14ac:dyDescent="0.2">
      <c r="A13" s="208">
        <f t="shared" si="0"/>
        <v>7</v>
      </c>
      <c r="F13" s="213"/>
      <c r="H13" s="211"/>
      <c r="I13" s="213"/>
      <c r="J13" s="213"/>
    </row>
    <row r="14" spans="1:10" x14ac:dyDescent="0.2">
      <c r="A14" s="208">
        <f t="shared" si="0"/>
        <v>8</v>
      </c>
      <c r="B14" s="215" t="s">
        <v>494</v>
      </c>
      <c r="F14" s="214">
        <f>SUM(F10:F12)</f>
        <v>-2668053</v>
      </c>
      <c r="H14" s="211"/>
      <c r="I14" s="214">
        <v>-88914</v>
      </c>
      <c r="J14" s="214">
        <f>+F14-I14</f>
        <v>-2579139</v>
      </c>
    </row>
    <row r="15" spans="1:10" x14ac:dyDescent="0.2">
      <c r="A15" s="208">
        <f t="shared" si="0"/>
        <v>9</v>
      </c>
      <c r="F15" s="213"/>
      <c r="H15" s="211"/>
      <c r="I15" s="213"/>
      <c r="J15" s="213"/>
    </row>
    <row r="16" spans="1:10" x14ac:dyDescent="0.2">
      <c r="A16" s="208">
        <f t="shared" si="0"/>
        <v>10</v>
      </c>
      <c r="B16" s="210" t="s">
        <v>495</v>
      </c>
      <c r="F16" s="213"/>
      <c r="H16" s="211"/>
      <c r="I16" s="213"/>
      <c r="J16" s="213"/>
    </row>
    <row r="17" spans="1:10" x14ac:dyDescent="0.2">
      <c r="A17" s="208">
        <f t="shared" si="0"/>
        <v>11</v>
      </c>
      <c r="F17" s="213"/>
      <c r="H17" s="211"/>
      <c r="I17" s="213"/>
      <c r="J17" s="213"/>
    </row>
    <row r="18" spans="1:10" x14ac:dyDescent="0.2">
      <c r="A18" s="208">
        <f t="shared" si="0"/>
        <v>12</v>
      </c>
      <c r="B18" s="205" t="s">
        <v>496</v>
      </c>
      <c r="F18" s="213">
        <f>'[39]Revenue Senstive'!D10</f>
        <v>-15655265</v>
      </c>
      <c r="H18" s="211" t="str">
        <f>'[39]25-08 Combined'!H18</f>
        <v>NWN 2025-26 PGA WA Rate Development September Filing.xlsx</v>
      </c>
      <c r="I18" s="213"/>
      <c r="J18" s="213">
        <f>+F18-I18</f>
        <v>-15655265</v>
      </c>
    </row>
    <row r="19" spans="1:10" x14ac:dyDescent="0.2">
      <c r="A19" s="208">
        <f t="shared" si="0"/>
        <v>13</v>
      </c>
      <c r="F19" s="213"/>
      <c r="H19" s="211"/>
      <c r="I19" s="213"/>
      <c r="J19" s="213"/>
    </row>
    <row r="20" spans="1:10" x14ac:dyDescent="0.2">
      <c r="A20" s="208">
        <f t="shared" si="0"/>
        <v>14</v>
      </c>
      <c r="B20" s="205" t="s">
        <v>497</v>
      </c>
      <c r="F20" s="216">
        <f>-'[40]24-14 PGA'!$F$18</f>
        <v>11563573</v>
      </c>
      <c r="H20" s="211" t="str">
        <f>'[39]25-08 Combined'!H20</f>
        <v>NWN 2024-25 PGA WA Rate Development_September Filing.xlsx</v>
      </c>
      <c r="I20" s="214"/>
      <c r="J20" s="214">
        <f>+F20-I20</f>
        <v>11563573</v>
      </c>
    </row>
    <row r="21" spans="1:10" x14ac:dyDescent="0.2">
      <c r="A21" s="208">
        <f t="shared" si="0"/>
        <v>15</v>
      </c>
      <c r="F21" s="213"/>
      <c r="I21" s="213"/>
      <c r="J21" s="213"/>
    </row>
    <row r="22" spans="1:10" x14ac:dyDescent="0.2">
      <c r="A22" s="208">
        <f t="shared" si="0"/>
        <v>16</v>
      </c>
      <c r="B22" s="215" t="s">
        <v>498</v>
      </c>
      <c r="F22" s="214">
        <f>+F18+F20</f>
        <v>-4091692</v>
      </c>
      <c r="I22" s="214">
        <v>-6564812</v>
      </c>
      <c r="J22" s="214">
        <f>+F22-I22</f>
        <v>2473120</v>
      </c>
    </row>
    <row r="23" spans="1:10" x14ac:dyDescent="0.2">
      <c r="A23" s="208">
        <f t="shared" si="0"/>
        <v>17</v>
      </c>
      <c r="F23" s="213"/>
      <c r="I23" s="213"/>
      <c r="J23" s="213"/>
    </row>
    <row r="24" spans="1:10" ht="13.5" thickBot="1" x14ac:dyDescent="0.25">
      <c r="A24" s="208">
        <f t="shared" si="0"/>
        <v>18</v>
      </c>
      <c r="B24" s="217" t="s">
        <v>499</v>
      </c>
      <c r="F24" s="218">
        <f>+F22+F14</f>
        <v>-6759745</v>
      </c>
      <c r="I24" s="219"/>
      <c r="J24" s="219"/>
    </row>
    <row r="25" spans="1:10" ht="13.5" thickTop="1" x14ac:dyDescent="0.2">
      <c r="A25" s="208">
        <f t="shared" si="0"/>
        <v>19</v>
      </c>
      <c r="F25" s="213"/>
    </row>
    <row r="26" spans="1:10" x14ac:dyDescent="0.2">
      <c r="A26" s="208">
        <f t="shared" si="0"/>
        <v>20</v>
      </c>
    </row>
    <row r="27" spans="1:10" x14ac:dyDescent="0.2">
      <c r="A27" s="208">
        <f t="shared" si="0"/>
        <v>21</v>
      </c>
      <c r="B27" s="220" t="str">
        <f>'[39]25-08 Combined'!B36</f>
        <v>2024 Washington CBR Normalized Total Revenues</v>
      </c>
      <c r="C27" s="221"/>
      <c r="D27" s="221"/>
      <c r="F27" s="222">
        <f>'[39]25-08 Combined'!F36</f>
        <v>109949934.64991099</v>
      </c>
    </row>
    <row r="28" spans="1:10" x14ac:dyDescent="0.2">
      <c r="A28" s="208">
        <f t="shared" si="0"/>
        <v>22</v>
      </c>
      <c r="B28" s="217"/>
      <c r="F28" s="219"/>
    </row>
    <row r="29" spans="1:10" x14ac:dyDescent="0.2">
      <c r="A29" s="208">
        <f t="shared" si="0"/>
        <v>23</v>
      </c>
      <c r="B29" s="217" t="s">
        <v>500</v>
      </c>
      <c r="F29" s="223">
        <f>ROUND(F24/F27,4)</f>
        <v>-6.1499999999999999E-2</v>
      </c>
    </row>
    <row r="30" spans="1:10" x14ac:dyDescent="0.2">
      <c r="A30" s="208"/>
    </row>
    <row r="31" spans="1:10" x14ac:dyDescent="0.2">
      <c r="A31" s="208"/>
    </row>
    <row r="32" spans="1:10" x14ac:dyDescent="0.2">
      <c r="A32" s="208"/>
    </row>
    <row r="33" spans="1:5" x14ac:dyDescent="0.2">
      <c r="A33" s="208"/>
    </row>
    <row r="34" spans="1:5" x14ac:dyDescent="0.2">
      <c r="A34" s="208"/>
    </row>
    <row r="35" spans="1:5" x14ac:dyDescent="0.2">
      <c r="A35" s="208"/>
    </row>
    <row r="36" spans="1:5" x14ac:dyDescent="0.2">
      <c r="A36" s="208"/>
    </row>
    <row r="37" spans="1:5" x14ac:dyDescent="0.2">
      <c r="A37" s="208"/>
    </row>
    <row r="38" spans="1:5" x14ac:dyDescent="0.2">
      <c r="A38" s="208"/>
    </row>
    <row r="39" spans="1:5" x14ac:dyDescent="0.2">
      <c r="A39" s="208"/>
      <c r="E39" s="213"/>
    </row>
    <row r="40" spans="1:5" x14ac:dyDescent="0.2">
      <c r="A40" s="208"/>
      <c r="E40" s="213"/>
    </row>
    <row r="41" spans="1:5" x14ac:dyDescent="0.2">
      <c r="A41" s="208"/>
      <c r="E41" s="213"/>
    </row>
    <row r="42" spans="1:5" x14ac:dyDescent="0.2">
      <c r="A42" s="208"/>
    </row>
    <row r="43" spans="1:5" x14ac:dyDescent="0.2">
      <c r="A43" s="208"/>
    </row>
    <row r="44" spans="1:5" x14ac:dyDescent="0.2">
      <c r="A44" s="208"/>
    </row>
    <row r="45" spans="1:5" x14ac:dyDescent="0.2">
      <c r="A45" s="208"/>
    </row>
    <row r="46" spans="1:5" x14ac:dyDescent="0.2">
      <c r="A46" s="208"/>
    </row>
    <row r="47" spans="1:5" x14ac:dyDescent="0.2">
      <c r="A47" s="208"/>
    </row>
    <row r="48" spans="1:5" x14ac:dyDescent="0.2">
      <c r="A48" s="208"/>
    </row>
    <row r="49" spans="1:1" x14ac:dyDescent="0.2">
      <c r="A49" s="208"/>
    </row>
    <row r="50" spans="1:1" x14ac:dyDescent="0.2">
      <c r="A50" s="208"/>
    </row>
    <row r="51" spans="1:1" x14ac:dyDescent="0.2">
      <c r="A51" s="208"/>
    </row>
    <row r="52" spans="1:1" x14ac:dyDescent="0.2">
      <c r="A52" s="208"/>
    </row>
    <row r="53" spans="1:1" x14ac:dyDescent="0.2">
      <c r="A53" s="208"/>
    </row>
    <row r="54" spans="1:1" x14ac:dyDescent="0.2">
      <c r="A54" s="208"/>
    </row>
    <row r="55" spans="1:1" x14ac:dyDescent="0.2">
      <c r="A55" s="208"/>
    </row>
    <row r="56" spans="1:1" x14ac:dyDescent="0.2">
      <c r="A56" s="208"/>
    </row>
    <row r="57" spans="1:1" x14ac:dyDescent="0.2">
      <c r="A57" s="208"/>
    </row>
    <row r="58" spans="1:1" x14ac:dyDescent="0.2">
      <c r="A58" s="208"/>
    </row>
    <row r="59" spans="1:1" x14ac:dyDescent="0.2">
      <c r="A59" s="208"/>
    </row>
    <row r="60" spans="1:1" x14ac:dyDescent="0.2">
      <c r="A60" s="208"/>
    </row>
    <row r="61" spans="1:1" x14ac:dyDescent="0.2">
      <c r="A61" s="208"/>
    </row>
    <row r="62" spans="1:1" x14ac:dyDescent="0.2">
      <c r="A62" s="208"/>
    </row>
    <row r="63" spans="1:1" x14ac:dyDescent="0.2">
      <c r="A63" s="208"/>
    </row>
    <row r="64" spans="1:1" x14ac:dyDescent="0.2">
      <c r="A64" s="208"/>
    </row>
    <row r="65" spans="1:1" x14ac:dyDescent="0.2">
      <c r="A65" s="208"/>
    </row>
    <row r="66" spans="1:1" x14ac:dyDescent="0.2">
      <c r="A66" s="208"/>
    </row>
    <row r="67" spans="1:1" x14ac:dyDescent="0.2">
      <c r="A67" s="208"/>
    </row>
    <row r="68" spans="1:1" x14ac:dyDescent="0.2">
      <c r="A68" s="208"/>
    </row>
    <row r="69" spans="1:1" x14ac:dyDescent="0.2">
      <c r="A69" s="208"/>
    </row>
    <row r="70" spans="1:1" x14ac:dyDescent="0.2">
      <c r="A70" s="208"/>
    </row>
    <row r="71" spans="1:1" x14ac:dyDescent="0.2">
      <c r="A71" s="208"/>
    </row>
    <row r="72" spans="1:1" x14ac:dyDescent="0.2">
      <c r="A72" s="208"/>
    </row>
    <row r="73" spans="1:1" x14ac:dyDescent="0.2">
      <c r="A73" s="208"/>
    </row>
    <row r="74" spans="1:1" x14ac:dyDescent="0.2">
      <c r="A74" s="208"/>
    </row>
    <row r="75" spans="1:1" x14ac:dyDescent="0.2">
      <c r="A75" s="208"/>
    </row>
    <row r="76" spans="1:1" x14ac:dyDescent="0.2">
      <c r="A76" s="208"/>
    </row>
    <row r="77" spans="1:1" x14ac:dyDescent="0.2">
      <c r="A77" s="208"/>
    </row>
    <row r="78" spans="1:1" x14ac:dyDescent="0.2">
      <c r="A78" s="208"/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4A38-81DC-4F78-817D-2390B63A6716}">
  <sheetPr>
    <tabColor theme="0" tint="-0.14999847407452621"/>
    <pageSetUpPr fitToPage="1"/>
  </sheetPr>
  <dimension ref="A1:AM90"/>
  <sheetViews>
    <sheetView view="pageLayout" topLeftCell="B1" zoomScaleNormal="100" workbookViewId="0">
      <selection activeCell="BK11" sqref="BK11"/>
    </sheetView>
  </sheetViews>
  <sheetFormatPr defaultColWidth="9.33203125" defaultRowHeight="15" outlineLevelCol="1" x14ac:dyDescent="0.25"/>
  <cols>
    <col min="1" max="1" width="3.83203125" style="224" customWidth="1"/>
    <col min="2" max="2" width="15.6640625" style="224" bestFit="1" customWidth="1"/>
    <col min="3" max="3" width="9.5" style="224" customWidth="1"/>
    <col min="4" max="4" width="15.83203125" style="224" customWidth="1"/>
    <col min="5" max="5" width="34.6640625" style="224" customWidth="1"/>
    <col min="6" max="6" width="13.83203125" style="234" customWidth="1"/>
    <col min="7" max="11" width="13.83203125" style="224" customWidth="1"/>
    <col min="12" max="14" width="13.83203125" style="224" hidden="1" customWidth="1"/>
    <col min="15" max="19" width="13.83203125" style="224" hidden="1" customWidth="1" outlineLevel="1"/>
    <col min="20" max="23" width="22" style="224" hidden="1" customWidth="1" outlineLevel="1"/>
    <col min="24" max="24" width="0" style="224" hidden="1" customWidth="1" collapsed="1"/>
    <col min="25" max="25" width="29.6640625" style="224" hidden="1" customWidth="1"/>
    <col min="26" max="26" width="0" style="224" hidden="1" customWidth="1"/>
    <col min="27" max="27" width="16.83203125" style="224" hidden="1" customWidth="1"/>
    <col min="28" max="28" width="17.33203125" style="224" hidden="1" customWidth="1"/>
    <col min="29" max="33" width="17" style="224" hidden="1" customWidth="1"/>
    <col min="34" max="34" width="0" style="224" hidden="1" customWidth="1"/>
    <col min="35" max="35" width="14" style="224" hidden="1" customWidth="1"/>
    <col min="36" max="37" width="13.83203125" style="224" hidden="1" customWidth="1"/>
    <col min="38" max="38" width="12.33203125" style="224" hidden="1" customWidth="1"/>
    <col min="39" max="39" width="9.33203125" style="316"/>
    <col min="40" max="16384" width="9.33203125" style="224"/>
  </cols>
  <sheetData>
    <row r="1" spans="1:38" x14ac:dyDescent="0.25">
      <c r="A1" s="377" t="str">
        <f>+'[9]Washington volumes'!A1</f>
        <v>NW Natural</v>
      </c>
      <c r="F1" s="224"/>
    </row>
    <row r="2" spans="1:38" x14ac:dyDescent="0.25">
      <c r="A2" s="377" t="str">
        <f>+'[9]Washington volumes'!A2</f>
        <v>Rates &amp; Regulatory Affairs</v>
      </c>
      <c r="F2" s="224"/>
    </row>
    <row r="3" spans="1:38" x14ac:dyDescent="0.25">
      <c r="A3" s="377" t="s">
        <v>501</v>
      </c>
      <c r="F3" s="224"/>
    </row>
    <row r="4" spans="1:38" x14ac:dyDescent="0.25">
      <c r="A4" s="377" t="s">
        <v>0</v>
      </c>
      <c r="F4" s="224"/>
    </row>
    <row r="5" spans="1:38" x14ac:dyDescent="0.25">
      <c r="A5" s="377"/>
      <c r="B5" s="377"/>
      <c r="C5" s="377"/>
      <c r="D5" s="377"/>
      <c r="F5" s="323"/>
      <c r="K5" s="323"/>
    </row>
    <row r="6" spans="1:38" ht="15.75" thickBot="1" x14ac:dyDescent="0.3">
      <c r="U6" s="378" t="s">
        <v>1</v>
      </c>
    </row>
    <row r="7" spans="1:38" ht="15" customHeight="1" thickBot="1" x14ac:dyDescent="0.3">
      <c r="A7" s="234">
        <v>1</v>
      </c>
      <c r="D7" s="234" t="s">
        <v>2</v>
      </c>
      <c r="E7" s="377"/>
      <c r="F7" s="376" t="str">
        <f>+[9]Inputs!C36</f>
        <v>WACOG Deferral</v>
      </c>
      <c r="G7" s="375"/>
      <c r="H7" s="374"/>
      <c r="I7" s="376" t="str">
        <f>+[9]Inputs!C38</f>
        <v>Demand Deferral - FIRM</v>
      </c>
      <c r="J7" s="375"/>
      <c r="K7" s="374"/>
      <c r="L7" s="376" t="str">
        <f>+[9]Inputs!C40</f>
        <v>Demand Deferral - INTERRUPTIBLE</v>
      </c>
      <c r="M7" s="375"/>
      <c r="N7" s="374"/>
      <c r="O7" s="639" t="str">
        <f>[9]Inputs!C48</f>
        <v xml:space="preserve">Residential Rate Mitigation </v>
      </c>
      <c r="P7" s="640"/>
      <c r="Q7" s="641"/>
      <c r="R7" s="639" t="s">
        <v>3</v>
      </c>
      <c r="S7" s="640"/>
      <c r="T7" s="641"/>
      <c r="U7" s="639" t="s">
        <v>4</v>
      </c>
      <c r="V7" s="640"/>
      <c r="W7" s="641"/>
      <c r="Y7" s="1" t="s">
        <v>5</v>
      </c>
    </row>
    <row r="8" spans="1:38" ht="15" customHeight="1" thickBot="1" x14ac:dyDescent="0.3">
      <c r="A8" s="234">
        <f t="shared" ref="A8:A39" si="0">+A7+1</f>
        <v>2</v>
      </c>
      <c r="D8" s="234" t="s">
        <v>6</v>
      </c>
      <c r="E8" s="371" t="s">
        <v>7</v>
      </c>
      <c r="F8" s="365">
        <f>+[9]Inputs!B36</f>
        <v>-12589508</v>
      </c>
      <c r="G8" s="241" t="s">
        <v>8</v>
      </c>
      <c r="H8" s="369"/>
      <c r="I8" s="365">
        <f>+[9]Inputs!B38</f>
        <v>-2349123</v>
      </c>
      <c r="J8" s="241" t="s">
        <v>8</v>
      </c>
      <c r="K8" s="369"/>
      <c r="L8" s="365">
        <f>[9]Inputs!B40</f>
        <v>-34550</v>
      </c>
      <c r="M8" s="241" t="s">
        <v>8</v>
      </c>
      <c r="N8" s="369"/>
      <c r="O8" s="373">
        <f>[9]Inputs!B48</f>
        <v>18554</v>
      </c>
      <c r="P8" s="241" t="s">
        <v>8</v>
      </c>
      <c r="Q8" s="369"/>
      <c r="R8" s="365">
        <f>[9]Inputs!B54</f>
        <v>7272</v>
      </c>
      <c r="S8" s="241" t="s">
        <v>8</v>
      </c>
      <c r="T8" s="369"/>
      <c r="U8" s="365">
        <v>33907088.383769512</v>
      </c>
      <c r="V8" s="241" t="s">
        <v>8</v>
      </c>
      <c r="W8" s="369"/>
      <c r="Y8" s="372">
        <f>F8+I8+L8+O8+R8+U8</f>
        <v>18959733.383769512</v>
      </c>
    </row>
    <row r="9" spans="1:38" ht="15" customHeight="1" thickBot="1" x14ac:dyDescent="0.3">
      <c r="A9" s="234">
        <f t="shared" si="0"/>
        <v>3</v>
      </c>
      <c r="D9" s="234" t="s">
        <v>9</v>
      </c>
      <c r="E9" s="371" t="s">
        <v>10</v>
      </c>
      <c r="F9" s="370">
        <f>IF([9]Inputs!$G36="yes",[9]Inputs!$B$30,"N/A")</f>
        <v>4.3568999999999997E-2</v>
      </c>
      <c r="G9" s="241" t="s">
        <v>11</v>
      </c>
      <c r="H9" s="369"/>
      <c r="I9" s="370">
        <f>IF([9]Inputs!$G38="yes",[9]Inputs!$B$30,"N/A")</f>
        <v>4.3568999999999997E-2</v>
      </c>
      <c r="J9" s="241" t="s">
        <v>11</v>
      </c>
      <c r="K9" s="369"/>
      <c r="L9" s="370">
        <f>IF([9]Inputs!$G40="yes",[9]Inputs!$B$30,"N/A")</f>
        <v>4.3568999999999997E-2</v>
      </c>
      <c r="M9" s="241" t="s">
        <v>11</v>
      </c>
      <c r="N9" s="369"/>
      <c r="O9" s="370">
        <f>IF([9]Inputs!$G48="yes",[9]Inputs!$B$30,"N/A")</f>
        <v>4.3568999999999997E-2</v>
      </c>
      <c r="P9" s="241" t="s">
        <v>11</v>
      </c>
      <c r="Q9" s="369"/>
      <c r="R9" s="370">
        <f>IF([9]Inputs!$G54="yes",[9]Inputs!$B$30,"N/A")</f>
        <v>4.3568999999999997E-2</v>
      </c>
      <c r="S9" s="241" t="s">
        <v>11</v>
      </c>
      <c r="T9" s="369"/>
      <c r="U9" s="370"/>
      <c r="V9" s="241" t="s">
        <v>11</v>
      </c>
      <c r="W9" s="369"/>
      <c r="Y9" s="368">
        <f>COUNTIF(F9:U9,revsens)</f>
        <v>5</v>
      </c>
    </row>
    <row r="10" spans="1:38" s="265" customFormat="1" ht="15" customHeight="1" thickBot="1" x14ac:dyDescent="0.3">
      <c r="A10" s="234">
        <f t="shared" si="0"/>
        <v>4</v>
      </c>
      <c r="B10" s="224"/>
      <c r="C10" s="224"/>
      <c r="D10" s="367" t="s">
        <v>12</v>
      </c>
      <c r="E10" s="366" t="s">
        <v>13</v>
      </c>
      <c r="F10" s="365">
        <f>ROUND(+F8/(1-F9),0)</f>
        <v>-13163007</v>
      </c>
      <c r="G10" s="364" t="str">
        <f>[9]Inputs!F36</f>
        <v>All sales</v>
      </c>
      <c r="H10" s="363"/>
      <c r="I10" s="365">
        <f>ROUND(+I8/(1-I9),0)</f>
        <v>-2456134</v>
      </c>
      <c r="J10" s="364" t="str">
        <f>[9]Inputs!F38</f>
        <v>All firm sales</v>
      </c>
      <c r="K10" s="363"/>
      <c r="L10" s="365">
        <f>ROUND(+L8/(1-L9),0)</f>
        <v>-36124</v>
      </c>
      <c r="M10" s="364" t="str">
        <f>[9]Inputs!F40</f>
        <v>All interruptible sales</v>
      </c>
      <c r="N10" s="363"/>
      <c r="O10" s="362">
        <f>IF(O9="N/A",O8,ROUND(+O8/(1-O9),0))</f>
        <v>19399</v>
      </c>
      <c r="P10" s="361" t="str">
        <f>[9]Inputs!F48</f>
        <v xml:space="preserve">Residential Only </v>
      </c>
      <c r="Q10" s="360"/>
      <c r="R10" s="362">
        <f>IF(R9="N/A",R8,ROUND(+R8/(1-R9),0))</f>
        <v>7603</v>
      </c>
      <c r="S10" s="361" t="str">
        <f>[9]Inputs!F54</f>
        <v>All Industrial and Transport Customers</v>
      </c>
      <c r="T10" s="360"/>
      <c r="U10" s="362">
        <f>IF(U9="N/A",U8,ROUND(+U8/(1-U9),0))</f>
        <v>33907088</v>
      </c>
      <c r="V10" s="361" t="str">
        <f>[9]Inputs!F64</f>
        <v>All Customers</v>
      </c>
      <c r="W10" s="360"/>
      <c r="Y10" s="359">
        <f>SUM(F10:U10)</f>
        <v>18278825</v>
      </c>
      <c r="AB10" s="265" t="s">
        <v>14</v>
      </c>
      <c r="AC10" s="265" t="s">
        <v>15</v>
      </c>
      <c r="AD10" s="265" t="s">
        <v>16</v>
      </c>
      <c r="AE10" s="265" t="s">
        <v>17</v>
      </c>
      <c r="AI10" s="358"/>
      <c r="AJ10" s="357"/>
      <c r="AK10" s="357"/>
    </row>
    <row r="11" spans="1:38" s="265" customFormat="1" x14ac:dyDescent="0.25">
      <c r="A11" s="234">
        <f t="shared" si="0"/>
        <v>5</v>
      </c>
      <c r="B11" s="224"/>
      <c r="C11" s="224"/>
      <c r="E11" s="356"/>
      <c r="F11" s="355" t="s">
        <v>18</v>
      </c>
      <c r="G11" s="269" t="s">
        <v>19</v>
      </c>
      <c r="H11" s="354" t="s">
        <v>20</v>
      </c>
      <c r="I11" s="355" t="s">
        <v>18</v>
      </c>
      <c r="J11" s="269" t="s">
        <v>19</v>
      </c>
      <c r="K11" s="354" t="s">
        <v>20</v>
      </c>
      <c r="L11" s="355" t="s">
        <v>18</v>
      </c>
      <c r="M11" s="269" t="s">
        <v>19</v>
      </c>
      <c r="N11" s="354" t="s">
        <v>20</v>
      </c>
      <c r="O11" s="355" t="s">
        <v>18</v>
      </c>
      <c r="P11" s="269" t="s">
        <v>19</v>
      </c>
      <c r="Q11" s="354" t="s">
        <v>20</v>
      </c>
      <c r="R11" s="355" t="s">
        <v>18</v>
      </c>
      <c r="S11" s="269" t="s">
        <v>19</v>
      </c>
      <c r="T11" s="354" t="s">
        <v>20</v>
      </c>
      <c r="U11" s="355" t="s">
        <v>18</v>
      </c>
      <c r="V11" s="269" t="s">
        <v>19</v>
      </c>
      <c r="W11" s="354" t="s">
        <v>20</v>
      </c>
      <c r="AA11" s="265" t="s">
        <v>21</v>
      </c>
      <c r="AB11" s="265" t="s">
        <v>22</v>
      </c>
      <c r="AC11" s="265" t="s">
        <v>23</v>
      </c>
      <c r="AD11" s="265" t="s">
        <v>24</v>
      </c>
      <c r="AE11" s="265" t="s">
        <v>25</v>
      </c>
      <c r="AF11" s="265" t="s">
        <v>26</v>
      </c>
      <c r="AG11" s="265" t="s">
        <v>27</v>
      </c>
      <c r="AI11" s="642" t="s">
        <v>28</v>
      </c>
      <c r="AJ11" s="642"/>
      <c r="AK11" s="642"/>
      <c r="AL11" s="642"/>
    </row>
    <row r="12" spans="1:38" s="265" customFormat="1" x14ac:dyDescent="0.25">
      <c r="A12" s="234">
        <f t="shared" si="0"/>
        <v>6</v>
      </c>
      <c r="B12" s="353" t="s">
        <v>29</v>
      </c>
      <c r="C12" s="353" t="s">
        <v>30</v>
      </c>
      <c r="D12" s="271" t="s">
        <v>31</v>
      </c>
      <c r="E12" s="352"/>
      <c r="F12" s="351" t="s">
        <v>32</v>
      </c>
      <c r="G12" s="271" t="s">
        <v>33</v>
      </c>
      <c r="H12" s="350" t="s">
        <v>34</v>
      </c>
      <c r="I12" s="351" t="s">
        <v>35</v>
      </c>
      <c r="J12" s="271" t="s">
        <v>36</v>
      </c>
      <c r="K12" s="350" t="s">
        <v>37</v>
      </c>
      <c r="L12" s="351" t="s">
        <v>38</v>
      </c>
      <c r="M12" s="271" t="s">
        <v>39</v>
      </c>
      <c r="N12" s="350" t="s">
        <v>40</v>
      </c>
      <c r="O12" s="351" t="s">
        <v>41</v>
      </c>
      <c r="P12" s="271" t="s">
        <v>42</v>
      </c>
      <c r="Q12" s="350" t="s">
        <v>43</v>
      </c>
      <c r="R12" s="351" t="s">
        <v>44</v>
      </c>
      <c r="S12" s="271" t="s">
        <v>45</v>
      </c>
      <c r="T12" s="350" t="s">
        <v>46</v>
      </c>
      <c r="U12" s="351" t="s">
        <v>47</v>
      </c>
      <c r="V12" s="271" t="s">
        <v>48</v>
      </c>
      <c r="W12" s="350" t="s">
        <v>49</v>
      </c>
      <c r="AA12" s="265" t="s">
        <v>50</v>
      </c>
      <c r="AB12" s="265" t="s">
        <v>50</v>
      </c>
      <c r="AC12" s="265" t="s">
        <v>50</v>
      </c>
      <c r="AD12" s="265" t="s">
        <v>50</v>
      </c>
      <c r="AE12" s="265" t="s">
        <v>50</v>
      </c>
      <c r="AF12" s="265" t="s">
        <v>50</v>
      </c>
      <c r="AG12" s="265" t="s">
        <v>50</v>
      </c>
      <c r="AI12" s="269" t="s">
        <v>51</v>
      </c>
      <c r="AJ12" s="269" t="s">
        <v>52</v>
      </c>
      <c r="AK12" s="269" t="s">
        <v>53</v>
      </c>
      <c r="AL12" s="269" t="s">
        <v>54</v>
      </c>
    </row>
    <row r="13" spans="1:38" x14ac:dyDescent="0.25">
      <c r="A13" s="234">
        <f t="shared" si="0"/>
        <v>7</v>
      </c>
      <c r="B13" s="337" t="s">
        <v>55</v>
      </c>
      <c r="C13" s="337"/>
      <c r="D13" s="333">
        <f>'[9]Washington volumes'!J13</f>
        <v>179824.1</v>
      </c>
      <c r="E13" s="336"/>
      <c r="F13" s="334">
        <v>1</v>
      </c>
      <c r="G13" s="333">
        <f t="shared" ref="G13:G44" si="1">+$D13*F13</f>
        <v>179824.1</v>
      </c>
      <c r="H13" s="335">
        <f t="shared" ref="H13:H44" si="2">+F13*$H$83</f>
        <v>-0.14299000000000001</v>
      </c>
      <c r="I13" s="334">
        <v>1</v>
      </c>
      <c r="J13" s="333">
        <f t="shared" ref="J13:J44" si="3">+$D13*I13</f>
        <v>179824.1</v>
      </c>
      <c r="K13" s="335">
        <f t="shared" ref="K13:K44" si="4">+I13*$K$83</f>
        <v>-2.7019999999999999E-2</v>
      </c>
      <c r="L13" s="334">
        <v>0</v>
      </c>
      <c r="M13" s="333">
        <f t="shared" ref="M13:M44" si="5">+$D13*L13</f>
        <v>0</v>
      </c>
      <c r="N13" s="335">
        <f t="shared" ref="N13:N44" si="6">+L13*$N$83</f>
        <v>0</v>
      </c>
      <c r="O13" s="334">
        <v>0</v>
      </c>
      <c r="P13" s="333">
        <f t="shared" ref="P13:P44" si="7">+$D13*O13</f>
        <v>0</v>
      </c>
      <c r="Q13" s="335">
        <f t="shared" ref="Q13:Q44" si="8">+O13*$Q$83</f>
        <v>0</v>
      </c>
      <c r="R13" s="334">
        <v>0</v>
      </c>
      <c r="S13" s="333">
        <f t="shared" ref="S13:S44" si="9">+$D13*R13</f>
        <v>0</v>
      </c>
      <c r="T13" s="335">
        <f t="shared" ref="T13:T44" si="10">+R13*$T$83</f>
        <v>0</v>
      </c>
      <c r="U13" s="334">
        <v>1</v>
      </c>
      <c r="V13" s="333">
        <v>291644</v>
      </c>
      <c r="W13" s="332">
        <v>0.24073</v>
      </c>
      <c r="AA13" s="322">
        <f t="shared" ref="AA13:AA44" si="11">H13*D13</f>
        <v>-25713.048059000001</v>
      </c>
      <c r="AB13" s="322">
        <f t="shared" ref="AB13:AB44" si="12">K13*D13</f>
        <v>-4858.8471819999995</v>
      </c>
      <c r="AC13" s="322">
        <f t="shared" ref="AC13:AC44" si="13">N13*D13</f>
        <v>0</v>
      </c>
      <c r="AD13" s="322">
        <f t="shared" ref="AD13:AD44" si="14">Q13*D13</f>
        <v>0</v>
      </c>
      <c r="AE13" s="322">
        <f t="shared" ref="AE13:AE44" si="15">T13*D13</f>
        <v>0</v>
      </c>
      <c r="AF13" s="322">
        <f t="shared" ref="AF13:AF44" si="16">W13*D13</f>
        <v>43289.055593000005</v>
      </c>
      <c r="AG13" s="322">
        <f t="shared" ref="AG13:AG44" si="17">SUM(AA13:AE13)</f>
        <v>-30571.895240999998</v>
      </c>
      <c r="AI13" s="325">
        <f>'[9]Allocation = % of margin'!P13+'[9]Allocation = % of margin'!S13+'[9]Allocation = % of margin'!V13+'[9]Allocation = % of margin'!Y13+'[9]Allocation = % of margin'!AB13+'[9]Allocation = % of margin'!AE13+'[9]Allocation = % of margin'!AH13+'[9]Allocation = % of margin'!AK13+'[9]Allocation = % of margin'!AN13+' Increments  equal ¢ per therm'!H13+' Increments  equal ¢ per therm'!K13+' Increments  equal ¢ per therm'!N13+' Increments  equal ¢ per therm'!Q13+' Increments  equal ¢ per therm'!T13+' Increments  equal ¢ per therm'!W13+'[9]Allocation = % of revenue'!M13</f>
        <v>0.29267999999999988</v>
      </c>
      <c r="AJ13" s="224">
        <f>'Summary of Temporaries '!W13</f>
        <v>0.29243999999999998</v>
      </c>
      <c r="AK13" s="244">
        <f>[9]Permanents!F13</f>
        <v>2.4000000000000001E-4</v>
      </c>
      <c r="AL13" s="325">
        <f t="shared" ref="AL13:AL44" si="18">AI13-AJ13-AK13</f>
        <v>-9.3051651453568418E-17</v>
      </c>
    </row>
    <row r="14" spans="1:38" x14ac:dyDescent="0.25">
      <c r="A14" s="234">
        <f t="shared" si="0"/>
        <v>8</v>
      </c>
      <c r="B14" s="337" t="s">
        <v>56</v>
      </c>
      <c r="C14" s="337"/>
      <c r="D14" s="333">
        <f>'[9]Washington volumes'!J14</f>
        <v>18807.400000000001</v>
      </c>
      <c r="E14" s="336"/>
      <c r="F14" s="334">
        <v>1</v>
      </c>
      <c r="G14" s="333">
        <f t="shared" si="1"/>
        <v>18807.400000000001</v>
      </c>
      <c r="H14" s="335">
        <f t="shared" si="2"/>
        <v>-0.14299000000000001</v>
      </c>
      <c r="I14" s="334">
        <v>1</v>
      </c>
      <c r="J14" s="333">
        <f t="shared" si="3"/>
        <v>18807.400000000001</v>
      </c>
      <c r="K14" s="335">
        <f t="shared" si="4"/>
        <v>-2.7019999999999999E-2</v>
      </c>
      <c r="L14" s="334">
        <v>0</v>
      </c>
      <c r="M14" s="333">
        <f t="shared" si="5"/>
        <v>0</v>
      </c>
      <c r="N14" s="335">
        <f t="shared" si="6"/>
        <v>0</v>
      </c>
      <c r="O14" s="334">
        <v>0</v>
      </c>
      <c r="P14" s="333">
        <f t="shared" si="7"/>
        <v>0</v>
      </c>
      <c r="Q14" s="335">
        <f t="shared" si="8"/>
        <v>0</v>
      </c>
      <c r="R14" s="334">
        <v>0</v>
      </c>
      <c r="S14" s="333">
        <f t="shared" si="9"/>
        <v>0</v>
      </c>
      <c r="T14" s="335">
        <f t="shared" si="10"/>
        <v>0</v>
      </c>
      <c r="U14" s="334">
        <v>1</v>
      </c>
      <c r="V14" s="333">
        <v>14841.6</v>
      </c>
      <c r="W14" s="332">
        <f t="shared" ref="W14:W45" si="19">W13</f>
        <v>0.24073</v>
      </c>
      <c r="AA14" s="322">
        <f t="shared" si="11"/>
        <v>-2689.2701260000003</v>
      </c>
      <c r="AB14" s="322">
        <f t="shared" si="12"/>
        <v>-508.17594800000001</v>
      </c>
      <c r="AC14" s="322">
        <f t="shared" si="13"/>
        <v>0</v>
      </c>
      <c r="AD14" s="322">
        <f t="shared" si="14"/>
        <v>0</v>
      </c>
      <c r="AE14" s="322">
        <f t="shared" si="15"/>
        <v>0</v>
      </c>
      <c r="AF14" s="322">
        <f t="shared" si="16"/>
        <v>4527.5054020000007</v>
      </c>
      <c r="AG14" s="322">
        <f t="shared" si="17"/>
        <v>-3197.4460740000004</v>
      </c>
      <c r="AI14" s="325">
        <f>'[9]Allocation = % of margin'!P14+'[9]Allocation = % of margin'!S14+'[9]Allocation = % of margin'!V14+'[9]Allocation = % of margin'!Y14+'[9]Allocation = % of margin'!AB14+'[9]Allocation = % of margin'!AE14+'[9]Allocation = % of margin'!AH14+'[9]Allocation = % of margin'!AK14+'[9]Allocation = % of margin'!AN14+' Increments  equal ¢ per therm'!H14+' Increments  equal ¢ per therm'!K14+' Increments  equal ¢ per therm'!N14+' Increments  equal ¢ per therm'!Q14+' Increments  equal ¢ per therm'!T14+' Increments  equal ¢ per therm'!W14+'[9]Allocation = % of revenue'!M14</f>
        <v>0.22706999999999999</v>
      </c>
      <c r="AJ14" s="224">
        <f>'Summary of Temporaries '!W14</f>
        <v>0.22691</v>
      </c>
      <c r="AK14" s="244">
        <f>[9]Permanents!F14</f>
        <v>1.6000000000000001E-4</v>
      </c>
      <c r="AL14" s="325">
        <f t="shared" si="18"/>
        <v>-6.5323180892251642E-18</v>
      </c>
    </row>
    <row r="15" spans="1:38" x14ac:dyDescent="0.25">
      <c r="A15" s="234">
        <f t="shared" si="0"/>
        <v>9</v>
      </c>
      <c r="B15" s="337" t="s">
        <v>57</v>
      </c>
      <c r="C15" s="337"/>
      <c r="D15" s="333">
        <f>'[9]Washington volumes'!J15</f>
        <v>59991191.600000001</v>
      </c>
      <c r="E15" s="336"/>
      <c r="F15" s="334">
        <v>1</v>
      </c>
      <c r="G15" s="333">
        <f t="shared" si="1"/>
        <v>59991191.600000001</v>
      </c>
      <c r="H15" s="335">
        <f t="shared" si="2"/>
        <v>-0.14299000000000001</v>
      </c>
      <c r="I15" s="334">
        <v>1</v>
      </c>
      <c r="J15" s="333">
        <f t="shared" si="3"/>
        <v>59991191.600000001</v>
      </c>
      <c r="K15" s="335">
        <f t="shared" si="4"/>
        <v>-2.7019999999999999E-2</v>
      </c>
      <c r="L15" s="334">
        <v>0</v>
      </c>
      <c r="M15" s="333">
        <f t="shared" si="5"/>
        <v>0</v>
      </c>
      <c r="N15" s="335">
        <f t="shared" si="6"/>
        <v>0</v>
      </c>
      <c r="O15" s="334">
        <v>1</v>
      </c>
      <c r="P15" s="333">
        <f t="shared" si="7"/>
        <v>59991191.600000001</v>
      </c>
      <c r="Q15" s="335">
        <f t="shared" si="8"/>
        <v>3.2000000000000003E-4</v>
      </c>
      <c r="R15" s="334">
        <v>0</v>
      </c>
      <c r="S15" s="333">
        <f t="shared" si="9"/>
        <v>0</v>
      </c>
      <c r="T15" s="335">
        <f t="shared" si="10"/>
        <v>0</v>
      </c>
      <c r="U15" s="334">
        <v>1</v>
      </c>
      <c r="V15" s="333">
        <v>53751573.899999999</v>
      </c>
      <c r="W15" s="332">
        <f t="shared" si="19"/>
        <v>0.24073</v>
      </c>
      <c r="AA15" s="322">
        <f t="shared" si="11"/>
        <v>-8578140.4868839998</v>
      </c>
      <c r="AB15" s="322">
        <f t="shared" si="12"/>
        <v>-1620961.997032</v>
      </c>
      <c r="AC15" s="322">
        <f t="shared" si="13"/>
        <v>0</v>
      </c>
      <c r="AD15" s="322">
        <f t="shared" si="14"/>
        <v>19197.181312000001</v>
      </c>
      <c r="AE15" s="322">
        <f t="shared" si="15"/>
        <v>0</v>
      </c>
      <c r="AF15" s="322">
        <f t="shared" si="16"/>
        <v>14441679.553867999</v>
      </c>
      <c r="AG15" s="322">
        <f t="shared" si="17"/>
        <v>-10179905.302603999</v>
      </c>
      <c r="AI15" s="325">
        <f>'[9]Allocation = % of margin'!P15+'[9]Allocation = % of margin'!S15+'[9]Allocation = % of margin'!V15+'[9]Allocation = % of margin'!Y15+'[9]Allocation = % of margin'!AB15+'[9]Allocation = % of margin'!AE15+'[9]Allocation = % of margin'!AH15+'[9]Allocation = % of margin'!AK15+'[9]Allocation = % of margin'!AN15+' Increments  equal ¢ per therm'!H15+' Increments  equal ¢ per therm'!K15+' Increments  equal ¢ per therm'!N15+' Increments  equal ¢ per therm'!Q15+' Increments  equal ¢ per therm'!T15+' Increments  equal ¢ per therm'!W15+'[9]Allocation = % of revenue'!M15</f>
        <v>0.17742999999999995</v>
      </c>
      <c r="AJ15" s="224">
        <f>'Summary of Temporaries '!W15</f>
        <v>0.17731999999999998</v>
      </c>
      <c r="AK15" s="244">
        <f>[9]Permanents!F15</f>
        <v>1.1E-4</v>
      </c>
      <c r="AL15" s="325">
        <f t="shared" si="18"/>
        <v>-2.8772015152334074E-17</v>
      </c>
    </row>
    <row r="16" spans="1:38" x14ac:dyDescent="0.25">
      <c r="A16" s="234">
        <f t="shared" si="0"/>
        <v>10</v>
      </c>
      <c r="B16" s="337" t="s">
        <v>58</v>
      </c>
      <c r="C16" s="337"/>
      <c r="D16" s="333">
        <f>'[9]Washington volumes'!J16</f>
        <v>21359578.800000001</v>
      </c>
      <c r="E16" s="336"/>
      <c r="F16" s="334">
        <v>1</v>
      </c>
      <c r="G16" s="333">
        <f t="shared" si="1"/>
        <v>21359578.800000001</v>
      </c>
      <c r="H16" s="335">
        <f t="shared" si="2"/>
        <v>-0.14299000000000001</v>
      </c>
      <c r="I16" s="334">
        <v>1</v>
      </c>
      <c r="J16" s="333">
        <f t="shared" si="3"/>
        <v>21359578.800000001</v>
      </c>
      <c r="K16" s="335">
        <f t="shared" si="4"/>
        <v>-2.7019999999999999E-2</v>
      </c>
      <c r="L16" s="334">
        <v>0</v>
      </c>
      <c r="M16" s="333">
        <f t="shared" si="5"/>
        <v>0</v>
      </c>
      <c r="N16" s="335">
        <f t="shared" si="6"/>
        <v>0</v>
      </c>
      <c r="O16" s="334">
        <v>0</v>
      </c>
      <c r="P16" s="333">
        <f t="shared" si="7"/>
        <v>0</v>
      </c>
      <c r="Q16" s="335">
        <f t="shared" si="8"/>
        <v>0</v>
      </c>
      <c r="R16" s="334">
        <v>0</v>
      </c>
      <c r="S16" s="333">
        <f t="shared" si="9"/>
        <v>0</v>
      </c>
      <c r="T16" s="335">
        <f t="shared" si="10"/>
        <v>0</v>
      </c>
      <c r="U16" s="334">
        <v>1</v>
      </c>
      <c r="V16" s="333">
        <v>19577451.700000003</v>
      </c>
      <c r="W16" s="332">
        <f t="shared" si="19"/>
        <v>0.24073</v>
      </c>
      <c r="AA16" s="322">
        <f t="shared" si="11"/>
        <v>-3054206.1726120003</v>
      </c>
      <c r="AB16" s="322">
        <f t="shared" si="12"/>
        <v>-577135.81917599996</v>
      </c>
      <c r="AC16" s="322">
        <f t="shared" si="13"/>
        <v>0</v>
      </c>
      <c r="AD16" s="322">
        <f t="shared" si="14"/>
        <v>0</v>
      </c>
      <c r="AE16" s="322">
        <f t="shared" si="15"/>
        <v>0</v>
      </c>
      <c r="AF16" s="322">
        <f t="shared" si="16"/>
        <v>5141891.4045240004</v>
      </c>
      <c r="AG16" s="322">
        <f t="shared" si="17"/>
        <v>-3631341.9917880003</v>
      </c>
      <c r="AI16" s="325">
        <f>'[9]Allocation = % of margin'!P16+'[9]Allocation = % of margin'!S16+'[9]Allocation = % of margin'!V16+'[9]Allocation = % of margin'!Y16+'[9]Allocation = % of margin'!AB16+'[9]Allocation = % of margin'!AE16+'[9]Allocation = % of margin'!AH16+'[9]Allocation = % of margin'!AK16+'[9]Allocation = % of margin'!AN16+' Increments  equal ¢ per therm'!H16+' Increments  equal ¢ per therm'!K16+' Increments  equal ¢ per therm'!N16+' Increments  equal ¢ per therm'!Q16+' Increments  equal ¢ per therm'!T16+' Increments  equal ¢ per therm'!W16+'[9]Allocation = % of revenue'!M16</f>
        <v>0.16466</v>
      </c>
      <c r="AJ16" s="224">
        <f>'Summary of Temporaries '!W16</f>
        <v>0.16456000000000004</v>
      </c>
      <c r="AK16" s="244">
        <f>[9]Permanents!F16</f>
        <v>1E-4</v>
      </c>
      <c r="AL16" s="325">
        <f t="shared" si="18"/>
        <v>-3.8773780193512852E-17</v>
      </c>
    </row>
    <row r="17" spans="1:38" x14ac:dyDescent="0.25">
      <c r="A17" s="234">
        <f t="shared" si="0"/>
        <v>11</v>
      </c>
      <c r="B17" s="337" t="s">
        <v>59</v>
      </c>
      <c r="C17" s="337"/>
      <c r="D17" s="333">
        <f>'[9]Washington volumes'!J17</f>
        <v>192102.2</v>
      </c>
      <c r="E17" s="336"/>
      <c r="F17" s="334">
        <v>1</v>
      </c>
      <c r="G17" s="333">
        <f t="shared" si="1"/>
        <v>192102.2</v>
      </c>
      <c r="H17" s="335">
        <f t="shared" si="2"/>
        <v>-0.14299000000000001</v>
      </c>
      <c r="I17" s="334">
        <v>1</v>
      </c>
      <c r="J17" s="333">
        <f t="shared" si="3"/>
        <v>192102.2</v>
      </c>
      <c r="K17" s="335">
        <f t="shared" si="4"/>
        <v>-2.7019999999999999E-2</v>
      </c>
      <c r="L17" s="334">
        <v>0</v>
      </c>
      <c r="M17" s="333">
        <f t="shared" si="5"/>
        <v>0</v>
      </c>
      <c r="N17" s="335">
        <f t="shared" si="6"/>
        <v>0</v>
      </c>
      <c r="O17" s="334">
        <v>0</v>
      </c>
      <c r="P17" s="333">
        <f t="shared" si="7"/>
        <v>0</v>
      </c>
      <c r="Q17" s="335">
        <f t="shared" si="8"/>
        <v>0</v>
      </c>
      <c r="R17" s="334">
        <v>1</v>
      </c>
      <c r="S17" s="333">
        <f t="shared" si="9"/>
        <v>192102.2</v>
      </c>
      <c r="T17" s="335">
        <f t="shared" si="10"/>
        <v>3.5E-4</v>
      </c>
      <c r="U17" s="334">
        <v>1</v>
      </c>
      <c r="V17" s="333">
        <v>194783.29999999996</v>
      </c>
      <c r="W17" s="332">
        <f t="shared" si="19"/>
        <v>0.24073</v>
      </c>
      <c r="AA17" s="322">
        <f t="shared" si="11"/>
        <v>-27468.693578000002</v>
      </c>
      <c r="AB17" s="322">
        <f t="shared" si="12"/>
        <v>-5190.6014439999999</v>
      </c>
      <c r="AC17" s="322">
        <f t="shared" si="13"/>
        <v>0</v>
      </c>
      <c r="AD17" s="322">
        <f t="shared" si="14"/>
        <v>0</v>
      </c>
      <c r="AE17" s="322">
        <f t="shared" si="15"/>
        <v>67.235770000000002</v>
      </c>
      <c r="AF17" s="322">
        <f t="shared" si="16"/>
        <v>46244.762606000004</v>
      </c>
      <c r="AG17" s="322">
        <f t="shared" si="17"/>
        <v>-32592.059252000003</v>
      </c>
      <c r="AI17" s="325">
        <f>'[9]Allocation = % of margin'!P17+'[9]Allocation = % of margin'!S17+'[9]Allocation = % of margin'!V17+'[9]Allocation = % of margin'!Y17+'[9]Allocation = % of margin'!AB17+'[9]Allocation = % of margin'!AE17+'[9]Allocation = % of margin'!AH17+'[9]Allocation = % of margin'!AK17+'[9]Allocation = % of margin'!AN17+' Increments  equal ¢ per therm'!H17+' Increments  equal ¢ per therm'!K17+' Increments  equal ¢ per therm'!N17+' Increments  equal ¢ per therm'!Q17+' Increments  equal ¢ per therm'!T17+' Increments  equal ¢ per therm'!W17+'[9]Allocation = % of revenue'!M17</f>
        <v>0.10460999999999999</v>
      </c>
      <c r="AJ17" s="224">
        <f>'Summary of Temporaries '!W17</f>
        <v>0.10452</v>
      </c>
      <c r="AK17" s="244">
        <f>[9]Permanents!F17</f>
        <v>9.0000000000000006E-5</v>
      </c>
      <c r="AL17" s="325">
        <f t="shared" si="18"/>
        <v>-7.1421818112482605E-18</v>
      </c>
    </row>
    <row r="18" spans="1:38" x14ac:dyDescent="0.25">
      <c r="A18" s="234">
        <f t="shared" si="0"/>
        <v>12</v>
      </c>
      <c r="B18" s="338">
        <v>27</v>
      </c>
      <c r="C18" s="338"/>
      <c r="D18" s="333">
        <f>'[9]Washington volumes'!J18</f>
        <v>34823.1</v>
      </c>
      <c r="E18" s="336"/>
      <c r="F18" s="334">
        <v>1</v>
      </c>
      <c r="G18" s="333">
        <f t="shared" si="1"/>
        <v>34823.1</v>
      </c>
      <c r="H18" s="335">
        <f t="shared" si="2"/>
        <v>-0.14299000000000001</v>
      </c>
      <c r="I18" s="334">
        <v>1</v>
      </c>
      <c r="J18" s="333">
        <f t="shared" si="3"/>
        <v>34823.1</v>
      </c>
      <c r="K18" s="335">
        <f t="shared" si="4"/>
        <v>-2.7019999999999999E-2</v>
      </c>
      <c r="L18" s="334">
        <v>0</v>
      </c>
      <c r="M18" s="333">
        <f t="shared" si="5"/>
        <v>0</v>
      </c>
      <c r="N18" s="335">
        <f t="shared" si="6"/>
        <v>0</v>
      </c>
      <c r="O18" s="334">
        <v>0</v>
      </c>
      <c r="P18" s="333">
        <f t="shared" si="7"/>
        <v>0</v>
      </c>
      <c r="Q18" s="335">
        <f t="shared" si="8"/>
        <v>0</v>
      </c>
      <c r="R18" s="334">
        <v>0</v>
      </c>
      <c r="S18" s="333">
        <f t="shared" si="9"/>
        <v>0</v>
      </c>
      <c r="T18" s="335">
        <f t="shared" si="10"/>
        <v>0</v>
      </c>
      <c r="U18" s="334">
        <v>1</v>
      </c>
      <c r="V18" s="333">
        <v>57238.8</v>
      </c>
      <c r="W18" s="332">
        <f t="shared" si="19"/>
        <v>0.24073</v>
      </c>
      <c r="AA18" s="322">
        <f t="shared" si="11"/>
        <v>-4979.3550690000002</v>
      </c>
      <c r="AB18" s="322">
        <f t="shared" si="12"/>
        <v>-940.92016199999989</v>
      </c>
      <c r="AC18" s="322">
        <f t="shared" si="13"/>
        <v>0</v>
      </c>
      <c r="AD18" s="322">
        <f t="shared" si="14"/>
        <v>0</v>
      </c>
      <c r="AE18" s="322">
        <f t="shared" si="15"/>
        <v>0</v>
      </c>
      <c r="AF18" s="322">
        <f t="shared" si="16"/>
        <v>8382.9648629999992</v>
      </c>
      <c r="AG18" s="322">
        <f t="shared" si="17"/>
        <v>-5920.2752309999996</v>
      </c>
      <c r="AI18" s="325">
        <f>'[9]Allocation = % of margin'!P18+'[9]Allocation = % of margin'!S18+'[9]Allocation = % of margin'!V18+'[9]Allocation = % of margin'!Y18+'[9]Allocation = % of margin'!AB18+'[9]Allocation = % of margin'!AE18+'[9]Allocation = % of margin'!AH18+'[9]Allocation = % of margin'!AK18+'[9]Allocation = % of margin'!AN18+' Increments  equal ¢ per therm'!H18+' Increments  equal ¢ per therm'!K18+' Increments  equal ¢ per therm'!N18+' Increments  equal ¢ per therm'!Q18+' Increments  equal ¢ per therm'!T18+' Increments  equal ¢ per therm'!W18+'[9]Allocation = % of revenue'!M18</f>
        <v>0.29068999999999995</v>
      </c>
      <c r="AJ18" s="224">
        <f>'Summary of Temporaries '!W18</f>
        <v>0.29042999999999997</v>
      </c>
      <c r="AK18" s="244">
        <f>[9]Permanents!F18</f>
        <v>2.5999999999999998E-4</v>
      </c>
      <c r="AL18" s="325">
        <f t="shared" si="18"/>
        <v>-1.7509865085640897E-17</v>
      </c>
    </row>
    <row r="19" spans="1:38" x14ac:dyDescent="0.25">
      <c r="A19" s="234">
        <f t="shared" si="0"/>
        <v>13</v>
      </c>
      <c r="B19" s="234" t="s">
        <v>60</v>
      </c>
      <c r="C19" s="344" t="s">
        <v>61</v>
      </c>
      <c r="D19" s="323">
        <f>'[9]Washington volumes'!J19</f>
        <v>1665389.3</v>
      </c>
      <c r="E19" s="343"/>
      <c r="F19" s="341">
        <v>1</v>
      </c>
      <c r="G19" s="323">
        <f t="shared" si="1"/>
        <v>1665389.3</v>
      </c>
      <c r="H19" s="342">
        <f t="shared" si="2"/>
        <v>-0.14299000000000001</v>
      </c>
      <c r="I19" s="341">
        <v>1</v>
      </c>
      <c r="J19" s="323">
        <f t="shared" si="3"/>
        <v>1665389.3</v>
      </c>
      <c r="K19" s="342">
        <f t="shared" si="4"/>
        <v>-2.7019999999999999E-2</v>
      </c>
      <c r="L19" s="341">
        <v>0</v>
      </c>
      <c r="M19" s="323">
        <f t="shared" si="5"/>
        <v>0</v>
      </c>
      <c r="N19" s="342">
        <f t="shared" si="6"/>
        <v>0</v>
      </c>
      <c r="O19" s="341">
        <v>0</v>
      </c>
      <c r="P19" s="323">
        <f t="shared" si="7"/>
        <v>0</v>
      </c>
      <c r="Q19" s="342">
        <f t="shared" si="8"/>
        <v>0</v>
      </c>
      <c r="R19" s="341">
        <v>0</v>
      </c>
      <c r="S19" s="323">
        <f t="shared" si="9"/>
        <v>0</v>
      </c>
      <c r="T19" s="342">
        <f t="shared" si="10"/>
        <v>0</v>
      </c>
      <c r="U19" s="341">
        <v>1</v>
      </c>
      <c r="V19" s="323">
        <v>1372877.5000000002</v>
      </c>
      <c r="W19" s="340">
        <f t="shared" si="19"/>
        <v>0.24073</v>
      </c>
      <c r="AA19" s="322">
        <f t="shared" si="11"/>
        <v>-238134.01600700003</v>
      </c>
      <c r="AB19" s="322">
        <f t="shared" si="12"/>
        <v>-44998.818886000001</v>
      </c>
      <c r="AC19" s="322">
        <f t="shared" si="13"/>
        <v>0</v>
      </c>
      <c r="AD19" s="322">
        <f t="shared" si="14"/>
        <v>0</v>
      </c>
      <c r="AE19" s="322">
        <f t="shared" si="15"/>
        <v>0</v>
      </c>
      <c r="AF19" s="322">
        <f t="shared" si="16"/>
        <v>400909.16618900001</v>
      </c>
      <c r="AG19" s="322">
        <f t="shared" si="17"/>
        <v>-283132.83489300002</v>
      </c>
      <c r="AI19" s="325">
        <f>'[9]Allocation = % of margin'!P19+'[9]Allocation = % of margin'!S19+'[9]Allocation = % of margin'!V19+'[9]Allocation = % of margin'!Y19+'[9]Allocation = % of margin'!AB19+'[9]Allocation = % of margin'!AE19+'[9]Allocation = % of margin'!AH19+'[9]Allocation = % of margin'!AK19+'[9]Allocation = % of margin'!AN19+' Increments  equal ¢ per therm'!H19+' Increments  equal ¢ per therm'!K19+' Increments  equal ¢ per therm'!N19+' Increments  equal ¢ per therm'!Q19+' Increments  equal ¢ per therm'!T19+' Increments  equal ¢ per therm'!W19+'[9]Allocation = % of revenue'!M19</f>
        <v>0.14555000000000001</v>
      </c>
      <c r="AJ19" s="224">
        <f>'Summary of Temporaries '!W19</f>
        <v>0.14546999999999999</v>
      </c>
      <c r="AK19" s="244">
        <f>[9]Permanents!F19</f>
        <v>8.0000000000000007E-5</v>
      </c>
      <c r="AL19" s="325">
        <f t="shared" si="18"/>
        <v>2.4489416571016331E-17</v>
      </c>
    </row>
    <row r="20" spans="1:38" x14ac:dyDescent="0.25">
      <c r="A20" s="234">
        <f t="shared" si="0"/>
        <v>14</v>
      </c>
      <c r="B20" s="338"/>
      <c r="C20" s="339" t="s">
        <v>62</v>
      </c>
      <c r="D20" s="333">
        <f>'[9]Washington volumes'!J20</f>
        <v>2698480.8</v>
      </c>
      <c r="E20" s="336"/>
      <c r="F20" s="334">
        <v>1</v>
      </c>
      <c r="G20" s="333">
        <f t="shared" si="1"/>
        <v>2698480.8</v>
      </c>
      <c r="H20" s="335">
        <f t="shared" si="2"/>
        <v>-0.14299000000000001</v>
      </c>
      <c r="I20" s="334">
        <v>1</v>
      </c>
      <c r="J20" s="333">
        <f t="shared" si="3"/>
        <v>2698480.8</v>
      </c>
      <c r="K20" s="335">
        <f t="shared" si="4"/>
        <v>-2.7019999999999999E-2</v>
      </c>
      <c r="L20" s="334">
        <v>0</v>
      </c>
      <c r="M20" s="333">
        <f t="shared" si="5"/>
        <v>0</v>
      </c>
      <c r="N20" s="335">
        <f t="shared" si="6"/>
        <v>0</v>
      </c>
      <c r="O20" s="334">
        <v>0</v>
      </c>
      <c r="P20" s="333">
        <f t="shared" si="7"/>
        <v>0</v>
      </c>
      <c r="Q20" s="335">
        <f t="shared" si="8"/>
        <v>0</v>
      </c>
      <c r="R20" s="334">
        <v>0</v>
      </c>
      <c r="S20" s="333">
        <f t="shared" si="9"/>
        <v>0</v>
      </c>
      <c r="T20" s="335">
        <f t="shared" si="10"/>
        <v>0</v>
      </c>
      <c r="U20" s="334">
        <v>1</v>
      </c>
      <c r="V20" s="333">
        <v>2229000.4000000004</v>
      </c>
      <c r="W20" s="332">
        <f t="shared" si="19"/>
        <v>0.24073</v>
      </c>
      <c r="AA20" s="322">
        <f t="shared" si="11"/>
        <v>-385855.769592</v>
      </c>
      <c r="AB20" s="322">
        <f t="shared" si="12"/>
        <v>-72912.951215999987</v>
      </c>
      <c r="AC20" s="322">
        <f t="shared" si="13"/>
        <v>0</v>
      </c>
      <c r="AD20" s="322">
        <f t="shared" si="14"/>
        <v>0</v>
      </c>
      <c r="AE20" s="322">
        <f t="shared" si="15"/>
        <v>0</v>
      </c>
      <c r="AF20" s="322">
        <f t="shared" si="16"/>
        <v>649605.28298399993</v>
      </c>
      <c r="AG20" s="322">
        <f t="shared" si="17"/>
        <v>-458768.72080799995</v>
      </c>
      <c r="AI20" s="325">
        <f>'[9]Allocation = % of margin'!P20+'[9]Allocation = % of margin'!S20+'[9]Allocation = % of margin'!V20+'[9]Allocation = % of margin'!Y20+'[9]Allocation = % of margin'!AB20+'[9]Allocation = % of margin'!AE20+'[9]Allocation = % of margin'!AH20+'[9]Allocation = % of margin'!AK20+'[9]Allocation = % of margin'!AN20+' Increments  equal ¢ per therm'!H20+' Increments  equal ¢ per therm'!K20+' Increments  equal ¢ per therm'!N20+' Increments  equal ¢ per therm'!Q20+' Increments  equal ¢ per therm'!T20+' Increments  equal ¢ per therm'!W20+'[9]Allocation = % of revenue'!M20</f>
        <v>0.13664999999999999</v>
      </c>
      <c r="AJ20" s="224">
        <f>'Summary of Temporaries '!W20</f>
        <v>0.13657999999999998</v>
      </c>
      <c r="AK20" s="244">
        <f>[9]Permanents!F20</f>
        <v>6.9999999999999994E-5</v>
      </c>
      <c r="AL20" s="325">
        <f t="shared" si="18"/>
        <v>1.4501204056993622E-17</v>
      </c>
    </row>
    <row r="21" spans="1:38" x14ac:dyDescent="0.25">
      <c r="A21" s="234">
        <f t="shared" si="0"/>
        <v>15</v>
      </c>
      <c r="B21" s="234" t="s">
        <v>63</v>
      </c>
      <c r="C21" s="344" t="s">
        <v>61</v>
      </c>
      <c r="D21" s="323">
        <f>'[9]Washington volumes'!J21</f>
        <v>331379.44452066539</v>
      </c>
      <c r="E21" s="343"/>
      <c r="F21" s="341">
        <v>1</v>
      </c>
      <c r="G21" s="323">
        <f t="shared" si="1"/>
        <v>331379.44452066539</v>
      </c>
      <c r="H21" s="342">
        <f t="shared" si="2"/>
        <v>-0.14299000000000001</v>
      </c>
      <c r="I21" s="341">
        <v>1</v>
      </c>
      <c r="J21" s="323">
        <f t="shared" si="3"/>
        <v>331379.44452066539</v>
      </c>
      <c r="K21" s="342">
        <f t="shared" si="4"/>
        <v>-2.7019999999999999E-2</v>
      </c>
      <c r="L21" s="341">
        <v>0</v>
      </c>
      <c r="M21" s="323">
        <f t="shared" si="5"/>
        <v>0</v>
      </c>
      <c r="N21" s="342">
        <f t="shared" si="6"/>
        <v>0</v>
      </c>
      <c r="O21" s="341">
        <v>0</v>
      </c>
      <c r="P21" s="323">
        <f t="shared" si="7"/>
        <v>0</v>
      </c>
      <c r="Q21" s="342">
        <f t="shared" si="8"/>
        <v>0</v>
      </c>
      <c r="R21" s="341">
        <v>1</v>
      </c>
      <c r="S21" s="323">
        <f t="shared" si="9"/>
        <v>331379.44452066539</v>
      </c>
      <c r="T21" s="342">
        <f t="shared" si="10"/>
        <v>3.5E-4</v>
      </c>
      <c r="U21" s="341">
        <v>1</v>
      </c>
      <c r="V21" s="323">
        <v>329824.69999999995</v>
      </c>
      <c r="W21" s="340">
        <f t="shared" si="19"/>
        <v>0.24073</v>
      </c>
      <c r="AA21" s="322">
        <f t="shared" si="11"/>
        <v>-47383.946772009949</v>
      </c>
      <c r="AB21" s="322">
        <f t="shared" si="12"/>
        <v>-8953.8725909483783</v>
      </c>
      <c r="AC21" s="322">
        <f t="shared" si="13"/>
        <v>0</v>
      </c>
      <c r="AD21" s="322">
        <f t="shared" si="14"/>
        <v>0</v>
      </c>
      <c r="AE21" s="322">
        <f t="shared" si="15"/>
        <v>115.98280558223288</v>
      </c>
      <c r="AF21" s="322">
        <f t="shared" si="16"/>
        <v>79772.973679459785</v>
      </c>
      <c r="AG21" s="322">
        <f t="shared" si="17"/>
        <v>-56221.836557376089</v>
      </c>
      <c r="AI21" s="325">
        <f>'[9]Allocation = % of margin'!P21+'[9]Allocation = % of margin'!S21+'[9]Allocation = % of margin'!V21+'[9]Allocation = % of margin'!Y21+'[9]Allocation = % of margin'!AB21+'[9]Allocation = % of margin'!AE21+'[9]Allocation = % of margin'!AH21+'[9]Allocation = % of margin'!AK21+'[9]Allocation = % of margin'!AN21+' Increments  equal ¢ per therm'!H21+' Increments  equal ¢ per therm'!K21+' Increments  equal ¢ per therm'!N21+' Increments  equal ¢ per therm'!Q21+' Increments  equal ¢ per therm'!T21+' Increments  equal ¢ per therm'!W21+'[9]Allocation = % of revenue'!M21</f>
        <v>9.6689999999999984E-2</v>
      </c>
      <c r="AJ21" s="224">
        <f>'Summary of Temporaries '!W21</f>
        <v>9.6619999999999984E-2</v>
      </c>
      <c r="AK21" s="244">
        <f>[9]Permanents!F21</f>
        <v>6.9999999999999994E-5</v>
      </c>
      <c r="AL21" s="325">
        <f t="shared" si="18"/>
        <v>6.2341624917916505E-19</v>
      </c>
    </row>
    <row r="22" spans="1:38" x14ac:dyDescent="0.25">
      <c r="A22" s="234">
        <f t="shared" si="0"/>
        <v>16</v>
      </c>
      <c r="B22" s="338"/>
      <c r="C22" s="339" t="s">
        <v>62</v>
      </c>
      <c r="D22" s="333">
        <f>'[9]Washington volumes'!J22</f>
        <v>593486.75547933462</v>
      </c>
      <c r="E22" s="336"/>
      <c r="F22" s="334">
        <v>1</v>
      </c>
      <c r="G22" s="333">
        <f t="shared" si="1"/>
        <v>593486.75547933462</v>
      </c>
      <c r="H22" s="335">
        <f t="shared" si="2"/>
        <v>-0.14299000000000001</v>
      </c>
      <c r="I22" s="334">
        <v>1</v>
      </c>
      <c r="J22" s="333">
        <f t="shared" si="3"/>
        <v>593486.75547933462</v>
      </c>
      <c r="K22" s="335">
        <f t="shared" si="4"/>
        <v>-2.7019999999999999E-2</v>
      </c>
      <c r="L22" s="334">
        <v>0</v>
      </c>
      <c r="M22" s="333">
        <f t="shared" si="5"/>
        <v>0</v>
      </c>
      <c r="N22" s="335">
        <f t="shared" si="6"/>
        <v>0</v>
      </c>
      <c r="O22" s="334">
        <v>0</v>
      </c>
      <c r="P22" s="333">
        <f t="shared" si="7"/>
        <v>0</v>
      </c>
      <c r="Q22" s="335">
        <f t="shared" si="8"/>
        <v>0</v>
      </c>
      <c r="R22" s="334">
        <v>1</v>
      </c>
      <c r="S22" s="333">
        <f t="shared" si="9"/>
        <v>593486.75547933462</v>
      </c>
      <c r="T22" s="335">
        <f t="shared" si="10"/>
        <v>3.5E-4</v>
      </c>
      <c r="U22" s="334">
        <v>1</v>
      </c>
      <c r="V22" s="333">
        <v>735387.7</v>
      </c>
      <c r="W22" s="332">
        <f t="shared" si="19"/>
        <v>0.24073</v>
      </c>
      <c r="AA22" s="322">
        <f t="shared" si="11"/>
        <v>-84862.671165990061</v>
      </c>
      <c r="AB22" s="322">
        <f t="shared" si="12"/>
        <v>-16036.012133051621</v>
      </c>
      <c r="AC22" s="322">
        <f t="shared" si="13"/>
        <v>0</v>
      </c>
      <c r="AD22" s="322">
        <f t="shared" si="14"/>
        <v>0</v>
      </c>
      <c r="AE22" s="322">
        <f t="shared" si="15"/>
        <v>207.72036441776712</v>
      </c>
      <c r="AF22" s="322">
        <f t="shared" si="16"/>
        <v>142870.06664654022</v>
      </c>
      <c r="AG22" s="322">
        <f t="shared" si="17"/>
        <v>-100690.96293462392</v>
      </c>
      <c r="AI22" s="325">
        <f>'[9]Allocation = % of margin'!P22+'[9]Allocation = % of margin'!S22+'[9]Allocation = % of margin'!V22+'[9]Allocation = % of margin'!Y22+'[9]Allocation = % of margin'!AB22+'[9]Allocation = % of margin'!AE22+'[9]Allocation = % of margin'!AH22+'[9]Allocation = % of margin'!AK22+'[9]Allocation = % of margin'!AN22+' Increments  equal ¢ per therm'!H22+' Increments  equal ¢ per therm'!K22+' Increments  equal ¢ per therm'!N22+' Increments  equal ¢ per therm'!Q22+' Increments  equal ¢ per therm'!T22+' Increments  equal ¢ per therm'!W22+'[9]Allocation = % of revenue'!M22</f>
        <v>9.3649999999999997E-2</v>
      </c>
      <c r="AJ22" s="224">
        <f>'Summary of Temporaries '!W22</f>
        <v>9.3590000000000007E-2</v>
      </c>
      <c r="AK22" s="244">
        <f>[9]Permanents!F22</f>
        <v>6.0000000000000002E-5</v>
      </c>
      <c r="AL22" s="325">
        <f t="shared" si="18"/>
        <v>-9.3851250555776478E-18</v>
      </c>
    </row>
    <row r="23" spans="1:38" x14ac:dyDescent="0.25">
      <c r="A23" s="234">
        <f t="shared" si="0"/>
        <v>17</v>
      </c>
      <c r="B23" s="234" t="s">
        <v>64</v>
      </c>
      <c r="C23" s="344" t="s">
        <v>61</v>
      </c>
      <c r="D23" s="323">
        <f>'[9]Washington volumes'!J23</f>
        <v>0</v>
      </c>
      <c r="E23" s="343"/>
      <c r="F23" s="341">
        <v>1</v>
      </c>
      <c r="G23" s="323">
        <f t="shared" si="1"/>
        <v>0</v>
      </c>
      <c r="H23" s="342">
        <f t="shared" si="2"/>
        <v>-0.14299000000000001</v>
      </c>
      <c r="I23" s="341">
        <v>0</v>
      </c>
      <c r="J23" s="323">
        <f t="shared" si="3"/>
        <v>0</v>
      </c>
      <c r="K23" s="342">
        <f t="shared" si="4"/>
        <v>0</v>
      </c>
      <c r="L23" s="341">
        <v>1</v>
      </c>
      <c r="M23" s="323">
        <f t="shared" si="5"/>
        <v>0</v>
      </c>
      <c r="N23" s="342">
        <f t="shared" si="6"/>
        <v>-3.1469999999999998E-2</v>
      </c>
      <c r="O23" s="341">
        <v>0</v>
      </c>
      <c r="P23" s="323">
        <f t="shared" si="7"/>
        <v>0</v>
      </c>
      <c r="Q23" s="342">
        <f t="shared" si="8"/>
        <v>0</v>
      </c>
      <c r="R23" s="341">
        <v>0</v>
      </c>
      <c r="S23" s="323">
        <f t="shared" si="9"/>
        <v>0</v>
      </c>
      <c r="T23" s="342">
        <f t="shared" si="10"/>
        <v>0</v>
      </c>
      <c r="U23" s="341">
        <v>1</v>
      </c>
      <c r="V23" s="323">
        <v>0</v>
      </c>
      <c r="W23" s="340">
        <f t="shared" si="19"/>
        <v>0.24073</v>
      </c>
      <c r="AA23" s="322">
        <f t="shared" si="11"/>
        <v>0</v>
      </c>
      <c r="AB23" s="322">
        <f t="shared" si="12"/>
        <v>0</v>
      </c>
      <c r="AC23" s="322">
        <f t="shared" si="13"/>
        <v>0</v>
      </c>
      <c r="AD23" s="322">
        <f t="shared" si="14"/>
        <v>0</v>
      </c>
      <c r="AE23" s="322">
        <f t="shared" si="15"/>
        <v>0</v>
      </c>
      <c r="AF23" s="322">
        <f t="shared" si="16"/>
        <v>0</v>
      </c>
      <c r="AG23" s="322">
        <f t="shared" si="17"/>
        <v>0</v>
      </c>
      <c r="AI23" s="325">
        <f>'[9]Allocation = % of margin'!P23+'[9]Allocation = % of margin'!S23+'[9]Allocation = % of margin'!V23+'[9]Allocation = % of margin'!Y23+'[9]Allocation = % of margin'!AB23+'[9]Allocation = % of margin'!AE23+'[9]Allocation = % of margin'!AH23+'[9]Allocation = % of margin'!AK23+'[9]Allocation = % of margin'!AN23+' Increments  equal ¢ per therm'!H23+' Increments  equal ¢ per therm'!K23+' Increments  equal ¢ per therm'!N23+' Increments  equal ¢ per therm'!Q23+' Increments  equal ¢ per therm'!T23+' Increments  equal ¢ per therm'!W23+'[9]Allocation = % of revenue'!M23</f>
        <v>0.13566</v>
      </c>
      <c r="AJ23" s="224">
        <f>'Summary of Temporaries '!W23</f>
        <v>0.13558999999999999</v>
      </c>
      <c r="AK23" s="244">
        <f>[9]Permanents!F23</f>
        <v>6.9999999999999994E-5</v>
      </c>
      <c r="AL23" s="325">
        <f t="shared" si="18"/>
        <v>1.4501204056993622E-17</v>
      </c>
    </row>
    <row r="24" spans="1:38" x14ac:dyDescent="0.25">
      <c r="A24" s="234">
        <f t="shared" si="0"/>
        <v>18</v>
      </c>
      <c r="B24" s="338"/>
      <c r="C24" s="339" t="s">
        <v>62</v>
      </c>
      <c r="D24" s="333">
        <f>'[9]Washington volumes'!J24</f>
        <v>0</v>
      </c>
      <c r="E24" s="336"/>
      <c r="F24" s="334">
        <v>1</v>
      </c>
      <c r="G24" s="333">
        <f t="shared" si="1"/>
        <v>0</v>
      </c>
      <c r="H24" s="335">
        <f t="shared" si="2"/>
        <v>-0.14299000000000001</v>
      </c>
      <c r="I24" s="334">
        <v>0</v>
      </c>
      <c r="J24" s="333">
        <f t="shared" si="3"/>
        <v>0</v>
      </c>
      <c r="K24" s="335">
        <f t="shared" si="4"/>
        <v>0</v>
      </c>
      <c r="L24" s="334">
        <v>1</v>
      </c>
      <c r="M24" s="333">
        <f t="shared" si="5"/>
        <v>0</v>
      </c>
      <c r="N24" s="335">
        <f t="shared" si="6"/>
        <v>-3.1469999999999998E-2</v>
      </c>
      <c r="O24" s="334">
        <v>0</v>
      </c>
      <c r="P24" s="333">
        <f t="shared" si="7"/>
        <v>0</v>
      </c>
      <c r="Q24" s="335">
        <f t="shared" si="8"/>
        <v>0</v>
      </c>
      <c r="R24" s="334">
        <v>0</v>
      </c>
      <c r="S24" s="333">
        <f t="shared" si="9"/>
        <v>0</v>
      </c>
      <c r="T24" s="335">
        <f t="shared" si="10"/>
        <v>0</v>
      </c>
      <c r="U24" s="334">
        <v>1</v>
      </c>
      <c r="V24" s="333">
        <v>0</v>
      </c>
      <c r="W24" s="332">
        <f t="shared" si="19"/>
        <v>0.24073</v>
      </c>
      <c r="AA24" s="322">
        <f t="shared" si="11"/>
        <v>0</v>
      </c>
      <c r="AB24" s="322">
        <f t="shared" si="12"/>
        <v>0</v>
      </c>
      <c r="AC24" s="322">
        <f t="shared" si="13"/>
        <v>0</v>
      </c>
      <c r="AD24" s="322">
        <f t="shared" si="14"/>
        <v>0</v>
      </c>
      <c r="AE24" s="322">
        <f t="shared" si="15"/>
        <v>0</v>
      </c>
      <c r="AF24" s="322">
        <f t="shared" si="16"/>
        <v>0</v>
      </c>
      <c r="AG24" s="322">
        <f t="shared" si="17"/>
        <v>0</v>
      </c>
      <c r="AI24" s="325">
        <f>'[9]Allocation = % of margin'!P24+'[9]Allocation = % of margin'!S24+'[9]Allocation = % of margin'!V24+'[9]Allocation = % of margin'!Y24+'[9]Allocation = % of margin'!AB24+'[9]Allocation = % of margin'!AE24+'[9]Allocation = % of margin'!AH24+'[9]Allocation = % of margin'!AK24+'[9]Allocation = % of margin'!AN24+' Increments  equal ¢ per therm'!H24+' Increments  equal ¢ per therm'!K24+' Increments  equal ¢ per therm'!N24+' Increments  equal ¢ per therm'!Q24+' Increments  equal ¢ per therm'!T24+' Increments  equal ¢ per therm'!W24+'[9]Allocation = % of revenue'!M24</f>
        <v>0.12738999999999998</v>
      </c>
      <c r="AJ24" s="224">
        <f>'Summary of Temporaries '!W24</f>
        <v>0.12733</v>
      </c>
      <c r="AK24" s="244">
        <f>[9]Permanents!F24</f>
        <v>6.0000000000000002E-5</v>
      </c>
      <c r="AL24" s="325">
        <f t="shared" si="18"/>
        <v>-2.3262912863392105E-17</v>
      </c>
    </row>
    <row r="25" spans="1:38" x14ac:dyDescent="0.25">
      <c r="A25" s="234">
        <f t="shared" si="0"/>
        <v>19</v>
      </c>
      <c r="B25" s="234" t="s">
        <v>65</v>
      </c>
      <c r="C25" s="344" t="s">
        <v>61</v>
      </c>
      <c r="D25" s="323">
        <f>'[9]Washington volumes'!J25</f>
        <v>0</v>
      </c>
      <c r="E25" s="343"/>
      <c r="F25" s="341">
        <v>1</v>
      </c>
      <c r="G25" s="323">
        <f t="shared" si="1"/>
        <v>0</v>
      </c>
      <c r="H25" s="342">
        <f t="shared" si="2"/>
        <v>-0.14299000000000001</v>
      </c>
      <c r="I25" s="341">
        <v>0</v>
      </c>
      <c r="J25" s="323">
        <f t="shared" si="3"/>
        <v>0</v>
      </c>
      <c r="K25" s="342">
        <f t="shared" si="4"/>
        <v>0</v>
      </c>
      <c r="L25" s="341">
        <v>1</v>
      </c>
      <c r="M25" s="323">
        <f t="shared" si="5"/>
        <v>0</v>
      </c>
      <c r="N25" s="342">
        <f t="shared" si="6"/>
        <v>-3.1469999999999998E-2</v>
      </c>
      <c r="O25" s="341">
        <v>0</v>
      </c>
      <c r="P25" s="323">
        <f t="shared" si="7"/>
        <v>0</v>
      </c>
      <c r="Q25" s="342">
        <f t="shared" si="8"/>
        <v>0</v>
      </c>
      <c r="R25" s="341">
        <v>1</v>
      </c>
      <c r="S25" s="323">
        <f t="shared" si="9"/>
        <v>0</v>
      </c>
      <c r="T25" s="342">
        <f t="shared" si="10"/>
        <v>3.5E-4</v>
      </c>
      <c r="U25" s="341">
        <v>1</v>
      </c>
      <c r="V25" s="323">
        <v>0</v>
      </c>
      <c r="W25" s="340">
        <f t="shared" si="19"/>
        <v>0.24073</v>
      </c>
      <c r="AA25" s="322">
        <f t="shared" si="11"/>
        <v>0</v>
      </c>
      <c r="AB25" s="322">
        <f t="shared" si="12"/>
        <v>0</v>
      </c>
      <c r="AC25" s="322">
        <f t="shared" si="13"/>
        <v>0</v>
      </c>
      <c r="AD25" s="322">
        <f t="shared" si="14"/>
        <v>0</v>
      </c>
      <c r="AE25" s="322">
        <f t="shared" si="15"/>
        <v>0</v>
      </c>
      <c r="AF25" s="322">
        <f t="shared" si="16"/>
        <v>0</v>
      </c>
      <c r="AG25" s="322">
        <f t="shared" si="17"/>
        <v>0</v>
      </c>
      <c r="AI25" s="325">
        <f>'[9]Allocation = % of margin'!P25+'[9]Allocation = % of margin'!S25+'[9]Allocation = % of margin'!V25+'[9]Allocation = % of margin'!Y25+'[9]Allocation = % of margin'!AB25+'[9]Allocation = % of margin'!AE25+'[9]Allocation = % of margin'!AH25+'[9]Allocation = % of margin'!AK25+'[9]Allocation = % of margin'!AN25+' Increments  equal ¢ per therm'!H25+' Increments  equal ¢ per therm'!K25+' Increments  equal ¢ per therm'!N25+' Increments  equal ¢ per therm'!Q25+' Increments  equal ¢ per therm'!T25+' Increments  equal ¢ per therm'!W25+'[9]Allocation = % of revenue'!M25</f>
        <v>9.2699999999999977E-2</v>
      </c>
      <c r="AJ25" s="224">
        <f>'Summary of Temporaries '!W25</f>
        <v>9.262999999999999E-2</v>
      </c>
      <c r="AK25" s="244">
        <f>[9]Permanents!F25</f>
        <v>6.9999999999999994E-5</v>
      </c>
      <c r="AL25" s="325">
        <f t="shared" si="18"/>
        <v>-1.3254371558635292E-17</v>
      </c>
    </row>
    <row r="26" spans="1:38" x14ac:dyDescent="0.25">
      <c r="A26" s="234">
        <f t="shared" si="0"/>
        <v>20</v>
      </c>
      <c r="B26" s="338"/>
      <c r="C26" s="339" t="s">
        <v>62</v>
      </c>
      <c r="D26" s="333">
        <f>'[9]Washington volumes'!J26</f>
        <v>0</v>
      </c>
      <c r="E26" s="336"/>
      <c r="F26" s="334">
        <v>1</v>
      </c>
      <c r="G26" s="333">
        <f t="shared" si="1"/>
        <v>0</v>
      </c>
      <c r="H26" s="335">
        <f t="shared" si="2"/>
        <v>-0.14299000000000001</v>
      </c>
      <c r="I26" s="334">
        <v>0</v>
      </c>
      <c r="J26" s="333">
        <f t="shared" si="3"/>
        <v>0</v>
      </c>
      <c r="K26" s="335">
        <f t="shared" si="4"/>
        <v>0</v>
      </c>
      <c r="L26" s="334">
        <v>1</v>
      </c>
      <c r="M26" s="333">
        <f t="shared" si="5"/>
        <v>0</v>
      </c>
      <c r="N26" s="335">
        <f t="shared" si="6"/>
        <v>-3.1469999999999998E-2</v>
      </c>
      <c r="O26" s="334">
        <v>0</v>
      </c>
      <c r="P26" s="333">
        <f t="shared" si="7"/>
        <v>0</v>
      </c>
      <c r="Q26" s="335">
        <f t="shared" si="8"/>
        <v>0</v>
      </c>
      <c r="R26" s="334">
        <v>1</v>
      </c>
      <c r="S26" s="333">
        <f t="shared" si="9"/>
        <v>0</v>
      </c>
      <c r="T26" s="335">
        <f t="shared" si="10"/>
        <v>3.5E-4</v>
      </c>
      <c r="U26" s="334">
        <v>1</v>
      </c>
      <c r="V26" s="333">
        <v>0</v>
      </c>
      <c r="W26" s="332">
        <f t="shared" si="19"/>
        <v>0.24073</v>
      </c>
      <c r="AA26" s="322">
        <f t="shared" si="11"/>
        <v>0</v>
      </c>
      <c r="AB26" s="322">
        <f t="shared" si="12"/>
        <v>0</v>
      </c>
      <c r="AC26" s="322">
        <f t="shared" si="13"/>
        <v>0</v>
      </c>
      <c r="AD26" s="322">
        <f t="shared" si="14"/>
        <v>0</v>
      </c>
      <c r="AE26" s="322">
        <f t="shared" si="15"/>
        <v>0</v>
      </c>
      <c r="AF26" s="322">
        <f t="shared" si="16"/>
        <v>0</v>
      </c>
      <c r="AG26" s="322">
        <f t="shared" si="17"/>
        <v>0</v>
      </c>
      <c r="AI26" s="325">
        <f>'[9]Allocation = % of margin'!P26+'[9]Allocation = % of margin'!S26+'[9]Allocation = % of margin'!V26+'[9]Allocation = % of margin'!Y26+'[9]Allocation = % of margin'!AB26+'[9]Allocation = % of margin'!AE26+'[9]Allocation = % of margin'!AH26+'[9]Allocation = % of margin'!AK26+'[9]Allocation = % of margin'!AN26+' Increments  equal ¢ per therm'!H26+' Increments  equal ¢ per therm'!K26+' Increments  equal ¢ per therm'!N26+' Increments  equal ¢ per therm'!Q26+' Increments  equal ¢ per therm'!T26+' Increments  equal ¢ per therm'!W26+'[9]Allocation = % of revenue'!M26</f>
        <v>8.9609999999999995E-2</v>
      </c>
      <c r="AJ26" s="224">
        <f>'Summary of Temporaries '!W26</f>
        <v>8.9550000000000018E-2</v>
      </c>
      <c r="AK26" s="244">
        <f>[9]Permanents!F26</f>
        <v>6.0000000000000002E-5</v>
      </c>
      <c r="AL26" s="325">
        <f t="shared" si="18"/>
        <v>-2.3262912863392105E-17</v>
      </c>
    </row>
    <row r="27" spans="1:38" x14ac:dyDescent="0.25">
      <c r="A27" s="234">
        <f t="shared" si="0"/>
        <v>21</v>
      </c>
      <c r="B27" s="234" t="s">
        <v>66</v>
      </c>
      <c r="C27" s="344" t="s">
        <v>61</v>
      </c>
      <c r="D27" s="323">
        <f>'[9]Washington volumes'!J27</f>
        <v>123242.73967014518</v>
      </c>
      <c r="E27" s="343"/>
      <c r="F27" s="341">
        <v>0</v>
      </c>
      <c r="G27" s="323">
        <f t="shared" si="1"/>
        <v>0</v>
      </c>
      <c r="H27" s="342">
        <f t="shared" si="2"/>
        <v>0</v>
      </c>
      <c r="I27" s="341">
        <v>0</v>
      </c>
      <c r="J27" s="323">
        <f t="shared" si="3"/>
        <v>0</v>
      </c>
      <c r="K27" s="342">
        <f t="shared" si="4"/>
        <v>0</v>
      </c>
      <c r="L27" s="341">
        <v>0</v>
      </c>
      <c r="M27" s="323">
        <f t="shared" si="5"/>
        <v>0</v>
      </c>
      <c r="N27" s="342">
        <f t="shared" si="6"/>
        <v>0</v>
      </c>
      <c r="O27" s="341">
        <v>0</v>
      </c>
      <c r="P27" s="323">
        <f t="shared" si="7"/>
        <v>0</v>
      </c>
      <c r="Q27" s="342">
        <f t="shared" si="8"/>
        <v>0</v>
      </c>
      <c r="R27" s="341">
        <v>1</v>
      </c>
      <c r="S27" s="323">
        <f t="shared" si="9"/>
        <v>123242.73967014518</v>
      </c>
      <c r="T27" s="342">
        <f t="shared" si="10"/>
        <v>3.5E-4</v>
      </c>
      <c r="U27" s="341">
        <v>1</v>
      </c>
      <c r="V27" s="323">
        <v>151507</v>
      </c>
      <c r="W27" s="340">
        <f t="shared" si="19"/>
        <v>0.24073</v>
      </c>
      <c r="AA27" s="322">
        <f t="shared" si="11"/>
        <v>0</v>
      </c>
      <c r="AB27" s="322">
        <f t="shared" si="12"/>
        <v>0</v>
      </c>
      <c r="AC27" s="322">
        <f t="shared" si="13"/>
        <v>0</v>
      </c>
      <c r="AD27" s="322">
        <f t="shared" si="14"/>
        <v>0</v>
      </c>
      <c r="AE27" s="322">
        <f t="shared" si="15"/>
        <v>43.134958884550812</v>
      </c>
      <c r="AF27" s="322">
        <f t="shared" si="16"/>
        <v>29668.224720794049</v>
      </c>
      <c r="AG27" s="322">
        <f t="shared" si="17"/>
        <v>43.134958884550812</v>
      </c>
      <c r="AI27" s="325">
        <f>'[9]Allocation = % of margin'!P27+'[9]Allocation = % of margin'!S27+'[9]Allocation = % of margin'!V27+'[9]Allocation = % of margin'!Y27+'[9]Allocation = % of margin'!AB27+'[9]Allocation = % of margin'!AE27+'[9]Allocation = % of margin'!AH27+'[9]Allocation = % of margin'!AK27+'[9]Allocation = % of margin'!AN27+' Increments  equal ¢ per therm'!H27+' Increments  equal ¢ per therm'!K27+' Increments  equal ¢ per therm'!N27+' Increments  equal ¢ per therm'!Q27+' Increments  equal ¢ per therm'!T27+' Increments  equal ¢ per therm'!W27+'[9]Allocation = % of revenue'!M27</f>
        <v>0.26261000000000001</v>
      </c>
      <c r="AJ27" s="224">
        <f>'Summary of Temporaries '!W27</f>
        <v>0.26261000000000001</v>
      </c>
      <c r="AK27" s="244">
        <f>[9]Permanents!F27</f>
        <v>0</v>
      </c>
      <c r="AL27" s="325">
        <f t="shared" si="18"/>
        <v>0</v>
      </c>
    </row>
    <row r="28" spans="1:38" x14ac:dyDescent="0.25">
      <c r="A28" s="234">
        <f t="shared" si="0"/>
        <v>22</v>
      </c>
      <c r="B28" s="338"/>
      <c r="C28" s="339" t="s">
        <v>62</v>
      </c>
      <c r="D28" s="333">
        <f>'[9]Washington volumes'!J28</f>
        <v>284875.42061605473</v>
      </c>
      <c r="E28" s="336"/>
      <c r="F28" s="334">
        <v>0</v>
      </c>
      <c r="G28" s="333">
        <f t="shared" si="1"/>
        <v>0</v>
      </c>
      <c r="H28" s="335">
        <f t="shared" si="2"/>
        <v>0</v>
      </c>
      <c r="I28" s="334">
        <v>0</v>
      </c>
      <c r="J28" s="333">
        <f t="shared" si="3"/>
        <v>0</v>
      </c>
      <c r="K28" s="335">
        <f t="shared" si="4"/>
        <v>0</v>
      </c>
      <c r="L28" s="334">
        <v>0</v>
      </c>
      <c r="M28" s="333">
        <f t="shared" si="5"/>
        <v>0</v>
      </c>
      <c r="N28" s="335">
        <f t="shared" si="6"/>
        <v>0</v>
      </c>
      <c r="O28" s="334">
        <v>0</v>
      </c>
      <c r="P28" s="333">
        <f t="shared" si="7"/>
        <v>0</v>
      </c>
      <c r="Q28" s="335">
        <f t="shared" si="8"/>
        <v>0</v>
      </c>
      <c r="R28" s="334">
        <v>1</v>
      </c>
      <c r="S28" s="333">
        <f t="shared" si="9"/>
        <v>284875.42061605473</v>
      </c>
      <c r="T28" s="335">
        <f t="shared" si="10"/>
        <v>3.5E-4</v>
      </c>
      <c r="U28" s="334">
        <v>1</v>
      </c>
      <c r="V28" s="333">
        <v>253149</v>
      </c>
      <c r="W28" s="332">
        <f t="shared" si="19"/>
        <v>0.24073</v>
      </c>
      <c r="AA28" s="322">
        <f t="shared" si="11"/>
        <v>0</v>
      </c>
      <c r="AB28" s="322">
        <f t="shared" si="12"/>
        <v>0</v>
      </c>
      <c r="AC28" s="322">
        <f t="shared" si="13"/>
        <v>0</v>
      </c>
      <c r="AD28" s="322">
        <f t="shared" si="14"/>
        <v>0</v>
      </c>
      <c r="AE28" s="322">
        <f t="shared" si="15"/>
        <v>99.706397215619162</v>
      </c>
      <c r="AF28" s="322">
        <f t="shared" si="16"/>
        <v>68578.060004902858</v>
      </c>
      <c r="AG28" s="322">
        <f t="shared" si="17"/>
        <v>99.706397215619162</v>
      </c>
      <c r="AI28" s="325">
        <f>'[9]Allocation = % of margin'!P28+'[9]Allocation = % of margin'!S28+'[9]Allocation = % of margin'!V28+'[9]Allocation = % of margin'!Y28+'[9]Allocation = % of margin'!AB28+'[9]Allocation = % of margin'!AE28+'[9]Allocation = % of margin'!AH28+'[9]Allocation = % of margin'!AK28+'[9]Allocation = % of margin'!AN28+' Increments  equal ¢ per therm'!H28+' Increments  equal ¢ per therm'!K28+' Increments  equal ¢ per therm'!N28+' Increments  equal ¢ per therm'!Q28+' Increments  equal ¢ per therm'!T28+' Increments  equal ¢ per therm'!W28+'[9]Allocation = % of revenue'!M28</f>
        <v>0.26005</v>
      </c>
      <c r="AJ28" s="224">
        <f>'Summary of Temporaries '!W28</f>
        <v>0.26005</v>
      </c>
      <c r="AK28" s="244">
        <f>[9]Permanents!F28</f>
        <v>0</v>
      </c>
      <c r="AL28" s="325">
        <f t="shared" si="18"/>
        <v>0</v>
      </c>
    </row>
    <row r="29" spans="1:38" x14ac:dyDescent="0.25">
      <c r="A29" s="234">
        <f t="shared" si="0"/>
        <v>23</v>
      </c>
      <c r="B29" s="234" t="s">
        <v>67</v>
      </c>
      <c r="C29" s="344" t="s">
        <v>61</v>
      </c>
      <c r="D29" s="346">
        <f>'[9]Washington volumes'!J29</f>
        <v>0</v>
      </c>
      <c r="E29" s="349"/>
      <c r="F29" s="347">
        <v>0</v>
      </c>
      <c r="G29" s="346">
        <f t="shared" si="1"/>
        <v>0</v>
      </c>
      <c r="H29" s="348">
        <f t="shared" si="2"/>
        <v>0</v>
      </c>
      <c r="I29" s="347">
        <v>0</v>
      </c>
      <c r="J29" s="346">
        <f t="shared" si="3"/>
        <v>0</v>
      </c>
      <c r="K29" s="348">
        <f t="shared" si="4"/>
        <v>0</v>
      </c>
      <c r="L29" s="347">
        <v>0</v>
      </c>
      <c r="M29" s="346">
        <f t="shared" si="5"/>
        <v>0</v>
      </c>
      <c r="N29" s="348">
        <f t="shared" si="6"/>
        <v>0</v>
      </c>
      <c r="O29" s="347">
        <v>0</v>
      </c>
      <c r="P29" s="346">
        <f t="shared" si="7"/>
        <v>0</v>
      </c>
      <c r="Q29" s="348">
        <f t="shared" si="8"/>
        <v>0</v>
      </c>
      <c r="R29" s="347">
        <v>1</v>
      </c>
      <c r="S29" s="346">
        <f t="shared" si="9"/>
        <v>0</v>
      </c>
      <c r="T29" s="348">
        <f t="shared" si="10"/>
        <v>3.5E-4</v>
      </c>
      <c r="U29" s="347">
        <v>1</v>
      </c>
      <c r="V29" s="346">
        <v>0</v>
      </c>
      <c r="W29" s="345">
        <f t="shared" si="19"/>
        <v>0.24073</v>
      </c>
      <c r="AA29" s="322">
        <f t="shared" si="11"/>
        <v>0</v>
      </c>
      <c r="AB29" s="322">
        <f t="shared" si="12"/>
        <v>0</v>
      </c>
      <c r="AC29" s="322">
        <f t="shared" si="13"/>
        <v>0</v>
      </c>
      <c r="AD29" s="322">
        <f t="shared" si="14"/>
        <v>0</v>
      </c>
      <c r="AE29" s="322">
        <f t="shared" si="15"/>
        <v>0</v>
      </c>
      <c r="AF29" s="322">
        <f t="shared" si="16"/>
        <v>0</v>
      </c>
      <c r="AG29" s="322">
        <f t="shared" si="17"/>
        <v>0</v>
      </c>
      <c r="AI29" s="325">
        <f>'[9]Allocation = % of margin'!P29+'[9]Allocation = % of margin'!S29+'[9]Allocation = % of margin'!V29+'[9]Allocation = % of margin'!Y29+'[9]Allocation = % of margin'!AB29+'[9]Allocation = % of margin'!AE29+'[9]Allocation = % of margin'!AH29+'[9]Allocation = % of margin'!AK29+'[9]Allocation = % of margin'!AN29+' Increments  equal ¢ per therm'!H29+' Increments  equal ¢ per therm'!K29+' Increments  equal ¢ per therm'!N29+' Increments  equal ¢ per therm'!Q29+' Increments  equal ¢ per therm'!T29+' Increments  equal ¢ per therm'!W29+'[9]Allocation = % of revenue'!M29</f>
        <v>0.26072000000000001</v>
      </c>
      <c r="AJ29" s="224">
        <f>'Summary of Temporaries '!W29</f>
        <v>0.26072000000000001</v>
      </c>
      <c r="AK29" s="244">
        <f>[9]Permanents!F29</f>
        <v>0</v>
      </c>
      <c r="AL29" s="325">
        <f t="shared" si="18"/>
        <v>0</v>
      </c>
    </row>
    <row r="30" spans="1:38" x14ac:dyDescent="0.25">
      <c r="A30" s="234">
        <f t="shared" si="0"/>
        <v>24</v>
      </c>
      <c r="B30" s="234"/>
      <c r="C30" s="339" t="s">
        <v>62</v>
      </c>
      <c r="D30" s="333">
        <f>'[9]Washington volumes'!J30</f>
        <v>0</v>
      </c>
      <c r="E30" s="336"/>
      <c r="F30" s="334">
        <v>0</v>
      </c>
      <c r="G30" s="333">
        <f t="shared" si="1"/>
        <v>0</v>
      </c>
      <c r="H30" s="335">
        <f t="shared" si="2"/>
        <v>0</v>
      </c>
      <c r="I30" s="334">
        <v>0</v>
      </c>
      <c r="J30" s="333">
        <f t="shared" si="3"/>
        <v>0</v>
      </c>
      <c r="K30" s="335">
        <f t="shared" si="4"/>
        <v>0</v>
      </c>
      <c r="L30" s="334">
        <v>0</v>
      </c>
      <c r="M30" s="333">
        <f t="shared" si="5"/>
        <v>0</v>
      </c>
      <c r="N30" s="335">
        <f t="shared" si="6"/>
        <v>0</v>
      </c>
      <c r="O30" s="334">
        <v>0</v>
      </c>
      <c r="P30" s="333">
        <f t="shared" si="7"/>
        <v>0</v>
      </c>
      <c r="Q30" s="335">
        <f t="shared" si="8"/>
        <v>0</v>
      </c>
      <c r="R30" s="334">
        <v>1</v>
      </c>
      <c r="S30" s="333">
        <f t="shared" si="9"/>
        <v>0</v>
      </c>
      <c r="T30" s="335">
        <f t="shared" si="10"/>
        <v>3.5E-4</v>
      </c>
      <c r="U30" s="334">
        <v>1</v>
      </c>
      <c r="V30" s="333">
        <v>0</v>
      </c>
      <c r="W30" s="332">
        <f t="shared" si="19"/>
        <v>0.24073</v>
      </c>
      <c r="AA30" s="322">
        <f t="shared" si="11"/>
        <v>0</v>
      </c>
      <c r="AB30" s="322">
        <f t="shared" si="12"/>
        <v>0</v>
      </c>
      <c r="AC30" s="322">
        <f t="shared" si="13"/>
        <v>0</v>
      </c>
      <c r="AD30" s="322">
        <f t="shared" si="14"/>
        <v>0</v>
      </c>
      <c r="AE30" s="322">
        <f t="shared" si="15"/>
        <v>0</v>
      </c>
      <c r="AF30" s="322">
        <f t="shared" si="16"/>
        <v>0</v>
      </c>
      <c r="AG30" s="322">
        <f t="shared" si="17"/>
        <v>0</v>
      </c>
      <c r="AI30" s="325">
        <f>'[9]Allocation = % of margin'!P30+'[9]Allocation = % of margin'!S30+'[9]Allocation = % of margin'!V30+'[9]Allocation = % of margin'!Y30+'[9]Allocation = % of margin'!AB30+'[9]Allocation = % of margin'!AE30+'[9]Allocation = % of margin'!AH30+'[9]Allocation = % of margin'!AK30+'[9]Allocation = % of margin'!AN30+' Increments  equal ¢ per therm'!H30+' Increments  equal ¢ per therm'!K30+' Increments  equal ¢ per therm'!N30+' Increments  equal ¢ per therm'!Q30+' Increments  equal ¢ per therm'!T30+' Increments  equal ¢ per therm'!W30+'[9]Allocation = % of revenue'!M30</f>
        <v>0.25839000000000001</v>
      </c>
      <c r="AJ30" s="224">
        <f>'Summary of Temporaries '!W30</f>
        <v>0.25839000000000001</v>
      </c>
      <c r="AK30" s="244">
        <f>[9]Permanents!F30</f>
        <v>0</v>
      </c>
      <c r="AL30" s="325">
        <f t="shared" si="18"/>
        <v>0</v>
      </c>
    </row>
    <row r="31" spans="1:38" x14ac:dyDescent="0.25">
      <c r="A31" s="234">
        <f t="shared" si="0"/>
        <v>25</v>
      </c>
      <c r="B31" s="234" t="s">
        <v>68</v>
      </c>
      <c r="C31" s="344" t="s">
        <v>61</v>
      </c>
      <c r="D31" s="323">
        <f>'[9]Washington volumes'!J31</f>
        <v>820212.7</v>
      </c>
      <c r="E31" s="343"/>
      <c r="F31" s="341">
        <v>1</v>
      </c>
      <c r="G31" s="323">
        <f t="shared" si="1"/>
        <v>820212.7</v>
      </c>
      <c r="H31" s="342">
        <f t="shared" si="2"/>
        <v>-0.14299000000000001</v>
      </c>
      <c r="I31" s="341">
        <v>1</v>
      </c>
      <c r="J31" s="323">
        <f t="shared" si="3"/>
        <v>820212.7</v>
      </c>
      <c r="K31" s="342">
        <f t="shared" si="4"/>
        <v>-2.7019999999999999E-2</v>
      </c>
      <c r="L31" s="341">
        <v>0</v>
      </c>
      <c r="M31" s="323">
        <f t="shared" si="5"/>
        <v>0</v>
      </c>
      <c r="N31" s="342">
        <f t="shared" si="6"/>
        <v>0</v>
      </c>
      <c r="O31" s="341">
        <v>0</v>
      </c>
      <c r="P31" s="323">
        <f t="shared" si="7"/>
        <v>0</v>
      </c>
      <c r="Q31" s="342">
        <f t="shared" si="8"/>
        <v>0</v>
      </c>
      <c r="R31" s="341">
        <v>0</v>
      </c>
      <c r="S31" s="323">
        <f t="shared" si="9"/>
        <v>0</v>
      </c>
      <c r="T31" s="342">
        <f t="shared" si="10"/>
        <v>0</v>
      </c>
      <c r="U31" s="341">
        <v>1</v>
      </c>
      <c r="V31" s="323">
        <v>629200.4</v>
      </c>
      <c r="W31" s="340">
        <f t="shared" si="19"/>
        <v>0.24073</v>
      </c>
      <c r="AA31" s="322">
        <f t="shared" si="11"/>
        <v>-117282.21397300001</v>
      </c>
      <c r="AB31" s="322">
        <f t="shared" si="12"/>
        <v>-22162.147153999998</v>
      </c>
      <c r="AC31" s="322">
        <f t="shared" si="13"/>
        <v>0</v>
      </c>
      <c r="AD31" s="322">
        <f t="shared" si="14"/>
        <v>0</v>
      </c>
      <c r="AE31" s="322">
        <f t="shared" si="15"/>
        <v>0</v>
      </c>
      <c r="AF31" s="322">
        <f t="shared" si="16"/>
        <v>197449.80327099998</v>
      </c>
      <c r="AG31" s="322">
        <f t="shared" si="17"/>
        <v>-139444.36112700001</v>
      </c>
      <c r="AI31" s="325">
        <f>'[9]Allocation = % of margin'!P31+'[9]Allocation = % of margin'!S31+'[9]Allocation = % of margin'!V31+'[9]Allocation = % of margin'!Y31+'[9]Allocation = % of margin'!AB31+'[9]Allocation = % of margin'!AE31+'[9]Allocation = % of margin'!AH31+'[9]Allocation = % of margin'!AK31+'[9]Allocation = % of margin'!AN31+' Increments  equal ¢ per therm'!H31+' Increments  equal ¢ per therm'!K31+' Increments  equal ¢ per therm'!N31+' Increments  equal ¢ per therm'!Q31+' Increments  equal ¢ per therm'!T31+' Increments  equal ¢ per therm'!W31+'[9]Allocation = % of revenue'!M31</f>
        <v>0.11219999999999998</v>
      </c>
      <c r="AJ31" s="224">
        <f>'Summary of Temporaries '!W31</f>
        <v>0.11216000000000004</v>
      </c>
      <c r="AK31" s="244">
        <f>[9]Permanents!F31</f>
        <v>4.0000000000000003E-5</v>
      </c>
      <c r="AL31" s="325">
        <f t="shared" si="18"/>
        <v>-5.7144230753564118E-17</v>
      </c>
    </row>
    <row r="32" spans="1:38" x14ac:dyDescent="0.25">
      <c r="A32" s="234">
        <f t="shared" si="0"/>
        <v>26</v>
      </c>
      <c r="B32" s="234"/>
      <c r="C32" s="344" t="s">
        <v>62</v>
      </c>
      <c r="D32" s="323">
        <f>'[9]Washington volumes'!J32</f>
        <v>926222.5</v>
      </c>
      <c r="E32" s="343"/>
      <c r="F32" s="341">
        <v>1</v>
      </c>
      <c r="G32" s="323">
        <f t="shared" si="1"/>
        <v>926222.5</v>
      </c>
      <c r="H32" s="342">
        <f t="shared" si="2"/>
        <v>-0.14299000000000001</v>
      </c>
      <c r="I32" s="341">
        <v>1</v>
      </c>
      <c r="J32" s="323">
        <f t="shared" si="3"/>
        <v>926222.5</v>
      </c>
      <c r="K32" s="342">
        <f t="shared" si="4"/>
        <v>-2.7019999999999999E-2</v>
      </c>
      <c r="L32" s="341">
        <v>0</v>
      </c>
      <c r="M32" s="323">
        <f t="shared" si="5"/>
        <v>0</v>
      </c>
      <c r="N32" s="342">
        <f t="shared" si="6"/>
        <v>0</v>
      </c>
      <c r="O32" s="341">
        <v>0</v>
      </c>
      <c r="P32" s="323">
        <f t="shared" si="7"/>
        <v>0</v>
      </c>
      <c r="Q32" s="342">
        <f t="shared" si="8"/>
        <v>0</v>
      </c>
      <c r="R32" s="341">
        <v>0</v>
      </c>
      <c r="S32" s="323">
        <f t="shared" si="9"/>
        <v>0</v>
      </c>
      <c r="T32" s="342">
        <f t="shared" si="10"/>
        <v>0</v>
      </c>
      <c r="U32" s="341">
        <v>1</v>
      </c>
      <c r="V32" s="323">
        <v>853171.49999999988</v>
      </c>
      <c r="W32" s="340">
        <f t="shared" si="19"/>
        <v>0.24073</v>
      </c>
      <c r="AA32" s="322">
        <f t="shared" si="11"/>
        <v>-132440.55527499999</v>
      </c>
      <c r="AB32" s="322">
        <f t="shared" si="12"/>
        <v>-25026.531950000001</v>
      </c>
      <c r="AC32" s="322">
        <f t="shared" si="13"/>
        <v>0</v>
      </c>
      <c r="AD32" s="322">
        <f t="shared" si="14"/>
        <v>0</v>
      </c>
      <c r="AE32" s="322">
        <f t="shared" si="15"/>
        <v>0</v>
      </c>
      <c r="AF32" s="322">
        <f t="shared" si="16"/>
        <v>222969.54242499999</v>
      </c>
      <c r="AG32" s="322">
        <f t="shared" si="17"/>
        <v>-157467.087225</v>
      </c>
      <c r="AI32" s="325">
        <f>'[9]Allocation = % of margin'!P32+'[9]Allocation = % of margin'!S32+'[9]Allocation = % of margin'!V32+'[9]Allocation = % of margin'!Y32+'[9]Allocation = % of margin'!AB32+'[9]Allocation = % of margin'!AE32+'[9]Allocation = % of margin'!AH32+'[9]Allocation = % of margin'!AK32+'[9]Allocation = % of margin'!AN32+' Increments  equal ¢ per therm'!H32+' Increments  equal ¢ per therm'!K32+' Increments  equal ¢ per therm'!N32+' Increments  equal ¢ per therm'!Q32+' Increments  equal ¢ per therm'!T32+' Increments  equal ¢ per therm'!W32+'[9]Allocation = % of revenue'!M32</f>
        <v>0.10784999999999999</v>
      </c>
      <c r="AJ32" s="224">
        <f>'Summary of Temporaries '!W32</f>
        <v>0.10781000000000002</v>
      </c>
      <c r="AK32" s="244">
        <f>[9]Permanents!F32</f>
        <v>4.0000000000000003E-5</v>
      </c>
      <c r="AL32" s="325">
        <f t="shared" si="18"/>
        <v>-2.9388655137935205E-17</v>
      </c>
    </row>
    <row r="33" spans="1:38" x14ac:dyDescent="0.25">
      <c r="A33" s="234">
        <f t="shared" si="0"/>
        <v>27</v>
      </c>
      <c r="B33" s="234"/>
      <c r="C33" s="344" t="s">
        <v>69</v>
      </c>
      <c r="D33" s="323">
        <f>'[9]Washington volumes'!J33</f>
        <v>323675.40000000002</v>
      </c>
      <c r="E33" s="343"/>
      <c r="F33" s="341">
        <v>1</v>
      </c>
      <c r="G33" s="323">
        <f t="shared" si="1"/>
        <v>323675.40000000002</v>
      </c>
      <c r="H33" s="342">
        <f t="shared" si="2"/>
        <v>-0.14299000000000001</v>
      </c>
      <c r="I33" s="341">
        <v>1</v>
      </c>
      <c r="J33" s="323">
        <f t="shared" si="3"/>
        <v>323675.40000000002</v>
      </c>
      <c r="K33" s="342">
        <f t="shared" si="4"/>
        <v>-2.7019999999999999E-2</v>
      </c>
      <c r="L33" s="341">
        <v>0</v>
      </c>
      <c r="M33" s="323">
        <f t="shared" si="5"/>
        <v>0</v>
      </c>
      <c r="N33" s="342">
        <f t="shared" si="6"/>
        <v>0</v>
      </c>
      <c r="O33" s="341">
        <v>0</v>
      </c>
      <c r="P33" s="323">
        <f t="shared" si="7"/>
        <v>0</v>
      </c>
      <c r="Q33" s="342">
        <f t="shared" si="8"/>
        <v>0</v>
      </c>
      <c r="R33" s="341">
        <v>0</v>
      </c>
      <c r="S33" s="323">
        <f t="shared" si="9"/>
        <v>0</v>
      </c>
      <c r="T33" s="342">
        <f t="shared" si="10"/>
        <v>0</v>
      </c>
      <c r="U33" s="341">
        <v>1</v>
      </c>
      <c r="V33" s="323">
        <v>334173.40000000002</v>
      </c>
      <c r="W33" s="340">
        <f t="shared" si="19"/>
        <v>0.24073</v>
      </c>
      <c r="AA33" s="322">
        <f t="shared" si="11"/>
        <v>-46282.345446000007</v>
      </c>
      <c r="AB33" s="322">
        <f t="shared" si="12"/>
        <v>-8745.7093079999995</v>
      </c>
      <c r="AC33" s="322">
        <f t="shared" si="13"/>
        <v>0</v>
      </c>
      <c r="AD33" s="322">
        <f t="shared" si="14"/>
        <v>0</v>
      </c>
      <c r="AE33" s="322">
        <f t="shared" si="15"/>
        <v>0</v>
      </c>
      <c r="AF33" s="322">
        <f t="shared" si="16"/>
        <v>77918.379042</v>
      </c>
      <c r="AG33" s="322">
        <f t="shared" si="17"/>
        <v>-55028.054754000004</v>
      </c>
      <c r="AI33" s="325">
        <f>'[9]Allocation = % of margin'!P33+'[9]Allocation = % of margin'!S33+'[9]Allocation = % of margin'!V33+'[9]Allocation = % of margin'!Y33+'[9]Allocation = % of margin'!AB33+'[9]Allocation = % of margin'!AE33+'[9]Allocation = % of margin'!AH33+'[9]Allocation = % of margin'!AK33+'[9]Allocation = % of margin'!AN33+' Increments  equal ¢ per therm'!H33+' Increments  equal ¢ per therm'!K33+' Increments  equal ¢ per therm'!N33+' Increments  equal ¢ per therm'!Q33+' Increments  equal ¢ per therm'!T33+' Increments  equal ¢ per therm'!W33+'[9]Allocation = % of revenue'!M33</f>
        <v>9.9199999999999997E-2</v>
      </c>
      <c r="AJ33" s="224">
        <f>'Summary of Temporaries '!W33</f>
        <v>9.916999999999998E-2</v>
      </c>
      <c r="AK33" s="244">
        <f>[9]Permanents!F33</f>
        <v>3.0000000000000001E-5</v>
      </c>
      <c r="AL33" s="325">
        <f t="shared" si="18"/>
        <v>1.6124119183932861E-17</v>
      </c>
    </row>
    <row r="34" spans="1:38" x14ac:dyDescent="0.25">
      <c r="A34" s="234">
        <f t="shared" si="0"/>
        <v>28</v>
      </c>
      <c r="B34" s="234"/>
      <c r="C34" s="344" t="s">
        <v>70</v>
      </c>
      <c r="D34" s="323">
        <f>'[9]Washington volumes'!J34</f>
        <v>84982.8</v>
      </c>
      <c r="E34" s="343"/>
      <c r="F34" s="341">
        <v>1</v>
      </c>
      <c r="G34" s="323">
        <f t="shared" si="1"/>
        <v>84982.8</v>
      </c>
      <c r="H34" s="342">
        <f t="shared" si="2"/>
        <v>-0.14299000000000001</v>
      </c>
      <c r="I34" s="341">
        <v>1</v>
      </c>
      <c r="J34" s="323">
        <f t="shared" si="3"/>
        <v>84982.8</v>
      </c>
      <c r="K34" s="342">
        <f t="shared" si="4"/>
        <v>-2.7019999999999999E-2</v>
      </c>
      <c r="L34" s="341">
        <v>0</v>
      </c>
      <c r="M34" s="323">
        <f t="shared" si="5"/>
        <v>0</v>
      </c>
      <c r="N34" s="342">
        <f t="shared" si="6"/>
        <v>0</v>
      </c>
      <c r="O34" s="341">
        <v>0</v>
      </c>
      <c r="P34" s="323">
        <f t="shared" si="7"/>
        <v>0</v>
      </c>
      <c r="Q34" s="342">
        <f t="shared" si="8"/>
        <v>0</v>
      </c>
      <c r="R34" s="341">
        <v>0</v>
      </c>
      <c r="S34" s="323">
        <f t="shared" si="9"/>
        <v>0</v>
      </c>
      <c r="T34" s="342">
        <f t="shared" si="10"/>
        <v>0</v>
      </c>
      <c r="U34" s="341">
        <v>1</v>
      </c>
      <c r="V34" s="323">
        <v>73268.400000000009</v>
      </c>
      <c r="W34" s="340">
        <f t="shared" si="19"/>
        <v>0.24073</v>
      </c>
      <c r="AA34" s="322">
        <f t="shared" si="11"/>
        <v>-12151.690572000001</v>
      </c>
      <c r="AB34" s="322">
        <f t="shared" si="12"/>
        <v>-2296.2352559999999</v>
      </c>
      <c r="AC34" s="322">
        <f t="shared" si="13"/>
        <v>0</v>
      </c>
      <c r="AD34" s="322">
        <f t="shared" si="14"/>
        <v>0</v>
      </c>
      <c r="AE34" s="322">
        <f t="shared" si="15"/>
        <v>0</v>
      </c>
      <c r="AF34" s="322">
        <f t="shared" si="16"/>
        <v>20457.909444000001</v>
      </c>
      <c r="AG34" s="322">
        <f t="shared" si="17"/>
        <v>-14447.925828000001</v>
      </c>
      <c r="AI34" s="325">
        <f>'[9]Allocation = % of margin'!P34+'[9]Allocation = % of margin'!S34+'[9]Allocation = % of margin'!V34+'[9]Allocation = % of margin'!Y34+'[9]Allocation = % of margin'!AB34+'[9]Allocation = % of margin'!AE34+'[9]Allocation = % of margin'!AH34+'[9]Allocation = % of margin'!AK34+'[9]Allocation = % of margin'!AN34+' Increments  equal ¢ per therm'!H34+' Increments  equal ¢ per therm'!K34+' Increments  equal ¢ per therm'!N34+' Increments  equal ¢ per therm'!Q34+' Increments  equal ¢ per therm'!T34+' Increments  equal ¢ per therm'!W34+'[9]Allocation = % of revenue'!M34</f>
        <v>9.3520000000000006E-2</v>
      </c>
      <c r="AJ34" s="224">
        <f>'Summary of Temporaries '!W34</f>
        <v>9.3500000000000028E-2</v>
      </c>
      <c r="AK34" s="244">
        <f>[9]Permanents!F34</f>
        <v>2.0000000000000002E-5</v>
      </c>
      <c r="AL34" s="325">
        <f t="shared" si="18"/>
        <v>-2.1633221472874831E-17</v>
      </c>
    </row>
    <row r="35" spans="1:38" x14ac:dyDescent="0.25">
      <c r="A35" s="234">
        <f t="shared" si="0"/>
        <v>29</v>
      </c>
      <c r="B35" s="234"/>
      <c r="C35" s="344" t="s">
        <v>71</v>
      </c>
      <c r="D35" s="323">
        <f>'[9]Washington volumes'!J35</f>
        <v>0</v>
      </c>
      <c r="E35" s="343"/>
      <c r="F35" s="341">
        <v>1</v>
      </c>
      <c r="G35" s="323">
        <f t="shared" si="1"/>
        <v>0</v>
      </c>
      <c r="H35" s="342">
        <f t="shared" si="2"/>
        <v>-0.14299000000000001</v>
      </c>
      <c r="I35" s="341">
        <v>1</v>
      </c>
      <c r="J35" s="323">
        <f t="shared" si="3"/>
        <v>0</v>
      </c>
      <c r="K35" s="342">
        <f t="shared" si="4"/>
        <v>-2.7019999999999999E-2</v>
      </c>
      <c r="L35" s="341">
        <v>0</v>
      </c>
      <c r="M35" s="323">
        <f t="shared" si="5"/>
        <v>0</v>
      </c>
      <c r="N35" s="342">
        <f t="shared" si="6"/>
        <v>0</v>
      </c>
      <c r="O35" s="341">
        <v>0</v>
      </c>
      <c r="P35" s="323">
        <f t="shared" si="7"/>
        <v>0</v>
      </c>
      <c r="Q35" s="342">
        <f t="shared" si="8"/>
        <v>0</v>
      </c>
      <c r="R35" s="341">
        <v>0</v>
      </c>
      <c r="S35" s="323">
        <f t="shared" si="9"/>
        <v>0</v>
      </c>
      <c r="T35" s="342">
        <f t="shared" si="10"/>
        <v>0</v>
      </c>
      <c r="U35" s="341">
        <v>1</v>
      </c>
      <c r="V35" s="323">
        <v>0</v>
      </c>
      <c r="W35" s="340">
        <f t="shared" si="19"/>
        <v>0.24073</v>
      </c>
      <c r="AA35" s="322">
        <f t="shared" si="11"/>
        <v>0</v>
      </c>
      <c r="AB35" s="322">
        <f t="shared" si="12"/>
        <v>0</v>
      </c>
      <c r="AC35" s="322">
        <f t="shared" si="13"/>
        <v>0</v>
      </c>
      <c r="AD35" s="322">
        <f t="shared" si="14"/>
        <v>0</v>
      </c>
      <c r="AE35" s="322">
        <f t="shared" si="15"/>
        <v>0</v>
      </c>
      <c r="AF35" s="322">
        <f t="shared" si="16"/>
        <v>0</v>
      </c>
      <c r="AG35" s="322">
        <f t="shared" si="17"/>
        <v>0</v>
      </c>
      <c r="AI35" s="325">
        <f>'[9]Allocation = % of margin'!P35+'[9]Allocation = % of margin'!S35+'[9]Allocation = % of margin'!V35+'[9]Allocation = % of margin'!Y35+'[9]Allocation = % of margin'!AB35+'[9]Allocation = % of margin'!AE35+'[9]Allocation = % of margin'!AH35+'[9]Allocation = % of margin'!AK35+'[9]Allocation = % of margin'!AN35+' Increments  equal ¢ per therm'!H35+' Increments  equal ¢ per therm'!K35+' Increments  equal ¢ per therm'!N35+' Increments  equal ¢ per therm'!Q35+' Increments  equal ¢ per therm'!T35+' Increments  equal ¢ per therm'!W35+'[9]Allocation = % of revenue'!M35</f>
        <v>8.589999999999999E-2</v>
      </c>
      <c r="AJ35" s="224">
        <f>'Summary of Temporaries '!W35</f>
        <v>8.5880000000000012E-2</v>
      </c>
      <c r="AK35" s="244">
        <f>[9]Permanents!F35</f>
        <v>2.0000000000000002E-5</v>
      </c>
      <c r="AL35" s="325">
        <f t="shared" si="18"/>
        <v>-2.1633221472874831E-17</v>
      </c>
    </row>
    <row r="36" spans="1:38" x14ac:dyDescent="0.25">
      <c r="A36" s="234">
        <f t="shared" si="0"/>
        <v>30</v>
      </c>
      <c r="B36" s="338"/>
      <c r="C36" s="339" t="s">
        <v>72</v>
      </c>
      <c r="D36" s="333">
        <f>'[9]Washington volumes'!J36</f>
        <v>0</v>
      </c>
      <c r="E36" s="336"/>
      <c r="F36" s="334">
        <v>1</v>
      </c>
      <c r="G36" s="333">
        <f t="shared" si="1"/>
        <v>0</v>
      </c>
      <c r="H36" s="335">
        <f t="shared" si="2"/>
        <v>-0.14299000000000001</v>
      </c>
      <c r="I36" s="334">
        <v>1</v>
      </c>
      <c r="J36" s="333">
        <f t="shared" si="3"/>
        <v>0</v>
      </c>
      <c r="K36" s="335">
        <f t="shared" si="4"/>
        <v>-2.7019999999999999E-2</v>
      </c>
      <c r="L36" s="334">
        <v>0</v>
      </c>
      <c r="M36" s="333">
        <f t="shared" si="5"/>
        <v>0</v>
      </c>
      <c r="N36" s="335">
        <f t="shared" si="6"/>
        <v>0</v>
      </c>
      <c r="O36" s="334">
        <v>0</v>
      </c>
      <c r="P36" s="333">
        <f t="shared" si="7"/>
        <v>0</v>
      </c>
      <c r="Q36" s="335">
        <f t="shared" si="8"/>
        <v>0</v>
      </c>
      <c r="R36" s="334">
        <v>0</v>
      </c>
      <c r="S36" s="333">
        <f t="shared" si="9"/>
        <v>0</v>
      </c>
      <c r="T36" s="335">
        <f t="shared" si="10"/>
        <v>0</v>
      </c>
      <c r="U36" s="334">
        <v>1</v>
      </c>
      <c r="V36" s="333">
        <v>0</v>
      </c>
      <c r="W36" s="332">
        <f t="shared" si="19"/>
        <v>0.24073</v>
      </c>
      <c r="AA36" s="322">
        <f t="shared" si="11"/>
        <v>0</v>
      </c>
      <c r="AB36" s="322">
        <f t="shared" si="12"/>
        <v>0</v>
      </c>
      <c r="AC36" s="322">
        <f t="shared" si="13"/>
        <v>0</v>
      </c>
      <c r="AD36" s="322">
        <f t="shared" si="14"/>
        <v>0</v>
      </c>
      <c r="AE36" s="322">
        <f t="shared" si="15"/>
        <v>0</v>
      </c>
      <c r="AF36" s="322">
        <f t="shared" si="16"/>
        <v>0</v>
      </c>
      <c r="AG36" s="322">
        <f t="shared" si="17"/>
        <v>0</v>
      </c>
      <c r="AI36" s="325">
        <f>'[9]Allocation = % of margin'!P36+'[9]Allocation = % of margin'!S36+'[9]Allocation = % of margin'!V36+'[9]Allocation = % of margin'!Y36+'[9]Allocation = % of margin'!AB36+'[9]Allocation = % of margin'!AE36+'[9]Allocation = % of margin'!AH36+'[9]Allocation = % of margin'!AK36+'[9]Allocation = % of margin'!AN36+' Increments  equal ¢ per therm'!H36+' Increments  equal ¢ per therm'!K36+' Increments  equal ¢ per therm'!N36+' Increments  equal ¢ per therm'!Q36+' Increments  equal ¢ per therm'!T36+' Increments  equal ¢ per therm'!W36+'[9]Allocation = % of revenue'!M36</f>
        <v>7.6430000000000012E-2</v>
      </c>
      <c r="AJ36" s="224">
        <f>'Summary of Temporaries '!W36</f>
        <v>7.6420000000000016E-2</v>
      </c>
      <c r="AK36" s="244">
        <f>[9]Permanents!F36</f>
        <v>1.0000000000000001E-5</v>
      </c>
      <c r="AL36" s="325">
        <f t="shared" si="18"/>
        <v>-3.877716832530187E-18</v>
      </c>
    </row>
    <row r="37" spans="1:38" x14ac:dyDescent="0.25">
      <c r="A37" s="234">
        <f t="shared" si="0"/>
        <v>31</v>
      </c>
      <c r="B37" s="234" t="s">
        <v>73</v>
      </c>
      <c r="C37" s="344" t="s">
        <v>61</v>
      </c>
      <c r="D37" s="323">
        <f>'[9]Washington volumes'!J37</f>
        <v>887029.75709862076</v>
      </c>
      <c r="E37" s="343"/>
      <c r="F37" s="341">
        <v>1</v>
      </c>
      <c r="G37" s="323">
        <f t="shared" si="1"/>
        <v>887029.75709862076</v>
      </c>
      <c r="H37" s="342">
        <f t="shared" si="2"/>
        <v>-0.14299000000000001</v>
      </c>
      <c r="I37" s="341">
        <v>1</v>
      </c>
      <c r="J37" s="323">
        <f t="shared" si="3"/>
        <v>887029.75709862076</v>
      </c>
      <c r="K37" s="342">
        <f t="shared" si="4"/>
        <v>-2.7019999999999999E-2</v>
      </c>
      <c r="L37" s="341">
        <v>0</v>
      </c>
      <c r="M37" s="323">
        <f t="shared" si="5"/>
        <v>0</v>
      </c>
      <c r="N37" s="342">
        <f t="shared" si="6"/>
        <v>0</v>
      </c>
      <c r="O37" s="341">
        <v>0</v>
      </c>
      <c r="P37" s="323">
        <f t="shared" si="7"/>
        <v>0</v>
      </c>
      <c r="Q37" s="342">
        <f t="shared" si="8"/>
        <v>0</v>
      </c>
      <c r="R37" s="341">
        <v>1</v>
      </c>
      <c r="S37" s="323">
        <f t="shared" si="9"/>
        <v>887029.75709862076</v>
      </c>
      <c r="T37" s="342">
        <f t="shared" si="10"/>
        <v>3.5E-4</v>
      </c>
      <c r="U37" s="341">
        <v>1</v>
      </c>
      <c r="V37" s="323">
        <v>892387.80000000016</v>
      </c>
      <c r="W37" s="340">
        <f t="shared" si="19"/>
        <v>0.24073</v>
      </c>
      <c r="AA37" s="322">
        <f t="shared" si="11"/>
        <v>-126836.38496753179</v>
      </c>
      <c r="AB37" s="322">
        <f t="shared" si="12"/>
        <v>-23967.544036804731</v>
      </c>
      <c r="AC37" s="322">
        <f t="shared" si="13"/>
        <v>0</v>
      </c>
      <c r="AD37" s="322">
        <f t="shared" si="14"/>
        <v>0</v>
      </c>
      <c r="AE37" s="322">
        <f t="shared" si="15"/>
        <v>310.46041498451729</v>
      </c>
      <c r="AF37" s="322">
        <f t="shared" si="16"/>
        <v>213534.67342635099</v>
      </c>
      <c r="AG37" s="322">
        <f t="shared" si="17"/>
        <v>-150493.46858935201</v>
      </c>
      <c r="AI37" s="325">
        <f>'[9]Allocation = % of margin'!P37+'[9]Allocation = % of margin'!S37+'[9]Allocation = % of margin'!V37+'[9]Allocation = % of margin'!Y37+'[9]Allocation = % of margin'!AB37+'[9]Allocation = % of margin'!AE37+'[9]Allocation = % of margin'!AH37+'[9]Allocation = % of margin'!AK37+'[9]Allocation = % of margin'!AN37+' Increments  equal ¢ per therm'!H37+' Increments  equal ¢ per therm'!K37+' Increments  equal ¢ per therm'!N37+' Increments  equal ¢ per therm'!Q37+' Increments  equal ¢ per therm'!T37+' Increments  equal ¢ per therm'!W37+'[9]Allocation = % of revenue'!M37</f>
        <v>8.7329999999999991E-2</v>
      </c>
      <c r="AJ37" s="224">
        <f>'Summary of Temporaries '!W37</f>
        <v>8.7280000000000024E-2</v>
      </c>
      <c r="AK37" s="244">
        <f>[9]Permanents!F37</f>
        <v>5.0000000000000002E-5</v>
      </c>
      <c r="AL37" s="325">
        <f t="shared" si="18"/>
        <v>-3.3264677904570883E-17</v>
      </c>
    </row>
    <row r="38" spans="1:38" x14ac:dyDescent="0.25">
      <c r="A38" s="234">
        <f t="shared" si="0"/>
        <v>32</v>
      </c>
      <c r="B38" s="234"/>
      <c r="C38" s="344" t="s">
        <v>62</v>
      </c>
      <c r="D38" s="323">
        <f>'[9]Washington volumes'!J38</f>
        <v>668287.37243846827</v>
      </c>
      <c r="E38" s="343"/>
      <c r="F38" s="341">
        <v>1</v>
      </c>
      <c r="G38" s="323">
        <f t="shared" si="1"/>
        <v>668287.37243846827</v>
      </c>
      <c r="H38" s="342">
        <f t="shared" si="2"/>
        <v>-0.14299000000000001</v>
      </c>
      <c r="I38" s="341">
        <v>1</v>
      </c>
      <c r="J38" s="323">
        <f t="shared" si="3"/>
        <v>668287.37243846827</v>
      </c>
      <c r="K38" s="342">
        <f t="shared" si="4"/>
        <v>-2.7019999999999999E-2</v>
      </c>
      <c r="L38" s="341">
        <v>0</v>
      </c>
      <c r="M38" s="323">
        <f t="shared" si="5"/>
        <v>0</v>
      </c>
      <c r="N38" s="342">
        <f t="shared" si="6"/>
        <v>0</v>
      </c>
      <c r="O38" s="341">
        <v>0</v>
      </c>
      <c r="P38" s="323">
        <f t="shared" si="7"/>
        <v>0</v>
      </c>
      <c r="Q38" s="342">
        <f t="shared" si="8"/>
        <v>0</v>
      </c>
      <c r="R38" s="341">
        <v>1</v>
      </c>
      <c r="S38" s="323">
        <f t="shared" si="9"/>
        <v>668287.37243846827</v>
      </c>
      <c r="T38" s="342">
        <f t="shared" si="10"/>
        <v>3.5E-4</v>
      </c>
      <c r="U38" s="341">
        <v>1</v>
      </c>
      <c r="V38" s="323">
        <v>653690.10000000009</v>
      </c>
      <c r="W38" s="340">
        <f t="shared" si="19"/>
        <v>0.24073</v>
      </c>
      <c r="AA38" s="322">
        <f t="shared" si="11"/>
        <v>-95558.411384976585</v>
      </c>
      <c r="AB38" s="322">
        <f t="shared" si="12"/>
        <v>-18057.124803287414</v>
      </c>
      <c r="AC38" s="322">
        <f t="shared" si="13"/>
        <v>0</v>
      </c>
      <c r="AD38" s="322">
        <f t="shared" si="14"/>
        <v>0</v>
      </c>
      <c r="AE38" s="322">
        <f t="shared" si="15"/>
        <v>233.90058035346388</v>
      </c>
      <c r="AF38" s="322">
        <f t="shared" si="16"/>
        <v>160876.81916711247</v>
      </c>
      <c r="AG38" s="322">
        <f t="shared" si="17"/>
        <v>-113381.63560791053</v>
      </c>
      <c r="AI38" s="325">
        <f>'[9]Allocation = % of margin'!P38+'[9]Allocation = % of margin'!S38+'[9]Allocation = % of margin'!V38+'[9]Allocation = % of margin'!Y38+'[9]Allocation = % of margin'!AB38+'[9]Allocation = % of margin'!AE38+'[9]Allocation = % of margin'!AH38+'[9]Allocation = % of margin'!AK38+'[9]Allocation = % of margin'!AN38+' Increments  equal ¢ per therm'!H38+' Increments  equal ¢ per therm'!K38+' Increments  equal ¢ per therm'!N38+' Increments  equal ¢ per therm'!Q38+' Increments  equal ¢ per therm'!T38+' Increments  equal ¢ per therm'!W38+'[9]Allocation = % of revenue'!M38</f>
        <v>8.5620000000000002E-2</v>
      </c>
      <c r="AJ38" s="224">
        <f>'Summary of Temporaries '!W38</f>
        <v>8.5579999999999989E-2</v>
      </c>
      <c r="AK38" s="244">
        <f>[9]Permanents!F38</f>
        <v>4.0000000000000003E-5</v>
      </c>
      <c r="AL38" s="325">
        <f t="shared" si="18"/>
        <v>1.2244708285508166E-17</v>
      </c>
    </row>
    <row r="39" spans="1:38" x14ac:dyDescent="0.25">
      <c r="A39" s="234">
        <f t="shared" si="0"/>
        <v>33</v>
      </c>
      <c r="B39" s="234"/>
      <c r="C39" s="344" t="s">
        <v>69</v>
      </c>
      <c r="D39" s="323">
        <f>'[9]Washington volumes'!J39</f>
        <v>109047.67533172015</v>
      </c>
      <c r="E39" s="343"/>
      <c r="F39" s="341">
        <v>1</v>
      </c>
      <c r="G39" s="323">
        <f t="shared" si="1"/>
        <v>109047.67533172015</v>
      </c>
      <c r="H39" s="342">
        <f t="shared" si="2"/>
        <v>-0.14299000000000001</v>
      </c>
      <c r="I39" s="341">
        <v>1</v>
      </c>
      <c r="J39" s="323">
        <f t="shared" si="3"/>
        <v>109047.67533172015</v>
      </c>
      <c r="K39" s="342">
        <f t="shared" si="4"/>
        <v>-2.7019999999999999E-2</v>
      </c>
      <c r="L39" s="341">
        <v>0</v>
      </c>
      <c r="M39" s="323">
        <f t="shared" si="5"/>
        <v>0</v>
      </c>
      <c r="N39" s="342">
        <f t="shared" si="6"/>
        <v>0</v>
      </c>
      <c r="O39" s="341">
        <v>0</v>
      </c>
      <c r="P39" s="323">
        <f t="shared" si="7"/>
        <v>0</v>
      </c>
      <c r="Q39" s="342">
        <f t="shared" si="8"/>
        <v>0</v>
      </c>
      <c r="R39" s="341">
        <v>1</v>
      </c>
      <c r="S39" s="323">
        <f t="shared" si="9"/>
        <v>109047.67533172015</v>
      </c>
      <c r="T39" s="342">
        <f t="shared" si="10"/>
        <v>3.5E-4</v>
      </c>
      <c r="U39" s="341">
        <v>1</v>
      </c>
      <c r="V39" s="323">
        <v>94171.5</v>
      </c>
      <c r="W39" s="340">
        <f t="shared" si="19"/>
        <v>0.24073</v>
      </c>
      <c r="AA39" s="322">
        <f t="shared" si="11"/>
        <v>-15592.727095682665</v>
      </c>
      <c r="AB39" s="322">
        <f t="shared" si="12"/>
        <v>-2946.4681874630783</v>
      </c>
      <c r="AC39" s="322">
        <f t="shared" si="13"/>
        <v>0</v>
      </c>
      <c r="AD39" s="322">
        <f t="shared" si="14"/>
        <v>0</v>
      </c>
      <c r="AE39" s="322">
        <f t="shared" si="15"/>
        <v>38.166686366102056</v>
      </c>
      <c r="AF39" s="322">
        <f t="shared" si="16"/>
        <v>26251.046882604991</v>
      </c>
      <c r="AG39" s="322">
        <f t="shared" si="17"/>
        <v>-18501.028596779641</v>
      </c>
      <c r="AI39" s="325">
        <f>'[9]Allocation = % of margin'!P39+'[9]Allocation = % of margin'!S39+'[9]Allocation = % of margin'!V39+'[9]Allocation = % of margin'!Y39+'[9]Allocation = % of margin'!AB39+'[9]Allocation = % of margin'!AE39+'[9]Allocation = % of margin'!AH39+'[9]Allocation = % of margin'!AK39+'[9]Allocation = % of margin'!AN39+' Increments  equal ¢ per therm'!H39+' Increments  equal ¢ per therm'!K39+' Increments  equal ¢ per therm'!N39+' Increments  equal ¢ per therm'!Q39+' Increments  equal ¢ per therm'!T39+' Increments  equal ¢ per therm'!W39+'[9]Allocation = % of revenue'!M39</f>
        <v>8.2210000000000005E-2</v>
      </c>
      <c r="AJ39" s="224">
        <f>'Summary of Temporaries '!W39</f>
        <v>8.2180000000000031E-2</v>
      </c>
      <c r="AK39" s="244">
        <f>[9]Permanents!F39</f>
        <v>3.0000000000000001E-5</v>
      </c>
      <c r="AL39" s="325">
        <f t="shared" si="18"/>
        <v>-2.5509244239510509E-17</v>
      </c>
    </row>
    <row r="40" spans="1:38" x14ac:dyDescent="0.25">
      <c r="A40" s="234">
        <f t="shared" ref="A40:A71" si="20">+A39+1</f>
        <v>34</v>
      </c>
      <c r="B40" s="234"/>
      <c r="C40" s="344" t="s">
        <v>70</v>
      </c>
      <c r="D40" s="323">
        <f>'[9]Washington volumes'!J40</f>
        <v>24232.772003191028</v>
      </c>
      <c r="E40" s="343"/>
      <c r="F40" s="341">
        <v>1</v>
      </c>
      <c r="G40" s="323">
        <f t="shared" si="1"/>
        <v>24232.772003191028</v>
      </c>
      <c r="H40" s="342">
        <f t="shared" si="2"/>
        <v>-0.14299000000000001</v>
      </c>
      <c r="I40" s="341">
        <v>1</v>
      </c>
      <c r="J40" s="323">
        <f t="shared" si="3"/>
        <v>24232.772003191028</v>
      </c>
      <c r="K40" s="342">
        <f t="shared" si="4"/>
        <v>-2.7019999999999999E-2</v>
      </c>
      <c r="L40" s="341">
        <v>0</v>
      </c>
      <c r="M40" s="323">
        <f t="shared" si="5"/>
        <v>0</v>
      </c>
      <c r="N40" s="342">
        <f t="shared" si="6"/>
        <v>0</v>
      </c>
      <c r="O40" s="341">
        <v>0</v>
      </c>
      <c r="P40" s="323">
        <f t="shared" si="7"/>
        <v>0</v>
      </c>
      <c r="Q40" s="342">
        <f t="shared" si="8"/>
        <v>0</v>
      </c>
      <c r="R40" s="341">
        <v>1</v>
      </c>
      <c r="S40" s="323">
        <f t="shared" si="9"/>
        <v>24232.772003191028</v>
      </c>
      <c r="T40" s="342">
        <f t="shared" si="10"/>
        <v>3.5E-4</v>
      </c>
      <c r="U40" s="341">
        <v>1</v>
      </c>
      <c r="V40" s="323">
        <v>11180.4</v>
      </c>
      <c r="W40" s="340">
        <f t="shared" si="19"/>
        <v>0.24073</v>
      </c>
      <c r="AA40" s="322">
        <f t="shared" si="11"/>
        <v>-3465.0440687362852</v>
      </c>
      <c r="AB40" s="322">
        <f t="shared" si="12"/>
        <v>-654.76949952622158</v>
      </c>
      <c r="AC40" s="322">
        <f t="shared" si="13"/>
        <v>0</v>
      </c>
      <c r="AD40" s="322">
        <f t="shared" si="14"/>
        <v>0</v>
      </c>
      <c r="AE40" s="322">
        <f t="shared" si="15"/>
        <v>8.4814702011168599</v>
      </c>
      <c r="AF40" s="322">
        <f t="shared" si="16"/>
        <v>5833.5552043281759</v>
      </c>
      <c r="AG40" s="322">
        <f t="shared" si="17"/>
        <v>-4111.3320980613898</v>
      </c>
      <c r="AI40" s="325">
        <f>'[9]Allocation = % of margin'!P40+'[9]Allocation = % of margin'!S40+'[9]Allocation = % of margin'!V40+'[9]Allocation = % of margin'!Y40+'[9]Allocation = % of margin'!AB40+'[9]Allocation = % of margin'!AE40+'[9]Allocation = % of margin'!AH40+'[9]Allocation = % of margin'!AK40+'[9]Allocation = % of margin'!AN40+' Increments  equal ¢ per therm'!H40+' Increments  equal ¢ per therm'!K40+' Increments  equal ¢ per therm'!N40+' Increments  equal ¢ per therm'!Q40+' Increments  equal ¢ per therm'!T40+' Increments  equal ¢ per therm'!W40+'[9]Allocation = % of revenue'!M40</f>
        <v>7.9999999999999988E-2</v>
      </c>
      <c r="AJ40" s="224">
        <f>'Summary of Temporaries '!W40</f>
        <v>7.9979999999999996E-2</v>
      </c>
      <c r="AK40" s="244">
        <f>[9]Permanents!F40</f>
        <v>2.0000000000000002E-5</v>
      </c>
      <c r="AL40" s="325">
        <f t="shared" si="18"/>
        <v>-7.7554336650603739E-18</v>
      </c>
    </row>
    <row r="41" spans="1:38" x14ac:dyDescent="0.25">
      <c r="A41" s="234">
        <f t="shared" si="20"/>
        <v>35</v>
      </c>
      <c r="B41" s="234"/>
      <c r="C41" s="344" t="s">
        <v>71</v>
      </c>
      <c r="D41" s="323">
        <f>'[9]Washington volumes'!J41</f>
        <v>0</v>
      </c>
      <c r="E41" s="343"/>
      <c r="F41" s="341">
        <v>1</v>
      </c>
      <c r="G41" s="323">
        <f t="shared" si="1"/>
        <v>0</v>
      </c>
      <c r="H41" s="342">
        <f t="shared" si="2"/>
        <v>-0.14299000000000001</v>
      </c>
      <c r="I41" s="341">
        <v>1</v>
      </c>
      <c r="J41" s="323">
        <f t="shared" si="3"/>
        <v>0</v>
      </c>
      <c r="K41" s="342">
        <f t="shared" si="4"/>
        <v>-2.7019999999999999E-2</v>
      </c>
      <c r="L41" s="341">
        <v>0</v>
      </c>
      <c r="M41" s="323">
        <f t="shared" si="5"/>
        <v>0</v>
      </c>
      <c r="N41" s="342">
        <f t="shared" si="6"/>
        <v>0</v>
      </c>
      <c r="O41" s="341">
        <v>0</v>
      </c>
      <c r="P41" s="323">
        <f t="shared" si="7"/>
        <v>0</v>
      </c>
      <c r="Q41" s="342">
        <f t="shared" si="8"/>
        <v>0</v>
      </c>
      <c r="R41" s="341">
        <v>1</v>
      </c>
      <c r="S41" s="323">
        <f t="shared" si="9"/>
        <v>0</v>
      </c>
      <c r="T41" s="342">
        <f t="shared" si="10"/>
        <v>3.5E-4</v>
      </c>
      <c r="U41" s="341">
        <v>1</v>
      </c>
      <c r="V41" s="323">
        <v>0</v>
      </c>
      <c r="W41" s="340">
        <f t="shared" si="19"/>
        <v>0.24073</v>
      </c>
      <c r="AA41" s="322">
        <f t="shared" si="11"/>
        <v>0</v>
      </c>
      <c r="AB41" s="322">
        <f t="shared" si="12"/>
        <v>0</v>
      </c>
      <c r="AC41" s="322">
        <f t="shared" si="13"/>
        <v>0</v>
      </c>
      <c r="AD41" s="322">
        <f t="shared" si="14"/>
        <v>0</v>
      </c>
      <c r="AE41" s="322">
        <f t="shared" si="15"/>
        <v>0</v>
      </c>
      <c r="AF41" s="322">
        <f t="shared" si="16"/>
        <v>0</v>
      </c>
      <c r="AG41" s="322">
        <f t="shared" si="17"/>
        <v>0</v>
      </c>
      <c r="AI41" s="325">
        <f>'[9]Allocation = % of margin'!P41+'[9]Allocation = % of margin'!S41+'[9]Allocation = % of margin'!V41+'[9]Allocation = % of margin'!Y41+'[9]Allocation = % of margin'!AB41+'[9]Allocation = % of margin'!AE41+'[9]Allocation = % of margin'!AH41+'[9]Allocation = % of margin'!AK41+'[9]Allocation = % of margin'!AN41+' Increments  equal ¢ per therm'!H41+' Increments  equal ¢ per therm'!K41+' Increments  equal ¢ per therm'!N41+' Increments  equal ¢ per therm'!Q41+' Increments  equal ¢ per therm'!T41+' Increments  equal ¢ per therm'!W41+'[9]Allocation = % of revenue'!M41</f>
        <v>7.7020000000000005E-2</v>
      </c>
      <c r="AJ41" s="224">
        <f>'Summary of Temporaries '!W41</f>
        <v>7.7000000000000013E-2</v>
      </c>
      <c r="AK41" s="244">
        <f>[9]Permanents!F41</f>
        <v>2.0000000000000002E-5</v>
      </c>
      <c r="AL41" s="325">
        <f t="shared" si="18"/>
        <v>-7.7554336650603739E-18</v>
      </c>
    </row>
    <row r="42" spans="1:38" x14ac:dyDescent="0.25">
      <c r="A42" s="234">
        <f t="shared" si="20"/>
        <v>36</v>
      </c>
      <c r="B42" s="338"/>
      <c r="C42" s="339" t="s">
        <v>72</v>
      </c>
      <c r="D42" s="333">
        <f>'[9]Washington volumes'!J42</f>
        <v>0</v>
      </c>
      <c r="E42" s="336"/>
      <c r="F42" s="334">
        <v>1</v>
      </c>
      <c r="G42" s="333">
        <f t="shared" si="1"/>
        <v>0</v>
      </c>
      <c r="H42" s="335">
        <f t="shared" si="2"/>
        <v>-0.14299000000000001</v>
      </c>
      <c r="I42" s="334">
        <v>1</v>
      </c>
      <c r="J42" s="323">
        <f t="shared" si="3"/>
        <v>0</v>
      </c>
      <c r="K42" s="335">
        <f t="shared" si="4"/>
        <v>-2.7019999999999999E-2</v>
      </c>
      <c r="L42" s="334">
        <v>0</v>
      </c>
      <c r="M42" s="333">
        <f t="shared" si="5"/>
        <v>0</v>
      </c>
      <c r="N42" s="335">
        <f t="shared" si="6"/>
        <v>0</v>
      </c>
      <c r="O42" s="334">
        <v>0</v>
      </c>
      <c r="P42" s="333">
        <f t="shared" si="7"/>
        <v>0</v>
      </c>
      <c r="Q42" s="335">
        <f t="shared" si="8"/>
        <v>0</v>
      </c>
      <c r="R42" s="334">
        <v>1</v>
      </c>
      <c r="S42" s="333">
        <f t="shared" si="9"/>
        <v>0</v>
      </c>
      <c r="T42" s="335">
        <f t="shared" si="10"/>
        <v>3.5E-4</v>
      </c>
      <c r="U42" s="334">
        <v>1</v>
      </c>
      <c r="V42" s="333">
        <v>0</v>
      </c>
      <c r="W42" s="332">
        <f t="shared" si="19"/>
        <v>0.24073</v>
      </c>
      <c r="AA42" s="322">
        <f t="shared" si="11"/>
        <v>0</v>
      </c>
      <c r="AB42" s="322">
        <f t="shared" si="12"/>
        <v>0</v>
      </c>
      <c r="AC42" s="322">
        <f t="shared" si="13"/>
        <v>0</v>
      </c>
      <c r="AD42" s="322">
        <f t="shared" si="14"/>
        <v>0</v>
      </c>
      <c r="AE42" s="322">
        <f t="shared" si="15"/>
        <v>0</v>
      </c>
      <c r="AF42" s="322">
        <f t="shared" si="16"/>
        <v>0</v>
      </c>
      <c r="AG42" s="322">
        <f t="shared" si="17"/>
        <v>0</v>
      </c>
      <c r="AI42" s="325">
        <f>'[9]Allocation = % of margin'!P42+'[9]Allocation = % of margin'!S42+'[9]Allocation = % of margin'!V42+'[9]Allocation = % of margin'!Y42+'[9]Allocation = % of margin'!AB42+'[9]Allocation = % of margin'!AE42+'[9]Allocation = % of margin'!AH42+'[9]Allocation = % of margin'!AK42+'[9]Allocation = % of margin'!AN42+' Increments  equal ¢ per therm'!H42+' Increments  equal ¢ per therm'!K42+' Increments  equal ¢ per therm'!N42+' Increments  equal ¢ per therm'!Q42+' Increments  equal ¢ per therm'!T42+' Increments  equal ¢ per therm'!W42+'[9]Allocation = % of revenue'!M42</f>
        <v>7.3300000000000004E-2</v>
      </c>
      <c r="AJ42" s="224">
        <f>'Summary of Temporaries '!W42</f>
        <v>7.3289999999999994E-2</v>
      </c>
      <c r="AK42" s="244">
        <f>[9]Permanents!F42</f>
        <v>1.0000000000000001E-5</v>
      </c>
      <c r="AL42" s="325">
        <f t="shared" si="18"/>
        <v>1.000007097528427E-17</v>
      </c>
    </row>
    <row r="43" spans="1:38" x14ac:dyDescent="0.25">
      <c r="A43" s="234">
        <f t="shared" si="20"/>
        <v>37</v>
      </c>
      <c r="B43" s="234" t="s">
        <v>74</v>
      </c>
      <c r="C43" s="344" t="s">
        <v>61</v>
      </c>
      <c r="D43" s="323">
        <f>'[9]Washington volumes'!J43</f>
        <v>122543.87639893022</v>
      </c>
      <c r="E43" s="343"/>
      <c r="F43" s="341">
        <v>0</v>
      </c>
      <c r="G43" s="323">
        <f t="shared" si="1"/>
        <v>0</v>
      </c>
      <c r="H43" s="342">
        <f t="shared" si="2"/>
        <v>0</v>
      </c>
      <c r="I43" s="341">
        <v>0</v>
      </c>
      <c r="J43" s="323">
        <f t="shared" si="3"/>
        <v>0</v>
      </c>
      <c r="K43" s="342">
        <f t="shared" si="4"/>
        <v>0</v>
      </c>
      <c r="L43" s="341">
        <v>0</v>
      </c>
      <c r="M43" s="323">
        <f t="shared" si="5"/>
        <v>0</v>
      </c>
      <c r="N43" s="342">
        <f t="shared" si="6"/>
        <v>0</v>
      </c>
      <c r="O43" s="341">
        <v>0</v>
      </c>
      <c r="P43" s="323">
        <f t="shared" si="7"/>
        <v>0</v>
      </c>
      <c r="Q43" s="342">
        <f t="shared" si="8"/>
        <v>0</v>
      </c>
      <c r="R43" s="341">
        <v>1</v>
      </c>
      <c r="S43" s="323">
        <f t="shared" si="9"/>
        <v>122543.87639893022</v>
      </c>
      <c r="T43" s="342">
        <f t="shared" si="10"/>
        <v>3.5E-4</v>
      </c>
      <c r="U43" s="341">
        <v>1</v>
      </c>
      <c r="V43" s="323">
        <v>190000</v>
      </c>
      <c r="W43" s="340">
        <f t="shared" si="19"/>
        <v>0.24073</v>
      </c>
      <c r="AA43" s="322">
        <f t="shared" si="11"/>
        <v>0</v>
      </c>
      <c r="AB43" s="322">
        <f t="shared" si="12"/>
        <v>0</v>
      </c>
      <c r="AC43" s="322">
        <f t="shared" si="13"/>
        <v>0</v>
      </c>
      <c r="AD43" s="322">
        <f t="shared" si="14"/>
        <v>0</v>
      </c>
      <c r="AE43" s="322">
        <f t="shared" si="15"/>
        <v>42.890356739625581</v>
      </c>
      <c r="AF43" s="322">
        <f t="shared" si="16"/>
        <v>29499.987365514473</v>
      </c>
      <c r="AG43" s="322">
        <f t="shared" si="17"/>
        <v>42.890356739625581</v>
      </c>
      <c r="AI43" s="325">
        <f>'[9]Allocation = % of margin'!P43+'[9]Allocation = % of margin'!S43+'[9]Allocation = % of margin'!V43+'[9]Allocation = % of margin'!Y43+'[9]Allocation = % of margin'!AB43+'[9]Allocation = % of margin'!AE43+'[9]Allocation = % of margin'!AH43+'[9]Allocation = % of margin'!AK43+'[9]Allocation = % of margin'!AN43+' Increments  equal ¢ per therm'!H43+' Increments  equal ¢ per therm'!K43+' Increments  equal ¢ per therm'!N43+' Increments  equal ¢ per therm'!Q43+' Increments  equal ¢ per therm'!T43+' Increments  equal ¢ per therm'!W43+'[9]Allocation = % of revenue'!M43</f>
        <v>0.2485</v>
      </c>
      <c r="AJ43" s="224">
        <f>'Summary of Temporaries '!W43</f>
        <v>0.2485</v>
      </c>
      <c r="AK43" s="244">
        <f>[9]Permanents!F43</f>
        <v>0</v>
      </c>
      <c r="AL43" s="325">
        <f t="shared" si="18"/>
        <v>0</v>
      </c>
    </row>
    <row r="44" spans="1:38" x14ac:dyDescent="0.25">
      <c r="A44" s="234">
        <f t="shared" si="20"/>
        <v>38</v>
      </c>
      <c r="B44" s="234"/>
      <c r="C44" s="344" t="s">
        <v>62</v>
      </c>
      <c r="D44" s="323">
        <f>'[9]Washington volumes'!J44</f>
        <v>245087.75279786045</v>
      </c>
      <c r="E44" s="343"/>
      <c r="F44" s="341">
        <v>0</v>
      </c>
      <c r="G44" s="323">
        <f t="shared" si="1"/>
        <v>0</v>
      </c>
      <c r="H44" s="342">
        <f t="shared" si="2"/>
        <v>0</v>
      </c>
      <c r="I44" s="341">
        <v>0</v>
      </c>
      <c r="J44" s="323">
        <f t="shared" si="3"/>
        <v>0</v>
      </c>
      <c r="K44" s="342">
        <f t="shared" si="4"/>
        <v>0</v>
      </c>
      <c r="L44" s="341">
        <v>0</v>
      </c>
      <c r="M44" s="323">
        <f t="shared" si="5"/>
        <v>0</v>
      </c>
      <c r="N44" s="342">
        <f t="shared" si="6"/>
        <v>0</v>
      </c>
      <c r="O44" s="341">
        <v>0</v>
      </c>
      <c r="P44" s="323">
        <f t="shared" si="7"/>
        <v>0</v>
      </c>
      <c r="Q44" s="342">
        <f t="shared" si="8"/>
        <v>0</v>
      </c>
      <c r="R44" s="341">
        <v>1</v>
      </c>
      <c r="S44" s="323">
        <f t="shared" si="9"/>
        <v>245087.75279786045</v>
      </c>
      <c r="T44" s="342">
        <f t="shared" si="10"/>
        <v>3.5E-4</v>
      </c>
      <c r="U44" s="341">
        <v>1</v>
      </c>
      <c r="V44" s="323">
        <v>380000</v>
      </c>
      <c r="W44" s="340">
        <f t="shared" si="19"/>
        <v>0.24073</v>
      </c>
      <c r="AA44" s="322">
        <f t="shared" si="11"/>
        <v>0</v>
      </c>
      <c r="AB44" s="322">
        <f t="shared" si="12"/>
        <v>0</v>
      </c>
      <c r="AC44" s="322">
        <f t="shared" si="13"/>
        <v>0</v>
      </c>
      <c r="AD44" s="322">
        <f t="shared" si="14"/>
        <v>0</v>
      </c>
      <c r="AE44" s="322">
        <f t="shared" si="15"/>
        <v>85.780713479251162</v>
      </c>
      <c r="AF44" s="322">
        <f t="shared" si="16"/>
        <v>58999.974731028946</v>
      </c>
      <c r="AG44" s="322">
        <f t="shared" si="17"/>
        <v>85.780713479251162</v>
      </c>
      <c r="AI44" s="325">
        <f>'[9]Allocation = % of margin'!P44+'[9]Allocation = % of margin'!S44+'[9]Allocation = % of margin'!V44+'[9]Allocation = % of margin'!Y44+'[9]Allocation = % of margin'!AB44+'[9]Allocation = % of margin'!AE44+'[9]Allocation = % of margin'!AH44+'[9]Allocation = % of margin'!AK44+'[9]Allocation = % of margin'!AN44+' Increments  equal ¢ per therm'!H44+' Increments  equal ¢ per therm'!K44+' Increments  equal ¢ per therm'!N44+' Increments  equal ¢ per therm'!Q44+' Increments  equal ¢ per therm'!T44+' Increments  equal ¢ per therm'!W44+'[9]Allocation = % of revenue'!M44</f>
        <v>0.24772999999999998</v>
      </c>
      <c r="AJ44" s="224">
        <f>'Summary of Temporaries '!W44</f>
        <v>0.24773000000000001</v>
      </c>
      <c r="AK44" s="244">
        <f>[9]Permanents!F44</f>
        <v>0</v>
      </c>
      <c r="AL44" s="325">
        <f t="shared" si="18"/>
        <v>-2.7755575615628914E-17</v>
      </c>
    </row>
    <row r="45" spans="1:38" x14ac:dyDescent="0.25">
      <c r="A45" s="234">
        <f t="shared" si="20"/>
        <v>39</v>
      </c>
      <c r="B45" s="234"/>
      <c r="C45" s="344" t="s">
        <v>69</v>
      </c>
      <c r="D45" s="323">
        <f>'[9]Washington volumes'!J45</f>
        <v>245087.75279786045</v>
      </c>
      <c r="E45" s="343"/>
      <c r="F45" s="341">
        <v>0</v>
      </c>
      <c r="G45" s="323">
        <f t="shared" ref="G45:G76" si="21">+$D45*F45</f>
        <v>0</v>
      </c>
      <c r="H45" s="342">
        <f t="shared" ref="H45:H80" si="22">+F45*$H$83</f>
        <v>0</v>
      </c>
      <c r="I45" s="341">
        <v>0</v>
      </c>
      <c r="J45" s="323">
        <f t="shared" ref="J45:J76" si="23">+$D45*I45</f>
        <v>0</v>
      </c>
      <c r="K45" s="342">
        <f t="shared" ref="K45:K80" si="24">+I45*$K$83</f>
        <v>0</v>
      </c>
      <c r="L45" s="341">
        <v>0</v>
      </c>
      <c r="M45" s="323">
        <f t="shared" ref="M45:M76" si="25">+$D45*L45</f>
        <v>0</v>
      </c>
      <c r="N45" s="342">
        <f t="shared" ref="N45:N80" si="26">+L45*$N$83</f>
        <v>0</v>
      </c>
      <c r="O45" s="341">
        <v>0</v>
      </c>
      <c r="P45" s="323">
        <f t="shared" ref="P45:P76" si="27">+$D45*O45</f>
        <v>0</v>
      </c>
      <c r="Q45" s="342">
        <f t="shared" ref="Q45:Q80" si="28">+O45*$Q$83</f>
        <v>0</v>
      </c>
      <c r="R45" s="341">
        <v>1</v>
      </c>
      <c r="S45" s="323">
        <f t="shared" ref="S45:S76" si="29">+$D45*R45</f>
        <v>245087.75279786045</v>
      </c>
      <c r="T45" s="342">
        <f t="shared" ref="T45:T80" si="30">+R45*$T$83</f>
        <v>3.5E-4</v>
      </c>
      <c r="U45" s="341">
        <v>1</v>
      </c>
      <c r="V45" s="323">
        <v>380000</v>
      </c>
      <c r="W45" s="340">
        <f t="shared" si="19"/>
        <v>0.24073</v>
      </c>
      <c r="AA45" s="322">
        <f t="shared" ref="AA45:AA81" si="31">H45*D45</f>
        <v>0</v>
      </c>
      <c r="AB45" s="322">
        <f t="shared" ref="AB45:AB81" si="32">K45*D45</f>
        <v>0</v>
      </c>
      <c r="AC45" s="322">
        <f t="shared" ref="AC45:AC81" si="33">N45*D45</f>
        <v>0</v>
      </c>
      <c r="AD45" s="322">
        <f t="shared" ref="AD45:AD81" si="34">Q45*D45</f>
        <v>0</v>
      </c>
      <c r="AE45" s="322">
        <f t="shared" ref="AE45:AE81" si="35">T45*D45</f>
        <v>85.780713479251162</v>
      </c>
      <c r="AF45" s="322">
        <f t="shared" ref="AF45:AF81" si="36">W45*D45</f>
        <v>58999.974731028946</v>
      </c>
      <c r="AG45" s="322">
        <f t="shared" ref="AG45:AG81" si="37">SUM(AA45:AE45)</f>
        <v>85.780713479251162</v>
      </c>
      <c r="AI45" s="325">
        <f>'[9]Allocation = % of margin'!P45+'[9]Allocation = % of margin'!S45+'[9]Allocation = % of margin'!V45+'[9]Allocation = % of margin'!Y45+'[9]Allocation = % of margin'!AB45+'[9]Allocation = % of margin'!AE45+'[9]Allocation = % of margin'!AH45+'[9]Allocation = % of margin'!AK45+'[9]Allocation = % of margin'!AN45+' Increments  equal ¢ per therm'!H45+' Increments  equal ¢ per therm'!K45+' Increments  equal ¢ per therm'!N45+' Increments  equal ¢ per therm'!Q45+' Increments  equal ¢ per therm'!T45+' Increments  equal ¢ per therm'!W45+'[9]Allocation = % of revenue'!M45</f>
        <v>0.24617999999999998</v>
      </c>
      <c r="AJ45" s="224">
        <f>'Summary of Temporaries '!W45</f>
        <v>0.24618000000000001</v>
      </c>
      <c r="AK45" s="244">
        <f>[9]Permanents!F45</f>
        <v>0</v>
      </c>
      <c r="AL45" s="325">
        <f t="shared" ref="AL45:AL76" si="38">AI45-AJ45-AK45</f>
        <v>-2.7755575615628914E-17</v>
      </c>
    </row>
    <row r="46" spans="1:38" x14ac:dyDescent="0.25">
      <c r="A46" s="234">
        <f t="shared" si="20"/>
        <v>40</v>
      </c>
      <c r="B46" s="234"/>
      <c r="C46" s="344" t="s">
        <v>70</v>
      </c>
      <c r="D46" s="323">
        <f>'[9]Washington volumes'!J46</f>
        <v>403343.97837634891</v>
      </c>
      <c r="E46" s="343"/>
      <c r="F46" s="341">
        <v>0</v>
      </c>
      <c r="G46" s="323">
        <f t="shared" si="21"/>
        <v>0</v>
      </c>
      <c r="H46" s="342">
        <f t="shared" si="22"/>
        <v>0</v>
      </c>
      <c r="I46" s="341">
        <v>0</v>
      </c>
      <c r="J46" s="323">
        <f t="shared" si="23"/>
        <v>0</v>
      </c>
      <c r="K46" s="342">
        <f t="shared" si="24"/>
        <v>0</v>
      </c>
      <c r="L46" s="341">
        <v>0</v>
      </c>
      <c r="M46" s="323">
        <f t="shared" si="25"/>
        <v>0</v>
      </c>
      <c r="N46" s="342">
        <f t="shared" si="26"/>
        <v>0</v>
      </c>
      <c r="O46" s="341">
        <v>0</v>
      </c>
      <c r="P46" s="323">
        <f t="shared" si="27"/>
        <v>0</v>
      </c>
      <c r="Q46" s="342">
        <f t="shared" si="28"/>
        <v>0</v>
      </c>
      <c r="R46" s="341">
        <v>1</v>
      </c>
      <c r="S46" s="323">
        <f t="shared" si="29"/>
        <v>403343.97837634891</v>
      </c>
      <c r="T46" s="342">
        <f t="shared" si="30"/>
        <v>3.5E-4</v>
      </c>
      <c r="U46" s="341">
        <v>1</v>
      </c>
      <c r="V46" s="323">
        <v>557763</v>
      </c>
      <c r="W46" s="340">
        <f t="shared" ref="W46:W80" si="39">W45</f>
        <v>0.24073</v>
      </c>
      <c r="AA46" s="322">
        <f t="shared" si="31"/>
        <v>0</v>
      </c>
      <c r="AB46" s="322">
        <f t="shared" si="32"/>
        <v>0</v>
      </c>
      <c r="AC46" s="322">
        <f t="shared" si="33"/>
        <v>0</v>
      </c>
      <c r="AD46" s="322">
        <f t="shared" si="34"/>
        <v>0</v>
      </c>
      <c r="AE46" s="322">
        <f t="shared" si="35"/>
        <v>141.17039243172212</v>
      </c>
      <c r="AF46" s="322">
        <f t="shared" si="36"/>
        <v>97096.995914538478</v>
      </c>
      <c r="AG46" s="322">
        <f t="shared" si="37"/>
        <v>141.17039243172212</v>
      </c>
      <c r="AI46" s="325">
        <f>'[9]Allocation = % of margin'!P46+'[9]Allocation = % of margin'!S46+'[9]Allocation = % of margin'!V46+'[9]Allocation = % of margin'!Y46+'[9]Allocation = % of margin'!AB46+'[9]Allocation = % of margin'!AE46+'[9]Allocation = % of margin'!AH46+'[9]Allocation = % of margin'!AK46+'[9]Allocation = % of margin'!AN46+' Increments  equal ¢ per therm'!H46+' Increments  equal ¢ per therm'!K46+' Increments  equal ¢ per therm'!N46+' Increments  equal ¢ per therm'!Q46+' Increments  equal ¢ per therm'!T46+' Increments  equal ¢ per therm'!W46+'[9]Allocation = % of revenue'!M46</f>
        <v>0.24515000000000001</v>
      </c>
      <c r="AJ46" s="224">
        <f>'Summary of Temporaries '!W46</f>
        <v>0.24515000000000001</v>
      </c>
      <c r="AK46" s="244">
        <f>[9]Permanents!F46</f>
        <v>0</v>
      </c>
      <c r="AL46" s="325">
        <f t="shared" si="38"/>
        <v>0</v>
      </c>
    </row>
    <row r="47" spans="1:38" x14ac:dyDescent="0.25">
      <c r="A47" s="234">
        <f t="shared" si="20"/>
        <v>41</v>
      </c>
      <c r="B47" s="234"/>
      <c r="C47" s="344" t="s">
        <v>71</v>
      </c>
      <c r="D47" s="323">
        <f>'[9]Washington volumes'!J47</f>
        <v>0</v>
      </c>
      <c r="E47" s="343"/>
      <c r="F47" s="341">
        <v>0</v>
      </c>
      <c r="G47" s="323">
        <f t="shared" si="21"/>
        <v>0</v>
      </c>
      <c r="H47" s="342">
        <f t="shared" si="22"/>
        <v>0</v>
      </c>
      <c r="I47" s="341">
        <v>0</v>
      </c>
      <c r="J47" s="323">
        <f t="shared" si="23"/>
        <v>0</v>
      </c>
      <c r="K47" s="342">
        <f t="shared" si="24"/>
        <v>0</v>
      </c>
      <c r="L47" s="341">
        <v>0</v>
      </c>
      <c r="M47" s="323">
        <f t="shared" si="25"/>
        <v>0</v>
      </c>
      <c r="N47" s="342">
        <f t="shared" si="26"/>
        <v>0</v>
      </c>
      <c r="O47" s="341">
        <v>0</v>
      </c>
      <c r="P47" s="323">
        <f t="shared" si="27"/>
        <v>0</v>
      </c>
      <c r="Q47" s="342">
        <f t="shared" si="28"/>
        <v>0</v>
      </c>
      <c r="R47" s="341">
        <v>1</v>
      </c>
      <c r="S47" s="323">
        <f t="shared" si="29"/>
        <v>0</v>
      </c>
      <c r="T47" s="342">
        <f t="shared" si="30"/>
        <v>3.5E-4</v>
      </c>
      <c r="U47" s="341">
        <v>1</v>
      </c>
      <c r="V47" s="323">
        <v>0</v>
      </c>
      <c r="W47" s="340">
        <f t="shared" si="39"/>
        <v>0.24073</v>
      </c>
      <c r="AA47" s="322">
        <f t="shared" si="31"/>
        <v>0</v>
      </c>
      <c r="AB47" s="322">
        <f t="shared" si="32"/>
        <v>0</v>
      </c>
      <c r="AC47" s="322">
        <f t="shared" si="33"/>
        <v>0</v>
      </c>
      <c r="AD47" s="322">
        <f t="shared" si="34"/>
        <v>0</v>
      </c>
      <c r="AE47" s="322">
        <f t="shared" si="35"/>
        <v>0</v>
      </c>
      <c r="AF47" s="322">
        <f t="shared" si="36"/>
        <v>0</v>
      </c>
      <c r="AG47" s="322">
        <f t="shared" si="37"/>
        <v>0</v>
      </c>
      <c r="AI47" s="325">
        <f>'[9]Allocation = % of margin'!P47+'[9]Allocation = % of margin'!S47+'[9]Allocation = % of margin'!V47+'[9]Allocation = % of margin'!Y47+'[9]Allocation = % of margin'!AB47+'[9]Allocation = % of margin'!AE47+'[9]Allocation = % of margin'!AH47+'[9]Allocation = % of margin'!AK47+'[9]Allocation = % of margin'!AN47+' Increments  equal ¢ per therm'!H47+' Increments  equal ¢ per therm'!K47+' Increments  equal ¢ per therm'!N47+' Increments  equal ¢ per therm'!Q47+' Increments  equal ¢ per therm'!T47+' Increments  equal ¢ per therm'!W47+'[9]Allocation = % of revenue'!M47</f>
        <v>0.24380000000000002</v>
      </c>
      <c r="AJ47" s="224">
        <f>'Summary of Temporaries '!W47</f>
        <v>0.24379999999999999</v>
      </c>
      <c r="AK47" s="244">
        <f>[9]Permanents!F47</f>
        <v>0</v>
      </c>
      <c r="AL47" s="325">
        <f t="shared" si="38"/>
        <v>2.7755575615628914E-17</v>
      </c>
    </row>
    <row r="48" spans="1:38" x14ac:dyDescent="0.25">
      <c r="A48" s="234">
        <f t="shared" si="20"/>
        <v>42</v>
      </c>
      <c r="B48" s="338"/>
      <c r="C48" s="339" t="s">
        <v>72</v>
      </c>
      <c r="D48" s="333">
        <f>'[9]Washington volumes'!J48</f>
        <v>0</v>
      </c>
      <c r="E48" s="336"/>
      <c r="F48" s="334">
        <v>0</v>
      </c>
      <c r="G48" s="333">
        <f t="shared" si="21"/>
        <v>0</v>
      </c>
      <c r="H48" s="335">
        <f t="shared" si="22"/>
        <v>0</v>
      </c>
      <c r="I48" s="334">
        <v>0</v>
      </c>
      <c r="J48" s="333">
        <f t="shared" si="23"/>
        <v>0</v>
      </c>
      <c r="K48" s="335">
        <f t="shared" si="24"/>
        <v>0</v>
      </c>
      <c r="L48" s="334">
        <v>0</v>
      </c>
      <c r="M48" s="333">
        <f t="shared" si="25"/>
        <v>0</v>
      </c>
      <c r="N48" s="335">
        <f t="shared" si="26"/>
        <v>0</v>
      </c>
      <c r="O48" s="334">
        <v>0</v>
      </c>
      <c r="P48" s="333">
        <f t="shared" si="27"/>
        <v>0</v>
      </c>
      <c r="Q48" s="335">
        <f t="shared" si="28"/>
        <v>0</v>
      </c>
      <c r="R48" s="334">
        <v>1</v>
      </c>
      <c r="S48" s="333">
        <f t="shared" si="29"/>
        <v>0</v>
      </c>
      <c r="T48" s="335">
        <f t="shared" si="30"/>
        <v>3.5E-4</v>
      </c>
      <c r="U48" s="334">
        <v>1</v>
      </c>
      <c r="V48" s="333">
        <v>0</v>
      </c>
      <c r="W48" s="332">
        <f t="shared" si="39"/>
        <v>0.24073</v>
      </c>
      <c r="AA48" s="322">
        <f t="shared" si="31"/>
        <v>0</v>
      </c>
      <c r="AB48" s="322">
        <f t="shared" si="32"/>
        <v>0</v>
      </c>
      <c r="AC48" s="322">
        <f t="shared" si="33"/>
        <v>0</v>
      </c>
      <c r="AD48" s="322">
        <f t="shared" si="34"/>
        <v>0</v>
      </c>
      <c r="AE48" s="322">
        <f t="shared" si="35"/>
        <v>0</v>
      </c>
      <c r="AF48" s="322">
        <f t="shared" si="36"/>
        <v>0</v>
      </c>
      <c r="AG48" s="322">
        <f t="shared" si="37"/>
        <v>0</v>
      </c>
      <c r="AI48" s="325">
        <f>'[9]Allocation = % of margin'!P48+'[9]Allocation = % of margin'!S48+'[9]Allocation = % of margin'!V48+'[9]Allocation = % of margin'!Y48+'[9]Allocation = % of margin'!AB48+'[9]Allocation = % of margin'!AE48+'[9]Allocation = % of margin'!AH48+'[9]Allocation = % of margin'!AK48+'[9]Allocation = % of margin'!AN48+' Increments  equal ¢ per therm'!H48+' Increments  equal ¢ per therm'!K48+' Increments  equal ¢ per therm'!N48+' Increments  equal ¢ per therm'!Q48+' Increments  equal ¢ per therm'!T48+' Increments  equal ¢ per therm'!W48+'[9]Allocation = % of revenue'!M48</f>
        <v>0.24211000000000002</v>
      </c>
      <c r="AJ48" s="224">
        <f>'Summary of Temporaries '!W48</f>
        <v>0.24210999999999999</v>
      </c>
      <c r="AK48" s="244">
        <f>[9]Permanents!F48</f>
        <v>0</v>
      </c>
      <c r="AL48" s="325">
        <f t="shared" si="38"/>
        <v>2.7755575615628914E-17</v>
      </c>
    </row>
    <row r="49" spans="1:38" x14ac:dyDescent="0.25">
      <c r="A49" s="234">
        <f t="shared" si="20"/>
        <v>43</v>
      </c>
      <c r="B49" s="234" t="s">
        <v>75</v>
      </c>
      <c r="C49" s="344" t="s">
        <v>61</v>
      </c>
      <c r="D49" s="323">
        <f>'[9]Washington volumes'!J49</f>
        <v>933451.95163091726</v>
      </c>
      <c r="E49" s="343"/>
      <c r="F49" s="341">
        <v>0</v>
      </c>
      <c r="G49" s="323">
        <f t="shared" si="21"/>
        <v>0</v>
      </c>
      <c r="H49" s="342">
        <f t="shared" si="22"/>
        <v>0</v>
      </c>
      <c r="I49" s="341">
        <v>0</v>
      </c>
      <c r="J49" s="323">
        <f t="shared" si="23"/>
        <v>0</v>
      </c>
      <c r="K49" s="342">
        <f t="shared" si="24"/>
        <v>0</v>
      </c>
      <c r="L49" s="341">
        <v>0</v>
      </c>
      <c r="M49" s="323">
        <f t="shared" si="25"/>
        <v>0</v>
      </c>
      <c r="N49" s="342">
        <f t="shared" si="26"/>
        <v>0</v>
      </c>
      <c r="O49" s="341">
        <v>0</v>
      </c>
      <c r="P49" s="323">
        <f t="shared" si="27"/>
        <v>0</v>
      </c>
      <c r="Q49" s="342">
        <f t="shared" si="28"/>
        <v>0</v>
      </c>
      <c r="R49" s="341">
        <v>1</v>
      </c>
      <c r="S49" s="323">
        <f t="shared" si="29"/>
        <v>933451.95163091726</v>
      </c>
      <c r="T49" s="342">
        <f t="shared" si="30"/>
        <v>3.5E-4</v>
      </c>
      <c r="U49" s="341">
        <v>1</v>
      </c>
      <c r="V49" s="323">
        <v>786713</v>
      </c>
      <c r="W49" s="340">
        <f t="shared" si="39"/>
        <v>0.24073</v>
      </c>
      <c r="AA49" s="322">
        <f t="shared" si="31"/>
        <v>0</v>
      </c>
      <c r="AB49" s="322">
        <f t="shared" si="32"/>
        <v>0</v>
      </c>
      <c r="AC49" s="322">
        <f t="shared" si="33"/>
        <v>0</v>
      </c>
      <c r="AD49" s="322">
        <f t="shared" si="34"/>
        <v>0</v>
      </c>
      <c r="AE49" s="322">
        <f t="shared" si="35"/>
        <v>326.70818307082106</v>
      </c>
      <c r="AF49" s="322">
        <f t="shared" si="36"/>
        <v>224709.88831611071</v>
      </c>
      <c r="AG49" s="322">
        <f t="shared" si="37"/>
        <v>326.70818307082106</v>
      </c>
      <c r="AI49" s="325">
        <f>'[9]Allocation = % of margin'!P49+'[9]Allocation = % of margin'!S49+'[9]Allocation = % of margin'!V49+'[9]Allocation = % of margin'!Y49+'[9]Allocation = % of margin'!AB49+'[9]Allocation = % of margin'!AE49+'[9]Allocation = % of margin'!AH49+'[9]Allocation = % of margin'!AK49+'[9]Allocation = % of margin'!AN49+' Increments  equal ¢ per therm'!H49+' Increments  equal ¢ per therm'!K49+' Increments  equal ¢ per therm'!N49+' Increments  equal ¢ per therm'!Q49+' Increments  equal ¢ per therm'!T49+' Increments  equal ¢ per therm'!W49+'[9]Allocation = % of revenue'!M49</f>
        <v>0.24896000000000001</v>
      </c>
      <c r="AJ49" s="224">
        <f>'Summary of Temporaries '!W49</f>
        <v>0.24896000000000001</v>
      </c>
      <c r="AK49" s="244">
        <f>[9]Permanents!F49</f>
        <v>0</v>
      </c>
      <c r="AL49" s="325">
        <f t="shared" si="38"/>
        <v>0</v>
      </c>
    </row>
    <row r="50" spans="1:38" x14ac:dyDescent="0.25">
      <c r="A50" s="234">
        <f t="shared" si="20"/>
        <v>44</v>
      </c>
      <c r="B50" s="234"/>
      <c r="C50" s="344" t="s">
        <v>62</v>
      </c>
      <c r="D50" s="323">
        <f>'[9]Washington volumes'!J50</f>
        <v>1354331.8549391942</v>
      </c>
      <c r="E50" s="343"/>
      <c r="F50" s="341">
        <v>0</v>
      </c>
      <c r="G50" s="323">
        <f t="shared" si="21"/>
        <v>0</v>
      </c>
      <c r="H50" s="342">
        <f t="shared" si="22"/>
        <v>0</v>
      </c>
      <c r="I50" s="341">
        <v>0</v>
      </c>
      <c r="J50" s="323">
        <f t="shared" si="23"/>
        <v>0</v>
      </c>
      <c r="K50" s="342">
        <f t="shared" si="24"/>
        <v>0</v>
      </c>
      <c r="L50" s="341">
        <v>0</v>
      </c>
      <c r="M50" s="323">
        <f t="shared" si="25"/>
        <v>0</v>
      </c>
      <c r="N50" s="342">
        <f t="shared" si="26"/>
        <v>0</v>
      </c>
      <c r="O50" s="341">
        <v>0</v>
      </c>
      <c r="P50" s="323">
        <f t="shared" si="27"/>
        <v>0</v>
      </c>
      <c r="Q50" s="342">
        <f t="shared" si="28"/>
        <v>0</v>
      </c>
      <c r="R50" s="341">
        <v>1</v>
      </c>
      <c r="S50" s="323">
        <f t="shared" si="29"/>
        <v>1354331.8549391942</v>
      </c>
      <c r="T50" s="342">
        <f t="shared" si="30"/>
        <v>3.5E-4</v>
      </c>
      <c r="U50" s="341">
        <v>1</v>
      </c>
      <c r="V50" s="323">
        <v>1136740</v>
      </c>
      <c r="W50" s="340">
        <f t="shared" si="39"/>
        <v>0.24073</v>
      </c>
      <c r="AA50" s="322">
        <f t="shared" si="31"/>
        <v>0</v>
      </c>
      <c r="AB50" s="322">
        <f t="shared" si="32"/>
        <v>0</v>
      </c>
      <c r="AC50" s="322">
        <f t="shared" si="33"/>
        <v>0</v>
      </c>
      <c r="AD50" s="322">
        <f t="shared" si="34"/>
        <v>0</v>
      </c>
      <c r="AE50" s="322">
        <f t="shared" si="35"/>
        <v>474.01614922871795</v>
      </c>
      <c r="AF50" s="322">
        <f t="shared" si="36"/>
        <v>326028.30743951222</v>
      </c>
      <c r="AG50" s="322">
        <f t="shared" si="37"/>
        <v>474.01614922871795</v>
      </c>
      <c r="AI50" s="325">
        <f>'[9]Allocation = % of margin'!P50+'[9]Allocation = % of margin'!S50+'[9]Allocation = % of margin'!V50+'[9]Allocation = % of margin'!Y50+'[9]Allocation = % of margin'!AB50+'[9]Allocation = % of margin'!AE50+'[9]Allocation = % of margin'!AH50+'[9]Allocation = % of margin'!AK50+'[9]Allocation = % of margin'!AN50+' Increments  equal ¢ per therm'!H50+' Increments  equal ¢ per therm'!K50+' Increments  equal ¢ per therm'!N50+' Increments  equal ¢ per therm'!Q50+' Increments  equal ¢ per therm'!T50+' Increments  equal ¢ per therm'!W50+'[9]Allocation = % of revenue'!M50</f>
        <v>0.24814</v>
      </c>
      <c r="AJ50" s="224">
        <f>'Summary of Temporaries '!W50</f>
        <v>0.24814</v>
      </c>
      <c r="AK50" s="244">
        <f>[9]Permanents!F50</f>
        <v>0</v>
      </c>
      <c r="AL50" s="325">
        <f t="shared" si="38"/>
        <v>0</v>
      </c>
    </row>
    <row r="51" spans="1:38" x14ac:dyDescent="0.25">
      <c r="A51" s="234">
        <f t="shared" si="20"/>
        <v>45</v>
      </c>
      <c r="B51" s="234"/>
      <c r="C51" s="344" t="s">
        <v>69</v>
      </c>
      <c r="D51" s="323">
        <f>'[9]Washington volumes'!J51</f>
        <v>1182764.9803330612</v>
      </c>
      <c r="E51" s="343"/>
      <c r="F51" s="341">
        <v>0</v>
      </c>
      <c r="G51" s="323">
        <f t="shared" si="21"/>
        <v>0</v>
      </c>
      <c r="H51" s="342">
        <f t="shared" si="22"/>
        <v>0</v>
      </c>
      <c r="I51" s="341">
        <v>0</v>
      </c>
      <c r="J51" s="323">
        <f t="shared" si="23"/>
        <v>0</v>
      </c>
      <c r="K51" s="342">
        <f t="shared" si="24"/>
        <v>0</v>
      </c>
      <c r="L51" s="341">
        <v>0</v>
      </c>
      <c r="M51" s="323">
        <f t="shared" si="25"/>
        <v>0</v>
      </c>
      <c r="N51" s="342">
        <f t="shared" si="26"/>
        <v>0</v>
      </c>
      <c r="O51" s="341">
        <v>0</v>
      </c>
      <c r="P51" s="323">
        <f t="shared" si="27"/>
        <v>0</v>
      </c>
      <c r="Q51" s="342">
        <f t="shared" si="28"/>
        <v>0</v>
      </c>
      <c r="R51" s="341">
        <v>1</v>
      </c>
      <c r="S51" s="323">
        <f t="shared" si="29"/>
        <v>1182764.9803330612</v>
      </c>
      <c r="T51" s="342">
        <f t="shared" si="30"/>
        <v>3.5E-4</v>
      </c>
      <c r="U51" s="341">
        <v>1</v>
      </c>
      <c r="V51" s="323">
        <v>1026635</v>
      </c>
      <c r="W51" s="340">
        <f t="shared" si="39"/>
        <v>0.24073</v>
      </c>
      <c r="AA51" s="322">
        <f t="shared" si="31"/>
        <v>0</v>
      </c>
      <c r="AB51" s="322">
        <f t="shared" si="32"/>
        <v>0</v>
      </c>
      <c r="AC51" s="322">
        <f t="shared" si="33"/>
        <v>0</v>
      </c>
      <c r="AD51" s="322">
        <f t="shared" si="34"/>
        <v>0</v>
      </c>
      <c r="AE51" s="322">
        <f t="shared" si="35"/>
        <v>413.9677431165714</v>
      </c>
      <c r="AF51" s="322">
        <f t="shared" si="36"/>
        <v>284727.01371557784</v>
      </c>
      <c r="AG51" s="322">
        <f t="shared" si="37"/>
        <v>413.9677431165714</v>
      </c>
      <c r="AI51" s="325">
        <f>'[9]Allocation = % of margin'!P51+'[9]Allocation = % of margin'!S51+'[9]Allocation = % of margin'!V51+'[9]Allocation = % of margin'!Y51+'[9]Allocation = % of margin'!AB51+'[9]Allocation = % of margin'!AE51+'[9]Allocation = % of margin'!AH51+'[9]Allocation = % of margin'!AK51+'[9]Allocation = % of margin'!AN51+' Increments  equal ¢ per therm'!H51+' Increments  equal ¢ per therm'!K51+' Increments  equal ¢ per therm'!N51+' Increments  equal ¢ per therm'!Q51+' Increments  equal ¢ per therm'!T51+' Increments  equal ¢ per therm'!W51+'[9]Allocation = % of revenue'!M51</f>
        <v>0.2465</v>
      </c>
      <c r="AJ51" s="224">
        <f>'Summary of Temporaries '!W51</f>
        <v>0.2465</v>
      </c>
      <c r="AK51" s="244">
        <f>[9]Permanents!F51</f>
        <v>0</v>
      </c>
      <c r="AL51" s="325">
        <f t="shared" si="38"/>
        <v>0</v>
      </c>
    </row>
    <row r="52" spans="1:38" x14ac:dyDescent="0.25">
      <c r="A52" s="234">
        <f t="shared" si="20"/>
        <v>46</v>
      </c>
      <c r="B52" s="234"/>
      <c r="C52" s="344" t="s">
        <v>70</v>
      </c>
      <c r="D52" s="323">
        <f>'[9]Washington volumes'!J52</f>
        <v>2743941.1371104051</v>
      </c>
      <c r="E52" s="343"/>
      <c r="F52" s="341">
        <v>0</v>
      </c>
      <c r="G52" s="323">
        <f t="shared" si="21"/>
        <v>0</v>
      </c>
      <c r="H52" s="342">
        <f t="shared" si="22"/>
        <v>0</v>
      </c>
      <c r="I52" s="341">
        <v>0</v>
      </c>
      <c r="J52" s="323">
        <f t="shared" si="23"/>
        <v>0</v>
      </c>
      <c r="K52" s="342">
        <f t="shared" si="24"/>
        <v>0</v>
      </c>
      <c r="L52" s="341">
        <v>0</v>
      </c>
      <c r="M52" s="323">
        <f t="shared" si="25"/>
        <v>0</v>
      </c>
      <c r="N52" s="342">
        <f t="shared" si="26"/>
        <v>0</v>
      </c>
      <c r="O52" s="341">
        <v>0</v>
      </c>
      <c r="P52" s="323">
        <f t="shared" si="27"/>
        <v>0</v>
      </c>
      <c r="Q52" s="342">
        <f t="shared" si="28"/>
        <v>0</v>
      </c>
      <c r="R52" s="341">
        <v>1</v>
      </c>
      <c r="S52" s="323">
        <f t="shared" si="29"/>
        <v>2743941.1371104051</v>
      </c>
      <c r="T52" s="342">
        <f t="shared" si="30"/>
        <v>3.5E-4</v>
      </c>
      <c r="U52" s="341">
        <v>1</v>
      </c>
      <c r="V52" s="323">
        <v>2414188</v>
      </c>
      <c r="W52" s="340">
        <f t="shared" si="39"/>
        <v>0.24073</v>
      </c>
      <c r="AA52" s="322">
        <f t="shared" si="31"/>
        <v>0</v>
      </c>
      <c r="AB52" s="322">
        <f t="shared" si="32"/>
        <v>0</v>
      </c>
      <c r="AC52" s="322">
        <f t="shared" si="33"/>
        <v>0</v>
      </c>
      <c r="AD52" s="322">
        <f t="shared" si="34"/>
        <v>0</v>
      </c>
      <c r="AE52" s="322">
        <f t="shared" si="35"/>
        <v>960.37939798864181</v>
      </c>
      <c r="AF52" s="322">
        <f t="shared" si="36"/>
        <v>660548.94993658783</v>
      </c>
      <c r="AG52" s="322">
        <f t="shared" si="37"/>
        <v>960.37939798864181</v>
      </c>
      <c r="AI52" s="325">
        <f>'[9]Allocation = % of margin'!P52+'[9]Allocation = % of margin'!S52+'[9]Allocation = % of margin'!V52+'[9]Allocation = % of margin'!Y52+'[9]Allocation = % of margin'!AB52+'[9]Allocation = % of margin'!AE52+'[9]Allocation = % of margin'!AH52+'[9]Allocation = % of margin'!AK52+'[9]Allocation = % of margin'!AN52+' Increments  equal ¢ per therm'!H52+' Increments  equal ¢ per therm'!K52+' Increments  equal ¢ per therm'!N52+' Increments  equal ¢ per therm'!Q52+' Increments  equal ¢ per therm'!T52+' Increments  equal ¢ per therm'!W52+'[9]Allocation = % of revenue'!M52</f>
        <v>0.24541000000000002</v>
      </c>
      <c r="AJ52" s="224">
        <f>'Summary of Temporaries '!W52</f>
        <v>0.24540999999999999</v>
      </c>
      <c r="AK52" s="244">
        <f>[9]Permanents!F52</f>
        <v>0</v>
      </c>
      <c r="AL52" s="325">
        <f t="shared" si="38"/>
        <v>2.7755575615628914E-17</v>
      </c>
    </row>
    <row r="53" spans="1:38" x14ac:dyDescent="0.25">
      <c r="A53" s="234">
        <f t="shared" si="20"/>
        <v>47</v>
      </c>
      <c r="B53" s="234"/>
      <c r="C53" s="344" t="s">
        <v>71</v>
      </c>
      <c r="D53" s="323">
        <f>'[9]Washington volumes'!J53</f>
        <v>1030133.9063092957</v>
      </c>
      <c r="E53" s="343"/>
      <c r="F53" s="341">
        <v>0</v>
      </c>
      <c r="G53" s="323">
        <f t="shared" si="21"/>
        <v>0</v>
      </c>
      <c r="H53" s="342">
        <f t="shared" si="22"/>
        <v>0</v>
      </c>
      <c r="I53" s="341">
        <v>0</v>
      </c>
      <c r="J53" s="323">
        <f t="shared" si="23"/>
        <v>0</v>
      </c>
      <c r="K53" s="342">
        <f t="shared" si="24"/>
        <v>0</v>
      </c>
      <c r="L53" s="341">
        <v>0</v>
      </c>
      <c r="M53" s="323">
        <f t="shared" si="25"/>
        <v>0</v>
      </c>
      <c r="N53" s="342">
        <f t="shared" si="26"/>
        <v>0</v>
      </c>
      <c r="O53" s="341">
        <v>0</v>
      </c>
      <c r="P53" s="323">
        <f t="shared" si="27"/>
        <v>0</v>
      </c>
      <c r="Q53" s="342">
        <f t="shared" si="28"/>
        <v>0</v>
      </c>
      <c r="R53" s="341">
        <v>1</v>
      </c>
      <c r="S53" s="323">
        <f t="shared" si="29"/>
        <v>1030133.9063092957</v>
      </c>
      <c r="T53" s="342">
        <f t="shared" si="30"/>
        <v>3.5E-4</v>
      </c>
      <c r="U53" s="341">
        <v>1</v>
      </c>
      <c r="V53" s="323">
        <v>844917</v>
      </c>
      <c r="W53" s="340">
        <f t="shared" si="39"/>
        <v>0.24073</v>
      </c>
      <c r="AA53" s="322">
        <f t="shared" si="31"/>
        <v>0</v>
      </c>
      <c r="AB53" s="322">
        <f t="shared" si="32"/>
        <v>0</v>
      </c>
      <c r="AC53" s="322">
        <f t="shared" si="33"/>
        <v>0</v>
      </c>
      <c r="AD53" s="322">
        <f t="shared" si="34"/>
        <v>0</v>
      </c>
      <c r="AE53" s="322">
        <f t="shared" si="35"/>
        <v>360.5468672082535</v>
      </c>
      <c r="AF53" s="322">
        <f t="shared" si="36"/>
        <v>247984.13526583675</v>
      </c>
      <c r="AG53" s="322">
        <f t="shared" si="37"/>
        <v>360.5468672082535</v>
      </c>
      <c r="AI53" s="325">
        <f>'[9]Allocation = % of margin'!P53+'[9]Allocation = % of margin'!S53+'[9]Allocation = % of margin'!V53+'[9]Allocation = % of margin'!Y53+'[9]Allocation = % of margin'!AB53+'[9]Allocation = % of margin'!AE53+'[9]Allocation = % of margin'!AH53+'[9]Allocation = % of margin'!AK53+'[9]Allocation = % of margin'!AN53+' Increments  equal ¢ per therm'!H53+' Increments  equal ¢ per therm'!K53+' Increments  equal ¢ per therm'!N53+' Increments  equal ¢ per therm'!Q53+' Increments  equal ¢ per therm'!T53+' Increments  equal ¢ per therm'!W53+'[9]Allocation = % of revenue'!M53</f>
        <v>0.24398</v>
      </c>
      <c r="AJ53" s="224">
        <f>'Summary of Temporaries '!W53</f>
        <v>0.24398</v>
      </c>
      <c r="AK53" s="244">
        <f>[9]Permanents!F53</f>
        <v>0</v>
      </c>
      <c r="AL53" s="325">
        <f t="shared" si="38"/>
        <v>0</v>
      </c>
    </row>
    <row r="54" spans="1:38" x14ac:dyDescent="0.25">
      <c r="A54" s="234">
        <f t="shared" si="20"/>
        <v>48</v>
      </c>
      <c r="B54" s="338"/>
      <c r="C54" s="339" t="s">
        <v>72</v>
      </c>
      <c r="D54" s="333">
        <f>'[9]Washington volumes'!J54</f>
        <v>0</v>
      </c>
      <c r="E54" s="336"/>
      <c r="F54" s="334">
        <v>0</v>
      </c>
      <c r="G54" s="333">
        <f t="shared" si="21"/>
        <v>0</v>
      </c>
      <c r="H54" s="335">
        <f t="shared" si="22"/>
        <v>0</v>
      </c>
      <c r="I54" s="334">
        <v>0</v>
      </c>
      <c r="J54" s="333">
        <f t="shared" si="23"/>
        <v>0</v>
      </c>
      <c r="K54" s="335">
        <f t="shared" si="24"/>
        <v>0</v>
      </c>
      <c r="L54" s="334">
        <v>0</v>
      </c>
      <c r="M54" s="333">
        <f t="shared" si="25"/>
        <v>0</v>
      </c>
      <c r="N54" s="335">
        <f t="shared" si="26"/>
        <v>0</v>
      </c>
      <c r="O54" s="334">
        <v>0</v>
      </c>
      <c r="P54" s="333">
        <f t="shared" si="27"/>
        <v>0</v>
      </c>
      <c r="Q54" s="335">
        <f t="shared" si="28"/>
        <v>0</v>
      </c>
      <c r="R54" s="334">
        <v>1</v>
      </c>
      <c r="S54" s="333">
        <f t="shared" si="29"/>
        <v>0</v>
      </c>
      <c r="T54" s="335">
        <f t="shared" si="30"/>
        <v>3.5E-4</v>
      </c>
      <c r="U54" s="334">
        <v>1</v>
      </c>
      <c r="V54" s="333">
        <v>0</v>
      </c>
      <c r="W54" s="332">
        <f t="shared" si="39"/>
        <v>0.24073</v>
      </c>
      <c r="AA54" s="322">
        <f t="shared" si="31"/>
        <v>0</v>
      </c>
      <c r="AB54" s="322">
        <f t="shared" si="32"/>
        <v>0</v>
      </c>
      <c r="AC54" s="322">
        <f t="shared" si="33"/>
        <v>0</v>
      </c>
      <c r="AD54" s="322">
        <f t="shared" si="34"/>
        <v>0</v>
      </c>
      <c r="AE54" s="322">
        <f t="shared" si="35"/>
        <v>0</v>
      </c>
      <c r="AF54" s="322">
        <f t="shared" si="36"/>
        <v>0</v>
      </c>
      <c r="AG54" s="322">
        <f t="shared" si="37"/>
        <v>0</v>
      </c>
      <c r="AI54" s="325">
        <f>'[9]Allocation = % of margin'!P54+'[9]Allocation = % of margin'!S54+'[9]Allocation = % of margin'!V54+'[9]Allocation = % of margin'!Y54+'[9]Allocation = % of margin'!AB54+'[9]Allocation = % of margin'!AE54+'[9]Allocation = % of margin'!AH54+'[9]Allocation = % of margin'!AK54+'[9]Allocation = % of margin'!AN54+' Increments  equal ¢ per therm'!H54+' Increments  equal ¢ per therm'!K54+' Increments  equal ¢ per therm'!N54+' Increments  equal ¢ per therm'!Q54+' Increments  equal ¢ per therm'!T54+' Increments  equal ¢ per therm'!W54+'[9]Allocation = % of revenue'!M54</f>
        <v>0.24218000000000001</v>
      </c>
      <c r="AJ54" s="224">
        <f>'Summary of Temporaries '!W54</f>
        <v>0.24218000000000001</v>
      </c>
      <c r="AK54" s="244">
        <f>[9]Permanents!F54</f>
        <v>0</v>
      </c>
      <c r="AL54" s="325">
        <f t="shared" si="38"/>
        <v>0</v>
      </c>
    </row>
    <row r="55" spans="1:38" x14ac:dyDescent="0.25">
      <c r="A55" s="234">
        <f t="shared" si="20"/>
        <v>49</v>
      </c>
      <c r="B55" s="234" t="s">
        <v>76</v>
      </c>
      <c r="C55" s="344" t="s">
        <v>61</v>
      </c>
      <c r="D55" s="323">
        <f>'[9]Washington volumes'!J55</f>
        <v>237823.79371068976</v>
      </c>
      <c r="E55" s="343"/>
      <c r="F55" s="341">
        <v>1</v>
      </c>
      <c r="G55" s="323">
        <f t="shared" si="21"/>
        <v>237823.79371068976</v>
      </c>
      <c r="H55" s="342">
        <f t="shared" si="22"/>
        <v>-0.14299000000000001</v>
      </c>
      <c r="I55" s="341">
        <v>0</v>
      </c>
      <c r="J55" s="323">
        <f t="shared" si="23"/>
        <v>0</v>
      </c>
      <c r="K55" s="342">
        <f t="shared" si="24"/>
        <v>0</v>
      </c>
      <c r="L55" s="341">
        <v>1</v>
      </c>
      <c r="M55" s="323">
        <f t="shared" si="25"/>
        <v>237823.79371068976</v>
      </c>
      <c r="N55" s="342">
        <f t="shared" si="26"/>
        <v>-3.1469999999999998E-2</v>
      </c>
      <c r="O55" s="341">
        <v>0</v>
      </c>
      <c r="P55" s="323">
        <f t="shared" si="27"/>
        <v>0</v>
      </c>
      <c r="Q55" s="342">
        <f t="shared" si="28"/>
        <v>0</v>
      </c>
      <c r="R55" s="341">
        <v>0</v>
      </c>
      <c r="S55" s="323">
        <f t="shared" si="29"/>
        <v>0</v>
      </c>
      <c r="T55" s="342">
        <f t="shared" si="30"/>
        <v>0</v>
      </c>
      <c r="U55" s="341">
        <v>1</v>
      </c>
      <c r="V55" s="323">
        <v>240000</v>
      </c>
      <c r="W55" s="340">
        <f t="shared" si="39"/>
        <v>0.24073</v>
      </c>
      <c r="AA55" s="322">
        <f t="shared" si="31"/>
        <v>-34006.424262691529</v>
      </c>
      <c r="AB55" s="322">
        <f t="shared" si="32"/>
        <v>0</v>
      </c>
      <c r="AC55" s="322">
        <f t="shared" si="33"/>
        <v>-7484.3147880754059</v>
      </c>
      <c r="AD55" s="322">
        <f t="shared" si="34"/>
        <v>0</v>
      </c>
      <c r="AE55" s="322">
        <f t="shared" si="35"/>
        <v>0</v>
      </c>
      <c r="AF55" s="322">
        <f t="shared" si="36"/>
        <v>57251.321859974349</v>
      </c>
      <c r="AG55" s="322">
        <f t="shared" si="37"/>
        <v>-41490.739050766933</v>
      </c>
      <c r="AI55" s="325">
        <f>'[9]Allocation = % of margin'!P55+'[9]Allocation = % of margin'!S55+'[9]Allocation = % of margin'!V55+'[9]Allocation = % of margin'!Y55+'[9]Allocation = % of margin'!AB55+'[9]Allocation = % of margin'!AE55+'[9]Allocation = % of margin'!AH55+'[9]Allocation = % of margin'!AK55+'[9]Allocation = % of margin'!AN55+' Increments  equal ¢ per therm'!H55+' Increments  equal ¢ per therm'!K55+' Increments  equal ¢ per therm'!N55+' Increments  equal ¢ per therm'!Q55+' Increments  equal ¢ per therm'!T55+' Increments  equal ¢ per therm'!W55+'[9]Allocation = % of revenue'!M55</f>
        <v>9.7669999999999993E-2</v>
      </c>
      <c r="AJ55" s="224">
        <f>'Summary of Temporaries '!W55</f>
        <v>9.7640000000000005E-2</v>
      </c>
      <c r="AK55" s="244">
        <f>[9]Permanents!F55</f>
        <v>3.0000000000000001E-5</v>
      </c>
      <c r="AL55" s="325">
        <f t="shared" si="38"/>
        <v>-1.1631456431696052E-17</v>
      </c>
    </row>
    <row r="56" spans="1:38" x14ac:dyDescent="0.25">
      <c r="A56" s="234">
        <f t="shared" si="20"/>
        <v>50</v>
      </c>
      <c r="B56" s="234"/>
      <c r="C56" s="344" t="s">
        <v>62</v>
      </c>
      <c r="D56" s="323">
        <f>'[9]Washington volumes'!J56</f>
        <v>449890.27963003801</v>
      </c>
      <c r="E56" s="343"/>
      <c r="F56" s="341">
        <v>1</v>
      </c>
      <c r="G56" s="323">
        <f t="shared" si="21"/>
        <v>449890.27963003801</v>
      </c>
      <c r="H56" s="342">
        <f t="shared" si="22"/>
        <v>-0.14299000000000001</v>
      </c>
      <c r="I56" s="341">
        <v>0</v>
      </c>
      <c r="J56" s="323">
        <f t="shared" si="23"/>
        <v>0</v>
      </c>
      <c r="K56" s="342">
        <f t="shared" si="24"/>
        <v>0</v>
      </c>
      <c r="L56" s="341">
        <v>1</v>
      </c>
      <c r="M56" s="323">
        <f t="shared" si="25"/>
        <v>449890.27963003801</v>
      </c>
      <c r="N56" s="342">
        <f t="shared" si="26"/>
        <v>-3.1469999999999998E-2</v>
      </c>
      <c r="O56" s="341">
        <v>0</v>
      </c>
      <c r="P56" s="323">
        <f t="shared" si="27"/>
        <v>0</v>
      </c>
      <c r="Q56" s="342">
        <f t="shared" si="28"/>
        <v>0</v>
      </c>
      <c r="R56" s="341">
        <v>0</v>
      </c>
      <c r="S56" s="323">
        <f t="shared" si="29"/>
        <v>0</v>
      </c>
      <c r="T56" s="342">
        <f t="shared" si="30"/>
        <v>0</v>
      </c>
      <c r="U56" s="341">
        <v>1</v>
      </c>
      <c r="V56" s="323">
        <v>456502</v>
      </c>
      <c r="W56" s="340">
        <f t="shared" si="39"/>
        <v>0.24073</v>
      </c>
      <c r="AA56" s="322">
        <f t="shared" si="31"/>
        <v>-64329.811084299137</v>
      </c>
      <c r="AB56" s="322">
        <f t="shared" si="32"/>
        <v>0</v>
      </c>
      <c r="AC56" s="322">
        <f t="shared" si="33"/>
        <v>-14158.047099957295</v>
      </c>
      <c r="AD56" s="322">
        <f t="shared" si="34"/>
        <v>0</v>
      </c>
      <c r="AE56" s="322">
        <f t="shared" si="35"/>
        <v>0</v>
      </c>
      <c r="AF56" s="322">
        <f t="shared" si="36"/>
        <v>108302.08701533906</v>
      </c>
      <c r="AG56" s="322">
        <f t="shared" si="37"/>
        <v>-78487.858184256431</v>
      </c>
      <c r="AI56" s="325">
        <f>'[9]Allocation = % of margin'!P56+'[9]Allocation = % of margin'!S56+'[9]Allocation = % of margin'!V56+'[9]Allocation = % of margin'!Y56+'[9]Allocation = % of margin'!AB56+'[9]Allocation = % of margin'!AE56+'[9]Allocation = % of margin'!AH56+'[9]Allocation = % of margin'!AK56+'[9]Allocation = % of margin'!AN56+' Increments  equal ¢ per therm'!H56+' Increments  equal ¢ per therm'!K56+' Increments  equal ¢ per therm'!N56+' Increments  equal ¢ per therm'!Q56+' Increments  equal ¢ per therm'!T56+' Increments  equal ¢ per therm'!W56+'[9]Allocation = % of revenue'!M56</f>
        <v>9.4380000000000006E-2</v>
      </c>
      <c r="AJ56" s="224">
        <f>'Summary of Temporaries '!W56</f>
        <v>9.4349999999999989E-2</v>
      </c>
      <c r="AK56" s="244">
        <f>[9]Permanents!F56</f>
        <v>3.0000000000000001E-5</v>
      </c>
      <c r="AL56" s="325">
        <f t="shared" si="38"/>
        <v>1.6124119183932861E-17</v>
      </c>
    </row>
    <row r="57" spans="1:38" x14ac:dyDescent="0.25">
      <c r="A57" s="234">
        <f t="shared" si="20"/>
        <v>51</v>
      </c>
      <c r="B57" s="234"/>
      <c r="C57" s="344" t="s">
        <v>69</v>
      </c>
      <c r="D57" s="323">
        <f>'[9]Washington volumes'!J57</f>
        <v>201896.54594079489</v>
      </c>
      <c r="E57" s="343"/>
      <c r="F57" s="341">
        <v>1</v>
      </c>
      <c r="G57" s="323">
        <f t="shared" si="21"/>
        <v>201896.54594079489</v>
      </c>
      <c r="H57" s="342">
        <f t="shared" si="22"/>
        <v>-0.14299000000000001</v>
      </c>
      <c r="I57" s="341">
        <v>0</v>
      </c>
      <c r="J57" s="323">
        <f t="shared" si="23"/>
        <v>0</v>
      </c>
      <c r="K57" s="342">
        <f t="shared" si="24"/>
        <v>0</v>
      </c>
      <c r="L57" s="341">
        <v>1</v>
      </c>
      <c r="M57" s="323">
        <f t="shared" si="25"/>
        <v>201896.54594079489</v>
      </c>
      <c r="N57" s="342">
        <f t="shared" si="26"/>
        <v>-3.1469999999999998E-2</v>
      </c>
      <c r="O57" s="341">
        <v>0</v>
      </c>
      <c r="P57" s="323">
        <f t="shared" si="27"/>
        <v>0</v>
      </c>
      <c r="Q57" s="342">
        <f t="shared" si="28"/>
        <v>0</v>
      </c>
      <c r="R57" s="341">
        <v>0</v>
      </c>
      <c r="S57" s="323">
        <f t="shared" si="29"/>
        <v>0</v>
      </c>
      <c r="T57" s="342">
        <f t="shared" si="30"/>
        <v>0</v>
      </c>
      <c r="U57" s="341">
        <v>1</v>
      </c>
      <c r="V57" s="323">
        <v>205609</v>
      </c>
      <c r="W57" s="340">
        <f t="shared" si="39"/>
        <v>0.24073</v>
      </c>
      <c r="AA57" s="322">
        <f t="shared" si="31"/>
        <v>-28869.187104074263</v>
      </c>
      <c r="AB57" s="322">
        <f t="shared" si="32"/>
        <v>0</v>
      </c>
      <c r="AC57" s="322">
        <f t="shared" si="33"/>
        <v>-6353.684300756815</v>
      </c>
      <c r="AD57" s="322">
        <f t="shared" si="34"/>
        <v>0</v>
      </c>
      <c r="AE57" s="322">
        <f t="shared" si="35"/>
        <v>0</v>
      </c>
      <c r="AF57" s="322">
        <f t="shared" si="36"/>
        <v>48602.555504327553</v>
      </c>
      <c r="AG57" s="322">
        <f t="shared" si="37"/>
        <v>-35222.871404831079</v>
      </c>
      <c r="AI57" s="325">
        <f>'[9]Allocation = % of margin'!P57+'[9]Allocation = % of margin'!S57+'[9]Allocation = % of margin'!V57+'[9]Allocation = % of margin'!Y57+'[9]Allocation = % of margin'!AB57+'[9]Allocation = % of margin'!AE57+'[9]Allocation = % of margin'!AH57+'[9]Allocation = % of margin'!AK57+'[9]Allocation = % of margin'!AN57+' Increments  equal ¢ per therm'!H57+' Increments  equal ¢ per therm'!K57+' Increments  equal ¢ per therm'!N57+' Increments  equal ¢ per therm'!Q57+' Increments  equal ¢ per therm'!T57+' Increments  equal ¢ per therm'!W57+'[9]Allocation = % of revenue'!M57</f>
        <v>8.7819999999999995E-2</v>
      </c>
      <c r="AJ57" s="224">
        <f>'Summary of Temporaries '!W57</f>
        <v>8.7799999999999989E-2</v>
      </c>
      <c r="AK57" s="244">
        <f>[9]Permanents!F57</f>
        <v>2.0000000000000002E-5</v>
      </c>
      <c r="AL57" s="325">
        <f t="shared" si="38"/>
        <v>6.1223541427540829E-18</v>
      </c>
    </row>
    <row r="58" spans="1:38" x14ac:dyDescent="0.25">
      <c r="A58" s="234">
        <f t="shared" si="20"/>
        <v>52</v>
      </c>
      <c r="B58" s="234"/>
      <c r="C58" s="344" t="s">
        <v>70</v>
      </c>
      <c r="D58" s="323">
        <f>'[9]Washington volumes'!J58</f>
        <v>59595.669906477466</v>
      </c>
      <c r="E58" s="343"/>
      <c r="F58" s="341">
        <v>1</v>
      </c>
      <c r="G58" s="323">
        <f t="shared" si="21"/>
        <v>59595.669906477466</v>
      </c>
      <c r="H58" s="342">
        <f t="shared" si="22"/>
        <v>-0.14299000000000001</v>
      </c>
      <c r="I58" s="341">
        <v>0</v>
      </c>
      <c r="J58" s="323">
        <f t="shared" si="23"/>
        <v>0</v>
      </c>
      <c r="K58" s="342">
        <f t="shared" si="24"/>
        <v>0</v>
      </c>
      <c r="L58" s="341">
        <v>1</v>
      </c>
      <c r="M58" s="323">
        <f t="shared" si="25"/>
        <v>59595.669906477466</v>
      </c>
      <c r="N58" s="342">
        <f t="shared" si="26"/>
        <v>-3.1469999999999998E-2</v>
      </c>
      <c r="O58" s="341">
        <v>0</v>
      </c>
      <c r="P58" s="323">
        <f t="shared" si="27"/>
        <v>0</v>
      </c>
      <c r="Q58" s="342">
        <f t="shared" si="28"/>
        <v>0</v>
      </c>
      <c r="R58" s="341">
        <v>0</v>
      </c>
      <c r="S58" s="323">
        <f t="shared" si="29"/>
        <v>0</v>
      </c>
      <c r="T58" s="342">
        <f t="shared" si="30"/>
        <v>0</v>
      </c>
      <c r="U58" s="341">
        <v>1</v>
      </c>
      <c r="V58" s="323">
        <v>31562</v>
      </c>
      <c r="W58" s="340">
        <f t="shared" si="39"/>
        <v>0.24073</v>
      </c>
      <c r="AA58" s="322">
        <f t="shared" si="31"/>
        <v>-8521.5848399272127</v>
      </c>
      <c r="AB58" s="322">
        <f t="shared" si="32"/>
        <v>0</v>
      </c>
      <c r="AC58" s="322">
        <f t="shared" si="33"/>
        <v>-1875.4757319568457</v>
      </c>
      <c r="AD58" s="322">
        <f t="shared" si="34"/>
        <v>0</v>
      </c>
      <c r="AE58" s="322">
        <f t="shared" si="35"/>
        <v>0</v>
      </c>
      <c r="AF58" s="322">
        <f t="shared" si="36"/>
        <v>14346.46561658632</v>
      </c>
      <c r="AG58" s="322">
        <f t="shared" si="37"/>
        <v>-10397.060571884058</v>
      </c>
      <c r="AI58" s="325">
        <f>'[9]Allocation = % of margin'!P58+'[9]Allocation = % of margin'!S58+'[9]Allocation = % of margin'!V58+'[9]Allocation = % of margin'!Y58+'[9]Allocation = % of margin'!AB58+'[9]Allocation = % of margin'!AE58+'[9]Allocation = % of margin'!AH58+'[9]Allocation = % of margin'!AK58+'[9]Allocation = % of margin'!AN58+' Increments  equal ¢ per therm'!H58+' Increments  equal ¢ per therm'!K58+' Increments  equal ¢ per therm'!N58+' Increments  equal ¢ per therm'!Q58+' Increments  equal ¢ per therm'!T58+' Increments  equal ¢ per therm'!W58+'[9]Allocation = % of revenue'!M58</f>
        <v>8.3509999999999987E-2</v>
      </c>
      <c r="AJ58" s="224">
        <f>'Summary of Temporaries '!W58</f>
        <v>8.3490000000000009E-2</v>
      </c>
      <c r="AK58" s="244">
        <f>[9]Permanents!F58</f>
        <v>2.0000000000000002E-5</v>
      </c>
      <c r="AL58" s="325">
        <f t="shared" si="38"/>
        <v>-2.1633221472874831E-17</v>
      </c>
    </row>
    <row r="59" spans="1:38" x14ac:dyDescent="0.25">
      <c r="A59" s="234">
        <f t="shared" si="20"/>
        <v>53</v>
      </c>
      <c r="B59" s="234"/>
      <c r="C59" s="344" t="s">
        <v>71</v>
      </c>
      <c r="D59" s="323">
        <f>'[9]Washington volumes'!J59</f>
        <v>0</v>
      </c>
      <c r="E59" s="343"/>
      <c r="F59" s="341">
        <v>1</v>
      </c>
      <c r="G59" s="323">
        <f t="shared" si="21"/>
        <v>0</v>
      </c>
      <c r="H59" s="342">
        <f t="shared" si="22"/>
        <v>-0.14299000000000001</v>
      </c>
      <c r="I59" s="341">
        <v>0</v>
      </c>
      <c r="J59" s="323">
        <f t="shared" si="23"/>
        <v>0</v>
      </c>
      <c r="K59" s="342">
        <f t="shared" si="24"/>
        <v>0</v>
      </c>
      <c r="L59" s="341">
        <v>1</v>
      </c>
      <c r="M59" s="323">
        <f t="shared" si="25"/>
        <v>0</v>
      </c>
      <c r="N59" s="342">
        <f t="shared" si="26"/>
        <v>-3.1469999999999998E-2</v>
      </c>
      <c r="O59" s="341">
        <v>0</v>
      </c>
      <c r="P59" s="323">
        <f t="shared" si="27"/>
        <v>0</v>
      </c>
      <c r="Q59" s="342">
        <f t="shared" si="28"/>
        <v>0</v>
      </c>
      <c r="R59" s="341">
        <v>0</v>
      </c>
      <c r="S59" s="323">
        <f t="shared" si="29"/>
        <v>0</v>
      </c>
      <c r="T59" s="342">
        <f t="shared" si="30"/>
        <v>0</v>
      </c>
      <c r="U59" s="341">
        <v>1</v>
      </c>
      <c r="V59" s="323">
        <v>0</v>
      </c>
      <c r="W59" s="340">
        <f t="shared" si="39"/>
        <v>0.24073</v>
      </c>
      <c r="AA59" s="322">
        <f t="shared" si="31"/>
        <v>0</v>
      </c>
      <c r="AB59" s="322">
        <f t="shared" si="32"/>
        <v>0</v>
      </c>
      <c r="AC59" s="322">
        <f t="shared" si="33"/>
        <v>0</v>
      </c>
      <c r="AD59" s="322">
        <f t="shared" si="34"/>
        <v>0</v>
      </c>
      <c r="AE59" s="322">
        <f t="shared" si="35"/>
        <v>0</v>
      </c>
      <c r="AF59" s="322">
        <f t="shared" si="36"/>
        <v>0</v>
      </c>
      <c r="AG59" s="322">
        <f t="shared" si="37"/>
        <v>0</v>
      </c>
      <c r="AI59" s="325">
        <f>'[9]Allocation = % of margin'!P59+'[9]Allocation = % of margin'!S59+'[9]Allocation = % of margin'!V59+'[9]Allocation = % of margin'!Y59+'[9]Allocation = % of margin'!AB59+'[9]Allocation = % of margin'!AE59+'[9]Allocation = % of margin'!AH59+'[9]Allocation = % of margin'!AK59+'[9]Allocation = % of margin'!AN59+' Increments  equal ¢ per therm'!H59+' Increments  equal ¢ per therm'!K59+' Increments  equal ¢ per therm'!N59+' Increments  equal ¢ per therm'!Q59+' Increments  equal ¢ per therm'!T59+' Increments  equal ¢ per therm'!W59+'[9]Allocation = % of revenue'!M59</f>
        <v>7.7769999999999992E-2</v>
      </c>
      <c r="AJ59" s="224">
        <f>'Summary of Temporaries '!W59</f>
        <v>7.7759999999999996E-2</v>
      </c>
      <c r="AK59" s="244">
        <f>[9]Permanents!F59</f>
        <v>1.0000000000000001E-5</v>
      </c>
      <c r="AL59" s="325">
        <f t="shared" si="38"/>
        <v>-3.877716832530187E-18</v>
      </c>
    </row>
    <row r="60" spans="1:38" x14ac:dyDescent="0.25">
      <c r="A60" s="234">
        <f t="shared" si="20"/>
        <v>54</v>
      </c>
      <c r="B60" s="338"/>
      <c r="C60" s="339" t="s">
        <v>72</v>
      </c>
      <c r="D60" s="333">
        <f>'[9]Washington volumes'!J60</f>
        <v>0</v>
      </c>
      <c r="E60" s="336"/>
      <c r="F60" s="334">
        <v>1</v>
      </c>
      <c r="G60" s="333">
        <f t="shared" si="21"/>
        <v>0</v>
      </c>
      <c r="H60" s="335">
        <f t="shared" si="22"/>
        <v>-0.14299000000000001</v>
      </c>
      <c r="I60" s="334">
        <v>0</v>
      </c>
      <c r="J60" s="333">
        <f t="shared" si="23"/>
        <v>0</v>
      </c>
      <c r="K60" s="335">
        <f t="shared" si="24"/>
        <v>0</v>
      </c>
      <c r="L60" s="334">
        <v>1</v>
      </c>
      <c r="M60" s="333">
        <f t="shared" si="25"/>
        <v>0</v>
      </c>
      <c r="N60" s="335">
        <f t="shared" si="26"/>
        <v>-3.1469999999999998E-2</v>
      </c>
      <c r="O60" s="334">
        <v>0</v>
      </c>
      <c r="P60" s="333">
        <f t="shared" si="27"/>
        <v>0</v>
      </c>
      <c r="Q60" s="335">
        <f t="shared" si="28"/>
        <v>0</v>
      </c>
      <c r="R60" s="334">
        <v>0</v>
      </c>
      <c r="S60" s="333">
        <f t="shared" si="29"/>
        <v>0</v>
      </c>
      <c r="T60" s="335">
        <f t="shared" si="30"/>
        <v>0</v>
      </c>
      <c r="U60" s="334">
        <v>1</v>
      </c>
      <c r="V60" s="333">
        <v>0</v>
      </c>
      <c r="W60" s="332">
        <f t="shared" si="39"/>
        <v>0.24073</v>
      </c>
      <c r="AA60" s="322">
        <f t="shared" si="31"/>
        <v>0</v>
      </c>
      <c r="AB60" s="322">
        <f t="shared" si="32"/>
        <v>0</v>
      </c>
      <c r="AC60" s="322">
        <f t="shared" si="33"/>
        <v>0</v>
      </c>
      <c r="AD60" s="322">
        <f t="shared" si="34"/>
        <v>0</v>
      </c>
      <c r="AE60" s="322">
        <f t="shared" si="35"/>
        <v>0</v>
      </c>
      <c r="AF60" s="322">
        <f t="shared" si="36"/>
        <v>0</v>
      </c>
      <c r="AG60" s="322">
        <f t="shared" si="37"/>
        <v>0</v>
      </c>
      <c r="AI60" s="325">
        <f>'[9]Allocation = % of margin'!P60+'[9]Allocation = % of margin'!S60+'[9]Allocation = % of margin'!V60+'[9]Allocation = % of margin'!Y60+'[9]Allocation = % of margin'!AB60+'[9]Allocation = % of margin'!AE60+'[9]Allocation = % of margin'!AH60+'[9]Allocation = % of margin'!AK60+'[9]Allocation = % of margin'!AN60+' Increments  equal ¢ per therm'!H60+' Increments  equal ¢ per therm'!K60+' Increments  equal ¢ per therm'!N60+' Increments  equal ¢ per therm'!Q60+' Increments  equal ¢ per therm'!T60+' Increments  equal ¢ per therm'!W60+'[9]Allocation = % of revenue'!M60</f>
        <v>7.059E-2</v>
      </c>
      <c r="AJ60" s="224">
        <f>'Summary of Temporaries '!W60</f>
        <v>7.0589999999999986E-2</v>
      </c>
      <c r="AK60" s="244">
        <f>[9]Permanents!F60</f>
        <v>0</v>
      </c>
      <c r="AL60" s="325">
        <f t="shared" si="38"/>
        <v>1.3877787807814457E-17</v>
      </c>
    </row>
    <row r="61" spans="1:38" x14ac:dyDescent="0.25">
      <c r="A61" s="234">
        <f t="shared" si="20"/>
        <v>55</v>
      </c>
      <c r="B61" s="234" t="s">
        <v>77</v>
      </c>
      <c r="C61" s="344" t="s">
        <v>61</v>
      </c>
      <c r="D61" s="323">
        <f>'[9]Washington volumes'!J61</f>
        <v>171532.62817612645</v>
      </c>
      <c r="E61" s="343"/>
      <c r="F61" s="341">
        <v>1</v>
      </c>
      <c r="G61" s="323">
        <f t="shared" si="21"/>
        <v>171532.62817612645</v>
      </c>
      <c r="H61" s="342">
        <f t="shared" si="22"/>
        <v>-0.14299000000000001</v>
      </c>
      <c r="I61" s="341">
        <v>0</v>
      </c>
      <c r="J61" s="323">
        <f t="shared" si="23"/>
        <v>0</v>
      </c>
      <c r="K61" s="342">
        <f t="shared" si="24"/>
        <v>0</v>
      </c>
      <c r="L61" s="341">
        <v>1</v>
      </c>
      <c r="M61" s="323">
        <f t="shared" si="25"/>
        <v>171532.62817612645</v>
      </c>
      <c r="N61" s="342">
        <f t="shared" si="26"/>
        <v>-3.1469999999999998E-2</v>
      </c>
      <c r="O61" s="341">
        <v>0</v>
      </c>
      <c r="P61" s="323">
        <f t="shared" si="27"/>
        <v>0</v>
      </c>
      <c r="Q61" s="342">
        <f t="shared" si="28"/>
        <v>0</v>
      </c>
      <c r="R61" s="341">
        <v>1</v>
      </c>
      <c r="S61" s="323">
        <f t="shared" si="29"/>
        <v>171532.62817612645</v>
      </c>
      <c r="T61" s="342">
        <f t="shared" si="30"/>
        <v>3.5E-4</v>
      </c>
      <c r="U61" s="341">
        <v>1</v>
      </c>
      <c r="V61" s="323">
        <v>120000</v>
      </c>
      <c r="W61" s="340">
        <f t="shared" si="39"/>
        <v>0.24073</v>
      </c>
      <c r="AA61" s="322">
        <f t="shared" si="31"/>
        <v>-24527.450502904321</v>
      </c>
      <c r="AB61" s="322">
        <f t="shared" si="32"/>
        <v>0</v>
      </c>
      <c r="AC61" s="322">
        <f t="shared" si="33"/>
        <v>-5398.1318087026993</v>
      </c>
      <c r="AD61" s="322">
        <f t="shared" si="34"/>
        <v>0</v>
      </c>
      <c r="AE61" s="322">
        <f t="shared" si="35"/>
        <v>60.036419861644255</v>
      </c>
      <c r="AF61" s="322">
        <f t="shared" si="36"/>
        <v>41293.049580838924</v>
      </c>
      <c r="AG61" s="322">
        <f t="shared" si="37"/>
        <v>-29865.545891745376</v>
      </c>
      <c r="AI61" s="325">
        <f>'[9]Allocation = % of margin'!P61+'[9]Allocation = % of margin'!S61+'[9]Allocation = % of margin'!V61+'[9]Allocation = % of margin'!Y61+'[9]Allocation = % of margin'!AB61+'[9]Allocation = % of margin'!AE61+'[9]Allocation = % of margin'!AH61+'[9]Allocation = % of margin'!AK61+'[9]Allocation = % of margin'!AN61+' Increments  equal ¢ per therm'!H61+' Increments  equal ¢ per therm'!K61+' Increments  equal ¢ per therm'!N61+' Increments  equal ¢ per therm'!Q61+' Increments  equal ¢ per therm'!T61+' Increments  equal ¢ per therm'!W61+'[9]Allocation = % of revenue'!M61</f>
        <v>8.093999999999997E-2</v>
      </c>
      <c r="AJ61" s="224">
        <f>'Summary of Temporaries '!W61</f>
        <v>8.0899999999999972E-2</v>
      </c>
      <c r="AK61" s="244">
        <f>[9]Permanents!F61</f>
        <v>4.0000000000000003E-5</v>
      </c>
      <c r="AL61" s="325">
        <f t="shared" si="38"/>
        <v>-1.6330795223062911E-18</v>
      </c>
    </row>
    <row r="62" spans="1:38" x14ac:dyDescent="0.25">
      <c r="A62" s="234">
        <f t="shared" si="20"/>
        <v>56</v>
      </c>
      <c r="B62" s="234"/>
      <c r="C62" s="344" t="s">
        <v>62</v>
      </c>
      <c r="D62" s="323">
        <f>'[9]Washington volumes'!J62</f>
        <v>27036.058789873507</v>
      </c>
      <c r="E62" s="343"/>
      <c r="F62" s="341">
        <v>1</v>
      </c>
      <c r="G62" s="323">
        <f t="shared" si="21"/>
        <v>27036.058789873507</v>
      </c>
      <c r="H62" s="342">
        <f t="shared" si="22"/>
        <v>-0.14299000000000001</v>
      </c>
      <c r="I62" s="341">
        <v>0</v>
      </c>
      <c r="J62" s="323">
        <f t="shared" si="23"/>
        <v>0</v>
      </c>
      <c r="K62" s="342">
        <f t="shared" si="24"/>
        <v>0</v>
      </c>
      <c r="L62" s="341">
        <v>1</v>
      </c>
      <c r="M62" s="323">
        <f t="shared" si="25"/>
        <v>27036.058789873507</v>
      </c>
      <c r="N62" s="342">
        <f t="shared" si="26"/>
        <v>-3.1469999999999998E-2</v>
      </c>
      <c r="O62" s="341">
        <v>0</v>
      </c>
      <c r="P62" s="323">
        <f t="shared" si="27"/>
        <v>0</v>
      </c>
      <c r="Q62" s="342">
        <f t="shared" si="28"/>
        <v>0</v>
      </c>
      <c r="R62" s="341">
        <v>1</v>
      </c>
      <c r="S62" s="323">
        <f t="shared" si="29"/>
        <v>27036.058789873507</v>
      </c>
      <c r="T62" s="342">
        <f t="shared" si="30"/>
        <v>3.5E-4</v>
      </c>
      <c r="U62" s="341">
        <v>1</v>
      </c>
      <c r="V62" s="323">
        <v>76352</v>
      </c>
      <c r="W62" s="340">
        <f t="shared" si="39"/>
        <v>0.24073</v>
      </c>
      <c r="AA62" s="322">
        <f t="shared" si="31"/>
        <v>-3865.8860463640131</v>
      </c>
      <c r="AB62" s="322">
        <f t="shared" si="32"/>
        <v>0</v>
      </c>
      <c r="AC62" s="322">
        <f t="shared" si="33"/>
        <v>-850.82477011731919</v>
      </c>
      <c r="AD62" s="322">
        <f t="shared" si="34"/>
        <v>0</v>
      </c>
      <c r="AE62" s="322">
        <f t="shared" si="35"/>
        <v>9.462620576455727</v>
      </c>
      <c r="AF62" s="322">
        <f t="shared" si="36"/>
        <v>6508.3904324862497</v>
      </c>
      <c r="AG62" s="322">
        <f t="shared" si="37"/>
        <v>-4707.2481959048764</v>
      </c>
      <c r="AI62" s="325">
        <f>'[9]Allocation = % of margin'!P62+'[9]Allocation = % of margin'!S62+'[9]Allocation = % of margin'!V62+'[9]Allocation = % of margin'!Y62+'[9]Allocation = % of margin'!AB62+'[9]Allocation = % of margin'!AE62+'[9]Allocation = % of margin'!AH62+'[9]Allocation = % of margin'!AK62+'[9]Allocation = % of margin'!AN62+' Increments  equal ¢ per therm'!H62+' Increments  equal ¢ per therm'!K62+' Increments  equal ¢ per therm'!N62+' Increments  equal ¢ per therm'!Q62+' Increments  equal ¢ per therm'!T62+' Increments  equal ¢ per therm'!W62+'[9]Allocation = % of revenue'!M62</f>
        <v>7.9429999999999973E-2</v>
      </c>
      <c r="AJ62" s="224">
        <f>'Summary of Temporaries '!W62</f>
        <v>7.9390000000000016E-2</v>
      </c>
      <c r="AK62" s="244">
        <f>[9]Permanents!F62</f>
        <v>4.0000000000000003E-5</v>
      </c>
      <c r="AL62" s="325">
        <f t="shared" si="38"/>
        <v>-4.3266442945749661E-17</v>
      </c>
    </row>
    <row r="63" spans="1:38" x14ac:dyDescent="0.25">
      <c r="A63" s="234">
        <f t="shared" si="20"/>
        <v>57</v>
      </c>
      <c r="B63" s="234"/>
      <c r="C63" s="344" t="s">
        <v>69</v>
      </c>
      <c r="D63" s="323">
        <f>'[9]Washington volumes'!J63</f>
        <v>0</v>
      </c>
      <c r="E63" s="343"/>
      <c r="F63" s="341">
        <v>1</v>
      </c>
      <c r="G63" s="323">
        <f t="shared" si="21"/>
        <v>0</v>
      </c>
      <c r="H63" s="342">
        <f t="shared" si="22"/>
        <v>-0.14299000000000001</v>
      </c>
      <c r="I63" s="341">
        <v>0</v>
      </c>
      <c r="J63" s="323">
        <f t="shared" si="23"/>
        <v>0</v>
      </c>
      <c r="K63" s="342">
        <f t="shared" si="24"/>
        <v>0</v>
      </c>
      <c r="L63" s="341">
        <v>1</v>
      </c>
      <c r="M63" s="323">
        <f t="shared" si="25"/>
        <v>0</v>
      </c>
      <c r="N63" s="342">
        <f t="shared" si="26"/>
        <v>-3.1469999999999998E-2</v>
      </c>
      <c r="O63" s="341">
        <v>0</v>
      </c>
      <c r="P63" s="323">
        <f t="shared" si="27"/>
        <v>0</v>
      </c>
      <c r="Q63" s="342">
        <f t="shared" si="28"/>
        <v>0</v>
      </c>
      <c r="R63" s="341">
        <v>1</v>
      </c>
      <c r="S63" s="323">
        <f t="shared" si="29"/>
        <v>0</v>
      </c>
      <c r="T63" s="342">
        <f t="shared" si="30"/>
        <v>3.5E-4</v>
      </c>
      <c r="U63" s="341">
        <v>1</v>
      </c>
      <c r="V63" s="323">
        <v>0</v>
      </c>
      <c r="W63" s="340">
        <f t="shared" si="39"/>
        <v>0.24073</v>
      </c>
      <c r="AA63" s="322">
        <f t="shared" si="31"/>
        <v>0</v>
      </c>
      <c r="AB63" s="322">
        <f t="shared" si="32"/>
        <v>0</v>
      </c>
      <c r="AC63" s="322">
        <f t="shared" si="33"/>
        <v>0</v>
      </c>
      <c r="AD63" s="322">
        <f t="shared" si="34"/>
        <v>0</v>
      </c>
      <c r="AE63" s="322">
        <f t="shared" si="35"/>
        <v>0</v>
      </c>
      <c r="AF63" s="322">
        <f t="shared" si="36"/>
        <v>0</v>
      </c>
      <c r="AG63" s="322">
        <f t="shared" si="37"/>
        <v>0</v>
      </c>
      <c r="AI63" s="325">
        <f>'[9]Allocation = % of margin'!P63+'[9]Allocation = % of margin'!S63+'[9]Allocation = % of margin'!V63+'[9]Allocation = % of margin'!Y63+'[9]Allocation = % of margin'!AB63+'[9]Allocation = % of margin'!AE63+'[9]Allocation = % of margin'!AH63+'[9]Allocation = % of margin'!AK63+'[9]Allocation = % of margin'!AN63+' Increments  equal ¢ per therm'!H63+' Increments  equal ¢ per therm'!K63+' Increments  equal ¢ per therm'!N63+' Increments  equal ¢ per therm'!Q63+' Increments  equal ¢ per therm'!T63+' Increments  equal ¢ per therm'!W63+'[9]Allocation = % of revenue'!M63</f>
        <v>7.643999999999998E-2</v>
      </c>
      <c r="AJ63" s="224">
        <f>'Summary of Temporaries '!W63</f>
        <v>7.6409999999999978E-2</v>
      </c>
      <c r="AK63" s="244">
        <f>[9]Permanents!F63</f>
        <v>3.0000000000000001E-5</v>
      </c>
      <c r="AL63" s="325">
        <f t="shared" si="38"/>
        <v>2.2463313761184045E-18</v>
      </c>
    </row>
    <row r="64" spans="1:38" x14ac:dyDescent="0.25">
      <c r="A64" s="234">
        <f t="shared" si="20"/>
        <v>58</v>
      </c>
      <c r="B64" s="234"/>
      <c r="C64" s="344" t="s">
        <v>70</v>
      </c>
      <c r="D64" s="323">
        <f>'[9]Washington volumes'!J64</f>
        <v>0</v>
      </c>
      <c r="E64" s="343"/>
      <c r="F64" s="341">
        <v>1</v>
      </c>
      <c r="G64" s="323">
        <f t="shared" si="21"/>
        <v>0</v>
      </c>
      <c r="H64" s="342">
        <f t="shared" si="22"/>
        <v>-0.14299000000000001</v>
      </c>
      <c r="I64" s="341">
        <v>0</v>
      </c>
      <c r="J64" s="323">
        <f t="shared" si="23"/>
        <v>0</v>
      </c>
      <c r="K64" s="342">
        <f t="shared" si="24"/>
        <v>0</v>
      </c>
      <c r="L64" s="341">
        <v>1</v>
      </c>
      <c r="M64" s="323">
        <f t="shared" si="25"/>
        <v>0</v>
      </c>
      <c r="N64" s="342">
        <f t="shared" si="26"/>
        <v>-3.1469999999999998E-2</v>
      </c>
      <c r="O64" s="341">
        <v>0</v>
      </c>
      <c r="P64" s="323">
        <f t="shared" si="27"/>
        <v>0</v>
      </c>
      <c r="Q64" s="342">
        <f t="shared" si="28"/>
        <v>0</v>
      </c>
      <c r="R64" s="341">
        <v>1</v>
      </c>
      <c r="S64" s="323">
        <f t="shared" si="29"/>
        <v>0</v>
      </c>
      <c r="T64" s="342">
        <f t="shared" si="30"/>
        <v>3.5E-4</v>
      </c>
      <c r="U64" s="341">
        <v>1</v>
      </c>
      <c r="V64" s="323">
        <v>0</v>
      </c>
      <c r="W64" s="340">
        <f t="shared" si="39"/>
        <v>0.24073</v>
      </c>
      <c r="AA64" s="322">
        <f t="shared" si="31"/>
        <v>0</v>
      </c>
      <c r="AB64" s="322">
        <f t="shared" si="32"/>
        <v>0</v>
      </c>
      <c r="AC64" s="322">
        <f t="shared" si="33"/>
        <v>0</v>
      </c>
      <c r="AD64" s="322">
        <f t="shared" si="34"/>
        <v>0</v>
      </c>
      <c r="AE64" s="322">
        <f t="shared" si="35"/>
        <v>0</v>
      </c>
      <c r="AF64" s="322">
        <f t="shared" si="36"/>
        <v>0</v>
      </c>
      <c r="AG64" s="322">
        <f t="shared" si="37"/>
        <v>0</v>
      </c>
      <c r="AI64" s="325">
        <f>'[9]Allocation = % of margin'!P64+'[9]Allocation = % of margin'!S64+'[9]Allocation = % of margin'!V64+'[9]Allocation = % of margin'!Y64+'[9]Allocation = % of margin'!AB64+'[9]Allocation = % of margin'!AE64+'[9]Allocation = % of margin'!AH64+'[9]Allocation = % of margin'!AK64+'[9]Allocation = % of margin'!AN64+' Increments  equal ¢ per therm'!H64+' Increments  equal ¢ per therm'!K64+' Increments  equal ¢ per therm'!N64+' Increments  equal ¢ per therm'!Q64+' Increments  equal ¢ per therm'!T64+' Increments  equal ¢ per therm'!W64+'[9]Allocation = % of revenue'!M64</f>
        <v>7.4469999999999981E-2</v>
      </c>
      <c r="AJ64" s="224">
        <f>'Summary of Temporaries '!W64</f>
        <v>7.4449999999999988E-2</v>
      </c>
      <c r="AK64" s="244">
        <f>[9]Permanents!F64</f>
        <v>2.0000000000000002E-5</v>
      </c>
      <c r="AL64" s="325">
        <f t="shared" si="38"/>
        <v>-7.7554336650603739E-18</v>
      </c>
    </row>
    <row r="65" spans="1:38" x14ac:dyDescent="0.25">
      <c r="A65" s="234">
        <f t="shared" si="20"/>
        <v>59</v>
      </c>
      <c r="B65" s="234"/>
      <c r="C65" s="344" t="s">
        <v>71</v>
      </c>
      <c r="D65" s="323">
        <f>'[9]Washington volumes'!J65</f>
        <v>0</v>
      </c>
      <c r="E65" s="343"/>
      <c r="F65" s="341">
        <v>1</v>
      </c>
      <c r="G65" s="323">
        <f t="shared" si="21"/>
        <v>0</v>
      </c>
      <c r="H65" s="342">
        <f t="shared" si="22"/>
        <v>-0.14299000000000001</v>
      </c>
      <c r="I65" s="341">
        <v>0</v>
      </c>
      <c r="J65" s="323">
        <f t="shared" si="23"/>
        <v>0</v>
      </c>
      <c r="K65" s="342">
        <f t="shared" si="24"/>
        <v>0</v>
      </c>
      <c r="L65" s="341">
        <v>1</v>
      </c>
      <c r="M65" s="323">
        <f t="shared" si="25"/>
        <v>0</v>
      </c>
      <c r="N65" s="342">
        <f t="shared" si="26"/>
        <v>-3.1469999999999998E-2</v>
      </c>
      <c r="O65" s="341">
        <v>0</v>
      </c>
      <c r="P65" s="323">
        <f t="shared" si="27"/>
        <v>0</v>
      </c>
      <c r="Q65" s="342">
        <f t="shared" si="28"/>
        <v>0</v>
      </c>
      <c r="R65" s="341">
        <v>1</v>
      </c>
      <c r="S65" s="323">
        <f t="shared" si="29"/>
        <v>0</v>
      </c>
      <c r="T65" s="342">
        <f t="shared" si="30"/>
        <v>3.5E-4</v>
      </c>
      <c r="U65" s="341">
        <v>1</v>
      </c>
      <c r="V65" s="323">
        <v>0</v>
      </c>
      <c r="W65" s="340">
        <f t="shared" si="39"/>
        <v>0.24073</v>
      </c>
      <c r="AA65" s="322">
        <f t="shared" si="31"/>
        <v>0</v>
      </c>
      <c r="AB65" s="322">
        <f t="shared" si="32"/>
        <v>0</v>
      </c>
      <c r="AC65" s="322">
        <f t="shared" si="33"/>
        <v>0</v>
      </c>
      <c r="AD65" s="322">
        <f t="shared" si="34"/>
        <v>0</v>
      </c>
      <c r="AE65" s="322">
        <f t="shared" si="35"/>
        <v>0</v>
      </c>
      <c r="AF65" s="322">
        <f t="shared" si="36"/>
        <v>0</v>
      </c>
      <c r="AG65" s="322">
        <f t="shared" si="37"/>
        <v>0</v>
      </c>
      <c r="AI65" s="325">
        <f>'[9]Allocation = % of margin'!P65+'[9]Allocation = % of margin'!S65+'[9]Allocation = % of margin'!V65+'[9]Allocation = % of margin'!Y65+'[9]Allocation = % of margin'!AB65+'[9]Allocation = % of margin'!AE65+'[9]Allocation = % of margin'!AH65+'[9]Allocation = % of margin'!AK65+'[9]Allocation = % of margin'!AN65+' Increments  equal ¢ per therm'!H65+' Increments  equal ¢ per therm'!K65+' Increments  equal ¢ per therm'!N65+' Increments  equal ¢ per therm'!Q65+' Increments  equal ¢ per therm'!T65+' Increments  equal ¢ per therm'!W65+'[9]Allocation = % of revenue'!M65</f>
        <v>7.1849999999999997E-2</v>
      </c>
      <c r="AJ65" s="224">
        <f>'Summary of Temporaries '!W65</f>
        <v>7.1839999999999987E-2</v>
      </c>
      <c r="AK65" s="244">
        <f>[9]Permanents!F65</f>
        <v>1.0000000000000001E-5</v>
      </c>
      <c r="AL65" s="325">
        <f t="shared" si="38"/>
        <v>1.000007097528427E-17</v>
      </c>
    </row>
    <row r="66" spans="1:38" x14ac:dyDescent="0.25">
      <c r="A66" s="234">
        <f t="shared" si="20"/>
        <v>60</v>
      </c>
      <c r="B66" s="338"/>
      <c r="C66" s="339" t="s">
        <v>72</v>
      </c>
      <c r="D66" s="333">
        <f>'[9]Washington volumes'!J66</f>
        <v>0</v>
      </c>
      <c r="E66" s="336"/>
      <c r="F66" s="334">
        <v>1</v>
      </c>
      <c r="G66" s="333">
        <f t="shared" si="21"/>
        <v>0</v>
      </c>
      <c r="H66" s="335">
        <f t="shared" si="22"/>
        <v>-0.14299000000000001</v>
      </c>
      <c r="I66" s="334">
        <v>0</v>
      </c>
      <c r="J66" s="333">
        <f t="shared" si="23"/>
        <v>0</v>
      </c>
      <c r="K66" s="335">
        <f t="shared" si="24"/>
        <v>0</v>
      </c>
      <c r="L66" s="334">
        <v>1</v>
      </c>
      <c r="M66" s="333">
        <f t="shared" si="25"/>
        <v>0</v>
      </c>
      <c r="N66" s="335">
        <f t="shared" si="26"/>
        <v>-3.1469999999999998E-2</v>
      </c>
      <c r="O66" s="334">
        <v>0</v>
      </c>
      <c r="P66" s="333">
        <f t="shared" si="27"/>
        <v>0</v>
      </c>
      <c r="Q66" s="335">
        <f t="shared" si="28"/>
        <v>0</v>
      </c>
      <c r="R66" s="334">
        <v>1</v>
      </c>
      <c r="S66" s="333">
        <f t="shared" si="29"/>
        <v>0</v>
      </c>
      <c r="T66" s="335">
        <f t="shared" si="30"/>
        <v>3.5E-4</v>
      </c>
      <c r="U66" s="334">
        <v>1</v>
      </c>
      <c r="V66" s="333">
        <v>0</v>
      </c>
      <c r="W66" s="332">
        <f t="shared" si="39"/>
        <v>0.24073</v>
      </c>
      <c r="AA66" s="322">
        <f t="shared" si="31"/>
        <v>0</v>
      </c>
      <c r="AB66" s="322">
        <f t="shared" si="32"/>
        <v>0</v>
      </c>
      <c r="AC66" s="322">
        <f t="shared" si="33"/>
        <v>0</v>
      </c>
      <c r="AD66" s="322">
        <f t="shared" si="34"/>
        <v>0</v>
      </c>
      <c r="AE66" s="322">
        <f t="shared" si="35"/>
        <v>0</v>
      </c>
      <c r="AF66" s="322">
        <f t="shared" si="36"/>
        <v>0</v>
      </c>
      <c r="AG66" s="322">
        <f t="shared" si="37"/>
        <v>0</v>
      </c>
      <c r="AI66" s="325">
        <f>'[9]Allocation = % of margin'!P66+'[9]Allocation = % of margin'!S66+'[9]Allocation = % of margin'!V66+'[9]Allocation = % of margin'!Y66+'[9]Allocation = % of margin'!AB66+'[9]Allocation = % of margin'!AE66+'[9]Allocation = % of margin'!AH66+'[9]Allocation = % of margin'!AK66+'[9]Allocation = % of margin'!AN66+' Increments  equal ¢ per therm'!H66+' Increments  equal ¢ per therm'!K66+' Increments  equal ¢ per therm'!N66+' Increments  equal ¢ per therm'!Q66+' Increments  equal ¢ per therm'!T66+' Increments  equal ¢ per therm'!W66+'[9]Allocation = % of revenue'!M66</f>
        <v>6.8599999999999994E-2</v>
      </c>
      <c r="AJ66" s="224">
        <f>'Summary of Temporaries '!W66</f>
        <v>6.8589999999999984E-2</v>
      </c>
      <c r="AK66" s="244">
        <f>[9]Permanents!F66</f>
        <v>1.0000000000000001E-5</v>
      </c>
      <c r="AL66" s="325">
        <f t="shared" si="38"/>
        <v>1.000007097528427E-17</v>
      </c>
    </row>
    <row r="67" spans="1:38" x14ac:dyDescent="0.25">
      <c r="A67" s="234">
        <f t="shared" si="20"/>
        <v>61</v>
      </c>
      <c r="B67" s="234" t="s">
        <v>78</v>
      </c>
      <c r="C67" s="344" t="s">
        <v>61</v>
      </c>
      <c r="D67" s="323">
        <f>'[9]Washington volumes'!J67</f>
        <v>0</v>
      </c>
      <c r="E67" s="343"/>
      <c r="F67" s="341">
        <v>0</v>
      </c>
      <c r="G67" s="323">
        <f t="shared" si="21"/>
        <v>0</v>
      </c>
      <c r="H67" s="342">
        <f t="shared" si="22"/>
        <v>0</v>
      </c>
      <c r="I67" s="341">
        <v>0</v>
      </c>
      <c r="J67" s="323">
        <f t="shared" si="23"/>
        <v>0</v>
      </c>
      <c r="K67" s="342">
        <f t="shared" si="24"/>
        <v>0</v>
      </c>
      <c r="L67" s="341">
        <v>0</v>
      </c>
      <c r="M67" s="323">
        <f t="shared" si="25"/>
        <v>0</v>
      </c>
      <c r="N67" s="342">
        <f t="shared" si="26"/>
        <v>0</v>
      </c>
      <c r="O67" s="341">
        <v>0</v>
      </c>
      <c r="P67" s="323">
        <f t="shared" si="27"/>
        <v>0</v>
      </c>
      <c r="Q67" s="342">
        <f t="shared" si="28"/>
        <v>0</v>
      </c>
      <c r="R67" s="341">
        <v>1</v>
      </c>
      <c r="S67" s="323">
        <f t="shared" si="29"/>
        <v>0</v>
      </c>
      <c r="T67" s="342">
        <f t="shared" si="30"/>
        <v>3.5E-4</v>
      </c>
      <c r="U67" s="341">
        <v>1</v>
      </c>
      <c r="V67" s="323">
        <v>0</v>
      </c>
      <c r="W67" s="340">
        <f t="shared" si="39"/>
        <v>0.24073</v>
      </c>
      <c r="AA67" s="322">
        <f t="shared" si="31"/>
        <v>0</v>
      </c>
      <c r="AB67" s="322">
        <f t="shared" si="32"/>
        <v>0</v>
      </c>
      <c r="AC67" s="322">
        <f t="shared" si="33"/>
        <v>0</v>
      </c>
      <c r="AD67" s="322">
        <f t="shared" si="34"/>
        <v>0</v>
      </c>
      <c r="AE67" s="322">
        <f t="shared" si="35"/>
        <v>0</v>
      </c>
      <c r="AF67" s="322">
        <f t="shared" si="36"/>
        <v>0</v>
      </c>
      <c r="AG67" s="322">
        <f t="shared" si="37"/>
        <v>0</v>
      </c>
      <c r="AI67" s="325">
        <f>'[9]Allocation = % of margin'!P67+'[9]Allocation = % of margin'!S67+'[9]Allocation = % of margin'!V67+'[9]Allocation = % of margin'!Y67+'[9]Allocation = % of margin'!AB67+'[9]Allocation = % of margin'!AE67+'[9]Allocation = % of margin'!AH67+'[9]Allocation = % of margin'!AK67+'[9]Allocation = % of margin'!AN67+' Increments  equal ¢ per therm'!H67+' Increments  equal ¢ per therm'!K67+' Increments  equal ¢ per therm'!N67+' Increments  equal ¢ per therm'!Q67+' Increments  equal ¢ per therm'!T67+' Increments  equal ¢ per therm'!W67+'[9]Allocation = % of revenue'!M67</f>
        <v>0.24864</v>
      </c>
      <c r="AJ67" s="224">
        <f>'Summary of Temporaries '!W67</f>
        <v>0.24864</v>
      </c>
      <c r="AK67" s="244">
        <f>[9]Permanents!F67</f>
        <v>0</v>
      </c>
      <c r="AL67" s="325">
        <f t="shared" si="38"/>
        <v>0</v>
      </c>
    </row>
    <row r="68" spans="1:38" x14ac:dyDescent="0.25">
      <c r="A68" s="234">
        <f t="shared" si="20"/>
        <v>62</v>
      </c>
      <c r="B68" s="234"/>
      <c r="C68" s="344" t="s">
        <v>62</v>
      </c>
      <c r="D68" s="323">
        <f>'[9]Washington volumes'!J68</f>
        <v>0</v>
      </c>
      <c r="E68" s="343"/>
      <c r="F68" s="341">
        <v>0</v>
      </c>
      <c r="G68" s="323">
        <f t="shared" si="21"/>
        <v>0</v>
      </c>
      <c r="H68" s="342">
        <f t="shared" si="22"/>
        <v>0</v>
      </c>
      <c r="I68" s="341">
        <v>0</v>
      </c>
      <c r="J68" s="323">
        <f t="shared" si="23"/>
        <v>0</v>
      </c>
      <c r="K68" s="342">
        <f t="shared" si="24"/>
        <v>0</v>
      </c>
      <c r="L68" s="341">
        <v>0</v>
      </c>
      <c r="M68" s="323">
        <f t="shared" si="25"/>
        <v>0</v>
      </c>
      <c r="N68" s="342">
        <f t="shared" si="26"/>
        <v>0</v>
      </c>
      <c r="O68" s="341">
        <v>0</v>
      </c>
      <c r="P68" s="323">
        <f t="shared" si="27"/>
        <v>0</v>
      </c>
      <c r="Q68" s="342">
        <f t="shared" si="28"/>
        <v>0</v>
      </c>
      <c r="R68" s="341">
        <v>1</v>
      </c>
      <c r="S68" s="323">
        <f t="shared" si="29"/>
        <v>0</v>
      </c>
      <c r="T68" s="342">
        <f t="shared" si="30"/>
        <v>3.5E-4</v>
      </c>
      <c r="U68" s="341">
        <v>1</v>
      </c>
      <c r="V68" s="323">
        <v>0</v>
      </c>
      <c r="W68" s="340">
        <f t="shared" si="39"/>
        <v>0.24073</v>
      </c>
      <c r="AA68" s="322">
        <f t="shared" si="31"/>
        <v>0</v>
      </c>
      <c r="AB68" s="322">
        <f t="shared" si="32"/>
        <v>0</v>
      </c>
      <c r="AC68" s="322">
        <f t="shared" si="33"/>
        <v>0</v>
      </c>
      <c r="AD68" s="322">
        <f t="shared" si="34"/>
        <v>0</v>
      </c>
      <c r="AE68" s="322">
        <f t="shared" si="35"/>
        <v>0</v>
      </c>
      <c r="AF68" s="322">
        <f t="shared" si="36"/>
        <v>0</v>
      </c>
      <c r="AG68" s="322">
        <f t="shared" si="37"/>
        <v>0</v>
      </c>
      <c r="AI68" s="325">
        <f>'[9]Allocation = % of margin'!P68+'[9]Allocation = % of margin'!S68+'[9]Allocation = % of margin'!V68+'[9]Allocation = % of margin'!Y68+'[9]Allocation = % of margin'!AB68+'[9]Allocation = % of margin'!AE68+'[9]Allocation = % of margin'!AH68+'[9]Allocation = % of margin'!AK68+'[9]Allocation = % of margin'!AN68+' Increments  equal ¢ per therm'!H68+' Increments  equal ¢ per therm'!K68+' Increments  equal ¢ per therm'!N68+' Increments  equal ¢ per therm'!Q68+' Increments  equal ¢ per therm'!T68+' Increments  equal ¢ per therm'!W68+'[9]Allocation = % of revenue'!M68</f>
        <v>0.24786</v>
      </c>
      <c r="AJ68" s="224">
        <f>'Summary of Temporaries '!W68</f>
        <v>0.24786</v>
      </c>
      <c r="AK68" s="244">
        <f>[9]Permanents!F68</f>
        <v>0</v>
      </c>
      <c r="AL68" s="325">
        <f t="shared" si="38"/>
        <v>0</v>
      </c>
    </row>
    <row r="69" spans="1:38" x14ac:dyDescent="0.25">
      <c r="A69" s="234">
        <f t="shared" si="20"/>
        <v>63</v>
      </c>
      <c r="B69" s="234"/>
      <c r="C69" s="344" t="s">
        <v>69</v>
      </c>
      <c r="D69" s="323">
        <f>'[9]Washington volumes'!J69</f>
        <v>0</v>
      </c>
      <c r="E69" s="343"/>
      <c r="F69" s="341">
        <v>0</v>
      </c>
      <c r="G69" s="323">
        <f t="shared" si="21"/>
        <v>0</v>
      </c>
      <c r="H69" s="342">
        <f t="shared" si="22"/>
        <v>0</v>
      </c>
      <c r="I69" s="341">
        <v>0</v>
      </c>
      <c r="J69" s="323">
        <f t="shared" si="23"/>
        <v>0</v>
      </c>
      <c r="K69" s="342">
        <f t="shared" si="24"/>
        <v>0</v>
      </c>
      <c r="L69" s="341">
        <v>0</v>
      </c>
      <c r="M69" s="323">
        <f t="shared" si="25"/>
        <v>0</v>
      </c>
      <c r="N69" s="342">
        <f t="shared" si="26"/>
        <v>0</v>
      </c>
      <c r="O69" s="341">
        <v>0</v>
      </c>
      <c r="P69" s="323">
        <f t="shared" si="27"/>
        <v>0</v>
      </c>
      <c r="Q69" s="342">
        <f t="shared" si="28"/>
        <v>0</v>
      </c>
      <c r="R69" s="341">
        <v>1</v>
      </c>
      <c r="S69" s="323">
        <f t="shared" si="29"/>
        <v>0</v>
      </c>
      <c r="T69" s="342">
        <f t="shared" si="30"/>
        <v>3.5E-4</v>
      </c>
      <c r="U69" s="341">
        <v>1</v>
      </c>
      <c r="V69" s="323">
        <v>0</v>
      </c>
      <c r="W69" s="340">
        <f t="shared" si="39"/>
        <v>0.24073</v>
      </c>
      <c r="AA69" s="322">
        <f t="shared" si="31"/>
        <v>0</v>
      </c>
      <c r="AB69" s="322">
        <f t="shared" si="32"/>
        <v>0</v>
      </c>
      <c r="AC69" s="322">
        <f t="shared" si="33"/>
        <v>0</v>
      </c>
      <c r="AD69" s="322">
        <f t="shared" si="34"/>
        <v>0</v>
      </c>
      <c r="AE69" s="322">
        <f t="shared" si="35"/>
        <v>0</v>
      </c>
      <c r="AF69" s="322">
        <f t="shared" si="36"/>
        <v>0</v>
      </c>
      <c r="AG69" s="322">
        <f t="shared" si="37"/>
        <v>0</v>
      </c>
      <c r="AI69" s="325">
        <f>'[9]Allocation = % of margin'!P69+'[9]Allocation = % of margin'!S69+'[9]Allocation = % of margin'!V69+'[9]Allocation = % of margin'!Y69+'[9]Allocation = % of margin'!AB69+'[9]Allocation = % of margin'!AE69+'[9]Allocation = % of margin'!AH69+'[9]Allocation = % of margin'!AK69+'[9]Allocation = % of margin'!AN69+' Increments  equal ¢ per therm'!H69+' Increments  equal ¢ per therm'!K69+' Increments  equal ¢ per therm'!N69+' Increments  equal ¢ per therm'!Q69+' Increments  equal ¢ per therm'!T69+' Increments  equal ¢ per therm'!W69+'[9]Allocation = % of revenue'!M69</f>
        <v>0.24626999999999999</v>
      </c>
      <c r="AJ69" s="224">
        <f>'Summary of Temporaries '!W69</f>
        <v>0.24626999999999999</v>
      </c>
      <c r="AK69" s="244">
        <f>[9]Permanents!F69</f>
        <v>0</v>
      </c>
      <c r="AL69" s="325">
        <f t="shared" si="38"/>
        <v>0</v>
      </c>
    </row>
    <row r="70" spans="1:38" x14ac:dyDescent="0.25">
      <c r="A70" s="234">
        <f t="shared" si="20"/>
        <v>64</v>
      </c>
      <c r="B70" s="234"/>
      <c r="C70" s="344" t="s">
        <v>70</v>
      </c>
      <c r="D70" s="323">
        <f>'[9]Washington volumes'!J70</f>
        <v>0</v>
      </c>
      <c r="E70" s="343"/>
      <c r="F70" s="341">
        <v>0</v>
      </c>
      <c r="G70" s="323">
        <f t="shared" si="21"/>
        <v>0</v>
      </c>
      <c r="H70" s="342">
        <f t="shared" si="22"/>
        <v>0</v>
      </c>
      <c r="I70" s="341">
        <v>0</v>
      </c>
      <c r="J70" s="323">
        <f t="shared" si="23"/>
        <v>0</v>
      </c>
      <c r="K70" s="342">
        <f t="shared" si="24"/>
        <v>0</v>
      </c>
      <c r="L70" s="341">
        <v>0</v>
      </c>
      <c r="M70" s="323">
        <f t="shared" si="25"/>
        <v>0</v>
      </c>
      <c r="N70" s="342">
        <f t="shared" si="26"/>
        <v>0</v>
      </c>
      <c r="O70" s="341">
        <v>0</v>
      </c>
      <c r="P70" s="323">
        <f t="shared" si="27"/>
        <v>0</v>
      </c>
      <c r="Q70" s="342">
        <f t="shared" si="28"/>
        <v>0</v>
      </c>
      <c r="R70" s="341">
        <v>1</v>
      </c>
      <c r="S70" s="323">
        <f t="shared" si="29"/>
        <v>0</v>
      </c>
      <c r="T70" s="342">
        <f t="shared" si="30"/>
        <v>3.5E-4</v>
      </c>
      <c r="U70" s="341">
        <v>1</v>
      </c>
      <c r="V70" s="323">
        <v>0</v>
      </c>
      <c r="W70" s="340">
        <f t="shared" si="39"/>
        <v>0.24073</v>
      </c>
      <c r="AA70" s="322">
        <f t="shared" si="31"/>
        <v>0</v>
      </c>
      <c r="AB70" s="322">
        <f t="shared" si="32"/>
        <v>0</v>
      </c>
      <c r="AC70" s="322">
        <f t="shared" si="33"/>
        <v>0</v>
      </c>
      <c r="AD70" s="322">
        <f t="shared" si="34"/>
        <v>0</v>
      </c>
      <c r="AE70" s="322">
        <f t="shared" si="35"/>
        <v>0</v>
      </c>
      <c r="AF70" s="322">
        <f t="shared" si="36"/>
        <v>0</v>
      </c>
      <c r="AG70" s="322">
        <f t="shared" si="37"/>
        <v>0</v>
      </c>
      <c r="AI70" s="325">
        <f>'[9]Allocation = % of margin'!P70+'[9]Allocation = % of margin'!S70+'[9]Allocation = % of margin'!V70+'[9]Allocation = % of margin'!Y70+'[9]Allocation = % of margin'!AB70+'[9]Allocation = % of margin'!AE70+'[9]Allocation = % of margin'!AH70+'[9]Allocation = % of margin'!AK70+'[9]Allocation = % of margin'!AN70+' Increments  equal ¢ per therm'!H70+' Increments  equal ¢ per therm'!K70+' Increments  equal ¢ per therm'!N70+' Increments  equal ¢ per therm'!Q70+' Increments  equal ¢ per therm'!T70+' Increments  equal ¢ per therm'!W70+'[9]Allocation = % of revenue'!M70</f>
        <v>0.24524000000000001</v>
      </c>
      <c r="AJ70" s="224">
        <f>'Summary of Temporaries '!W70</f>
        <v>0.24524000000000001</v>
      </c>
      <c r="AK70" s="244">
        <f>[9]Permanents!F70</f>
        <v>0</v>
      </c>
      <c r="AL70" s="325">
        <f t="shared" si="38"/>
        <v>0</v>
      </c>
    </row>
    <row r="71" spans="1:38" x14ac:dyDescent="0.25">
      <c r="A71" s="234">
        <f t="shared" si="20"/>
        <v>65</v>
      </c>
      <c r="B71" s="234"/>
      <c r="C71" s="344" t="s">
        <v>71</v>
      </c>
      <c r="D71" s="323">
        <f>'[9]Washington volumes'!J71</f>
        <v>0</v>
      </c>
      <c r="E71" s="343"/>
      <c r="F71" s="341">
        <v>0</v>
      </c>
      <c r="G71" s="323">
        <f t="shared" si="21"/>
        <v>0</v>
      </c>
      <c r="H71" s="342">
        <f t="shared" si="22"/>
        <v>0</v>
      </c>
      <c r="I71" s="341">
        <v>0</v>
      </c>
      <c r="J71" s="323">
        <f t="shared" si="23"/>
        <v>0</v>
      </c>
      <c r="K71" s="342">
        <f t="shared" si="24"/>
        <v>0</v>
      </c>
      <c r="L71" s="341">
        <v>0</v>
      </c>
      <c r="M71" s="323">
        <f t="shared" si="25"/>
        <v>0</v>
      </c>
      <c r="N71" s="342">
        <f t="shared" si="26"/>
        <v>0</v>
      </c>
      <c r="O71" s="341">
        <v>0</v>
      </c>
      <c r="P71" s="323">
        <f t="shared" si="27"/>
        <v>0</v>
      </c>
      <c r="Q71" s="342">
        <f t="shared" si="28"/>
        <v>0</v>
      </c>
      <c r="R71" s="341">
        <v>1</v>
      </c>
      <c r="S71" s="323">
        <f t="shared" si="29"/>
        <v>0</v>
      </c>
      <c r="T71" s="342">
        <f t="shared" si="30"/>
        <v>3.5E-4</v>
      </c>
      <c r="U71" s="341">
        <v>1</v>
      </c>
      <c r="V71" s="323">
        <v>0</v>
      </c>
      <c r="W71" s="340">
        <f t="shared" si="39"/>
        <v>0.24073</v>
      </c>
      <c r="AA71" s="322">
        <f t="shared" si="31"/>
        <v>0</v>
      </c>
      <c r="AB71" s="322">
        <f t="shared" si="32"/>
        <v>0</v>
      </c>
      <c r="AC71" s="322">
        <f t="shared" si="33"/>
        <v>0</v>
      </c>
      <c r="AD71" s="322">
        <f t="shared" si="34"/>
        <v>0</v>
      </c>
      <c r="AE71" s="322">
        <f t="shared" si="35"/>
        <v>0</v>
      </c>
      <c r="AF71" s="322">
        <f t="shared" si="36"/>
        <v>0</v>
      </c>
      <c r="AG71" s="322">
        <f t="shared" si="37"/>
        <v>0</v>
      </c>
      <c r="AI71" s="325">
        <f>'[9]Allocation = % of margin'!P71+'[9]Allocation = % of margin'!S71+'[9]Allocation = % of margin'!V71+'[9]Allocation = % of margin'!Y71+'[9]Allocation = % of margin'!AB71+'[9]Allocation = % of margin'!AE71+'[9]Allocation = % of margin'!AH71+'[9]Allocation = % of margin'!AK71+'[9]Allocation = % of margin'!AN71+' Increments  equal ¢ per therm'!H71+' Increments  equal ¢ per therm'!K71+' Increments  equal ¢ per therm'!N71+' Increments  equal ¢ per therm'!Q71+' Increments  equal ¢ per therm'!T71+' Increments  equal ¢ per therm'!W71+'[9]Allocation = % of revenue'!M71</f>
        <v>0.24385000000000001</v>
      </c>
      <c r="AJ71" s="224">
        <f>'Summary of Temporaries '!W71</f>
        <v>0.24385000000000001</v>
      </c>
      <c r="AK71" s="244">
        <f>[9]Permanents!F71</f>
        <v>0</v>
      </c>
      <c r="AL71" s="325">
        <f t="shared" si="38"/>
        <v>0</v>
      </c>
    </row>
    <row r="72" spans="1:38" x14ac:dyDescent="0.25">
      <c r="A72" s="234">
        <f t="shared" ref="A72:A88" si="40">+A71+1</f>
        <v>66</v>
      </c>
      <c r="B72" s="338"/>
      <c r="C72" s="339" t="s">
        <v>72</v>
      </c>
      <c r="D72" s="333">
        <f>'[9]Washington volumes'!J72</f>
        <v>0</v>
      </c>
      <c r="E72" s="336"/>
      <c r="F72" s="334">
        <v>0</v>
      </c>
      <c r="G72" s="333">
        <f t="shared" si="21"/>
        <v>0</v>
      </c>
      <c r="H72" s="335">
        <f t="shared" si="22"/>
        <v>0</v>
      </c>
      <c r="I72" s="334">
        <v>0</v>
      </c>
      <c r="J72" s="333">
        <f t="shared" si="23"/>
        <v>0</v>
      </c>
      <c r="K72" s="335">
        <f t="shared" si="24"/>
        <v>0</v>
      </c>
      <c r="L72" s="334">
        <v>0</v>
      </c>
      <c r="M72" s="333">
        <f t="shared" si="25"/>
        <v>0</v>
      </c>
      <c r="N72" s="335">
        <f t="shared" si="26"/>
        <v>0</v>
      </c>
      <c r="O72" s="334">
        <v>0</v>
      </c>
      <c r="P72" s="333">
        <f t="shared" si="27"/>
        <v>0</v>
      </c>
      <c r="Q72" s="335">
        <f t="shared" si="28"/>
        <v>0</v>
      </c>
      <c r="R72" s="334">
        <v>1</v>
      </c>
      <c r="S72" s="333">
        <f t="shared" si="29"/>
        <v>0</v>
      </c>
      <c r="T72" s="335">
        <f t="shared" si="30"/>
        <v>3.5E-4</v>
      </c>
      <c r="U72" s="334">
        <v>1</v>
      </c>
      <c r="V72" s="333">
        <v>0</v>
      </c>
      <c r="W72" s="332">
        <f t="shared" si="39"/>
        <v>0.24073</v>
      </c>
      <c r="AA72" s="322">
        <f t="shared" si="31"/>
        <v>0</v>
      </c>
      <c r="AB72" s="322">
        <f t="shared" si="32"/>
        <v>0</v>
      </c>
      <c r="AC72" s="322">
        <f t="shared" si="33"/>
        <v>0</v>
      </c>
      <c r="AD72" s="322">
        <f t="shared" si="34"/>
        <v>0</v>
      </c>
      <c r="AE72" s="322">
        <f t="shared" si="35"/>
        <v>0</v>
      </c>
      <c r="AF72" s="322">
        <f t="shared" si="36"/>
        <v>0</v>
      </c>
      <c r="AG72" s="322">
        <f t="shared" si="37"/>
        <v>0</v>
      </c>
      <c r="AI72" s="325">
        <f>'[9]Allocation = % of margin'!P72+'[9]Allocation = % of margin'!S72+'[9]Allocation = % of margin'!V72+'[9]Allocation = % of margin'!Y72+'[9]Allocation = % of margin'!AB72+'[9]Allocation = % of margin'!AE72+'[9]Allocation = % of margin'!AH72+'[9]Allocation = % of margin'!AK72+'[9]Allocation = % of margin'!AN72+' Increments  equal ¢ per therm'!H72+' Increments  equal ¢ per therm'!K72+' Increments  equal ¢ per therm'!N72+' Increments  equal ¢ per therm'!Q72+' Increments  equal ¢ per therm'!T72+' Increments  equal ¢ per therm'!W72+'[9]Allocation = % of revenue'!M72</f>
        <v>0.24212</v>
      </c>
      <c r="AJ72" s="224">
        <f>'Summary of Temporaries '!W72</f>
        <v>0.24212</v>
      </c>
      <c r="AK72" s="244">
        <f>[9]Permanents!F72</f>
        <v>0</v>
      </c>
      <c r="AL72" s="325">
        <f t="shared" si="38"/>
        <v>0</v>
      </c>
    </row>
    <row r="73" spans="1:38" x14ac:dyDescent="0.25">
      <c r="A73" s="234">
        <f t="shared" si="40"/>
        <v>67</v>
      </c>
      <c r="B73" s="234" t="s">
        <v>79</v>
      </c>
      <c r="C73" s="344" t="s">
        <v>61</v>
      </c>
      <c r="D73" s="323">
        <f>'[9]Washington volumes'!J73</f>
        <v>952237.06746634038</v>
      </c>
      <c r="E73" s="343"/>
      <c r="F73" s="341">
        <v>0</v>
      </c>
      <c r="G73" s="323">
        <f t="shared" si="21"/>
        <v>0</v>
      </c>
      <c r="H73" s="342">
        <f t="shared" si="22"/>
        <v>0</v>
      </c>
      <c r="I73" s="341">
        <v>0</v>
      </c>
      <c r="J73" s="323">
        <f t="shared" si="23"/>
        <v>0</v>
      </c>
      <c r="K73" s="342">
        <f t="shared" si="24"/>
        <v>0</v>
      </c>
      <c r="L73" s="341">
        <v>0</v>
      </c>
      <c r="M73" s="323">
        <f t="shared" si="25"/>
        <v>0</v>
      </c>
      <c r="N73" s="342">
        <f t="shared" si="26"/>
        <v>0</v>
      </c>
      <c r="O73" s="341">
        <v>0</v>
      </c>
      <c r="P73" s="323">
        <f t="shared" si="27"/>
        <v>0</v>
      </c>
      <c r="Q73" s="342">
        <f t="shared" si="28"/>
        <v>0</v>
      </c>
      <c r="R73" s="341">
        <v>1</v>
      </c>
      <c r="S73" s="323">
        <f t="shared" si="29"/>
        <v>952237.06746634038</v>
      </c>
      <c r="T73" s="342">
        <f t="shared" si="30"/>
        <v>3.5E-4</v>
      </c>
      <c r="U73" s="341">
        <v>1</v>
      </c>
      <c r="V73" s="323">
        <v>788698</v>
      </c>
      <c r="W73" s="340">
        <f t="shared" si="39"/>
        <v>0.24073</v>
      </c>
      <c r="AA73" s="322">
        <f t="shared" si="31"/>
        <v>0</v>
      </c>
      <c r="AB73" s="322">
        <f t="shared" si="32"/>
        <v>0</v>
      </c>
      <c r="AC73" s="322">
        <f t="shared" si="33"/>
        <v>0</v>
      </c>
      <c r="AD73" s="322">
        <f t="shared" si="34"/>
        <v>0</v>
      </c>
      <c r="AE73" s="322">
        <f t="shared" si="35"/>
        <v>333.28297361321916</v>
      </c>
      <c r="AF73" s="322">
        <f t="shared" si="36"/>
        <v>229232.02925117212</v>
      </c>
      <c r="AG73" s="322">
        <f t="shared" si="37"/>
        <v>333.28297361321916</v>
      </c>
      <c r="AI73" s="325">
        <f>'[9]Allocation = % of margin'!P73+'[9]Allocation = % of margin'!S73+'[9]Allocation = % of margin'!V73+'[9]Allocation = % of margin'!Y73+'[9]Allocation = % of margin'!AB73+'[9]Allocation = % of margin'!AE73+'[9]Allocation = % of margin'!AH73+'[9]Allocation = % of margin'!AK73+'[9]Allocation = % of margin'!AN73+' Increments  equal ¢ per therm'!H73+' Increments  equal ¢ per therm'!K73+' Increments  equal ¢ per therm'!N73+' Increments  equal ¢ per therm'!Q73+' Increments  equal ¢ per therm'!T73+' Increments  equal ¢ per therm'!W73+'[9]Allocation = % of revenue'!M73</f>
        <v>0.24863000000000002</v>
      </c>
      <c r="AJ73" s="224">
        <f>'Summary of Temporaries '!W73</f>
        <v>0.24862999999999999</v>
      </c>
      <c r="AK73" s="244">
        <f>[9]Permanents!F73</f>
        <v>0</v>
      </c>
      <c r="AL73" s="325">
        <f t="shared" si="38"/>
        <v>2.7755575615628914E-17</v>
      </c>
    </row>
    <row r="74" spans="1:38" x14ac:dyDescent="0.25">
      <c r="A74" s="234">
        <f t="shared" si="40"/>
        <v>68</v>
      </c>
      <c r="B74" s="234"/>
      <c r="C74" s="344" t="s">
        <v>62</v>
      </c>
      <c r="D74" s="323">
        <f>'[9]Washington volumes'!J74</f>
        <v>1827774.6796347289</v>
      </c>
      <c r="E74" s="343"/>
      <c r="F74" s="341">
        <v>0</v>
      </c>
      <c r="G74" s="323">
        <f t="shared" si="21"/>
        <v>0</v>
      </c>
      <c r="H74" s="342">
        <f t="shared" si="22"/>
        <v>0</v>
      </c>
      <c r="I74" s="341">
        <v>0</v>
      </c>
      <c r="J74" s="323">
        <f t="shared" si="23"/>
        <v>0</v>
      </c>
      <c r="K74" s="342">
        <f t="shared" si="24"/>
        <v>0</v>
      </c>
      <c r="L74" s="341">
        <v>0</v>
      </c>
      <c r="M74" s="323">
        <f t="shared" si="25"/>
        <v>0</v>
      </c>
      <c r="N74" s="342">
        <f t="shared" si="26"/>
        <v>0</v>
      </c>
      <c r="O74" s="341">
        <v>0</v>
      </c>
      <c r="P74" s="323">
        <f t="shared" si="27"/>
        <v>0</v>
      </c>
      <c r="Q74" s="342">
        <f t="shared" si="28"/>
        <v>0</v>
      </c>
      <c r="R74" s="341">
        <v>1</v>
      </c>
      <c r="S74" s="323">
        <f t="shared" si="29"/>
        <v>1827774.6796347289</v>
      </c>
      <c r="T74" s="342">
        <f t="shared" si="30"/>
        <v>3.5E-4</v>
      </c>
      <c r="U74" s="341">
        <v>1</v>
      </c>
      <c r="V74" s="323">
        <v>1380850</v>
      </c>
      <c r="W74" s="340">
        <f t="shared" si="39"/>
        <v>0.24073</v>
      </c>
      <c r="AA74" s="322">
        <f t="shared" si="31"/>
        <v>0</v>
      </c>
      <c r="AB74" s="322">
        <f t="shared" si="32"/>
        <v>0</v>
      </c>
      <c r="AC74" s="322">
        <f t="shared" si="33"/>
        <v>0</v>
      </c>
      <c r="AD74" s="322">
        <f t="shared" si="34"/>
        <v>0</v>
      </c>
      <c r="AE74" s="322">
        <f t="shared" si="35"/>
        <v>639.72113787215517</v>
      </c>
      <c r="AF74" s="322">
        <f t="shared" si="36"/>
        <v>440000.19862846832</v>
      </c>
      <c r="AG74" s="322">
        <f t="shared" si="37"/>
        <v>639.72113787215517</v>
      </c>
      <c r="AI74" s="325">
        <f>'[9]Allocation = % of margin'!P74+'[9]Allocation = % of margin'!S74+'[9]Allocation = % of margin'!V74+'[9]Allocation = % of margin'!Y74+'[9]Allocation = % of margin'!AB74+'[9]Allocation = % of margin'!AE74+'[9]Allocation = % of margin'!AH74+'[9]Allocation = % of margin'!AK74+'[9]Allocation = % of margin'!AN74+' Increments  equal ¢ per therm'!H74+' Increments  equal ¢ per therm'!K74+' Increments  equal ¢ per therm'!N74+' Increments  equal ¢ per therm'!Q74+' Increments  equal ¢ per therm'!T74+' Increments  equal ¢ per therm'!W74+'[9]Allocation = % of revenue'!M74</f>
        <v>0.24785000000000001</v>
      </c>
      <c r="AJ74" s="224">
        <f>'Summary of Temporaries '!W74</f>
        <v>0.24784999999999999</v>
      </c>
      <c r="AK74" s="244">
        <f>[9]Permanents!F74</f>
        <v>0</v>
      </c>
      <c r="AL74" s="325">
        <f t="shared" si="38"/>
        <v>2.7755575615628914E-17</v>
      </c>
    </row>
    <row r="75" spans="1:38" x14ac:dyDescent="0.25">
      <c r="A75" s="234">
        <f t="shared" si="40"/>
        <v>69</v>
      </c>
      <c r="B75" s="234"/>
      <c r="C75" s="344" t="s">
        <v>69</v>
      </c>
      <c r="D75" s="323">
        <f>'[9]Washington volumes'!J75</f>
        <v>1364375.8495009863</v>
      </c>
      <c r="E75" s="343"/>
      <c r="F75" s="341">
        <v>0</v>
      </c>
      <c r="G75" s="323">
        <f t="shared" si="21"/>
        <v>0</v>
      </c>
      <c r="H75" s="342">
        <f t="shared" si="22"/>
        <v>0</v>
      </c>
      <c r="I75" s="341">
        <v>0</v>
      </c>
      <c r="J75" s="323">
        <f t="shared" si="23"/>
        <v>0</v>
      </c>
      <c r="K75" s="342">
        <f t="shared" si="24"/>
        <v>0</v>
      </c>
      <c r="L75" s="341">
        <v>0</v>
      </c>
      <c r="M75" s="323">
        <f t="shared" si="25"/>
        <v>0</v>
      </c>
      <c r="N75" s="342">
        <f t="shared" si="26"/>
        <v>0</v>
      </c>
      <c r="O75" s="341">
        <v>0</v>
      </c>
      <c r="P75" s="323">
        <f t="shared" si="27"/>
        <v>0</v>
      </c>
      <c r="Q75" s="342">
        <f t="shared" si="28"/>
        <v>0</v>
      </c>
      <c r="R75" s="341">
        <v>1</v>
      </c>
      <c r="S75" s="323">
        <f t="shared" si="29"/>
        <v>1364375.8495009863</v>
      </c>
      <c r="T75" s="342">
        <f t="shared" si="30"/>
        <v>3.5E-4</v>
      </c>
      <c r="U75" s="341">
        <v>1</v>
      </c>
      <c r="V75" s="323">
        <v>1072385</v>
      </c>
      <c r="W75" s="340">
        <f t="shared" si="39"/>
        <v>0.24073</v>
      </c>
      <c r="AA75" s="322">
        <f t="shared" si="31"/>
        <v>0</v>
      </c>
      <c r="AB75" s="322">
        <f t="shared" si="32"/>
        <v>0</v>
      </c>
      <c r="AC75" s="322">
        <f t="shared" si="33"/>
        <v>0</v>
      </c>
      <c r="AD75" s="322">
        <f t="shared" si="34"/>
        <v>0</v>
      </c>
      <c r="AE75" s="322">
        <f t="shared" si="35"/>
        <v>477.53154732534517</v>
      </c>
      <c r="AF75" s="322">
        <f t="shared" si="36"/>
        <v>328446.19825037243</v>
      </c>
      <c r="AG75" s="322">
        <f t="shared" si="37"/>
        <v>477.53154732534517</v>
      </c>
      <c r="AI75" s="325">
        <f>'[9]Allocation = % of margin'!P75+'[9]Allocation = % of margin'!S75+'[9]Allocation = % of margin'!V75+'[9]Allocation = % of margin'!Y75+'[9]Allocation = % of margin'!AB75+'[9]Allocation = % of margin'!AE75+'[9]Allocation = % of margin'!AH75+'[9]Allocation = % of margin'!AK75+'[9]Allocation = % of margin'!AN75+' Increments  equal ¢ per therm'!H75+' Increments  equal ¢ per therm'!K75+' Increments  equal ¢ per therm'!N75+' Increments  equal ¢ per therm'!Q75+' Increments  equal ¢ per therm'!T75+' Increments  equal ¢ per therm'!W75+'[9]Allocation = % of revenue'!M75</f>
        <v>0.24627000000000002</v>
      </c>
      <c r="AJ75" s="224">
        <f>'Summary of Temporaries '!W75</f>
        <v>0.24626999999999999</v>
      </c>
      <c r="AK75" s="244">
        <f>[9]Permanents!F75</f>
        <v>0</v>
      </c>
      <c r="AL75" s="325">
        <f t="shared" si="38"/>
        <v>2.7755575615628914E-17</v>
      </c>
    </row>
    <row r="76" spans="1:38" x14ac:dyDescent="0.25">
      <c r="A76" s="234">
        <f t="shared" si="40"/>
        <v>70</v>
      </c>
      <c r="B76" s="234"/>
      <c r="C76" s="344" t="s">
        <v>70</v>
      </c>
      <c r="D76" s="323">
        <f>'[9]Washington volumes'!J76</f>
        <v>4116253.0789308902</v>
      </c>
      <c r="E76" s="343"/>
      <c r="F76" s="341">
        <v>0</v>
      </c>
      <c r="G76" s="323">
        <f t="shared" si="21"/>
        <v>0</v>
      </c>
      <c r="H76" s="342">
        <f t="shared" si="22"/>
        <v>0</v>
      </c>
      <c r="I76" s="341">
        <v>0</v>
      </c>
      <c r="J76" s="323">
        <f t="shared" si="23"/>
        <v>0</v>
      </c>
      <c r="K76" s="342">
        <f t="shared" si="24"/>
        <v>0</v>
      </c>
      <c r="L76" s="341">
        <v>0</v>
      </c>
      <c r="M76" s="323">
        <f t="shared" si="25"/>
        <v>0</v>
      </c>
      <c r="N76" s="342">
        <f t="shared" si="26"/>
        <v>0</v>
      </c>
      <c r="O76" s="341">
        <v>0</v>
      </c>
      <c r="P76" s="323">
        <f t="shared" si="27"/>
        <v>0</v>
      </c>
      <c r="Q76" s="342">
        <f t="shared" si="28"/>
        <v>0</v>
      </c>
      <c r="R76" s="341">
        <v>1</v>
      </c>
      <c r="S76" s="323">
        <f t="shared" si="29"/>
        <v>4116253.0789308902</v>
      </c>
      <c r="T76" s="342">
        <f t="shared" si="30"/>
        <v>3.5E-4</v>
      </c>
      <c r="U76" s="341">
        <v>1</v>
      </c>
      <c r="V76" s="323">
        <v>3072884</v>
      </c>
      <c r="W76" s="340">
        <f t="shared" si="39"/>
        <v>0.24073</v>
      </c>
      <c r="AA76" s="322">
        <f t="shared" si="31"/>
        <v>0</v>
      </c>
      <c r="AB76" s="322">
        <f t="shared" si="32"/>
        <v>0</v>
      </c>
      <c r="AC76" s="322">
        <f t="shared" si="33"/>
        <v>0</v>
      </c>
      <c r="AD76" s="322">
        <f t="shared" si="34"/>
        <v>0</v>
      </c>
      <c r="AE76" s="322">
        <f t="shared" si="35"/>
        <v>1440.6885776258116</v>
      </c>
      <c r="AF76" s="322">
        <f t="shared" si="36"/>
        <v>990905.6036910332</v>
      </c>
      <c r="AG76" s="322">
        <f t="shared" si="37"/>
        <v>1440.6885776258116</v>
      </c>
      <c r="AI76" s="325">
        <f>'[9]Allocation = % of margin'!P76+'[9]Allocation = % of margin'!S76+'[9]Allocation = % of margin'!V76+'[9]Allocation = % of margin'!Y76+'[9]Allocation = % of margin'!AB76+'[9]Allocation = % of margin'!AE76+'[9]Allocation = % of margin'!AH76+'[9]Allocation = % of margin'!AK76+'[9]Allocation = % of margin'!AN76+' Increments  equal ¢ per therm'!H76+' Increments  equal ¢ per therm'!K76+' Increments  equal ¢ per therm'!N76+' Increments  equal ¢ per therm'!Q76+' Increments  equal ¢ per therm'!T76+' Increments  equal ¢ per therm'!W76+'[9]Allocation = % of revenue'!M76</f>
        <v>0.24524000000000001</v>
      </c>
      <c r="AJ76" s="224">
        <f>'Summary of Temporaries '!W76</f>
        <v>0.24524000000000001</v>
      </c>
      <c r="AK76" s="244">
        <f>[9]Permanents!F76</f>
        <v>0</v>
      </c>
      <c r="AL76" s="325">
        <f t="shared" si="38"/>
        <v>0</v>
      </c>
    </row>
    <row r="77" spans="1:38" x14ac:dyDescent="0.25">
      <c r="A77" s="234">
        <f t="shared" si="40"/>
        <v>71</v>
      </c>
      <c r="B77" s="234"/>
      <c r="C77" s="344" t="s">
        <v>71</v>
      </c>
      <c r="D77" s="323">
        <f>'[9]Washington volumes'!J77</f>
        <v>1831129.0067156893</v>
      </c>
      <c r="E77" s="343"/>
      <c r="F77" s="341">
        <v>0</v>
      </c>
      <c r="G77" s="323">
        <f t="shared" ref="G77:G108" si="41">+$D77*F77</f>
        <v>0</v>
      </c>
      <c r="H77" s="342">
        <f t="shared" si="22"/>
        <v>0</v>
      </c>
      <c r="I77" s="341">
        <v>0</v>
      </c>
      <c r="J77" s="323">
        <f t="shared" ref="J77:J108" si="42">+$D77*I77</f>
        <v>0</v>
      </c>
      <c r="K77" s="342">
        <f t="shared" si="24"/>
        <v>0</v>
      </c>
      <c r="L77" s="341">
        <v>0</v>
      </c>
      <c r="M77" s="323">
        <f t="shared" ref="M77:M108" si="43">+$D77*L77</f>
        <v>0</v>
      </c>
      <c r="N77" s="342">
        <f t="shared" si="26"/>
        <v>0</v>
      </c>
      <c r="O77" s="341">
        <v>0</v>
      </c>
      <c r="P77" s="323">
        <f t="shared" ref="P77:P108" si="44">+$D77*O77</f>
        <v>0</v>
      </c>
      <c r="Q77" s="342">
        <f t="shared" si="28"/>
        <v>0</v>
      </c>
      <c r="R77" s="341">
        <v>1</v>
      </c>
      <c r="S77" s="323">
        <f t="shared" ref="S77:S108" si="45">+$D77*R77</f>
        <v>1831129.0067156893</v>
      </c>
      <c r="T77" s="342">
        <f t="shared" si="30"/>
        <v>3.5E-4</v>
      </c>
      <c r="U77" s="341">
        <v>1</v>
      </c>
      <c r="V77" s="323">
        <v>1567654</v>
      </c>
      <c r="W77" s="340">
        <f t="shared" si="39"/>
        <v>0.24073</v>
      </c>
      <c r="AA77" s="322">
        <f t="shared" si="31"/>
        <v>0</v>
      </c>
      <c r="AB77" s="322">
        <f t="shared" si="32"/>
        <v>0</v>
      </c>
      <c r="AC77" s="322">
        <f t="shared" si="33"/>
        <v>0</v>
      </c>
      <c r="AD77" s="322">
        <f t="shared" si="34"/>
        <v>0</v>
      </c>
      <c r="AE77" s="322">
        <f t="shared" si="35"/>
        <v>640.89515235049123</v>
      </c>
      <c r="AF77" s="322">
        <f t="shared" si="36"/>
        <v>440807.68578666786</v>
      </c>
      <c r="AG77" s="322">
        <f t="shared" si="37"/>
        <v>640.89515235049123</v>
      </c>
      <c r="AI77" s="325">
        <f>'[9]Allocation = % of margin'!P77+'[9]Allocation = % of margin'!S77+'[9]Allocation = % of margin'!V77+'[9]Allocation = % of margin'!Y77+'[9]Allocation = % of margin'!AB77+'[9]Allocation = % of margin'!AE77+'[9]Allocation = % of margin'!AH77+'[9]Allocation = % of margin'!AK77+'[9]Allocation = % of margin'!AN77+' Increments  equal ¢ per therm'!H77+' Increments  equal ¢ per therm'!K77+' Increments  equal ¢ per therm'!N77+' Increments  equal ¢ per therm'!Q77+' Increments  equal ¢ per therm'!T77+' Increments  equal ¢ per therm'!W77+'[9]Allocation = % of revenue'!M77</f>
        <v>0.24385000000000001</v>
      </c>
      <c r="AJ77" s="224">
        <f>'Summary of Temporaries '!W77</f>
        <v>0.24385000000000001</v>
      </c>
      <c r="AK77" s="244">
        <f>[9]Permanents!F77</f>
        <v>0</v>
      </c>
      <c r="AL77" s="325">
        <f t="shared" ref="AL77:AL108" si="46">AI77-AJ77-AK77</f>
        <v>0</v>
      </c>
    </row>
    <row r="78" spans="1:38" x14ac:dyDescent="0.25">
      <c r="A78" s="234">
        <f t="shared" si="40"/>
        <v>72</v>
      </c>
      <c r="B78" s="338"/>
      <c r="C78" s="339" t="s">
        <v>72</v>
      </c>
      <c r="D78" s="333">
        <f>'[9]Washington volumes'!J78</f>
        <v>0</v>
      </c>
      <c r="E78" s="336"/>
      <c r="F78" s="334">
        <v>0</v>
      </c>
      <c r="G78" s="333">
        <f t="shared" si="41"/>
        <v>0</v>
      </c>
      <c r="H78" s="335">
        <f t="shared" si="22"/>
        <v>0</v>
      </c>
      <c r="I78" s="334">
        <v>0</v>
      </c>
      <c r="J78" s="333">
        <f t="shared" si="42"/>
        <v>0</v>
      </c>
      <c r="K78" s="335">
        <f t="shared" si="24"/>
        <v>0</v>
      </c>
      <c r="L78" s="334">
        <v>0</v>
      </c>
      <c r="M78" s="333">
        <f t="shared" si="43"/>
        <v>0</v>
      </c>
      <c r="N78" s="335">
        <f t="shared" si="26"/>
        <v>0</v>
      </c>
      <c r="O78" s="334">
        <v>0</v>
      </c>
      <c r="P78" s="333">
        <f t="shared" si="44"/>
        <v>0</v>
      </c>
      <c r="Q78" s="335">
        <f t="shared" si="28"/>
        <v>0</v>
      </c>
      <c r="R78" s="334">
        <v>1</v>
      </c>
      <c r="S78" s="333">
        <f t="shared" si="45"/>
        <v>0</v>
      </c>
      <c r="T78" s="335">
        <f t="shared" si="30"/>
        <v>3.5E-4</v>
      </c>
      <c r="U78" s="334">
        <v>1</v>
      </c>
      <c r="V78" s="333">
        <v>0</v>
      </c>
      <c r="W78" s="332">
        <f t="shared" si="39"/>
        <v>0.24073</v>
      </c>
      <c r="AA78" s="322">
        <f t="shared" si="31"/>
        <v>0</v>
      </c>
      <c r="AB78" s="322">
        <f t="shared" si="32"/>
        <v>0</v>
      </c>
      <c r="AC78" s="322">
        <f t="shared" si="33"/>
        <v>0</v>
      </c>
      <c r="AD78" s="322">
        <f t="shared" si="34"/>
        <v>0</v>
      </c>
      <c r="AE78" s="322">
        <f t="shared" si="35"/>
        <v>0</v>
      </c>
      <c r="AF78" s="322">
        <f t="shared" si="36"/>
        <v>0</v>
      </c>
      <c r="AG78" s="322">
        <f t="shared" si="37"/>
        <v>0</v>
      </c>
      <c r="AI78" s="325">
        <f>'[9]Allocation = % of margin'!P78+'[9]Allocation = % of margin'!S78+'[9]Allocation = % of margin'!V78+'[9]Allocation = % of margin'!Y78+'[9]Allocation = % of margin'!AB78+'[9]Allocation = % of margin'!AE78+'[9]Allocation = % of margin'!AH78+'[9]Allocation = % of margin'!AK78+'[9]Allocation = % of margin'!AN78+' Increments  equal ¢ per therm'!H78+' Increments  equal ¢ per therm'!K78+' Increments  equal ¢ per therm'!N78+' Increments  equal ¢ per therm'!Q78+' Increments  equal ¢ per therm'!T78+' Increments  equal ¢ per therm'!W78+'[9]Allocation = % of revenue'!M78</f>
        <v>0.24212</v>
      </c>
      <c r="AJ78" s="224">
        <f>'Summary of Temporaries '!W78</f>
        <v>0.24212</v>
      </c>
      <c r="AK78" s="244">
        <f>[9]Permanents!F78</f>
        <v>0</v>
      </c>
      <c r="AL78" s="325">
        <f t="shared" si="46"/>
        <v>0</v>
      </c>
    </row>
    <row r="79" spans="1:38" x14ac:dyDescent="0.25">
      <c r="A79" s="234">
        <f t="shared" si="40"/>
        <v>73</v>
      </c>
      <c r="B79" s="338" t="s">
        <v>80</v>
      </c>
      <c r="C79" s="338"/>
      <c r="D79" s="333">
        <f>+'[9]Washington volumes'!J79</f>
        <v>0</v>
      </c>
      <c r="E79" s="336"/>
      <c r="F79" s="334">
        <v>0</v>
      </c>
      <c r="G79" s="333">
        <f t="shared" si="41"/>
        <v>0</v>
      </c>
      <c r="H79" s="335">
        <f t="shared" si="22"/>
        <v>0</v>
      </c>
      <c r="I79" s="334">
        <v>0</v>
      </c>
      <c r="J79" s="333">
        <f t="shared" si="42"/>
        <v>0</v>
      </c>
      <c r="K79" s="335">
        <f t="shared" si="24"/>
        <v>0</v>
      </c>
      <c r="L79" s="334">
        <v>0</v>
      </c>
      <c r="M79" s="333">
        <f t="shared" si="43"/>
        <v>0</v>
      </c>
      <c r="N79" s="335">
        <f t="shared" si="26"/>
        <v>0</v>
      </c>
      <c r="O79" s="334">
        <v>0</v>
      </c>
      <c r="P79" s="333">
        <f t="shared" si="44"/>
        <v>0</v>
      </c>
      <c r="Q79" s="335">
        <f t="shared" si="28"/>
        <v>0</v>
      </c>
      <c r="R79" s="334">
        <v>1</v>
      </c>
      <c r="S79" s="333">
        <f t="shared" si="45"/>
        <v>0</v>
      </c>
      <c r="T79" s="335">
        <f t="shared" si="30"/>
        <v>3.5E-4</v>
      </c>
      <c r="U79" s="334">
        <v>1</v>
      </c>
      <c r="V79" s="333">
        <v>0</v>
      </c>
      <c r="W79" s="332">
        <f t="shared" si="39"/>
        <v>0.24073</v>
      </c>
      <c r="AA79" s="322">
        <f t="shared" si="31"/>
        <v>0</v>
      </c>
      <c r="AB79" s="322">
        <f t="shared" si="32"/>
        <v>0</v>
      </c>
      <c r="AC79" s="322">
        <f t="shared" si="33"/>
        <v>0</v>
      </c>
      <c r="AD79" s="322">
        <f t="shared" si="34"/>
        <v>0</v>
      </c>
      <c r="AE79" s="322">
        <f t="shared" si="35"/>
        <v>0</v>
      </c>
      <c r="AF79" s="322">
        <f t="shared" si="36"/>
        <v>0</v>
      </c>
      <c r="AG79" s="322">
        <f t="shared" si="37"/>
        <v>0</v>
      </c>
      <c r="AI79" s="325">
        <f>'[9]Allocation = % of margin'!P79+'[9]Allocation = % of margin'!S79+'[9]Allocation = % of margin'!V79+'[9]Allocation = % of margin'!Y79+'[9]Allocation = % of margin'!AB79+'[9]Allocation = % of margin'!AE79+'[9]Allocation = % of margin'!AH79+'[9]Allocation = % of margin'!AK79+'[9]Allocation = % of margin'!AN79+' Increments  equal ¢ per therm'!H79+' Increments  equal ¢ per therm'!K79+' Increments  equal ¢ per therm'!N79+' Increments  equal ¢ per therm'!Q79+' Increments  equal ¢ per therm'!T79+' Increments  equal ¢ per therm'!W79+'[9]Allocation = % of revenue'!M79</f>
        <v>0.24127000000000001</v>
      </c>
      <c r="AJ79" s="224">
        <f>'Summary of Temporaries '!W79</f>
        <v>0.24127000000000001</v>
      </c>
      <c r="AK79" s="244">
        <f>[9]Permanents!F79</f>
        <v>0</v>
      </c>
      <c r="AL79" s="325">
        <f t="shared" si="46"/>
        <v>0</v>
      </c>
    </row>
    <row r="80" spans="1:38" x14ac:dyDescent="0.25">
      <c r="A80" s="234">
        <f t="shared" si="40"/>
        <v>74</v>
      </c>
      <c r="B80" s="337" t="s">
        <v>81</v>
      </c>
      <c r="C80" s="337"/>
      <c r="D80" s="333">
        <f>+'[9]Washington volumes'!J80</f>
        <v>0</v>
      </c>
      <c r="E80" s="336"/>
      <c r="F80" s="334">
        <v>0</v>
      </c>
      <c r="G80" s="333">
        <f t="shared" si="41"/>
        <v>0</v>
      </c>
      <c r="H80" s="335">
        <f t="shared" si="22"/>
        <v>0</v>
      </c>
      <c r="I80" s="334">
        <v>0</v>
      </c>
      <c r="J80" s="333">
        <f t="shared" si="42"/>
        <v>0</v>
      </c>
      <c r="K80" s="335">
        <f t="shared" si="24"/>
        <v>0</v>
      </c>
      <c r="L80" s="334">
        <v>0</v>
      </c>
      <c r="M80" s="333">
        <f t="shared" si="43"/>
        <v>0</v>
      </c>
      <c r="N80" s="335">
        <f t="shared" si="26"/>
        <v>0</v>
      </c>
      <c r="O80" s="334">
        <v>0</v>
      </c>
      <c r="P80" s="333">
        <f t="shared" si="44"/>
        <v>0</v>
      </c>
      <c r="Q80" s="335">
        <f t="shared" si="28"/>
        <v>0</v>
      </c>
      <c r="R80" s="334">
        <v>1</v>
      </c>
      <c r="S80" s="333">
        <f t="shared" si="45"/>
        <v>0</v>
      </c>
      <c r="T80" s="335">
        <f t="shared" si="30"/>
        <v>3.5E-4</v>
      </c>
      <c r="U80" s="334">
        <v>1</v>
      </c>
      <c r="V80" s="333">
        <v>0</v>
      </c>
      <c r="W80" s="332">
        <f t="shared" si="39"/>
        <v>0.24073</v>
      </c>
      <c r="AA80" s="322">
        <f t="shared" si="31"/>
        <v>0</v>
      </c>
      <c r="AB80" s="322">
        <f t="shared" si="32"/>
        <v>0</v>
      </c>
      <c r="AC80" s="322">
        <f t="shared" si="33"/>
        <v>0</v>
      </c>
      <c r="AD80" s="322">
        <f t="shared" si="34"/>
        <v>0</v>
      </c>
      <c r="AE80" s="322">
        <f t="shared" si="35"/>
        <v>0</v>
      </c>
      <c r="AF80" s="322">
        <f t="shared" si="36"/>
        <v>0</v>
      </c>
      <c r="AG80" s="322">
        <f t="shared" si="37"/>
        <v>0</v>
      </c>
      <c r="AI80" s="325">
        <f>'[9]Allocation = % of margin'!P80+'[9]Allocation = % of margin'!S80+'[9]Allocation = % of margin'!V80+'[9]Allocation = % of margin'!Y80+'[9]Allocation = % of margin'!AB80+'[9]Allocation = % of margin'!AE80+'[9]Allocation = % of margin'!AH80+'[9]Allocation = % of margin'!AK80+'[9]Allocation = % of margin'!AN80+' Increments  equal ¢ per therm'!H80+' Increments  equal ¢ per therm'!K80+' Increments  equal ¢ per therm'!N80+' Increments  equal ¢ per therm'!Q80+' Increments  equal ¢ per therm'!T80+' Increments  equal ¢ per therm'!W80+'[9]Allocation = % of revenue'!M80</f>
        <v>0.24127000000000001</v>
      </c>
      <c r="AJ80" s="224">
        <f>'Summary of Temporaries '!W80</f>
        <v>0.24127000000000001</v>
      </c>
      <c r="AK80" s="244">
        <f>[9]Permanents!F80</f>
        <v>0</v>
      </c>
      <c r="AL80" s="325">
        <f t="shared" si="46"/>
        <v>0</v>
      </c>
    </row>
    <row r="81" spans="1:33" x14ac:dyDescent="0.25">
      <c r="A81" s="234">
        <f t="shared" si="40"/>
        <v>75</v>
      </c>
      <c r="B81" s="337" t="s">
        <v>82</v>
      </c>
      <c r="C81" s="337"/>
      <c r="D81" s="333"/>
      <c r="E81" s="336"/>
      <c r="F81" s="334"/>
      <c r="G81" s="333"/>
      <c r="H81" s="335"/>
      <c r="I81" s="334"/>
      <c r="J81" s="333"/>
      <c r="K81" s="335"/>
      <c r="L81" s="334"/>
      <c r="M81" s="333"/>
      <c r="N81" s="335"/>
      <c r="O81" s="334"/>
      <c r="P81" s="333"/>
      <c r="Q81" s="332"/>
      <c r="R81" s="334"/>
      <c r="S81" s="333"/>
      <c r="T81" s="332"/>
      <c r="U81" s="331">
        <v>1</v>
      </c>
      <c r="V81" s="330"/>
      <c r="W81" s="329"/>
      <c r="AA81" s="328">
        <f t="shared" si="31"/>
        <v>0</v>
      </c>
      <c r="AB81" s="328">
        <f t="shared" si="32"/>
        <v>0</v>
      </c>
      <c r="AC81" s="328">
        <f t="shared" si="33"/>
        <v>0</v>
      </c>
      <c r="AD81" s="328">
        <f t="shared" si="34"/>
        <v>0</v>
      </c>
      <c r="AE81" s="328">
        <f t="shared" si="35"/>
        <v>0</v>
      </c>
      <c r="AF81" s="322">
        <f t="shared" si="36"/>
        <v>0</v>
      </c>
      <c r="AG81" s="322">
        <f t="shared" si="37"/>
        <v>0</v>
      </c>
    </row>
    <row r="82" spans="1:33" x14ac:dyDescent="0.25">
      <c r="A82" s="234">
        <f t="shared" si="40"/>
        <v>76</v>
      </c>
      <c r="F82" s="317"/>
      <c r="H82" s="325"/>
      <c r="K82" s="325"/>
      <c r="N82" s="325"/>
      <c r="U82" s="317"/>
      <c r="V82" s="323"/>
      <c r="W82" s="325"/>
      <c r="AA82" s="322"/>
      <c r="AB82" s="322"/>
      <c r="AC82" s="322"/>
      <c r="AD82" s="322"/>
      <c r="AE82" s="322"/>
      <c r="AF82" s="327"/>
      <c r="AG82" s="327"/>
    </row>
    <row r="83" spans="1:33" x14ac:dyDescent="0.25">
      <c r="A83" s="234">
        <f t="shared" si="40"/>
        <v>77</v>
      </c>
      <c r="B83" s="224" t="s">
        <v>83</v>
      </c>
      <c r="D83" s="326">
        <f>SUM(D13:D82)</f>
        <v>110817104.48625472</v>
      </c>
      <c r="F83" s="317"/>
      <c r="G83" s="326">
        <f>SUM(G13:G81)</f>
        <v>92056529.453026026</v>
      </c>
      <c r="H83" s="325">
        <f>ROUND(+F10/G83,5)</f>
        <v>-0.14299000000000001</v>
      </c>
      <c r="J83" s="326">
        <f>SUM(J13:J81)</f>
        <v>90908754.476872012</v>
      </c>
      <c r="K83" s="325">
        <f>ROUND(+I10/J83,5)</f>
        <v>-2.7019999999999999E-2</v>
      </c>
      <c r="M83" s="326">
        <f>SUM(M13:M81)</f>
        <v>1147774.976154</v>
      </c>
      <c r="N83" s="325">
        <f>ROUND(+L10/M83,5)</f>
        <v>-3.1469999999999998E-2</v>
      </c>
      <c r="P83" s="323">
        <f>SUM(P13:P82)</f>
        <v>59991191.600000001</v>
      </c>
      <c r="Q83" s="243">
        <f>ROUND(+O10/P83,5)</f>
        <v>3.2000000000000003E-4</v>
      </c>
      <c r="S83" s="323">
        <f>SUM(S13:S82)</f>
        <v>21764709.697066709</v>
      </c>
      <c r="T83" s="243">
        <f>ROUND(+R10/S83,5)</f>
        <v>3.5E-4</v>
      </c>
      <c r="U83" s="317"/>
      <c r="V83" s="323">
        <f>SUM(V13:V82)</f>
        <v>99229975.100000024</v>
      </c>
      <c r="W83" s="243"/>
      <c r="X83" s="265" t="s">
        <v>84</v>
      </c>
      <c r="Y83" s="265"/>
      <c r="Z83" s="265"/>
      <c r="AA83" s="324">
        <f t="shared" ref="AA83:AF83" si="47">SUM(AA13:AA82)</f>
        <v>-13163163.146488188</v>
      </c>
      <c r="AB83" s="324">
        <f t="shared" si="47"/>
        <v>-2456354.545965082</v>
      </c>
      <c r="AC83" s="324">
        <f t="shared" si="47"/>
        <v>-36120.478499566372</v>
      </c>
      <c r="AD83" s="324">
        <f t="shared" si="47"/>
        <v>19197.181312000001</v>
      </c>
      <c r="AE83" s="324">
        <f t="shared" si="47"/>
        <v>7617.6483939733471</v>
      </c>
      <c r="AF83" s="324">
        <f t="shared" si="47"/>
        <v>26677001.562976081</v>
      </c>
      <c r="AG83" s="324">
        <f>SUM(AA83:AE83)</f>
        <v>-15628823.341246862</v>
      </c>
    </row>
    <row r="84" spans="1:33" x14ac:dyDescent="0.25">
      <c r="A84" s="234">
        <f t="shared" si="40"/>
        <v>78</v>
      </c>
      <c r="D84" s="323"/>
      <c r="F84" s="317"/>
      <c r="AA84" s="322">
        <f>AA83-F10</f>
        <v>-156.14648818783462</v>
      </c>
      <c r="AB84" s="322">
        <f>AB83-I10</f>
        <v>-220.54596508201212</v>
      </c>
      <c r="AC84" s="322">
        <f>AC83-L10</f>
        <v>3.5215004336278071</v>
      </c>
      <c r="AD84" s="322">
        <f>AD83-O10</f>
        <v>-201.81868799999938</v>
      </c>
      <c r="AE84" s="322">
        <f>AE83-R10</f>
        <v>14.648393973347083</v>
      </c>
      <c r="AF84" s="322"/>
      <c r="AG84" s="322">
        <f>SUM(AA84:AE84)</f>
        <v>-560.34124686287123</v>
      </c>
    </row>
    <row r="85" spans="1:33" ht="15.75" thickBot="1" x14ac:dyDescent="0.3">
      <c r="A85" s="234">
        <f t="shared" si="40"/>
        <v>79</v>
      </c>
      <c r="B85" s="321" t="s">
        <v>85</v>
      </c>
      <c r="F85" s="317"/>
    </row>
    <row r="86" spans="1:33" ht="15.75" thickBot="1" x14ac:dyDescent="0.3">
      <c r="A86" s="234">
        <f t="shared" si="40"/>
        <v>80</v>
      </c>
      <c r="B86" s="320" t="s">
        <v>86</v>
      </c>
      <c r="C86" s="241"/>
      <c r="D86" s="227"/>
      <c r="E86" s="227"/>
      <c r="F86" s="319" t="s">
        <v>87</v>
      </c>
      <c r="G86" s="227"/>
      <c r="H86" s="227"/>
      <c r="I86" s="319" t="s">
        <v>88</v>
      </c>
      <c r="J86" s="227"/>
      <c r="K86" s="227"/>
      <c r="L86" s="319" t="s">
        <v>89</v>
      </c>
      <c r="M86" s="227"/>
      <c r="N86" s="227"/>
      <c r="O86" s="319" t="s">
        <v>90</v>
      </c>
      <c r="P86" s="227"/>
      <c r="Q86" s="227"/>
      <c r="R86" s="319" t="s">
        <v>91</v>
      </c>
      <c r="S86" s="227"/>
      <c r="T86" s="226"/>
      <c r="U86" s="227"/>
      <c r="V86" s="227"/>
      <c r="W86" s="226"/>
    </row>
    <row r="87" spans="1:33" ht="15.75" thickBot="1" x14ac:dyDescent="0.3">
      <c r="A87" s="234">
        <f t="shared" si="40"/>
        <v>81</v>
      </c>
      <c r="B87" s="321" t="s">
        <v>92</v>
      </c>
      <c r="F87" s="317"/>
    </row>
    <row r="88" spans="1:33" ht="15.75" thickBot="1" x14ac:dyDescent="0.3">
      <c r="A88" s="234">
        <f t="shared" si="40"/>
        <v>82</v>
      </c>
      <c r="B88" s="320" t="s">
        <v>93</v>
      </c>
      <c r="C88" s="241"/>
      <c r="D88" s="227"/>
      <c r="E88" s="227"/>
      <c r="F88" s="319" t="s">
        <v>94</v>
      </c>
      <c r="G88" s="227"/>
      <c r="H88" s="227"/>
      <c r="I88" s="319" t="s">
        <v>94</v>
      </c>
      <c r="J88" s="227"/>
      <c r="K88" s="227"/>
      <c r="L88" s="319" t="s">
        <v>94</v>
      </c>
      <c r="M88" s="227"/>
      <c r="N88" s="227"/>
      <c r="O88" s="318" t="s">
        <v>90</v>
      </c>
      <c r="P88" s="227"/>
      <c r="Q88" s="227"/>
      <c r="R88" s="318" t="s">
        <v>91</v>
      </c>
      <c r="S88" s="227"/>
      <c r="T88" s="226"/>
      <c r="U88" s="227"/>
      <c r="V88" s="229" t="s">
        <v>95</v>
      </c>
      <c r="W88" s="226"/>
    </row>
    <row r="89" spans="1:33" x14ac:dyDescent="0.25">
      <c r="A89" s="234"/>
      <c r="F89" s="317"/>
    </row>
    <row r="90" spans="1:33" x14ac:dyDescent="0.25">
      <c r="A90" s="234"/>
      <c r="F90" s="317"/>
    </row>
  </sheetData>
  <mergeCells count="4">
    <mergeCell ref="O7:Q7"/>
    <mergeCell ref="R7:T7"/>
    <mergeCell ref="AI11:AL11"/>
    <mergeCell ref="U7:W7"/>
  </mergeCells>
  <pageMargins left="0.5" right="0.5" top="0.5" bottom="0.25" header="0.25" footer="0.25"/>
  <pageSetup scale="42" orientation="landscape" r:id="rId1"/>
  <headerFooter alignWithMargins="0">
    <oddHeader>&amp;R&amp;"Arial,Regular"NWN WUTC Advice 25-08
Exhibit A - Supporting Materials
Page 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931B-A87F-4586-B5A0-071E2D6BD72F}">
  <sheetPr>
    <tabColor theme="0" tint="-0.14999847407452621"/>
    <pageSetUpPr fitToPage="1"/>
  </sheetPr>
  <dimension ref="A1:BE108"/>
  <sheetViews>
    <sheetView view="pageLayout" topLeftCell="BF1" zoomScaleNormal="99" workbookViewId="0">
      <selection activeCell="BK11" sqref="BK11"/>
    </sheetView>
  </sheetViews>
  <sheetFormatPr defaultColWidth="9.33203125" defaultRowHeight="15" x14ac:dyDescent="0.25"/>
  <cols>
    <col min="1" max="1" width="6.83203125" style="224" customWidth="1"/>
    <col min="2" max="2" width="17.83203125" style="224" customWidth="1"/>
    <col min="3" max="3" width="9.33203125" style="224"/>
    <col min="4" max="4" width="16.33203125" style="224" hidden="1" customWidth="1"/>
    <col min="5" max="5" width="13.33203125" style="224" customWidth="1"/>
    <col min="6" max="8" width="13.6640625" style="224" customWidth="1"/>
    <col min="9" max="9" width="14.33203125" style="224" bestFit="1" customWidth="1"/>
    <col min="10" max="11" width="13.33203125" style="224" customWidth="1"/>
    <col min="12" max="12" width="11.83203125" style="224" customWidth="1"/>
    <col min="13" max="13" width="17.5" style="224" customWidth="1"/>
    <col min="14" max="15" width="16" style="224" hidden="1" customWidth="1"/>
    <col min="16" max="16" width="17.6640625" style="224" hidden="1" customWidth="1"/>
    <col min="17" max="18" width="14.83203125" style="224" hidden="1" customWidth="1"/>
    <col min="19" max="19" width="15.33203125" style="224" hidden="1" customWidth="1"/>
    <col min="20" max="20" width="15.33203125" style="235" hidden="1" customWidth="1"/>
    <col min="21" max="21" width="29.6640625" style="235" hidden="1" customWidth="1"/>
    <col min="22" max="22" width="15.33203125" style="235" hidden="1" customWidth="1"/>
    <col min="23" max="24" width="15.33203125" style="224" hidden="1" customWidth="1"/>
    <col min="25" max="25" width="17.6640625" style="224" hidden="1" customWidth="1"/>
    <col min="26" max="27" width="15.33203125" style="224" hidden="1" customWidth="1"/>
    <col min="28" max="28" width="17.6640625" style="224" hidden="1" customWidth="1"/>
    <col min="29" max="29" width="15.33203125" style="382" hidden="1" customWidth="1"/>
    <col min="30" max="30" width="24.6640625" style="382" hidden="1" customWidth="1"/>
    <col min="31" max="31" width="17.6640625" style="382" hidden="1" customWidth="1"/>
    <col min="32" max="34" width="17.6640625" style="224" hidden="1" customWidth="1"/>
    <col min="35" max="35" width="12.33203125" style="224" customWidth="1" collapsed="1"/>
    <col min="36" max="36" width="14.33203125" style="224" customWidth="1"/>
    <col min="37" max="37" width="16.6640625" style="224" customWidth="1"/>
    <col min="38" max="38" width="11.83203125" style="224" hidden="1" customWidth="1"/>
    <col min="39" max="39" width="14.83203125" style="224" hidden="1" customWidth="1"/>
    <col min="40" max="40" width="15.83203125" style="224" hidden="1" customWidth="1"/>
    <col min="41" max="46" width="22.83203125" style="224" hidden="1" customWidth="1"/>
    <col min="47" max="49" width="16.33203125" style="224" hidden="1" customWidth="1"/>
    <col min="50" max="52" width="11.6640625" style="224" hidden="1" customWidth="1"/>
    <col min="53" max="53" width="19.1640625" style="381" hidden="1" customWidth="1"/>
    <col min="54" max="54" width="15.33203125" style="380" hidden="1" customWidth="1"/>
    <col min="55" max="55" width="15.6640625" style="379" hidden="1" customWidth="1"/>
    <col min="56" max="56" width="16.33203125" style="379" hidden="1" customWidth="1"/>
    <col min="57" max="57" width="12" style="379" hidden="1" customWidth="1"/>
    <col min="58" max="16384" width="9.33203125" style="224"/>
  </cols>
  <sheetData>
    <row r="1" spans="1:57" x14ac:dyDescent="0.25">
      <c r="A1" s="377" t="str">
        <f>+'[9]Washington volumes'!A1</f>
        <v>NW Natural</v>
      </c>
      <c r="O1" s="449"/>
      <c r="R1" s="449"/>
      <c r="U1" s="456"/>
      <c r="AJ1" s="449"/>
      <c r="AM1" s="449"/>
    </row>
    <row r="2" spans="1:57" x14ac:dyDescent="0.25">
      <c r="A2" s="377" t="str">
        <f>+'[9]Washington volumes'!A2</f>
        <v>Rates &amp; Regulatory Affairs</v>
      </c>
      <c r="G2" s="377" t="s">
        <v>182</v>
      </c>
      <c r="O2" s="449"/>
      <c r="R2" s="449"/>
      <c r="U2" s="456"/>
      <c r="AJ2" s="449"/>
      <c r="AK2" s="395"/>
      <c r="AM2" s="449"/>
      <c r="AN2" s="377" t="s">
        <v>104</v>
      </c>
    </row>
    <row r="3" spans="1:57" x14ac:dyDescent="0.25">
      <c r="A3" s="377" t="str">
        <f>'[9]Washington volumes'!A3</f>
        <v>2025-2026 PGA Filing - Washington: September Filing</v>
      </c>
      <c r="G3" s="550" t="s">
        <v>183</v>
      </c>
      <c r="H3" s="549">
        <f>' Increments  equal ¢ per therm'!W13</f>
        <v>0.24073</v>
      </c>
      <c r="M3" s="395"/>
      <c r="N3" s="395"/>
      <c r="O3" s="449"/>
      <c r="P3" s="391"/>
      <c r="Q3" s="548"/>
      <c r="R3" s="449"/>
      <c r="S3" s="449"/>
      <c r="T3" s="456"/>
      <c r="U3" s="456"/>
      <c r="V3" s="456"/>
      <c r="W3" s="449"/>
      <c r="X3" s="449"/>
      <c r="Y3" s="449"/>
      <c r="Z3" s="449"/>
      <c r="AA3" s="449"/>
      <c r="AB3" s="449"/>
      <c r="AC3" s="453"/>
      <c r="AD3" s="453"/>
      <c r="AE3" s="453"/>
      <c r="AF3" s="449"/>
      <c r="AG3" s="449"/>
      <c r="AH3" s="449"/>
      <c r="AI3" s="325"/>
      <c r="AJ3" s="449"/>
      <c r="AK3" s="449"/>
      <c r="AL3" s="449"/>
      <c r="AM3" s="449"/>
      <c r="AN3" s="391" t="e">
        <f>AN15-AK15-AB15-Y15-V15-#REF!-S15-P15-AE15-AH15</f>
        <v>#REF!</v>
      </c>
    </row>
    <row r="4" spans="1:57" x14ac:dyDescent="0.25">
      <c r="A4" s="377" t="s">
        <v>184</v>
      </c>
      <c r="G4" s="547" t="s">
        <v>185</v>
      </c>
      <c r="H4" s="546">
        <f>' Increments  equal ¢ per therm'!W13</f>
        <v>0.24073</v>
      </c>
      <c r="N4" s="395"/>
      <c r="O4" s="449"/>
      <c r="P4" s="391"/>
      <c r="R4" s="449"/>
      <c r="T4" s="393"/>
      <c r="U4" s="456"/>
      <c r="AJ4" s="449"/>
      <c r="AM4" s="449"/>
      <c r="AN4" s="449"/>
    </row>
    <row r="5" spans="1:57" ht="23.25" x14ac:dyDescent="0.35">
      <c r="A5" s="545" t="s">
        <v>186</v>
      </c>
      <c r="J5" s="544"/>
      <c r="K5" s="544"/>
      <c r="L5" s="544"/>
      <c r="M5" s="544"/>
      <c r="N5" s="542"/>
      <c r="O5" s="449"/>
      <c r="P5" s="537"/>
      <c r="Q5" s="537"/>
      <c r="R5" s="537"/>
      <c r="S5" s="537"/>
      <c r="T5" s="393"/>
      <c r="U5" s="543"/>
      <c r="V5" s="540"/>
      <c r="W5" s="537"/>
      <c r="X5" s="537"/>
      <c r="Y5" s="537"/>
      <c r="Z5" s="537"/>
      <c r="AA5" s="537"/>
      <c r="AB5" s="537"/>
      <c r="AC5" s="539"/>
      <c r="AD5" s="539"/>
      <c r="AE5" s="539"/>
      <c r="AF5" s="537"/>
      <c r="AG5" s="537"/>
      <c r="AH5" s="537"/>
      <c r="AI5" s="537"/>
      <c r="AJ5" s="538"/>
      <c r="AK5" s="537"/>
      <c r="AL5" s="537"/>
      <c r="AM5" s="449"/>
      <c r="AN5" s="542"/>
      <c r="AU5" s="541" t="s">
        <v>187</v>
      </c>
      <c r="AV5" s="541"/>
      <c r="AW5" s="541"/>
    </row>
    <row r="6" spans="1:57" ht="15.75" thickBot="1" x14ac:dyDescent="0.3">
      <c r="I6" s="234" t="s">
        <v>183</v>
      </c>
      <c r="K6" s="234" t="s">
        <v>185</v>
      </c>
      <c r="O6" s="537"/>
      <c r="P6" s="537"/>
      <c r="Q6" s="537"/>
      <c r="R6" s="537"/>
      <c r="S6" s="537"/>
      <c r="T6" s="393"/>
      <c r="U6" s="540"/>
      <c r="V6" s="540"/>
      <c r="W6" s="537"/>
      <c r="X6" s="537"/>
      <c r="Y6" s="537"/>
      <c r="Z6" s="537"/>
      <c r="AA6" s="537"/>
      <c r="AB6" s="537"/>
      <c r="AC6" s="539"/>
      <c r="AD6" s="539"/>
      <c r="AE6" s="539"/>
      <c r="AF6" s="537"/>
      <c r="AG6" s="537"/>
      <c r="AH6" s="537"/>
      <c r="AI6" s="537"/>
      <c r="AJ6" s="538"/>
      <c r="AK6" s="537"/>
      <c r="AL6" s="537"/>
      <c r="AM6" s="537"/>
    </row>
    <row r="7" spans="1:57" x14ac:dyDescent="0.25">
      <c r="A7" s="234">
        <v>1</v>
      </c>
      <c r="D7" s="234" t="s">
        <v>2</v>
      </c>
      <c r="F7" s="525" t="s">
        <v>188</v>
      </c>
      <c r="H7" s="525" t="s">
        <v>183</v>
      </c>
      <c r="I7" s="234" t="s">
        <v>189</v>
      </c>
      <c r="J7" s="525" t="s">
        <v>185</v>
      </c>
      <c r="K7" s="234" t="s">
        <v>189</v>
      </c>
      <c r="L7" s="234" t="s">
        <v>183</v>
      </c>
      <c r="M7" s="525"/>
      <c r="N7" s="525" t="s">
        <v>185</v>
      </c>
      <c r="O7" s="525" t="s">
        <v>185</v>
      </c>
      <c r="P7" s="534" t="s">
        <v>185</v>
      </c>
      <c r="Q7" s="525" t="s">
        <v>185</v>
      </c>
      <c r="R7" s="525" t="s">
        <v>185</v>
      </c>
      <c r="S7" s="534" t="s">
        <v>185</v>
      </c>
      <c r="T7" s="530" t="s">
        <v>185</v>
      </c>
      <c r="U7" s="530" t="s">
        <v>185</v>
      </c>
      <c r="V7" s="536" t="s">
        <v>185</v>
      </c>
      <c r="W7" s="525" t="s">
        <v>185</v>
      </c>
      <c r="X7" s="525" t="s">
        <v>185</v>
      </c>
      <c r="Y7" s="534" t="s">
        <v>185</v>
      </c>
      <c r="Z7" s="525" t="s">
        <v>185</v>
      </c>
      <c r="AA7" s="525" t="s">
        <v>185</v>
      </c>
      <c r="AB7" s="534" t="s">
        <v>185</v>
      </c>
      <c r="AC7" s="528" t="s">
        <v>185</v>
      </c>
      <c r="AD7" s="528" t="s">
        <v>185</v>
      </c>
      <c r="AE7" s="535" t="s">
        <v>185</v>
      </c>
      <c r="AF7" s="525" t="s">
        <v>185</v>
      </c>
      <c r="AG7" s="525" t="s">
        <v>185</v>
      </c>
      <c r="AH7" s="534" t="s">
        <v>185</v>
      </c>
      <c r="AI7" s="525" t="s">
        <v>185</v>
      </c>
      <c r="AJ7" s="525" t="s">
        <v>185</v>
      </c>
      <c r="AK7" s="534" t="s">
        <v>185</v>
      </c>
      <c r="AL7" s="234" t="s">
        <v>185</v>
      </c>
      <c r="AM7" s="234" t="s">
        <v>185</v>
      </c>
      <c r="AN7" s="533" t="s">
        <v>185</v>
      </c>
      <c r="AO7" s="532"/>
      <c r="AP7" s="532"/>
      <c r="AQ7" s="532"/>
      <c r="AR7" s="532"/>
      <c r="AS7" s="532"/>
      <c r="AT7" s="532"/>
      <c r="AU7" s="234" t="s">
        <v>185</v>
      </c>
      <c r="AV7" s="234" t="s">
        <v>185</v>
      </c>
      <c r="AW7" s="531" t="s">
        <v>185</v>
      </c>
    </row>
    <row r="8" spans="1:57" x14ac:dyDescent="0.25">
      <c r="A8" s="234">
        <f t="shared" ref="A8:A39" si="0">+A7+1</f>
        <v>2</v>
      </c>
      <c r="D8" s="234" t="s">
        <v>190</v>
      </c>
      <c r="E8" s="525"/>
      <c r="F8" s="525" t="s">
        <v>191</v>
      </c>
      <c r="G8" s="234" t="s">
        <v>192</v>
      </c>
      <c r="H8" s="525" t="s">
        <v>26</v>
      </c>
      <c r="I8" s="234" t="s">
        <v>192</v>
      </c>
      <c r="J8" s="525" t="s">
        <v>26</v>
      </c>
      <c r="K8" s="234" t="s">
        <v>192</v>
      </c>
      <c r="L8" s="525">
        <v>45658</v>
      </c>
      <c r="M8" s="525">
        <f t="shared" ref="M8:AK8" si="1">$AL$8</f>
        <v>46327</v>
      </c>
      <c r="N8" s="525">
        <f t="shared" si="1"/>
        <v>46327</v>
      </c>
      <c r="O8" s="525">
        <f t="shared" si="1"/>
        <v>46327</v>
      </c>
      <c r="P8" s="526">
        <f t="shared" si="1"/>
        <v>46327</v>
      </c>
      <c r="Q8" s="525">
        <f t="shared" si="1"/>
        <v>46327</v>
      </c>
      <c r="R8" s="525">
        <f t="shared" si="1"/>
        <v>46327</v>
      </c>
      <c r="S8" s="526">
        <f t="shared" si="1"/>
        <v>46327</v>
      </c>
      <c r="T8" s="530">
        <f t="shared" si="1"/>
        <v>46327</v>
      </c>
      <c r="U8" s="530">
        <f t="shared" si="1"/>
        <v>46327</v>
      </c>
      <c r="V8" s="529">
        <f t="shared" si="1"/>
        <v>46327</v>
      </c>
      <c r="W8" s="525">
        <f t="shared" si="1"/>
        <v>46327</v>
      </c>
      <c r="X8" s="525">
        <f t="shared" si="1"/>
        <v>46327</v>
      </c>
      <c r="Y8" s="526">
        <f t="shared" si="1"/>
        <v>46327</v>
      </c>
      <c r="Z8" s="525">
        <f t="shared" si="1"/>
        <v>46327</v>
      </c>
      <c r="AA8" s="525">
        <f t="shared" si="1"/>
        <v>46327</v>
      </c>
      <c r="AB8" s="526">
        <f t="shared" si="1"/>
        <v>46327</v>
      </c>
      <c r="AC8" s="528">
        <f t="shared" si="1"/>
        <v>46327</v>
      </c>
      <c r="AD8" s="528">
        <f t="shared" si="1"/>
        <v>46327</v>
      </c>
      <c r="AE8" s="527">
        <f t="shared" si="1"/>
        <v>46327</v>
      </c>
      <c r="AF8" s="525">
        <f t="shared" si="1"/>
        <v>46327</v>
      </c>
      <c r="AG8" s="525">
        <f t="shared" si="1"/>
        <v>46327</v>
      </c>
      <c r="AH8" s="526">
        <f t="shared" si="1"/>
        <v>46327</v>
      </c>
      <c r="AI8" s="525">
        <f t="shared" si="1"/>
        <v>46327</v>
      </c>
      <c r="AJ8" s="525">
        <f t="shared" si="1"/>
        <v>46327</v>
      </c>
      <c r="AK8" s="526">
        <f t="shared" si="1"/>
        <v>46327</v>
      </c>
      <c r="AL8" s="525">
        <v>46327</v>
      </c>
      <c r="AM8" s="525">
        <f>+AL8</f>
        <v>46327</v>
      </c>
      <c r="AN8" s="526">
        <f>+AM8</f>
        <v>46327</v>
      </c>
      <c r="AU8" s="525">
        <f>+AN8</f>
        <v>46327</v>
      </c>
      <c r="AV8" s="525">
        <f>+AU8</f>
        <v>46327</v>
      </c>
      <c r="AW8" s="524">
        <f>+AV8</f>
        <v>46327</v>
      </c>
    </row>
    <row r="9" spans="1:57" ht="60" x14ac:dyDescent="0.25">
      <c r="A9" s="234">
        <f t="shared" si="0"/>
        <v>3</v>
      </c>
      <c r="D9" s="234" t="s">
        <v>9</v>
      </c>
      <c r="E9" s="234" t="s">
        <v>193</v>
      </c>
      <c r="F9" s="234" t="s">
        <v>194</v>
      </c>
      <c r="G9" s="234" t="s">
        <v>194</v>
      </c>
      <c r="H9" s="234" t="s">
        <v>195</v>
      </c>
      <c r="I9" s="234" t="s">
        <v>194</v>
      </c>
      <c r="J9" s="234" t="s">
        <v>195</v>
      </c>
      <c r="K9" s="234" t="s">
        <v>194</v>
      </c>
      <c r="L9" s="234" t="s">
        <v>196</v>
      </c>
      <c r="M9" s="234" t="s">
        <v>183</v>
      </c>
      <c r="N9" s="234"/>
      <c r="O9" s="234" t="s">
        <v>197</v>
      </c>
      <c r="P9" s="499"/>
      <c r="Q9" s="234"/>
      <c r="R9" s="234" t="s">
        <v>198</v>
      </c>
      <c r="S9" s="499"/>
      <c r="T9" s="233"/>
      <c r="U9" s="523" t="s">
        <v>199</v>
      </c>
      <c r="V9" s="522"/>
      <c r="W9" s="234"/>
      <c r="X9" s="234" t="s">
        <v>156</v>
      </c>
      <c r="Y9" s="499"/>
      <c r="Z9" s="323"/>
      <c r="AA9" s="323" t="s">
        <v>200</v>
      </c>
      <c r="AB9" s="519"/>
      <c r="AC9" s="521"/>
      <c r="AD9" s="280" t="str">
        <f>'[9]Allocation = % of margin'!AJ7</f>
        <v xml:space="preserve">Residental Bill Discount Program </v>
      </c>
      <c r="AE9" s="520"/>
      <c r="AF9" s="323"/>
      <c r="AG9" s="459" t="s">
        <v>201</v>
      </c>
      <c r="AH9" s="519"/>
      <c r="AI9" s="234" t="s">
        <v>202</v>
      </c>
      <c r="AJ9" s="234" t="s">
        <v>202</v>
      </c>
      <c r="AK9" s="499" t="s">
        <v>202</v>
      </c>
      <c r="AL9" s="269" t="s">
        <v>145</v>
      </c>
      <c r="AM9" s="269" t="s">
        <v>145</v>
      </c>
      <c r="AN9" s="499" t="s">
        <v>145</v>
      </c>
      <c r="AU9" s="234" t="s">
        <v>203</v>
      </c>
      <c r="AV9" s="234" t="str">
        <f>+AU9</f>
        <v>R&amp;C EE Total</v>
      </c>
      <c r="AW9" s="498" t="str">
        <f>+AV9</f>
        <v>R&amp;C EE Total</v>
      </c>
    </row>
    <row r="10" spans="1:57" s="265" customFormat="1" ht="15.75" thickBot="1" x14ac:dyDescent="0.3">
      <c r="A10" s="234">
        <f t="shared" si="0"/>
        <v>4</v>
      </c>
      <c r="B10" s="224"/>
      <c r="C10" s="224"/>
      <c r="D10" s="367" t="s">
        <v>204</v>
      </c>
      <c r="E10" s="367" t="s">
        <v>30</v>
      </c>
      <c r="F10" s="367" t="s">
        <v>205</v>
      </c>
      <c r="G10" s="367" t="s">
        <v>206</v>
      </c>
      <c r="H10" s="367" t="s">
        <v>207</v>
      </c>
      <c r="I10" s="367" t="s">
        <v>206</v>
      </c>
      <c r="J10" s="367" t="s">
        <v>207</v>
      </c>
      <c r="K10" s="367" t="s">
        <v>206</v>
      </c>
      <c r="L10" s="367" t="s">
        <v>208</v>
      </c>
      <c r="M10" s="367" t="s">
        <v>209</v>
      </c>
      <c r="N10" s="367" t="s">
        <v>210</v>
      </c>
      <c r="O10" s="367" t="s">
        <v>211</v>
      </c>
      <c r="P10" s="512" t="s">
        <v>212</v>
      </c>
      <c r="Q10" s="511" t="s">
        <v>208</v>
      </c>
      <c r="R10" s="367" t="s">
        <v>211</v>
      </c>
      <c r="S10" s="512" t="s">
        <v>212</v>
      </c>
      <c r="T10" s="518" t="s">
        <v>208</v>
      </c>
      <c r="U10" s="517" t="s">
        <v>211</v>
      </c>
      <c r="V10" s="516" t="s">
        <v>212</v>
      </c>
      <c r="W10" s="511" t="s">
        <v>208</v>
      </c>
      <c r="X10" s="367" t="s">
        <v>211</v>
      </c>
      <c r="Y10" s="512" t="s">
        <v>212</v>
      </c>
      <c r="Z10" s="511" t="s">
        <v>208</v>
      </c>
      <c r="AA10" s="367" t="s">
        <v>211</v>
      </c>
      <c r="AB10" s="512" t="s">
        <v>212</v>
      </c>
      <c r="AC10" s="515" t="s">
        <v>208</v>
      </c>
      <c r="AD10" s="514" t="s">
        <v>211</v>
      </c>
      <c r="AE10" s="513" t="s">
        <v>212</v>
      </c>
      <c r="AF10" s="511" t="s">
        <v>208</v>
      </c>
      <c r="AG10" s="367" t="s">
        <v>211</v>
      </c>
      <c r="AH10" s="512" t="s">
        <v>212</v>
      </c>
      <c r="AI10" s="511" t="s">
        <v>208</v>
      </c>
      <c r="AJ10" s="367" t="s">
        <v>211</v>
      </c>
      <c r="AK10" s="512" t="s">
        <v>212</v>
      </c>
      <c r="AL10" s="511" t="s">
        <v>208</v>
      </c>
      <c r="AM10" s="367" t="s">
        <v>211</v>
      </c>
      <c r="AN10" s="512" t="s">
        <v>212</v>
      </c>
      <c r="AU10" s="511" t="s">
        <v>213</v>
      </c>
      <c r="AV10" s="367" t="s">
        <v>214</v>
      </c>
      <c r="AW10" s="510" t="s">
        <v>212</v>
      </c>
      <c r="BA10" s="509"/>
      <c r="BB10" s="508"/>
      <c r="BC10" s="507"/>
      <c r="BD10" s="507"/>
      <c r="BE10" s="507"/>
    </row>
    <row r="11" spans="1:57" s="265" customFormat="1" x14ac:dyDescent="0.25">
      <c r="A11" s="234">
        <f t="shared" si="0"/>
        <v>5</v>
      </c>
      <c r="B11" s="224"/>
      <c r="C11" s="224"/>
      <c r="M11" s="269" t="s">
        <v>215</v>
      </c>
      <c r="O11" s="269" t="s">
        <v>216</v>
      </c>
      <c r="P11" s="499"/>
      <c r="Q11" s="269"/>
      <c r="R11" s="269" t="s">
        <v>217</v>
      </c>
      <c r="S11" s="506"/>
      <c r="T11" s="275"/>
      <c r="U11" s="275" t="s">
        <v>218</v>
      </c>
      <c r="V11" s="505"/>
      <c r="W11" s="269"/>
      <c r="X11" s="269" t="s">
        <v>219</v>
      </c>
      <c r="Y11" s="502"/>
      <c r="Z11" s="269"/>
      <c r="AA11" s="269" t="s">
        <v>219</v>
      </c>
      <c r="AB11" s="502"/>
      <c r="AC11" s="504"/>
      <c r="AD11" s="504" t="s">
        <v>219</v>
      </c>
      <c r="AE11" s="503"/>
      <c r="AF11" s="269"/>
      <c r="AG11" s="269" t="s">
        <v>219</v>
      </c>
      <c r="AH11" s="502"/>
      <c r="AI11" s="269"/>
      <c r="AJ11" s="501" t="s">
        <v>220</v>
      </c>
      <c r="AK11" s="500"/>
      <c r="AL11" s="269"/>
      <c r="AM11" s="269" t="s">
        <v>221</v>
      </c>
      <c r="AN11" s="499" t="s">
        <v>222</v>
      </c>
      <c r="AQ11" s="269" t="s">
        <v>223</v>
      </c>
      <c r="AR11" s="269" t="s">
        <v>26</v>
      </c>
      <c r="AS11" s="269" t="s">
        <v>224</v>
      </c>
      <c r="AU11" s="269"/>
      <c r="AV11" s="269" t="s">
        <v>225</v>
      </c>
      <c r="AW11" s="498" t="s">
        <v>226</v>
      </c>
      <c r="BA11" s="491"/>
      <c r="BB11" s="490" t="s">
        <v>183</v>
      </c>
      <c r="BC11" s="497" t="s">
        <v>185</v>
      </c>
      <c r="BD11" s="489" t="s">
        <v>227</v>
      </c>
      <c r="BE11" s="489" t="s">
        <v>228</v>
      </c>
    </row>
    <row r="12" spans="1:57" s="265" customFormat="1" x14ac:dyDescent="0.25">
      <c r="A12" s="234">
        <f t="shared" si="0"/>
        <v>6</v>
      </c>
      <c r="B12" s="353" t="s">
        <v>29</v>
      </c>
      <c r="C12" s="353" t="s">
        <v>30</v>
      </c>
      <c r="D12" s="271" t="s">
        <v>31</v>
      </c>
      <c r="E12" s="271" t="s">
        <v>32</v>
      </c>
      <c r="F12" s="271" t="s">
        <v>33</v>
      </c>
      <c r="G12" s="271"/>
      <c r="H12" s="271"/>
      <c r="I12" s="271" t="s">
        <v>34</v>
      </c>
      <c r="J12" s="271"/>
      <c r="K12" s="271"/>
      <c r="L12" s="271" t="s">
        <v>35</v>
      </c>
      <c r="M12" s="271" t="s">
        <v>36</v>
      </c>
      <c r="N12" s="271" t="s">
        <v>37</v>
      </c>
      <c r="O12" s="271" t="s">
        <v>38</v>
      </c>
      <c r="P12" s="493" t="s">
        <v>39</v>
      </c>
      <c r="Q12" s="271" t="s">
        <v>40</v>
      </c>
      <c r="R12" s="271" t="s">
        <v>41</v>
      </c>
      <c r="S12" s="493" t="s">
        <v>42</v>
      </c>
      <c r="T12" s="272" t="s">
        <v>46</v>
      </c>
      <c r="U12" s="272" t="s">
        <v>47</v>
      </c>
      <c r="V12" s="496" t="s">
        <v>48</v>
      </c>
      <c r="W12" s="271" t="s">
        <v>49</v>
      </c>
      <c r="X12" s="271" t="s">
        <v>229</v>
      </c>
      <c r="Y12" s="493" t="s">
        <v>230</v>
      </c>
      <c r="Z12" s="271" t="s">
        <v>49</v>
      </c>
      <c r="AA12" s="271" t="s">
        <v>229</v>
      </c>
      <c r="AB12" s="493" t="s">
        <v>230</v>
      </c>
      <c r="AC12" s="495" t="s">
        <v>49</v>
      </c>
      <c r="AD12" s="495" t="s">
        <v>229</v>
      </c>
      <c r="AE12" s="494" t="s">
        <v>230</v>
      </c>
      <c r="AF12" s="271" t="s">
        <v>49</v>
      </c>
      <c r="AG12" s="271" t="s">
        <v>229</v>
      </c>
      <c r="AH12" s="493" t="s">
        <v>230</v>
      </c>
      <c r="AI12" s="271" t="s">
        <v>231</v>
      </c>
      <c r="AJ12" s="271" t="s">
        <v>232</v>
      </c>
      <c r="AK12" s="493" t="s">
        <v>233</v>
      </c>
      <c r="AL12" s="271" t="s">
        <v>234</v>
      </c>
      <c r="AM12" s="271" t="s">
        <v>235</v>
      </c>
      <c r="AN12" s="493" t="s">
        <v>236</v>
      </c>
      <c r="AU12" s="271" t="s">
        <v>40</v>
      </c>
      <c r="AV12" s="271" t="s">
        <v>41</v>
      </c>
      <c r="AW12" s="492" t="s">
        <v>42</v>
      </c>
      <c r="BA12" s="491" t="s">
        <v>237</v>
      </c>
      <c r="BB12" s="490" t="s">
        <v>238</v>
      </c>
      <c r="BC12" s="489" t="s">
        <v>239</v>
      </c>
      <c r="BD12" s="489" t="s">
        <v>240</v>
      </c>
      <c r="BE12" s="489" t="s">
        <v>241</v>
      </c>
    </row>
    <row r="13" spans="1:57" x14ac:dyDescent="0.25">
      <c r="A13" s="234">
        <f t="shared" si="0"/>
        <v>7</v>
      </c>
      <c r="B13" s="337" t="s">
        <v>55</v>
      </c>
      <c r="C13" s="337"/>
      <c r="D13" s="333">
        <f>+'[9]Washington volumes'!J13</f>
        <v>179824.1</v>
      </c>
      <c r="E13" s="485" t="s">
        <v>179</v>
      </c>
      <c r="F13" s="412">
        <f>+'[9]Washington volumes'!M13</f>
        <v>8</v>
      </c>
      <c r="G13" s="403">
        <v>5.5</v>
      </c>
      <c r="H13" s="403">
        <f>'[32]Aver Bill by RS'!$J13</f>
        <v>1.816614207786148</v>
      </c>
      <c r="I13" s="403">
        <f>G13-(IF(H13&gt;($F13*$H$3),($F13*$H$3),H13))</f>
        <v>3.6833857922138522</v>
      </c>
      <c r="J13" s="403">
        <f>'[32]Aver Bill by RS'!$J13</f>
        <v>1.816614207786148</v>
      </c>
      <c r="K13" s="403">
        <f t="shared" ref="K13:K19" si="2">G13-(IF(J13&gt;($F13*$H$4),($F13*$H$4),J13))</f>
        <v>3.6833857922138522</v>
      </c>
      <c r="L13" s="250">
        <f>+'[9]Rates in summary'!D13</f>
        <v>1.6683000000000003</v>
      </c>
      <c r="M13" s="403">
        <f t="shared" ref="M13:M18" si="3">ROUND(+$I13+(L13*$F13),2)</f>
        <v>17.03</v>
      </c>
      <c r="N13" s="250">
        <f>'[9]Rates in summary'!D13+'Summary of Temporaries '!K13+'Summary of Temporaries '!L13+'Summary of Temporaries '!M13-'Summary of Temporaries '!AX13</f>
        <v>1.6999500000000005</v>
      </c>
      <c r="O13" s="403">
        <f t="shared" ref="O13:O18" si="4">ROUND(I13+(F13*N13), 2)</f>
        <v>17.28</v>
      </c>
      <c r="P13" s="421">
        <f t="shared" ref="P13:P18" si="5">ROUND((O13-M13)/M13,3)</f>
        <v>1.4999999999999999E-2</v>
      </c>
      <c r="Q13" s="250">
        <f>'[9]Rates in summary'!D13+'Summary of Temporaries '!N13+'Summary of Temporaries '!O13-'Summary of Temporaries '!AY13</f>
        <v>1.6715100000000003</v>
      </c>
      <c r="R13" s="403">
        <f t="shared" ref="R13:R18" si="6">ROUND(I13+(F13*Q13),2)</f>
        <v>17.059999999999999</v>
      </c>
      <c r="S13" s="421">
        <f t="shared" ref="S13:S18" si="7">ROUND((R13-M13)/M13,3)</f>
        <v>2E-3</v>
      </c>
      <c r="T13" s="252">
        <f>'[9]Rates in detail'!D13+'Summary of Temporaries '!T13-'Summary of Temporaries '!BD13+'Summary of Temporaries '!S13-'Summary of Temporaries '!BC13+'Summary of Temporaries '!P13-'Summary of Temporaries '!BB13++'Summary of Temporaries '!Q13-'Summary of Temporaries '!AW13</f>
        <v>1.6687900000000002</v>
      </c>
      <c r="U13" s="423">
        <f t="shared" ref="U13:U18" si="8">ROUND(I13+(F13*T13),2)</f>
        <v>17.03</v>
      </c>
      <c r="V13" s="422">
        <f t="shared" ref="V13:V18" si="9">ROUND((U13-M13)/M13,3)</f>
        <v>0</v>
      </c>
      <c r="W13" s="250">
        <f>'[9]Rates in summary'!D13+'Summary of Temporaries '!R13-'Summary of Temporaries '!AZ13</f>
        <v>1.6729200000000004</v>
      </c>
      <c r="X13" s="403">
        <f t="shared" ref="X13:X18" si="10">I13+(F13*W13)</f>
        <v>17.066745792213855</v>
      </c>
      <c r="Y13" s="421">
        <f t="shared" ref="Y13:Y18" si="11">(X13-M13)/M13</f>
        <v>2.1577094664623274E-3</v>
      </c>
      <c r="Z13" s="250">
        <f>'[9]Rates in summary'!D13+[9]Permanents!F13</f>
        <v>1.6685400000000004</v>
      </c>
      <c r="AA13" s="403">
        <f t="shared" ref="AA13:AA18" si="12">I13+(F13*Z13)</f>
        <v>17.031705792213856</v>
      </c>
      <c r="AB13" s="421">
        <f t="shared" ref="AB13:AB18" si="13">(AA13-M13)/M13</f>
        <v>1.0016395853522058E-4</v>
      </c>
      <c r="AC13" s="484">
        <f>'[9]Rates in summary'!D13+'Summary of Temporaries '!U13-'Summary of Temporaries '!BE13</f>
        <v>1.6683000000000003</v>
      </c>
      <c r="AD13" s="419">
        <f t="shared" ref="AD13:AD18" si="14">I13+(F13*AC13)</f>
        <v>17.029785792213854</v>
      </c>
      <c r="AE13" s="483">
        <f t="shared" ref="AE13:AE18" si="15">(AD13-M13)/M13</f>
        <v>-1.2578261077340791E-5</v>
      </c>
      <c r="AF13" s="250">
        <f>'[9]Rates in summary'!D13+'Summary of Temporaries '!V13-'Summary of Temporaries '!BF13</f>
        <v>1.6683000000000003</v>
      </c>
      <c r="AG13" s="403">
        <f t="shared" ref="AG13:AG18" si="16">K13+(F13*AF13)</f>
        <v>17.029785792213854</v>
      </c>
      <c r="AH13" s="421">
        <f t="shared" ref="AH13:AH18" si="17">(AG13-M13)/M13</f>
        <v>-1.2578261077340791E-5</v>
      </c>
      <c r="AI13" s="250">
        <f>'[9]Rates in summary'!G13+'Summary of Temporaries '!J13</f>
        <v>1.5938900000000005</v>
      </c>
      <c r="AJ13" s="403">
        <f t="shared" ref="AJ13:AJ18" si="18">ROUND(I13+(F13*AI13),2)</f>
        <v>16.43</v>
      </c>
      <c r="AK13" s="416">
        <f t="shared" ref="AK13:AK18" si="19">ROUND((AJ13-M13)/M13,3)</f>
        <v>-3.5000000000000003E-2</v>
      </c>
      <c r="AL13" s="250">
        <f>+'[9]Rates in summary'!Q13</f>
        <v>1.6341000000000003</v>
      </c>
      <c r="AM13" s="403">
        <f t="shared" ref="AM13:AM18" si="20">ROUND(+$K13+(AL13*$F13),2)</f>
        <v>16.760000000000002</v>
      </c>
      <c r="AN13" s="416">
        <f t="shared" ref="AN13:AN18" si="21">ROUND((AM13-M13)/M13,3)</f>
        <v>-1.6E-2</v>
      </c>
      <c r="AO13" s="380"/>
      <c r="AP13" s="383"/>
      <c r="AQ13" s="381">
        <f t="shared" ref="AQ13:AQ44" si="22">AC13-L13</f>
        <v>0</v>
      </c>
      <c r="AR13" s="381">
        <f t="shared" ref="AR13:AR44" si="23">AF13-L13</f>
        <v>0</v>
      </c>
      <c r="AS13" s="381">
        <f t="shared" ref="AS13:AS44" si="24">AL13-L13</f>
        <v>-3.4200000000000008E-2</v>
      </c>
      <c r="AT13" s="381">
        <f t="shared" ref="AT13:AT44" si="25">AS13-(AQ13+AR13)</f>
        <v>-3.4200000000000008E-2</v>
      </c>
      <c r="AU13" s="249">
        <f>+'[9]Rates in summary'!D13+'Summary of Temporaries '!K13+'Summary of Temporaries '!M13+'Summary of Temporaries '!L13-'Summary of Temporaries '!AX13</f>
        <v>1.6999500000000005</v>
      </c>
      <c r="AV13" s="399">
        <f t="shared" ref="AV13:AV18" si="26">ROUND(+$I13+(AU13*$F13),2)</f>
        <v>17.28</v>
      </c>
      <c r="AW13" s="482">
        <f t="shared" ref="AW13:AW18" si="27">ROUND((AV13-M13)/M13,3)</f>
        <v>1.4999999999999999E-2</v>
      </c>
      <c r="AX13" s="325"/>
      <c r="AY13" s="325"/>
      <c r="AZ13" s="325"/>
      <c r="BA13" s="474" t="s">
        <v>55</v>
      </c>
      <c r="BB13" s="471">
        <f t="shared" ref="BB13:BB18" si="28">M13</f>
        <v>17.03</v>
      </c>
      <c r="BC13" s="473">
        <f t="shared" ref="BC13:BC18" si="29">U13</f>
        <v>17.03</v>
      </c>
      <c r="BD13" s="471">
        <f t="shared" ref="BD13:BD34" si="30">BC13-BB13</f>
        <v>0</v>
      </c>
      <c r="BE13" s="470">
        <f t="shared" ref="BE13:BE34" si="31">ROUND((BC13-BB13)/BB13,3)</f>
        <v>0</v>
      </c>
    </row>
    <row r="14" spans="1:57" x14ac:dyDescent="0.25">
      <c r="A14" s="234">
        <f t="shared" si="0"/>
        <v>8</v>
      </c>
      <c r="B14" s="337" t="s">
        <v>56</v>
      </c>
      <c r="C14" s="337"/>
      <c r="D14" s="333">
        <f>+'[9]Washington volumes'!J14</f>
        <v>18807.400000000001</v>
      </c>
      <c r="E14" s="485" t="s">
        <v>179</v>
      </c>
      <c r="F14" s="412">
        <f>+'[9]Washington volumes'!M14</f>
        <v>44</v>
      </c>
      <c r="G14" s="403">
        <v>7</v>
      </c>
      <c r="H14" s="403">
        <f>'[32]Aver Bill by RS'!$J14</f>
        <v>5.3425825423278139</v>
      </c>
      <c r="I14" s="403">
        <f t="shared" ref="I14:I19" si="32">G14-(IF(H14&gt;(F14*$H$3),(F14*$H$3),H14))</f>
        <v>1.6574174576721861</v>
      </c>
      <c r="J14" s="403">
        <f>'[32]Aver Bill by RS'!$J14</f>
        <v>5.3425825423278139</v>
      </c>
      <c r="K14" s="403">
        <f t="shared" si="2"/>
        <v>1.6574174576721861</v>
      </c>
      <c r="L14" s="250">
        <f>+'[9]Rates in summary'!D14</f>
        <v>1.672639999999999</v>
      </c>
      <c r="M14" s="403">
        <f t="shared" si="3"/>
        <v>75.25</v>
      </c>
      <c r="N14" s="250">
        <f>'[9]Rates in summary'!D14+'Summary of Temporaries '!K14+'Summary of Temporaries '!L14+'Summary of Temporaries '!M14-'Summary of Temporaries '!AX14</f>
        <v>1.6721499999999991</v>
      </c>
      <c r="O14" s="403">
        <f t="shared" si="4"/>
        <v>75.23</v>
      </c>
      <c r="P14" s="421">
        <f t="shared" si="5"/>
        <v>0</v>
      </c>
      <c r="Q14" s="250">
        <f>'[9]Rates in summary'!D14+'Summary of Temporaries '!N14+'Summary of Temporaries '!O14-'Summary of Temporaries '!AY14</f>
        <v>1.670869999999999</v>
      </c>
      <c r="R14" s="403">
        <f t="shared" si="6"/>
        <v>75.180000000000007</v>
      </c>
      <c r="S14" s="421">
        <f t="shared" si="7"/>
        <v>-1E-3</v>
      </c>
      <c r="T14" s="252">
        <f>'[9]Rates in detail'!D14+'Summary of Temporaries '!T14-'Summary of Temporaries '!BD14+'Summary of Temporaries '!S14-'Summary of Temporaries '!BC14+'Summary of Temporaries '!P14-'Summary of Temporaries '!BB14++'Summary of Temporaries '!Q14-'Summary of Temporaries '!AW14</f>
        <v>1.6730599999999991</v>
      </c>
      <c r="U14" s="423">
        <f t="shared" si="8"/>
        <v>75.27</v>
      </c>
      <c r="V14" s="422">
        <f t="shared" si="9"/>
        <v>0</v>
      </c>
      <c r="W14" s="250">
        <f>'[9]Rates in summary'!D14+'Summary of Temporaries '!R14-'Summary of Temporaries '!AZ14</f>
        <v>1.672969999999999</v>
      </c>
      <c r="X14" s="403">
        <f t="shared" si="10"/>
        <v>75.268097457672141</v>
      </c>
      <c r="Y14" s="421">
        <f t="shared" si="11"/>
        <v>2.4049777637396815E-4</v>
      </c>
      <c r="Z14" s="250">
        <f>'[9]Rates in summary'!D14+[9]Permanents!F14</f>
        <v>1.672799999999999</v>
      </c>
      <c r="AA14" s="403">
        <f t="shared" si="12"/>
        <v>75.26061745767214</v>
      </c>
      <c r="AB14" s="421">
        <f t="shared" si="13"/>
        <v>1.4109578301847259E-4</v>
      </c>
      <c r="AC14" s="484">
        <f>'[9]Rates in summary'!D14+'Summary of Temporaries '!U14-'Summary of Temporaries '!BE14</f>
        <v>1.672639999999999</v>
      </c>
      <c r="AD14" s="419">
        <f t="shared" si="14"/>
        <v>75.253577457672137</v>
      </c>
      <c r="AE14" s="483">
        <f t="shared" si="15"/>
        <v>4.7540965742678734E-5</v>
      </c>
      <c r="AF14" s="250">
        <f>'[9]Rates in summary'!D14+'Summary of Temporaries '!V14-'Summary of Temporaries '!BF14</f>
        <v>1.672639999999999</v>
      </c>
      <c r="AG14" s="403">
        <f t="shared" si="16"/>
        <v>75.253577457672137</v>
      </c>
      <c r="AH14" s="421">
        <f t="shared" si="17"/>
        <v>4.7540965742678734E-5</v>
      </c>
      <c r="AI14" s="250">
        <f>'[9]Rates in summary'!G14+'Summary of Temporaries '!J14</f>
        <v>1.5982299999999992</v>
      </c>
      <c r="AJ14" s="403">
        <f t="shared" si="18"/>
        <v>71.98</v>
      </c>
      <c r="AK14" s="416">
        <f t="shared" si="19"/>
        <v>-4.2999999999999997E-2</v>
      </c>
      <c r="AL14" s="250">
        <f>+'[9]Rates in summary'!Q14</f>
        <v>1.5968799999999992</v>
      </c>
      <c r="AM14" s="403">
        <f t="shared" si="20"/>
        <v>71.92</v>
      </c>
      <c r="AN14" s="416">
        <f t="shared" si="21"/>
        <v>-4.3999999999999997E-2</v>
      </c>
      <c r="AO14" s="380"/>
      <c r="AP14" s="383"/>
      <c r="AQ14" s="381">
        <f t="shared" si="22"/>
        <v>0</v>
      </c>
      <c r="AR14" s="381">
        <f t="shared" si="23"/>
        <v>0</v>
      </c>
      <c r="AS14" s="381">
        <f t="shared" si="24"/>
        <v>-7.5759999999999827E-2</v>
      </c>
      <c r="AT14" s="381">
        <f t="shared" si="25"/>
        <v>-7.5759999999999827E-2</v>
      </c>
      <c r="AU14" s="249">
        <f>+'[9]Rates in summary'!D14+'Summary of Temporaries '!K14+'Summary of Temporaries '!M14+'Summary of Temporaries '!L14-'Summary of Temporaries '!AZ14</f>
        <v>1.7558699999999992</v>
      </c>
      <c r="AV14" s="399">
        <f t="shared" si="26"/>
        <v>78.92</v>
      </c>
      <c r="AW14" s="482">
        <f t="shared" si="27"/>
        <v>4.9000000000000002E-2</v>
      </c>
      <c r="AX14" s="325"/>
      <c r="AY14" s="325"/>
      <c r="AZ14" s="325"/>
      <c r="BA14" s="474" t="s">
        <v>56</v>
      </c>
      <c r="BB14" s="471">
        <f t="shared" si="28"/>
        <v>75.25</v>
      </c>
      <c r="BC14" s="473">
        <f t="shared" si="29"/>
        <v>75.27</v>
      </c>
      <c r="BD14" s="471">
        <f t="shared" si="30"/>
        <v>1.9999999999996021E-2</v>
      </c>
      <c r="BE14" s="470">
        <f t="shared" si="31"/>
        <v>0</v>
      </c>
    </row>
    <row r="15" spans="1:57" x14ac:dyDescent="0.25">
      <c r="A15" s="234">
        <f t="shared" si="0"/>
        <v>9</v>
      </c>
      <c r="B15" s="337" t="s">
        <v>57</v>
      </c>
      <c r="C15" s="337"/>
      <c r="D15" s="333">
        <f>+'[9]Washington volumes'!J15</f>
        <v>59991191.600000001</v>
      </c>
      <c r="E15" s="485" t="s">
        <v>179</v>
      </c>
      <c r="F15" s="412">
        <f>+'[9]Washington volumes'!M15</f>
        <v>56</v>
      </c>
      <c r="G15" s="403">
        <v>8</v>
      </c>
      <c r="H15" s="403">
        <f>'[32]Aver Bill by RS'!$J15</f>
        <v>10.540904108741115</v>
      </c>
      <c r="I15" s="403">
        <f t="shared" si="32"/>
        <v>-2.5409041087411151</v>
      </c>
      <c r="J15" s="403">
        <f>'[32]Aver Bill by RS'!$J15</f>
        <v>10.540904108741115</v>
      </c>
      <c r="K15" s="403">
        <f t="shared" si="2"/>
        <v>-2.5409041087411151</v>
      </c>
      <c r="L15" s="250">
        <f>+'[9]Rates in summary'!D15</f>
        <v>1.3152700000000002</v>
      </c>
      <c r="M15" s="403">
        <f t="shared" si="3"/>
        <v>71.11</v>
      </c>
      <c r="N15" s="250">
        <f>'[9]Rates in summary'!D15+'Summary of Temporaries '!K15+'Summary of Temporaries '!L15+'Summary of Temporaries '!M15-'Summary of Temporaries '!AX15</f>
        <v>1.3168600000000001</v>
      </c>
      <c r="O15" s="403">
        <f t="shared" si="4"/>
        <v>71.2</v>
      </c>
      <c r="P15" s="421">
        <f t="shared" si="5"/>
        <v>1E-3</v>
      </c>
      <c r="Q15" s="250">
        <f>'[9]Rates in summary'!D15+'Summary of Temporaries '!N15+'Summary of Temporaries '!O15-'Summary of Temporaries '!AY15</f>
        <v>1.3143899999999999</v>
      </c>
      <c r="R15" s="403">
        <f t="shared" si="6"/>
        <v>71.06</v>
      </c>
      <c r="S15" s="421">
        <f t="shared" si="7"/>
        <v>-1E-3</v>
      </c>
      <c r="T15" s="252">
        <f>'[9]Rates in detail'!D15+'Summary of Temporaries '!T15-'Summary of Temporaries '!BD15+'Summary of Temporaries '!S15-'Summary of Temporaries '!BC15+'Summary of Temporaries '!P15-'Summary of Temporaries '!BB15++'Summary of Temporaries '!Q15-'Summary of Temporaries '!AW15</f>
        <v>1.3154700000000001</v>
      </c>
      <c r="U15" s="423">
        <f t="shared" si="8"/>
        <v>71.13</v>
      </c>
      <c r="V15" s="422">
        <f t="shared" si="9"/>
        <v>0</v>
      </c>
      <c r="W15" s="250">
        <f>'[9]Rates in summary'!D15+'Summary of Temporaries '!R15-'Summary of Temporaries '!AZ15</f>
        <v>1.3157500000000002</v>
      </c>
      <c r="X15" s="403">
        <f t="shared" si="10"/>
        <v>71.1410958912589</v>
      </c>
      <c r="Y15" s="421">
        <f t="shared" si="11"/>
        <v>4.3729280352833793E-4</v>
      </c>
      <c r="Z15" s="250">
        <f>'[9]Rates in summary'!D15+[9]Permanents!F15</f>
        <v>1.3153800000000002</v>
      </c>
      <c r="AA15" s="403">
        <f t="shared" si="12"/>
        <v>71.120375891258888</v>
      </c>
      <c r="AB15" s="421">
        <f t="shared" si="13"/>
        <v>1.4591325072266508E-4</v>
      </c>
      <c r="AC15" s="484">
        <f>'[9]Rates in summary'!D15+'Summary of Temporaries '!U15-'Summary of Temporaries '!BE15</f>
        <v>1.3152700000000002</v>
      </c>
      <c r="AD15" s="419">
        <f t="shared" si="14"/>
        <v>71.114215891258894</v>
      </c>
      <c r="AE15" s="483">
        <f t="shared" si="15"/>
        <v>5.9286897185973058E-5</v>
      </c>
      <c r="AF15" s="250">
        <f>'[9]Rates in summary'!D15+'Summary of Temporaries '!V15-'Summary of Temporaries '!BF15</f>
        <v>1.3152699999999999</v>
      </c>
      <c r="AG15" s="403">
        <f t="shared" si="16"/>
        <v>71.11421589125888</v>
      </c>
      <c r="AH15" s="421">
        <f t="shared" si="17"/>
        <v>5.9286897185773212E-5</v>
      </c>
      <c r="AI15" s="250">
        <f>'[9]Rates in summary'!G15+'Summary of Temporaries '!J15</f>
        <v>1.2408600000000003</v>
      </c>
      <c r="AJ15" s="403">
        <f t="shared" si="18"/>
        <v>66.95</v>
      </c>
      <c r="AK15" s="421">
        <f t="shared" si="19"/>
        <v>-5.8999999999999997E-2</v>
      </c>
      <c r="AL15" s="250">
        <f>+'[9]Rates in summary'!Q15</f>
        <v>1.2423600000000001</v>
      </c>
      <c r="AM15" s="403">
        <f t="shared" si="20"/>
        <v>67.03</v>
      </c>
      <c r="AN15" s="421">
        <f t="shared" si="21"/>
        <v>-5.7000000000000002E-2</v>
      </c>
      <c r="AP15" s="383"/>
      <c r="AQ15" s="381">
        <f t="shared" si="22"/>
        <v>0</v>
      </c>
      <c r="AR15" s="381">
        <f t="shared" si="23"/>
        <v>0</v>
      </c>
      <c r="AS15" s="381">
        <f t="shared" si="24"/>
        <v>-7.291000000000003E-2</v>
      </c>
      <c r="AT15" s="381">
        <f t="shared" si="25"/>
        <v>-7.291000000000003E-2</v>
      </c>
      <c r="AU15" s="249">
        <f>+'[9]Rates in summary'!D15+'Summary of Temporaries '!K15+'Summary of Temporaries '!M15+'Summary of Temporaries '!L15-'Summary of Temporaries '!AZ15</f>
        <v>1.3724900000000002</v>
      </c>
      <c r="AV15" s="399">
        <f t="shared" si="26"/>
        <v>74.319999999999993</v>
      </c>
      <c r="AW15" s="488">
        <f t="shared" si="27"/>
        <v>4.4999999999999998E-2</v>
      </c>
      <c r="AX15" s="325"/>
      <c r="AY15" s="325"/>
      <c r="AZ15" s="325"/>
      <c r="BA15" s="474" t="s">
        <v>57</v>
      </c>
      <c r="BB15" s="472">
        <f t="shared" si="28"/>
        <v>71.11</v>
      </c>
      <c r="BC15" s="472">
        <f t="shared" si="29"/>
        <v>71.13</v>
      </c>
      <c r="BD15" s="487">
        <f t="shared" si="30"/>
        <v>1.9999999999996021E-2</v>
      </c>
      <c r="BE15" s="486">
        <f t="shared" si="31"/>
        <v>0</v>
      </c>
    </row>
    <row r="16" spans="1:57" x14ac:dyDescent="0.25">
      <c r="A16" s="234">
        <f t="shared" si="0"/>
        <v>10</v>
      </c>
      <c r="B16" s="337" t="s">
        <v>58</v>
      </c>
      <c r="C16" s="337"/>
      <c r="D16" s="333">
        <f>+'[9]Washington volumes'!J16</f>
        <v>21359578.800000001</v>
      </c>
      <c r="E16" s="485" t="s">
        <v>179</v>
      </c>
      <c r="F16" s="412">
        <f>+'[9]Washington volumes'!M16</f>
        <v>261</v>
      </c>
      <c r="G16" s="403">
        <v>22</v>
      </c>
      <c r="H16" s="403">
        <f>'[32]Aver Bill by RS'!$J16</f>
        <v>48.320758584764796</v>
      </c>
      <c r="I16" s="403">
        <f t="shared" si="32"/>
        <v>-26.320758584764796</v>
      </c>
      <c r="J16" s="403">
        <f>'[32]Aver Bill by RS'!$J16</f>
        <v>48.320758584764796</v>
      </c>
      <c r="K16" s="403">
        <f t="shared" si="2"/>
        <v>-26.320758584764796</v>
      </c>
      <c r="L16" s="250">
        <f>+'[9]Rates in summary'!D16</f>
        <v>1.2785399999999996</v>
      </c>
      <c r="M16" s="403">
        <f t="shared" si="3"/>
        <v>307.38</v>
      </c>
      <c r="N16" s="250">
        <f>'[9]Rates in summary'!D16+'Summary of Temporaries '!K16+'Summary of Temporaries '!L16+'Summary of Temporaries '!M16-'Summary of Temporaries '!AX16</f>
        <v>1.2794799999999995</v>
      </c>
      <c r="O16" s="403">
        <f t="shared" si="4"/>
        <v>307.62</v>
      </c>
      <c r="P16" s="421">
        <f t="shared" si="5"/>
        <v>1E-3</v>
      </c>
      <c r="Q16" s="250">
        <f>'[9]Rates in summary'!D16+'Summary of Temporaries '!N16+'Summary of Temporaries '!O16-'Summary of Temporaries '!AY16</f>
        <v>1.2776899999999993</v>
      </c>
      <c r="R16" s="403">
        <f t="shared" si="6"/>
        <v>307.16000000000003</v>
      </c>
      <c r="S16" s="421">
        <f t="shared" si="7"/>
        <v>-1E-3</v>
      </c>
      <c r="T16" s="252">
        <f>'[9]Rates in detail'!D16+'Summary of Temporaries '!T16-'Summary of Temporaries '!BD16+'Summary of Temporaries '!S16-'Summary of Temporaries '!BC16+'Summary of Temporaries '!P16-'Summary of Temporaries '!BB16++'Summary of Temporaries '!Q16-'Summary of Temporaries '!AW16</f>
        <v>1.2787399999999995</v>
      </c>
      <c r="U16" s="423">
        <f t="shared" si="8"/>
        <v>307.43</v>
      </c>
      <c r="V16" s="422">
        <f t="shared" si="9"/>
        <v>0</v>
      </c>
      <c r="W16" s="250">
        <f>'[9]Rates in summary'!D16+'Summary of Temporaries '!R16-'Summary of Temporaries '!AZ16</f>
        <v>1.2789099999999995</v>
      </c>
      <c r="X16" s="403">
        <f t="shared" si="10"/>
        <v>307.47475141523506</v>
      </c>
      <c r="Y16" s="421">
        <f t="shared" si="11"/>
        <v>3.0825497831695739E-4</v>
      </c>
      <c r="Z16" s="250">
        <f>'[9]Rates in summary'!D16+[9]Permanents!F16</f>
        <v>1.2786399999999996</v>
      </c>
      <c r="AA16" s="403">
        <f t="shared" si="12"/>
        <v>307.40428141523506</v>
      </c>
      <c r="AB16" s="421">
        <f t="shared" si="13"/>
        <v>7.8994779214867932E-5</v>
      </c>
      <c r="AC16" s="484">
        <f>'[9]Rates in summary'!D16+'Summary of Temporaries '!U16-'Summary of Temporaries '!BE16</f>
        <v>1.2785399999999996</v>
      </c>
      <c r="AD16" s="419">
        <f t="shared" si="14"/>
        <v>307.37818141523508</v>
      </c>
      <c r="AE16" s="483">
        <f t="shared" si="15"/>
        <v>-5.9164056377098414E-6</v>
      </c>
      <c r="AF16" s="250">
        <f>'[9]Rates in summary'!D16+'Summary of Temporaries '!V16-'Summary of Temporaries '!BF16</f>
        <v>1.2785399999999996</v>
      </c>
      <c r="AG16" s="403">
        <f t="shared" si="16"/>
        <v>307.37818141523508</v>
      </c>
      <c r="AH16" s="421">
        <f t="shared" si="17"/>
        <v>-5.9164056377098414E-6</v>
      </c>
      <c r="AI16" s="250">
        <f>'[9]Rates in summary'!G16+'Summary of Temporaries '!J16</f>
        <v>1.2041299999999997</v>
      </c>
      <c r="AJ16" s="403">
        <f t="shared" si="18"/>
        <v>287.95999999999998</v>
      </c>
      <c r="AK16" s="416">
        <f t="shared" si="19"/>
        <v>-6.3E-2</v>
      </c>
      <c r="AL16" s="250">
        <f>+'[9]Rates in summary'!Q16</f>
        <v>1.2048899999999996</v>
      </c>
      <c r="AM16" s="403">
        <f t="shared" si="20"/>
        <v>288.16000000000003</v>
      </c>
      <c r="AN16" s="416">
        <f t="shared" si="21"/>
        <v>-6.3E-2</v>
      </c>
      <c r="AO16" s="380"/>
      <c r="AP16" s="383"/>
      <c r="AQ16" s="381">
        <f t="shared" si="22"/>
        <v>0</v>
      </c>
      <c r="AR16" s="381">
        <f t="shared" si="23"/>
        <v>0</v>
      </c>
      <c r="AS16" s="381">
        <f t="shared" si="24"/>
        <v>-7.3649999999999993E-2</v>
      </c>
      <c r="AT16" s="381">
        <f t="shared" si="25"/>
        <v>-7.3649999999999993E-2</v>
      </c>
      <c r="AU16" s="249">
        <f>+'[9]Rates in summary'!D16+'Summary of Temporaries '!K16+'Summary of Temporaries '!M16+'Summary of Temporaries '!L16-'Summary of Temporaries '!AZ16</f>
        <v>1.3289199999999994</v>
      </c>
      <c r="AV16" s="399">
        <f t="shared" si="26"/>
        <v>320.52999999999997</v>
      </c>
      <c r="AW16" s="482">
        <f t="shared" si="27"/>
        <v>4.2999999999999997E-2</v>
      </c>
      <c r="AX16" s="325"/>
      <c r="AY16" s="325"/>
      <c r="AZ16" s="325"/>
      <c r="BA16" s="474" t="s">
        <v>58</v>
      </c>
      <c r="BB16" s="473">
        <f t="shared" si="28"/>
        <v>307.38</v>
      </c>
      <c r="BC16" s="473">
        <f t="shared" si="29"/>
        <v>307.43</v>
      </c>
      <c r="BD16" s="471">
        <f t="shared" si="30"/>
        <v>5.0000000000011369E-2</v>
      </c>
      <c r="BE16" s="470">
        <f t="shared" si="31"/>
        <v>0</v>
      </c>
    </row>
    <row r="17" spans="1:57" x14ac:dyDescent="0.25">
      <c r="A17" s="234">
        <f t="shared" si="0"/>
        <v>11</v>
      </c>
      <c r="B17" s="337" t="s">
        <v>59</v>
      </c>
      <c r="C17" s="337"/>
      <c r="D17" s="333">
        <f>+'[9]Washington volumes'!J17</f>
        <v>192102.2</v>
      </c>
      <c r="E17" s="485" t="s">
        <v>179</v>
      </c>
      <c r="F17" s="412">
        <f>+'[9]Washington volumes'!M17</f>
        <v>800</v>
      </c>
      <c r="G17" s="403">
        <v>22</v>
      </c>
      <c r="H17" s="403">
        <f>'[32]Aver Bill by RS'!$J17</f>
        <v>129.16257090345997</v>
      </c>
      <c r="I17" s="403">
        <f t="shared" si="32"/>
        <v>-107.16257090345997</v>
      </c>
      <c r="J17" s="403">
        <f>'[32]Aver Bill by RS'!$J17</f>
        <v>129.16257090345997</v>
      </c>
      <c r="K17" s="403">
        <f t="shared" si="2"/>
        <v>-107.16257090345997</v>
      </c>
      <c r="L17" s="250">
        <f>+'[9]Rates in summary'!D17</f>
        <v>1.2303099999999996</v>
      </c>
      <c r="M17" s="403">
        <f t="shared" si="3"/>
        <v>877.09</v>
      </c>
      <c r="N17" s="250">
        <f>'[9]Rates in summary'!D17+'Summary of Temporaries '!K17+'Summary of Temporaries '!L17+'Summary of Temporaries '!M17-'Summary of Temporaries '!AX17</f>
        <v>1.2303099999999996</v>
      </c>
      <c r="O17" s="403">
        <f t="shared" si="4"/>
        <v>877.09</v>
      </c>
      <c r="P17" s="421">
        <f t="shared" si="5"/>
        <v>0</v>
      </c>
      <c r="Q17" s="250">
        <f>'[9]Rates in summary'!D17+'Summary of Temporaries '!N17+'Summary of Temporaries '!O17-'Summary of Temporaries '!AY17</f>
        <v>1.2295899999999995</v>
      </c>
      <c r="R17" s="403">
        <f t="shared" si="6"/>
        <v>876.51</v>
      </c>
      <c r="S17" s="421">
        <f t="shared" si="7"/>
        <v>-1E-3</v>
      </c>
      <c r="T17" s="252">
        <f>'[9]Rates in detail'!D17+'Summary of Temporaries '!T17-'Summary of Temporaries '!BD17+'Summary of Temporaries '!S17-'Summary of Temporaries '!BC17+'Summary of Temporaries '!P17-'Summary of Temporaries '!BB17++'Summary of Temporaries '!Q17-'Summary of Temporaries '!AW17</f>
        <v>1.2298399999999996</v>
      </c>
      <c r="U17" s="423">
        <f t="shared" si="8"/>
        <v>876.71</v>
      </c>
      <c r="V17" s="422">
        <f t="shared" si="9"/>
        <v>0</v>
      </c>
      <c r="W17" s="250">
        <f>'[9]Rates in summary'!D17+'Summary of Temporaries '!R17-'Summary of Temporaries '!AZ17</f>
        <v>1.2306999999999997</v>
      </c>
      <c r="X17" s="403">
        <f t="shared" si="10"/>
        <v>877.39742909653978</v>
      </c>
      <c r="Y17" s="421">
        <f t="shared" si="11"/>
        <v>3.5051031996687852E-4</v>
      </c>
      <c r="Z17" s="250">
        <f>'[9]Rates in summary'!D17+[9]Permanents!F17</f>
        <v>1.2303999999999995</v>
      </c>
      <c r="AA17" s="403">
        <f t="shared" si="12"/>
        <v>877.15742909653966</v>
      </c>
      <c r="AB17" s="421">
        <f t="shared" si="13"/>
        <v>7.6878195555332634E-5</v>
      </c>
      <c r="AC17" s="484">
        <f>'[9]Rates in summary'!D17+'Summary of Temporaries '!U17-'Summary of Temporaries '!BE17</f>
        <v>1.2303099999999996</v>
      </c>
      <c r="AD17" s="419">
        <f t="shared" si="14"/>
        <v>877.08542909653977</v>
      </c>
      <c r="AE17" s="483">
        <f t="shared" si="15"/>
        <v>-5.2114417679626303E-6</v>
      </c>
      <c r="AF17" s="250">
        <f>'[9]Rates in summary'!D17+'Summary of Temporaries '!V17-'Summary of Temporaries '!BF17</f>
        <v>1.2303099999999993</v>
      </c>
      <c r="AG17" s="403">
        <f t="shared" si="16"/>
        <v>877.08542909653954</v>
      </c>
      <c r="AH17" s="421">
        <f t="shared" si="17"/>
        <v>-5.2114417682218664E-6</v>
      </c>
      <c r="AI17" s="250">
        <f>'[9]Rates in summary'!G17+'Summary of Temporaries '!J17</f>
        <v>1.1558999999999997</v>
      </c>
      <c r="AJ17" s="403">
        <f t="shared" si="18"/>
        <v>817.56</v>
      </c>
      <c r="AK17" s="416">
        <f t="shared" si="19"/>
        <v>-6.8000000000000005E-2</v>
      </c>
      <c r="AL17" s="250">
        <f>+'[9]Rates in summary'!Q17</f>
        <v>1.1551899999999997</v>
      </c>
      <c r="AM17" s="403">
        <f t="shared" si="20"/>
        <v>816.99</v>
      </c>
      <c r="AN17" s="416">
        <f t="shared" si="21"/>
        <v>-6.9000000000000006E-2</v>
      </c>
      <c r="AO17" s="380"/>
      <c r="AP17" s="383"/>
      <c r="AQ17" s="381">
        <f t="shared" si="22"/>
        <v>0</v>
      </c>
      <c r="AR17" s="381">
        <f t="shared" si="23"/>
        <v>0</v>
      </c>
      <c r="AS17" s="381">
        <f t="shared" si="24"/>
        <v>-7.5119999999999854E-2</v>
      </c>
      <c r="AT17" s="381">
        <f t="shared" si="25"/>
        <v>-7.5119999999999854E-2</v>
      </c>
      <c r="AU17" s="249">
        <f>+'[9]Rates in summary'!D17+'Summary of Temporaries '!K17+'Summary of Temporaries '!M17+'Summary of Temporaries '!L17-'Summary of Temporaries '!AZ17</f>
        <v>1.2237499999999997</v>
      </c>
      <c r="AV17" s="399">
        <f t="shared" si="26"/>
        <v>871.84</v>
      </c>
      <c r="AW17" s="482">
        <f t="shared" si="27"/>
        <v>-6.0000000000000001E-3</v>
      </c>
      <c r="AX17" s="325"/>
      <c r="AY17" s="325"/>
      <c r="AZ17" s="325"/>
      <c r="BA17" s="474" t="s">
        <v>59</v>
      </c>
      <c r="BB17" s="473">
        <f t="shared" si="28"/>
        <v>877.09</v>
      </c>
      <c r="BC17" s="473">
        <f t="shared" si="29"/>
        <v>876.71</v>
      </c>
      <c r="BD17" s="471">
        <f t="shared" si="30"/>
        <v>-0.37999999999999545</v>
      </c>
      <c r="BE17" s="470">
        <f t="shared" si="31"/>
        <v>0</v>
      </c>
    </row>
    <row r="18" spans="1:57" x14ac:dyDescent="0.25">
      <c r="A18" s="234">
        <f t="shared" si="0"/>
        <v>12</v>
      </c>
      <c r="B18" s="338">
        <v>27</v>
      </c>
      <c r="C18" s="338"/>
      <c r="D18" s="333">
        <f>+'[9]Washington volumes'!J18</f>
        <v>34823.1</v>
      </c>
      <c r="E18" s="485" t="s">
        <v>179</v>
      </c>
      <c r="F18" s="412">
        <f>+'[9]Washington volumes'!M18</f>
        <v>7</v>
      </c>
      <c r="G18" s="403">
        <v>9</v>
      </c>
      <c r="H18" s="403">
        <f>'[32]Aver Bill by RS'!$J18</f>
        <v>0</v>
      </c>
      <c r="I18" s="403">
        <f t="shared" si="32"/>
        <v>9</v>
      </c>
      <c r="J18" s="403">
        <f>'[32]Aver Bill by RS'!$J18</f>
        <v>0</v>
      </c>
      <c r="K18" s="403">
        <f t="shared" si="2"/>
        <v>9</v>
      </c>
      <c r="L18" s="250">
        <f>+'[9]Rates in summary'!D18</f>
        <v>1.11591</v>
      </c>
      <c r="M18" s="403">
        <f t="shared" si="3"/>
        <v>16.809999999999999</v>
      </c>
      <c r="N18" s="250">
        <f>'[9]Rates in summary'!D18+'Summary of Temporaries '!K18+'Summary of Temporaries '!L18+'Summary of Temporaries '!M18-'Summary of Temporaries '!AX18</f>
        <v>1.1693099999999998</v>
      </c>
      <c r="O18" s="403">
        <f t="shared" si="4"/>
        <v>17.190000000000001</v>
      </c>
      <c r="P18" s="421">
        <f t="shared" si="5"/>
        <v>2.3E-2</v>
      </c>
      <c r="Q18" s="250">
        <f>'[9]Rates in summary'!D18+'Summary of Temporaries '!N18+'Summary of Temporaries '!O18-'Summary of Temporaries '!AY18</f>
        <v>1.1230199999999999</v>
      </c>
      <c r="R18" s="403">
        <f t="shared" si="6"/>
        <v>16.86</v>
      </c>
      <c r="S18" s="421">
        <f t="shared" si="7"/>
        <v>3.0000000000000001E-3</v>
      </c>
      <c r="T18" s="252">
        <f>'[9]Rates in detail'!D18+'Summary of Temporaries '!T18-'Summary of Temporaries '!BD18+'Summary of Temporaries '!S18-'Summary of Temporaries '!BC18+'Summary of Temporaries '!P18-'Summary of Temporaries '!BB18++'Summary of Temporaries '!Q18-'Summary of Temporaries '!AW18</f>
        <v>1.1162100000000001</v>
      </c>
      <c r="U18" s="423">
        <f t="shared" si="8"/>
        <v>16.809999999999999</v>
      </c>
      <c r="V18" s="422">
        <f t="shared" si="9"/>
        <v>0</v>
      </c>
      <c r="W18" s="250">
        <f>'[9]Rates in summary'!D18+'Summary of Temporaries '!R18-'Summary of Temporaries '!AZ18</f>
        <v>1.1232899999999999</v>
      </c>
      <c r="X18" s="403">
        <f t="shared" si="10"/>
        <v>16.863029999999998</v>
      </c>
      <c r="Y18" s="421">
        <f t="shared" si="11"/>
        <v>3.1546698393813024E-3</v>
      </c>
      <c r="Z18" s="250">
        <f>'[9]Rates in summary'!D18+[9]Permanents!F18</f>
        <v>1.1161699999999999</v>
      </c>
      <c r="AA18" s="403">
        <f t="shared" si="12"/>
        <v>16.813189999999999</v>
      </c>
      <c r="AB18" s="421">
        <f t="shared" si="13"/>
        <v>1.897679952409296E-4</v>
      </c>
      <c r="AC18" s="484">
        <f>'[9]Rates in summary'!D18+'Summary of Temporaries '!U18-'Summary of Temporaries '!BE18</f>
        <v>1.11591</v>
      </c>
      <c r="AD18" s="419">
        <f t="shared" si="14"/>
        <v>16.81137</v>
      </c>
      <c r="AE18" s="483">
        <f t="shared" si="15"/>
        <v>8.1499107674088382E-5</v>
      </c>
      <c r="AF18" s="250">
        <f>'[9]Rates in summary'!D18+'Summary of Temporaries '!V18-'Summary of Temporaries '!BF18</f>
        <v>1.11591</v>
      </c>
      <c r="AG18" s="403">
        <f t="shared" si="16"/>
        <v>16.81137</v>
      </c>
      <c r="AH18" s="421">
        <f t="shared" si="17"/>
        <v>8.1499107674088382E-5</v>
      </c>
      <c r="AI18" s="250">
        <f>'[9]Rates in summary'!G18+'Summary of Temporaries '!J18</f>
        <v>1.0415000000000001</v>
      </c>
      <c r="AJ18" s="403">
        <f t="shared" si="18"/>
        <v>16.29</v>
      </c>
      <c r="AK18" s="416">
        <f t="shared" si="19"/>
        <v>-3.1E-2</v>
      </c>
      <c r="AL18" s="250">
        <f>+'[9]Rates in summary'!Q18</f>
        <v>1.10995</v>
      </c>
      <c r="AM18" s="403">
        <f t="shared" si="20"/>
        <v>16.77</v>
      </c>
      <c r="AN18" s="416">
        <f t="shared" si="21"/>
        <v>-2E-3</v>
      </c>
      <c r="AO18" s="380"/>
      <c r="AP18" s="383"/>
      <c r="AQ18" s="381">
        <f t="shared" si="22"/>
        <v>0</v>
      </c>
      <c r="AR18" s="381">
        <f t="shared" si="23"/>
        <v>0</v>
      </c>
      <c r="AS18" s="381">
        <f t="shared" si="24"/>
        <v>-5.9599999999999653E-3</v>
      </c>
      <c r="AT18" s="381">
        <f t="shared" si="25"/>
        <v>-5.9599999999999653E-3</v>
      </c>
      <c r="AU18" s="249">
        <f>+'[9]Rates in summary'!D18+'Summary of Temporaries '!K18+'Summary of Temporaries '!M18+'Summary of Temporaries '!L18-'Summary of Temporaries '!AZ18</f>
        <v>1.2497299999999998</v>
      </c>
      <c r="AV18" s="399">
        <f t="shared" si="26"/>
        <v>17.75</v>
      </c>
      <c r="AW18" s="482">
        <f t="shared" si="27"/>
        <v>5.6000000000000001E-2</v>
      </c>
      <c r="AX18" s="325"/>
      <c r="AY18" s="325"/>
      <c r="AZ18" s="325"/>
      <c r="BA18" s="474" t="s">
        <v>242</v>
      </c>
      <c r="BB18" s="473">
        <f t="shared" si="28"/>
        <v>16.809999999999999</v>
      </c>
      <c r="BC18" s="473">
        <f t="shared" si="29"/>
        <v>16.809999999999999</v>
      </c>
      <c r="BD18" s="471">
        <f t="shared" si="30"/>
        <v>0</v>
      </c>
      <c r="BE18" s="470">
        <f t="shared" si="31"/>
        <v>0</v>
      </c>
    </row>
    <row r="19" spans="1:57" x14ac:dyDescent="0.25">
      <c r="A19" s="234">
        <f t="shared" si="0"/>
        <v>13</v>
      </c>
      <c r="B19" s="234" t="s">
        <v>60</v>
      </c>
      <c r="C19" s="344" t="s">
        <v>61</v>
      </c>
      <c r="D19" s="323">
        <f>+'[9]Washington volumes'!J19</f>
        <v>1665389.3</v>
      </c>
      <c r="E19" s="459">
        <v>2000</v>
      </c>
      <c r="F19" s="458">
        <f>+'[9]Washington volumes'!M19</f>
        <v>3601</v>
      </c>
      <c r="G19" s="449">
        <v>250</v>
      </c>
      <c r="H19" s="449">
        <f>'[32]Aver Bill by RS'!$J19</f>
        <v>515.08785319123695</v>
      </c>
      <c r="I19" s="449">
        <f t="shared" si="32"/>
        <v>-265.08785319123695</v>
      </c>
      <c r="J19" s="449">
        <f>'[32]Aver Bill by RS'!$J19</f>
        <v>515.08785319123695</v>
      </c>
      <c r="K19" s="449">
        <f t="shared" si="2"/>
        <v>-265.08785319123695</v>
      </c>
      <c r="L19" s="325">
        <f>+'[9]Rates in summary'!D19</f>
        <v>1.0394899999999998</v>
      </c>
      <c r="M19" s="449"/>
      <c r="N19" s="325">
        <f>'[9]Rates in summary'!D19+'Summary of Temporaries '!K19+'Summary of Temporaries '!L19+'Summary of Temporaries '!M19-'Summary of Temporaries '!AX19</f>
        <v>1.0397099999999997</v>
      </c>
      <c r="O19" s="449"/>
      <c r="P19" s="451"/>
      <c r="Q19" s="325">
        <f>'[9]Rates in summary'!D19+'Summary of Temporaries '!N19+'Summary of Temporaries '!O19-'Summary of Temporaries '!AY19</f>
        <v>1.0387099999999998</v>
      </c>
      <c r="R19" s="449"/>
      <c r="S19" s="451"/>
      <c r="T19" s="481">
        <f>'[9]Rates in detail'!D19+'Summary of Temporaries '!T19-'Summary of Temporaries '!BD19+'Summary of Temporaries '!S19-'Summary of Temporaries '!BC19+'Summary of Temporaries '!P19-'Summary of Temporaries '!BB19++'Summary of Temporaries '!Q19-'Summary of Temporaries '!AW19</f>
        <v>1.0396499999999997</v>
      </c>
      <c r="U19" s="456"/>
      <c r="V19" s="455"/>
      <c r="W19" s="325">
        <f>'[9]Rates in summary'!D19+'Summary of Temporaries '!R19-'Summary of Temporaries '!AZ19</f>
        <v>1.03972</v>
      </c>
      <c r="X19" s="449"/>
      <c r="Y19" s="451"/>
      <c r="Z19" s="325">
        <f>'[9]Rates in summary'!D19+[9]Permanents!F19</f>
        <v>1.0395699999999999</v>
      </c>
      <c r="AA19" s="449"/>
      <c r="AB19" s="451"/>
      <c r="AC19" s="454">
        <f>'[9]Rates in summary'!D19+'Summary of Temporaries '!U19-'Summary of Temporaries '!BE19</f>
        <v>1.0394899999999998</v>
      </c>
      <c r="AD19" s="453"/>
      <c r="AE19" s="452"/>
      <c r="AF19" s="325">
        <f>'[9]Rates in summary'!D19+'Summary of Temporaries '!V19-'Summary of Temporaries '!BF19</f>
        <v>1.0394899999999998</v>
      </c>
      <c r="AG19" s="449"/>
      <c r="AH19" s="451"/>
      <c r="AI19" s="250">
        <f>'[9]Rates in summary'!G19+'Summary of Temporaries '!J19</f>
        <v>0.96812999999999982</v>
      </c>
      <c r="AJ19" s="449"/>
      <c r="AK19" s="450"/>
      <c r="AL19" s="325">
        <f>+'[9]Rates in summary'!Q19</f>
        <v>0.96803999999999979</v>
      </c>
      <c r="AM19" s="449"/>
      <c r="AN19" s="448"/>
      <c r="AO19" s="380"/>
      <c r="AP19" s="383"/>
      <c r="AQ19" s="381">
        <f t="shared" si="22"/>
        <v>0</v>
      </c>
      <c r="AR19" s="381">
        <f t="shared" si="23"/>
        <v>0</v>
      </c>
      <c r="AS19" s="381">
        <f t="shared" si="24"/>
        <v>-7.1450000000000014E-2</v>
      </c>
      <c r="AT19" s="381">
        <f t="shared" si="25"/>
        <v>-7.1450000000000014E-2</v>
      </c>
      <c r="AU19" s="243">
        <f>+'[9]Rates in summary'!D19+'Summary of Temporaries '!K19+'Summary of Temporaries '!M19+'Summary of Temporaries '!L19-'Summary of Temporaries '!AZ19</f>
        <v>1.0794599999999999</v>
      </c>
      <c r="AV19" s="395"/>
      <c r="AW19" s="447"/>
      <c r="AX19" s="325"/>
      <c r="AY19" s="325"/>
      <c r="AZ19" s="325"/>
      <c r="BA19" s="474" t="s">
        <v>60</v>
      </c>
      <c r="BB19" s="473">
        <f>M21</f>
        <v>3384.732146808763</v>
      </c>
      <c r="BC19" s="472">
        <f>U21</f>
        <v>3385.2421468087632</v>
      </c>
      <c r="BD19" s="471">
        <f t="shared" si="30"/>
        <v>0.51000000000021828</v>
      </c>
      <c r="BE19" s="470">
        <f t="shared" si="31"/>
        <v>0</v>
      </c>
    </row>
    <row r="20" spans="1:57" x14ac:dyDescent="0.25">
      <c r="A20" s="234">
        <f t="shared" si="0"/>
        <v>14</v>
      </c>
      <c r="B20" s="234"/>
      <c r="C20" s="344" t="s">
        <v>62</v>
      </c>
      <c r="D20" s="323">
        <f>+'[9]Washington volumes'!J20</f>
        <v>2698480.8</v>
      </c>
      <c r="E20" s="459" t="s">
        <v>243</v>
      </c>
      <c r="F20" s="458"/>
      <c r="G20" s="449"/>
      <c r="H20" s="458"/>
      <c r="I20" s="449"/>
      <c r="J20" s="458"/>
      <c r="K20" s="449"/>
      <c r="L20" s="325">
        <f>+'[9]Rates in summary'!D20</f>
        <v>0.98116000000000014</v>
      </c>
      <c r="M20" s="449"/>
      <c r="N20" s="325">
        <f>'[9]Rates in summary'!D20+'Summary of Temporaries '!K20+'Summary of Temporaries '!L20+'Summary of Temporaries '!M20-'Summary of Temporaries '!AX20</f>
        <v>0.98135000000000017</v>
      </c>
      <c r="O20" s="449"/>
      <c r="P20" s="451"/>
      <c r="Q20" s="325">
        <f>'[9]Rates in summary'!D20+'Summary of Temporaries '!N20+'Summary of Temporaries '!O20-'Summary of Temporaries '!AY20</f>
        <v>0.98047000000000017</v>
      </c>
      <c r="R20" s="449"/>
      <c r="S20" s="451"/>
      <c r="T20" s="481">
        <f>'[9]Rates in detail'!D20+'Summary of Temporaries '!T20-'Summary of Temporaries '!BD20+'Summary of Temporaries '!S20-'Summary of Temporaries '!BC20+'Summary of Temporaries '!P20-'Summary of Temporaries '!BB20++'Summary of Temporaries '!Q20-'Summary of Temporaries '!AW20</f>
        <v>0.98128000000000004</v>
      </c>
      <c r="U20" s="456"/>
      <c r="V20" s="455"/>
      <c r="W20" s="325">
        <f>'[9]Rates in summary'!D20+'Summary of Temporaries '!R20-'Summary of Temporaries '!AZ20</f>
        <v>0.98136000000000012</v>
      </c>
      <c r="X20" s="449"/>
      <c r="Y20" s="451"/>
      <c r="Z20" s="325">
        <f>'[9]Rates in summary'!D20+[9]Permanents!F20</f>
        <v>0.98123000000000016</v>
      </c>
      <c r="AA20" s="449"/>
      <c r="AB20" s="451"/>
      <c r="AC20" s="454">
        <f>'[9]Rates in summary'!D20+'Summary of Temporaries '!U20-'Summary of Temporaries '!BE20</f>
        <v>0.98116000000000014</v>
      </c>
      <c r="AD20" s="453"/>
      <c r="AE20" s="452"/>
      <c r="AF20" s="325">
        <f>'[9]Rates in summary'!D20+'Summary of Temporaries '!V20-'Summary of Temporaries '!BF20</f>
        <v>0.98116000000000014</v>
      </c>
      <c r="AG20" s="449"/>
      <c r="AH20" s="451"/>
      <c r="AI20" s="250">
        <f>'[9]Rates in summary'!G20+'Summary of Temporaries '!J20</f>
        <v>0.90980000000000005</v>
      </c>
      <c r="AJ20" s="449"/>
      <c r="AK20" s="450"/>
      <c r="AL20" s="325">
        <f>+'[9]Rates in summary'!Q20</f>
        <v>0.90969000000000011</v>
      </c>
      <c r="AM20" s="449"/>
      <c r="AN20" s="448"/>
      <c r="AO20" s="380"/>
      <c r="AP20" s="383"/>
      <c r="AQ20" s="381">
        <f t="shared" si="22"/>
        <v>0</v>
      </c>
      <c r="AR20" s="381">
        <f t="shared" si="23"/>
        <v>0</v>
      </c>
      <c r="AS20" s="381">
        <f t="shared" si="24"/>
        <v>-7.1470000000000034E-2</v>
      </c>
      <c r="AT20" s="381">
        <f t="shared" si="25"/>
        <v>-7.1470000000000034E-2</v>
      </c>
      <c r="AU20" s="243">
        <f>+'[9]Rates in summary'!D20+'Summary of Temporaries '!K20+'Summary of Temporaries '!M20+'Summary of Temporaries '!L20-'Summary of Temporaries '!AZ20</f>
        <v>1.0163700000000002</v>
      </c>
      <c r="AV20" s="395"/>
      <c r="AW20" s="447"/>
      <c r="AX20" s="325"/>
      <c r="AY20" s="325"/>
      <c r="AZ20" s="325"/>
      <c r="BA20" s="474" t="s">
        <v>64</v>
      </c>
      <c r="BB20" s="473">
        <f>M27</f>
        <v>250</v>
      </c>
      <c r="BC20" s="472">
        <f>U27</f>
        <v>250</v>
      </c>
      <c r="BD20" s="471">
        <f t="shared" si="30"/>
        <v>0</v>
      </c>
      <c r="BE20" s="470">
        <f t="shared" si="31"/>
        <v>0</v>
      </c>
    </row>
    <row r="21" spans="1:57" x14ac:dyDescent="0.25">
      <c r="A21" s="234">
        <f t="shared" si="0"/>
        <v>15</v>
      </c>
      <c r="B21" s="338"/>
      <c r="C21" s="446" t="s">
        <v>27</v>
      </c>
      <c r="D21" s="445"/>
      <c r="E21" s="444"/>
      <c r="F21" s="443"/>
      <c r="G21" s="433"/>
      <c r="H21" s="443"/>
      <c r="I21" s="433"/>
      <c r="J21" s="443"/>
      <c r="K21" s="433"/>
      <c r="L21" s="442"/>
      <c r="M21" s="433">
        <f>$I19+ROUND(IF($F19&lt;$E19,($F19*L19),IF($F19&gt;SUM($E19:$E20),(($E19*L19)+(($F19-$E19)*L20)),0)),2)</f>
        <v>3384.732146808763</v>
      </c>
      <c r="N21" s="442"/>
      <c r="O21" s="433">
        <f>$I19+ROUND(IF($F19&lt;$E19,($F19*N19),IF($F19&gt;SUM($E19:$E20),(($E19*N19)+(($F19-$E19)*N20)),0)),2)</f>
        <v>3385.4721468087628</v>
      </c>
      <c r="P21" s="417">
        <f>ROUND((O21-M21)/M21,3)</f>
        <v>0</v>
      </c>
      <c r="Q21" s="442"/>
      <c r="R21" s="433">
        <f>$I19+ROUND(IF($F19&lt;$E19,($F19*Q19),IF($F19&gt;SUM($E19:$E20),(($E19*Q19)+(($F19-$E19)*Q20)),0)),2)</f>
        <v>3382.0621468087629</v>
      </c>
      <c r="S21" s="417">
        <f>ROUND((R21-M21)/M21,3)</f>
        <v>-1E-3</v>
      </c>
      <c r="T21" s="462"/>
      <c r="U21" s="440">
        <f>$I19+ROUND(IF($F19&lt;$E19,($F19*T19),IF($F19&gt;SUM($E19:$E20),(($E19*T19)+(($F19-$E19)*T20)),0)),2)</f>
        <v>3385.2421468087632</v>
      </c>
      <c r="V21" s="439">
        <f>ROUND((U21-M21)/M21,3)</f>
        <v>0</v>
      </c>
      <c r="W21" s="442"/>
      <c r="X21" s="433">
        <f>$I19+ROUND(IF($F19&lt;$E19,($F19*W19),IF($F19&gt;SUM($E19:$E20),(($E19*W19)+(($F19-$E19)*W20)),0)),2)</f>
        <v>3385.5121468087627</v>
      </c>
      <c r="Y21" s="417">
        <f>(X21-M21)/M21</f>
        <v>2.3044659552607584E-4</v>
      </c>
      <c r="Z21" s="442"/>
      <c r="AA21" s="433">
        <f>$I19+ROUND(IF($F19&lt;$E19,($F19*Z19),IF($F19&gt;SUM($E19:$E20),(($E19*Z19)+(($F19-$E19)*Z20)),0)),2)</f>
        <v>3385.0021468087634</v>
      </c>
      <c r="AB21" s="417">
        <f>(AA21-M21)/M21</f>
        <v>7.9769975374565893E-5</v>
      </c>
      <c r="AC21" s="460"/>
      <c r="AD21" s="436">
        <f>$I19+ROUND(IF($F19&lt;$E19,($F19*AC19),IF($F19&gt;SUM($E19:$E20),(($E19*AC19)+(($F19-$E19)*AC20)),0)),2)</f>
        <v>3384.732146808763</v>
      </c>
      <c r="AE21" s="418">
        <f>(AD21-M21)/M21</f>
        <v>0</v>
      </c>
      <c r="AF21" s="442"/>
      <c r="AG21" s="433">
        <f>$K19+ROUND(IF($F19&lt;$E19,($F19*AF19),IF($F19&gt;SUM($E19:$E20),(($E19*AF19)+(($F19-$E19)*AF20)),0)),2)</f>
        <v>3384.732146808763</v>
      </c>
      <c r="AH21" s="417">
        <f>(AG21-M21)/M21</f>
        <v>0</v>
      </c>
      <c r="AI21" s="442"/>
      <c r="AJ21" s="433">
        <f>$I19+ROUND(IF($F19&lt;$E19,($F19*AI19),IF($F19&gt;SUM($E19:$E20),(($E19*AI19)+(($F19-$E19)*AI20)),0)),2)</f>
        <v>3127.7621468087627</v>
      </c>
      <c r="AK21" s="417">
        <f>ROUND((AJ21-M21)/M21,3)</f>
        <v>-7.5999999999999998E-2</v>
      </c>
      <c r="AL21" s="442"/>
      <c r="AM21" s="433">
        <f>$K19+ROUND(IF($F19&lt;$E19,($F19*AL19),IF($F19&gt;SUM($E19:$E20),(($E19*AL19)+(($F19-$E19)*AL20)),0)),2)</f>
        <v>3127.4021468087631</v>
      </c>
      <c r="AN21" s="417">
        <f>ROUND((AM21-M21)/M21,3)</f>
        <v>-7.5999999999999998E-2</v>
      </c>
      <c r="AO21" s="380"/>
      <c r="AP21" s="383"/>
      <c r="AQ21" s="381">
        <f t="shared" si="22"/>
        <v>0</v>
      </c>
      <c r="AR21" s="381">
        <f t="shared" si="23"/>
        <v>0</v>
      </c>
      <c r="AS21" s="381">
        <f t="shared" si="24"/>
        <v>0</v>
      </c>
      <c r="AT21" s="381">
        <f t="shared" si="25"/>
        <v>0</v>
      </c>
      <c r="AU21" s="431"/>
      <c r="AV21" s="430">
        <f>$I19+ROUND(IF($F19&lt;$E19,($F19*AU19),IF($F19&gt;SUM($E19:$E20),(($E19*AU19)+(($F19-$E19)*AU20)),0)),2)</f>
        <v>3521.0421468087634</v>
      </c>
      <c r="AW21" s="429">
        <f>ROUND((AV21-M21)/M21,3)</f>
        <v>0.04</v>
      </c>
      <c r="AX21" s="325"/>
      <c r="AY21" s="325"/>
      <c r="AZ21" s="325"/>
      <c r="BA21" s="474" t="s">
        <v>66</v>
      </c>
      <c r="BB21" s="473">
        <f>M33</f>
        <v>2600.6821468087628</v>
      </c>
      <c r="BC21" s="472">
        <f>U33</f>
        <v>2598.7021468087632</v>
      </c>
      <c r="BD21" s="471">
        <f t="shared" si="30"/>
        <v>-1.9799999999995634</v>
      </c>
      <c r="BE21" s="470">
        <f t="shared" si="31"/>
        <v>-1E-3</v>
      </c>
    </row>
    <row r="22" spans="1:57" x14ac:dyDescent="0.25">
      <c r="A22" s="234">
        <f t="shared" si="0"/>
        <v>16</v>
      </c>
      <c r="B22" s="234" t="s">
        <v>63</v>
      </c>
      <c r="C22" s="344" t="s">
        <v>61</v>
      </c>
      <c r="D22" s="323">
        <f>+'[9]Washington volumes'!J21</f>
        <v>331379.44452066539</v>
      </c>
      <c r="E22" s="459">
        <v>2000</v>
      </c>
      <c r="F22" s="458">
        <f>+'[9]Washington volumes'!M21</f>
        <v>3670</v>
      </c>
      <c r="G22" s="449">
        <v>250</v>
      </c>
      <c r="H22" s="449">
        <f>'[32]Aver Bill by RS'!$J22</f>
        <v>622.72278920943302</v>
      </c>
      <c r="I22" s="449">
        <f>G22-(IF(H22&gt;(F22*$H$3),(F22*$H$3),H22))</f>
        <v>-372.72278920943302</v>
      </c>
      <c r="J22" s="449">
        <f>'[32]Aver Bill by RS'!$J22</f>
        <v>622.72278920943302</v>
      </c>
      <c r="K22" s="449">
        <f>G22-(IF(J22&gt;($F22*$H$4),($F22*$H$4),J22))</f>
        <v>-372.72278920943302</v>
      </c>
      <c r="L22" s="325">
        <f>+'[9]Rates in summary'!D21</f>
        <v>0.94622000000000028</v>
      </c>
      <c r="M22" s="449"/>
      <c r="N22" s="325">
        <f>'[9]Rates in summary'!D21+'Summary of Temporaries '!K21+'Summary of Temporaries '!L21+'Summary of Temporaries '!M21-'Summary of Temporaries '!AX21</f>
        <v>0.94622000000000028</v>
      </c>
      <c r="O22" s="449"/>
      <c r="P22" s="451"/>
      <c r="Q22" s="325">
        <f>'[9]Rates in summary'!D21+'Summary of Temporaries '!N21+'Summary of Temporaries '!O21-'Summary of Temporaries '!AY21</f>
        <v>0.94593000000000038</v>
      </c>
      <c r="R22" s="449"/>
      <c r="S22" s="451"/>
      <c r="T22" s="475">
        <f>'[9]Rates in detail'!D21+'Summary of Temporaries '!T21-'Summary of Temporaries '!BD21+'Summary of Temporaries '!S21-'Summary of Temporaries '!BC21+'Summary of Temporaries '!P21-'Summary of Temporaries '!BB21++'Summary of Temporaries '!Q21-'Summary of Temporaries '!AW21</f>
        <v>0.94566000000000017</v>
      </c>
      <c r="U22" s="456"/>
      <c r="V22" s="455"/>
      <c r="W22" s="325">
        <f>'[9]Rates in summary'!D21+'Summary of Temporaries '!R21-'Summary of Temporaries '!AZ21</f>
        <v>0.94671000000000027</v>
      </c>
      <c r="X22" s="449"/>
      <c r="Y22" s="451"/>
      <c r="Z22" s="325">
        <f>'[9]Rates in summary'!D21+[9]Permanents!F21</f>
        <v>0.9462900000000003</v>
      </c>
      <c r="AA22" s="449"/>
      <c r="AB22" s="451"/>
      <c r="AC22" s="454">
        <f>'[9]Rates in summary'!D21+'Summary of Temporaries '!U21-'Summary of Temporaries '!BE21</f>
        <v>0.94622000000000028</v>
      </c>
      <c r="AD22" s="453"/>
      <c r="AE22" s="452"/>
      <c r="AF22" s="325">
        <f>'[9]Rates in summary'!D21+'Summary of Temporaries '!V21-'Summary of Temporaries '!BF21</f>
        <v>0.94622000000000039</v>
      </c>
      <c r="AG22" s="449"/>
      <c r="AH22" s="451"/>
      <c r="AI22" s="325">
        <f>'[9]Rates in summary'!G21+'Summary of Temporaries '!J21</f>
        <v>0.8748600000000003</v>
      </c>
      <c r="AJ22" s="449"/>
      <c r="AK22" s="450"/>
      <c r="AL22" s="325">
        <f>+'[9]Rates in summary'!Q21</f>
        <v>0.87457000000000029</v>
      </c>
      <c r="AM22" s="449"/>
      <c r="AN22" s="434"/>
      <c r="AO22" s="380"/>
      <c r="AP22" s="383"/>
      <c r="AQ22" s="381">
        <f t="shared" si="22"/>
        <v>0</v>
      </c>
      <c r="AR22" s="381">
        <f t="shared" si="23"/>
        <v>0</v>
      </c>
      <c r="AS22" s="381">
        <f t="shared" si="24"/>
        <v>-7.1649999999999991E-2</v>
      </c>
      <c r="AT22" s="381">
        <f t="shared" si="25"/>
        <v>-7.1649999999999991E-2</v>
      </c>
      <c r="AU22" s="243">
        <f>+'[9]Rates in summary'!D21+'Summary of Temporaries '!K21+'Summary of Temporaries '!M21+'Summary of Temporaries '!L21-'Summary of Temporaries '!AZ21</f>
        <v>0.94129000000000029</v>
      </c>
      <c r="AV22" s="395"/>
      <c r="AW22" s="463"/>
      <c r="AX22" s="325"/>
      <c r="AY22" s="325"/>
      <c r="AZ22" s="325"/>
      <c r="BA22" s="474" t="s">
        <v>75</v>
      </c>
      <c r="BB22" s="473">
        <f>M64</f>
        <v>19734.900895181614</v>
      </c>
      <c r="BC22" s="472">
        <f>U64</f>
        <v>19694.940895181615</v>
      </c>
      <c r="BD22" s="471">
        <f t="shared" si="30"/>
        <v>-39.959999999999127</v>
      </c>
      <c r="BE22" s="470">
        <f t="shared" si="31"/>
        <v>-2E-3</v>
      </c>
    </row>
    <row r="23" spans="1:57" x14ac:dyDescent="0.25">
      <c r="A23" s="234">
        <f t="shared" si="0"/>
        <v>17</v>
      </c>
      <c r="B23" s="234"/>
      <c r="C23" s="344" t="s">
        <v>62</v>
      </c>
      <c r="D23" s="323">
        <f>+'[9]Washington volumes'!J22</f>
        <v>593486.75547933462</v>
      </c>
      <c r="E23" s="459" t="s">
        <v>243</v>
      </c>
      <c r="F23" s="465"/>
      <c r="G23" s="464"/>
      <c r="H23" s="465"/>
      <c r="I23" s="464"/>
      <c r="J23" s="465"/>
      <c r="K23" s="464"/>
      <c r="L23" s="325">
        <f>+'[9]Rates in summary'!D22</f>
        <v>0.89908999999999961</v>
      </c>
      <c r="M23" s="449"/>
      <c r="N23" s="325">
        <f>'[9]Rates in summary'!D22+'Summary of Temporaries '!K22+'Summary of Temporaries '!L22+'Summary of Temporaries '!M22-'Summary of Temporaries '!AX22</f>
        <v>0.89908999999999961</v>
      </c>
      <c r="O23" s="449"/>
      <c r="P23" s="451"/>
      <c r="Q23" s="325">
        <f>'[9]Rates in summary'!D22+'Summary of Temporaries '!N22+'Summary of Temporaries '!O22-'Summary of Temporaries '!AY22</f>
        <v>0.89882999999999957</v>
      </c>
      <c r="R23" s="449"/>
      <c r="S23" s="451"/>
      <c r="T23" s="457">
        <f>'[9]Rates in detail'!D22+'Summary of Temporaries '!T22-'Summary of Temporaries '!BD22+'Summary of Temporaries '!S22-'Summary of Temporaries '!BC22+'Summary of Temporaries '!P22-'Summary of Temporaries '!BB22++'Summary of Temporaries '!Q22-'Summary of Temporaries '!AW22</f>
        <v>0.89848999999999957</v>
      </c>
      <c r="U23" s="456"/>
      <c r="V23" s="455"/>
      <c r="W23" s="325">
        <f>'[9]Rates in summary'!D22+'Summary of Temporaries '!R22-'Summary of Temporaries '!AZ22</f>
        <v>0.89952999999999961</v>
      </c>
      <c r="X23" s="449"/>
      <c r="Y23" s="451"/>
      <c r="Z23" s="325">
        <f>'[9]Rates in summary'!D22+[9]Permanents!F22</f>
        <v>0.89914999999999956</v>
      </c>
      <c r="AA23" s="449"/>
      <c r="AB23" s="451"/>
      <c r="AC23" s="454">
        <f>'[9]Rates in summary'!D22+'Summary of Temporaries '!U22-'Summary of Temporaries '!BE22</f>
        <v>0.89908999999999961</v>
      </c>
      <c r="AD23" s="453"/>
      <c r="AE23" s="452"/>
      <c r="AF23" s="325">
        <f>'[9]Rates in summary'!D22+'Summary of Temporaries '!V22-'Summary of Temporaries '!BF22</f>
        <v>0.89908999999999961</v>
      </c>
      <c r="AG23" s="449"/>
      <c r="AH23" s="451"/>
      <c r="AI23" s="325">
        <f>'[9]Rates in summary'!G22+'Summary of Temporaries '!J22</f>
        <v>0.82772999999999952</v>
      </c>
      <c r="AJ23" s="449"/>
      <c r="AK23" s="450"/>
      <c r="AL23" s="325">
        <f>+'[9]Rates in summary'!Q22</f>
        <v>0.82736999999999949</v>
      </c>
      <c r="AM23" s="449"/>
      <c r="AN23" s="434"/>
      <c r="AO23" s="380"/>
      <c r="AP23" s="383"/>
      <c r="AQ23" s="381">
        <f t="shared" si="22"/>
        <v>0</v>
      </c>
      <c r="AR23" s="381">
        <f t="shared" si="23"/>
        <v>0</v>
      </c>
      <c r="AS23" s="381">
        <f t="shared" si="24"/>
        <v>-7.1720000000000117E-2</v>
      </c>
      <c r="AT23" s="381">
        <f t="shared" si="25"/>
        <v>-7.1720000000000117E-2</v>
      </c>
      <c r="AU23" s="243">
        <f>+'[9]Rates in summary'!D22+'Summary of Temporaries '!K22+'Summary of Temporaries '!M22+'Summary of Temporaries '!L22-'Summary of Temporaries '!AZ22</f>
        <v>0.8947499999999996</v>
      </c>
      <c r="AV23" s="395"/>
      <c r="AW23" s="463"/>
      <c r="AX23" s="325"/>
      <c r="AY23" s="325"/>
      <c r="AZ23" s="325"/>
      <c r="BA23" s="480" t="s">
        <v>76</v>
      </c>
      <c r="BB23" s="479">
        <f>M71</f>
        <v>23275.48066348688</v>
      </c>
      <c r="BC23" s="478">
        <f>U71</f>
        <v>23274.30066348688</v>
      </c>
      <c r="BD23" s="477">
        <f t="shared" si="30"/>
        <v>-1.180000000000291</v>
      </c>
      <c r="BE23" s="476">
        <f t="shared" si="31"/>
        <v>0</v>
      </c>
    </row>
    <row r="24" spans="1:57" x14ac:dyDescent="0.25">
      <c r="A24" s="234">
        <f t="shared" si="0"/>
        <v>18</v>
      </c>
      <c r="B24" s="338"/>
      <c r="C24" s="446" t="s">
        <v>27</v>
      </c>
      <c r="D24" s="445"/>
      <c r="E24" s="444"/>
      <c r="F24" s="443"/>
      <c r="G24" s="433"/>
      <c r="H24" s="443"/>
      <c r="I24" s="433"/>
      <c r="J24" s="443"/>
      <c r="K24" s="433"/>
      <c r="L24" s="442"/>
      <c r="M24" s="433">
        <f>$I22+ROUND(IF($F22&lt;$E22,($F22*L22),IF($F22&gt;SUM($E22:$E23),(($E22*L22)+(($F22-$E22)*L23)),0)),2)</f>
        <v>3021.1972107905672</v>
      </c>
      <c r="N24" s="442"/>
      <c r="O24" s="433">
        <f>$I22+ROUND(IF($F22&lt;$E22,($F22*N22),IF($F22&gt;SUM($E22:$E23),(($E22*N22)+(($F22-$E22)*N23)),0)),2)</f>
        <v>3021.1972107905672</v>
      </c>
      <c r="P24" s="417">
        <f>ROUND((O24-M24)/M24,3)</f>
        <v>0</v>
      </c>
      <c r="Q24" s="442"/>
      <c r="R24" s="433">
        <f>$I22+ROUND(IF($F22&lt;$E22,($F22*Q22),IF($F22&gt;SUM($E22:$E23),(($E22*Q22)+(($F22-$E22)*Q23)),0)),2)</f>
        <v>3020.187210790567</v>
      </c>
      <c r="S24" s="417">
        <f>ROUND((R24-M24)/M24,3)</f>
        <v>0</v>
      </c>
      <c r="T24" s="462"/>
      <c r="U24" s="440">
        <f>$I22+ROUND(IF($F22&lt;$E22,($F22*T22),IF($F22&gt;SUM($E22:$E23),(($E22*T22)+(($F22-$E22)*T23)),0)),2)</f>
        <v>3019.0772107905673</v>
      </c>
      <c r="V24" s="439">
        <f>ROUND((U24-M24)/M24,3)</f>
        <v>-1E-3</v>
      </c>
      <c r="W24" s="442"/>
      <c r="X24" s="433">
        <f>$I22+ROUND(IF($F22&lt;$E22,($F22*W22),IF($F22&gt;SUM($E22:$E23),(($E22*W22)+(($F22-$E22)*W23)),0)),2)</f>
        <v>3022.917210790567</v>
      </c>
      <c r="Y24" s="417">
        <f>(X24-M24)/M24</f>
        <v>5.6931073345911154E-4</v>
      </c>
      <c r="Z24" s="442"/>
      <c r="AA24" s="433">
        <f>$I22+ROUND(IF($F22&lt;$E22,($F22*Z22),IF($F22&gt;SUM($E22:$E23),(($E22*Z22)+(($F22-$E22)*Z23)),0)),2)</f>
        <v>3021.437210790567</v>
      </c>
      <c r="AB24" s="417">
        <f>(AA24-M24)/M24</f>
        <v>7.9438706994231626E-5</v>
      </c>
      <c r="AC24" s="460"/>
      <c r="AD24" s="436">
        <f>$I22+ROUND(IF($F22&lt;$E22,($F22*AC22),IF($F22&gt;SUM($E22:$E23),(($E22*AC22)+(($F22-$E22)*AC23)),0)),2)</f>
        <v>3021.1972107905672</v>
      </c>
      <c r="AE24" s="418">
        <f>(AD24-M24)/M24</f>
        <v>0</v>
      </c>
      <c r="AF24" s="442"/>
      <c r="AG24" s="433">
        <f>$K22+ROUND(IF($F22&lt;$E22,($F22*AF22),IF($F22&gt;SUM($E22:$E23),(($E22*AF22)+(($F22-$E22)*AF23)),0)),2)</f>
        <v>3021.1972107905672</v>
      </c>
      <c r="AH24" s="417">
        <f>(AG24-M24)/M24</f>
        <v>0</v>
      </c>
      <c r="AI24" s="442"/>
      <c r="AJ24" s="433">
        <f>$I22+ROUND(IF($F22&lt;$E22,($F22*AI22),IF($F22&gt;SUM($E22:$E23),(($E22*AI22)+(($F22-$E22)*AI23)),0)),2)</f>
        <v>2759.3072107905673</v>
      </c>
      <c r="AK24" s="432">
        <f>ROUND((AJ24-M24)/M24,3)</f>
        <v>-8.6999999999999994E-2</v>
      </c>
      <c r="AL24" s="442"/>
      <c r="AM24" s="433">
        <f>$K22+ROUND(IF($F22&lt;$E22,($F22*AL22),IF($F22&gt;SUM($E22:$E23),(($E22*AL22)+(($F22-$E22)*AL23)),0)),2)</f>
        <v>2758.127210790567</v>
      </c>
      <c r="AN24" s="432">
        <f>ROUND((AM24-M24)/M24,3)</f>
        <v>-8.6999999999999994E-2</v>
      </c>
      <c r="AO24" s="380"/>
      <c r="AP24" s="383"/>
      <c r="AQ24" s="381">
        <f t="shared" si="22"/>
        <v>0</v>
      </c>
      <c r="AR24" s="381">
        <f t="shared" si="23"/>
        <v>0</v>
      </c>
      <c r="AS24" s="381">
        <f t="shared" si="24"/>
        <v>0</v>
      </c>
      <c r="AT24" s="381">
        <f t="shared" si="25"/>
        <v>0</v>
      </c>
      <c r="AU24" s="431"/>
      <c r="AV24" s="430">
        <f>$I22+ROUND(IF($F22&lt;$E22,($F22*AU22),IF($F22&gt;SUM($E22:$E23),(($E22*AU22)+(($F22-$E22)*AU23)),0)),2)</f>
        <v>3004.087210790567</v>
      </c>
      <c r="AW24" s="429">
        <f>ROUND((AV24-M24)/M24,3)</f>
        <v>-6.0000000000000001E-3</v>
      </c>
      <c r="AX24" s="325"/>
      <c r="AY24" s="325"/>
      <c r="AZ24" s="325"/>
      <c r="BA24" s="474" t="s">
        <v>77</v>
      </c>
      <c r="BB24" s="473">
        <f>M78</f>
        <v>8660.1508951816159</v>
      </c>
      <c r="BC24" s="472">
        <f>U78</f>
        <v>8650.7508951816162</v>
      </c>
      <c r="BD24" s="471">
        <f t="shared" si="30"/>
        <v>-9.3999999999996362</v>
      </c>
      <c r="BE24" s="470">
        <f t="shared" si="31"/>
        <v>-1E-3</v>
      </c>
    </row>
    <row r="25" spans="1:57" x14ac:dyDescent="0.25">
      <c r="A25" s="234">
        <f t="shared" si="0"/>
        <v>19</v>
      </c>
      <c r="B25" s="234" t="s">
        <v>64</v>
      </c>
      <c r="C25" s="344" t="s">
        <v>61</v>
      </c>
      <c r="D25" s="323">
        <f>+'[9]Washington volumes'!J23</f>
        <v>0</v>
      </c>
      <c r="E25" s="459">
        <v>2000</v>
      </c>
      <c r="F25" s="458">
        <f>+'[9]Washington volumes'!M23</f>
        <v>0</v>
      </c>
      <c r="G25" s="449">
        <v>250</v>
      </c>
      <c r="H25" s="449">
        <f>'[32]Aver Bill by RS'!$J25</f>
        <v>515.08785319123695</v>
      </c>
      <c r="I25" s="449">
        <f>G25-(IF(H25&gt;(F25*$H$3),(F25*$H$3),H25))</f>
        <v>250</v>
      </c>
      <c r="J25" s="449">
        <f>'[32]Aver Bill by RS'!$J25</f>
        <v>515.08785319123695</v>
      </c>
      <c r="K25" s="449">
        <f>G25-(IF(J25&gt;($F25*$H$4),($F25*$H$4),J25))</f>
        <v>250</v>
      </c>
      <c r="L25" s="325">
        <f>+'[9]Rates in summary'!D23</f>
        <v>0.96427000000000007</v>
      </c>
      <c r="M25" s="449"/>
      <c r="N25" s="325">
        <f>'[9]Rates in summary'!D23+'Summary of Temporaries '!K23+'Summary of Temporaries '!L23+'Summary of Temporaries '!M23-'Summary of Temporaries '!AX23</f>
        <v>0.9654600000000001</v>
      </c>
      <c r="O25" s="449"/>
      <c r="P25" s="451"/>
      <c r="Q25" s="325">
        <f>'[9]Rates in summary'!D23+'Summary of Temporaries '!N23+'Summary of Temporaries '!O23-'Summary of Temporaries '!AY23</f>
        <v>0.96372000000000013</v>
      </c>
      <c r="R25" s="449"/>
      <c r="S25" s="451"/>
      <c r="T25" s="475">
        <f>'[9]Rates in detail'!D23+'Summary of Temporaries '!T23-'Summary of Temporaries '!BD23+'Summary of Temporaries '!S23-'Summary of Temporaries '!BC23+'Summary of Temporaries '!P23-'Summary of Temporaries '!BB23++'Summary of Temporaries '!Q23-'Summary of Temporaries '!AW23</f>
        <v>0.9646300000000001</v>
      </c>
      <c r="U25" s="456"/>
      <c r="V25" s="455"/>
      <c r="W25" s="325">
        <f>'[9]Rates in summary'!D23+'Summary of Temporaries '!R23-'Summary of Temporaries '!AZ23</f>
        <v>0.96459000000000006</v>
      </c>
      <c r="X25" s="449"/>
      <c r="Y25" s="451"/>
      <c r="Z25" s="325">
        <f>'[9]Rates in summary'!D23+[9]Permanents!F23</f>
        <v>0.96434000000000009</v>
      </c>
      <c r="AA25" s="449"/>
      <c r="AB25" s="451"/>
      <c r="AC25" s="454">
        <f>'[9]Rates in summary'!D23+'Summary of Temporaries '!U23-'Summary of Temporaries '!BE23</f>
        <v>0.96427000000000007</v>
      </c>
      <c r="AD25" s="453"/>
      <c r="AE25" s="452"/>
      <c r="AF25" s="325">
        <f>'[9]Rates in summary'!D23+'Summary of Temporaries '!V23-'Summary of Temporaries '!BF23</f>
        <v>0.96427000000000007</v>
      </c>
      <c r="AG25" s="449"/>
      <c r="AH25" s="451"/>
      <c r="AI25" s="325">
        <f>'[9]Rates in summary'!G23+'Summary of Temporaries '!J23</f>
        <v>0.92520999999999998</v>
      </c>
      <c r="AJ25" s="449"/>
      <c r="AK25" s="450"/>
      <c r="AL25" s="325">
        <f>+'[9]Rates in summary'!Q23</f>
        <v>0.92659999999999998</v>
      </c>
      <c r="AM25" s="449"/>
      <c r="AN25" s="434"/>
      <c r="AO25" s="380"/>
      <c r="AP25" s="383"/>
      <c r="AQ25" s="381">
        <f t="shared" si="22"/>
        <v>0</v>
      </c>
      <c r="AR25" s="381">
        <f t="shared" si="23"/>
        <v>0</v>
      </c>
      <c r="AS25" s="381">
        <f t="shared" si="24"/>
        <v>-3.7670000000000092E-2</v>
      </c>
      <c r="AT25" s="381">
        <f t="shared" si="25"/>
        <v>-3.7670000000000092E-2</v>
      </c>
      <c r="AU25" s="243">
        <f>+'[9]Rates in summary'!D23+'Summary of Temporaries '!K23+'Summary of Temporaries '!M23+'Summary of Temporaries '!L23-'Summary of Temporaries '!AZ23</f>
        <v>1.0006200000000001</v>
      </c>
      <c r="AV25" s="395"/>
      <c r="AW25" s="463"/>
      <c r="AX25" s="325"/>
      <c r="AY25" s="325"/>
      <c r="AZ25" s="325"/>
      <c r="BA25" s="474" t="s">
        <v>163</v>
      </c>
      <c r="BB25" s="473">
        <f>M36</f>
        <v>500</v>
      </c>
      <c r="BC25" s="472">
        <f>U36</f>
        <v>500</v>
      </c>
      <c r="BD25" s="471">
        <f t="shared" si="30"/>
        <v>0</v>
      </c>
      <c r="BE25" s="470">
        <f t="shared" si="31"/>
        <v>0</v>
      </c>
    </row>
    <row r="26" spans="1:57" x14ac:dyDescent="0.25">
      <c r="A26" s="234">
        <f t="shared" si="0"/>
        <v>20</v>
      </c>
      <c r="B26" s="234"/>
      <c r="C26" s="344" t="s">
        <v>62</v>
      </c>
      <c r="D26" s="323">
        <f>+'[9]Washington volumes'!J24</f>
        <v>0</v>
      </c>
      <c r="E26" s="459" t="s">
        <v>243</v>
      </c>
      <c r="F26" s="465"/>
      <c r="G26" s="464"/>
      <c r="H26" s="465"/>
      <c r="I26" s="464"/>
      <c r="J26" s="465"/>
      <c r="K26" s="464"/>
      <c r="L26" s="325">
        <f>+'[9]Rates in summary'!D24</f>
        <v>0.91047000000000022</v>
      </c>
      <c r="M26" s="449"/>
      <c r="N26" s="325">
        <f>'[9]Rates in summary'!D24+'Summary of Temporaries '!K24+'Summary of Temporaries '!L24+'Summary of Temporaries '!M24-'Summary of Temporaries '!AX24</f>
        <v>0.9115000000000002</v>
      </c>
      <c r="O26" s="449"/>
      <c r="P26" s="451"/>
      <c r="Q26" s="325">
        <f>'[9]Rates in summary'!D24+'Summary of Temporaries '!N24+'Summary of Temporaries '!O24-'Summary of Temporaries '!AY24</f>
        <v>0.90997000000000017</v>
      </c>
      <c r="R26" s="449"/>
      <c r="S26" s="451"/>
      <c r="T26" s="457">
        <f>'[9]Rates in detail'!D24+'Summary of Temporaries '!T24-'Summary of Temporaries '!BD24+'Summary of Temporaries '!S24-'Summary of Temporaries '!BC24+'Summary of Temporaries '!P24-'Summary of Temporaries '!BB24++'Summary of Temporaries '!Q24-'Summary of Temporaries '!AW24</f>
        <v>0.91079000000000032</v>
      </c>
      <c r="U26" s="456"/>
      <c r="V26" s="455"/>
      <c r="W26" s="325">
        <f>'[9]Rates in summary'!D24+'Summary of Temporaries '!R24-'Summary of Temporaries '!AZ24</f>
        <v>0.91075000000000028</v>
      </c>
      <c r="X26" s="449"/>
      <c r="Y26" s="451"/>
      <c r="Z26" s="325">
        <f>'[9]Rates in summary'!D24+[9]Permanents!F24</f>
        <v>0.91053000000000017</v>
      </c>
      <c r="AA26" s="449"/>
      <c r="AB26" s="451"/>
      <c r="AC26" s="454">
        <f>'[9]Rates in summary'!D24+'Summary of Temporaries '!U24-'Summary of Temporaries '!BE24</f>
        <v>0.91047000000000022</v>
      </c>
      <c r="AD26" s="453"/>
      <c r="AE26" s="452"/>
      <c r="AF26" s="325">
        <f>'[9]Rates in summary'!D24+'Summary of Temporaries '!V24-'Summary of Temporaries '!BF24</f>
        <v>0.91047000000000022</v>
      </c>
      <c r="AG26" s="449"/>
      <c r="AH26" s="451"/>
      <c r="AI26" s="325">
        <f>'[9]Rates in summary'!G24+'Summary of Temporaries '!J24</f>
        <v>0.87141000000000013</v>
      </c>
      <c r="AJ26" s="449"/>
      <c r="AK26" s="450"/>
      <c r="AL26" s="325">
        <f>+'[9]Rates in summary'!Q24</f>
        <v>0.87260000000000026</v>
      </c>
      <c r="AM26" s="449"/>
      <c r="AN26" s="434"/>
      <c r="AO26" s="380"/>
      <c r="AP26" s="383"/>
      <c r="AQ26" s="381">
        <f t="shared" si="22"/>
        <v>0</v>
      </c>
      <c r="AR26" s="381">
        <f t="shared" si="23"/>
        <v>0</v>
      </c>
      <c r="AS26" s="381">
        <f t="shared" si="24"/>
        <v>-3.7869999999999959E-2</v>
      </c>
      <c r="AT26" s="381">
        <f t="shared" si="25"/>
        <v>-3.7869999999999959E-2</v>
      </c>
      <c r="AU26" s="243">
        <f>+'[9]Rates in summary'!D24+'Summary of Temporaries '!K24+'Summary of Temporaries '!M24+'Summary of Temporaries '!L24-'Summary of Temporaries '!AZ24</f>
        <v>0.94249000000000027</v>
      </c>
      <c r="AV26" s="395"/>
      <c r="AW26" s="463"/>
      <c r="AX26" s="325"/>
      <c r="AY26" s="325"/>
      <c r="AZ26" s="325"/>
      <c r="BA26" s="474" t="s">
        <v>63</v>
      </c>
      <c r="BB26" s="473">
        <f>M24</f>
        <v>3021.1972107905672</v>
      </c>
      <c r="BC26" s="472">
        <f>U24</f>
        <v>3019.0772107905673</v>
      </c>
      <c r="BD26" s="471">
        <f t="shared" si="30"/>
        <v>-2.1199999999998909</v>
      </c>
      <c r="BE26" s="470">
        <f t="shared" si="31"/>
        <v>-1E-3</v>
      </c>
    </row>
    <row r="27" spans="1:57" x14ac:dyDescent="0.25">
      <c r="A27" s="234">
        <f t="shared" si="0"/>
        <v>21</v>
      </c>
      <c r="B27" s="338"/>
      <c r="C27" s="446" t="s">
        <v>27</v>
      </c>
      <c r="D27" s="445"/>
      <c r="E27" s="444"/>
      <c r="F27" s="443"/>
      <c r="G27" s="433"/>
      <c r="H27" s="443"/>
      <c r="I27" s="433"/>
      <c r="J27" s="443"/>
      <c r="K27" s="433"/>
      <c r="L27" s="442"/>
      <c r="M27" s="433">
        <f>$I25+ROUND(IF($F25&lt;$E25,($F25*L25),IF($F25&gt;SUM($E25:$E25),(($E25*L25)+(($F25-$E25)*L25)),0)),2)</f>
        <v>250</v>
      </c>
      <c r="N27" s="442"/>
      <c r="O27" s="433">
        <f>$I25+ROUND(IF($F25&lt;$E25,($F25*N25),IF($F25&gt;SUM($E25:$E26),(($E25*N25)+(($F25-$E25)*N26)),0)),2)</f>
        <v>250</v>
      </c>
      <c r="P27" s="417">
        <f>ROUND((O27-M27)/M27,3)</f>
        <v>0</v>
      </c>
      <c r="Q27" s="442"/>
      <c r="R27" s="433">
        <f>$I25+ROUND(IF($F25&lt;$E25,($F25*Q25),IF($F25&gt;SUM($E25:$E26),(($E25*Q25)+(($F25-$E25)*Q26)),0)),2)</f>
        <v>250</v>
      </c>
      <c r="S27" s="417">
        <f>ROUND((R27-M27)/M27,3)</f>
        <v>0</v>
      </c>
      <c r="T27" s="462"/>
      <c r="U27" s="440">
        <f>$I25+ROUND(IF($F25&lt;$E25,($F25*T25),IF($F25&gt;SUM($E25:$E26),(($E25*T25)+(($F25-$E25)*T26)),0)),2)</f>
        <v>250</v>
      </c>
      <c r="V27" s="439">
        <f>ROUND((U27-M27)/M27,3)</f>
        <v>0</v>
      </c>
      <c r="W27" s="442"/>
      <c r="X27" s="433">
        <f>$I25+ROUND(IF($F25&lt;$E25,($F25*W25),IF($F25&gt;SUM($E25:$E26),(($E25*W25)+(($F25-$E25)*W26)),0)),2)</f>
        <v>250</v>
      </c>
      <c r="Y27" s="417">
        <f>(X27-M27)/M27</f>
        <v>0</v>
      </c>
      <c r="Z27" s="442"/>
      <c r="AA27" s="433">
        <f>$I25+ROUND(IF($F25&lt;$E25,($F25*Z25),IF($F25&gt;SUM($E25:$E26),(($E25*Z25)+(($F25-$E25)*Z26)),0)),2)</f>
        <v>250</v>
      </c>
      <c r="AB27" s="417">
        <f>(AA27-M27)/M27</f>
        <v>0</v>
      </c>
      <c r="AC27" s="460"/>
      <c r="AD27" s="436">
        <f>$I25+ROUND(IF($F25&lt;$E25,($F25*AC25),IF($F25&gt;SUM($E25:$E26),(($E25*AC25)+(($F25-$E25)*AC26)),0)),2)</f>
        <v>250</v>
      </c>
      <c r="AE27" s="418">
        <f>(AD27-M27)/M27</f>
        <v>0</v>
      </c>
      <c r="AF27" s="442"/>
      <c r="AG27" s="433">
        <f>$K25+ROUND(IF($F25&lt;$E25,($F25*AF25),IF($F25&gt;SUM($E25:$E26),(($E25*AF25)+(($F25-$E25)*AF26)),0)),2)</f>
        <v>250</v>
      </c>
      <c r="AH27" s="417">
        <f>(AG27-M27)/M27</f>
        <v>0</v>
      </c>
      <c r="AI27" s="442"/>
      <c r="AJ27" s="433">
        <f>$I25+ROUND(IF($F25&lt;$E25,($F25*AI25),IF($F25&gt;SUM($E25:$E25),(($E25*AI25)+(($F25-$E25)*AI25)),0)),2)</f>
        <v>250</v>
      </c>
      <c r="AK27" s="432">
        <f>ROUND((AJ27-M27)/M27,3)</f>
        <v>0</v>
      </c>
      <c r="AL27" s="442"/>
      <c r="AM27" s="433">
        <f>$K25+ROUND(IF($F25&lt;$E25,($F25*AL25),IF($F25&gt;SUM($E25:$E25),(($E25*AL25)+(($F25-$E25)*AL25)),0)),2)</f>
        <v>250</v>
      </c>
      <c r="AN27" s="432">
        <f>ROUND((AM27-M27)/M27,3)</f>
        <v>0</v>
      </c>
      <c r="AO27" s="380"/>
      <c r="AP27" s="383"/>
      <c r="AQ27" s="381">
        <f t="shared" si="22"/>
        <v>0</v>
      </c>
      <c r="AR27" s="381">
        <f t="shared" si="23"/>
        <v>0</v>
      </c>
      <c r="AS27" s="381">
        <f t="shared" si="24"/>
        <v>0</v>
      </c>
      <c r="AT27" s="381">
        <f t="shared" si="25"/>
        <v>0</v>
      </c>
      <c r="AU27" s="431"/>
      <c r="AV27" s="430">
        <f>$I25+ROUND(IF($F25&lt;$E25,($F25*AU25),IF($F25&gt;SUM($E25:$E25),(($E25*AU25)+(($F25-$E25)*AU25)),0)),2)</f>
        <v>250</v>
      </c>
      <c r="AW27" s="429">
        <f>ROUND((AV27-M27)/M27,3)</f>
        <v>0</v>
      </c>
      <c r="AX27" s="325"/>
      <c r="AY27" s="325"/>
      <c r="AZ27" s="325"/>
      <c r="BA27" s="474" t="s">
        <v>65</v>
      </c>
      <c r="BB27" s="473">
        <f>M30</f>
        <v>250</v>
      </c>
      <c r="BC27" s="472">
        <f>U30</f>
        <v>250</v>
      </c>
      <c r="BD27" s="471">
        <f t="shared" si="30"/>
        <v>0</v>
      </c>
      <c r="BE27" s="470">
        <f t="shared" si="31"/>
        <v>0</v>
      </c>
    </row>
    <row r="28" spans="1:57" x14ac:dyDescent="0.25">
      <c r="A28" s="234">
        <f t="shared" si="0"/>
        <v>22</v>
      </c>
      <c r="B28" s="234" t="s">
        <v>65</v>
      </c>
      <c r="C28" s="344" t="s">
        <v>61</v>
      </c>
      <c r="D28" s="323">
        <f>+'[9]Washington volumes'!J25</f>
        <v>0</v>
      </c>
      <c r="E28" s="459">
        <v>2000</v>
      </c>
      <c r="F28" s="458">
        <f>+'[9]Washington volumes'!M25</f>
        <v>0</v>
      </c>
      <c r="G28" s="449">
        <v>250</v>
      </c>
      <c r="H28" s="449">
        <f>'[32]Aver Bill by RS'!$J28</f>
        <v>622.72278920943302</v>
      </c>
      <c r="I28" s="449">
        <f>G28-(IF(H28&gt;(F28*$H$3),(F28*$H$3),H28))</f>
        <v>250</v>
      </c>
      <c r="J28" s="449">
        <f>'[32]Aver Bill by RS'!$J28</f>
        <v>622.72278920943302</v>
      </c>
      <c r="K28" s="449">
        <f>G28-(IF(J28&gt;($F28*$H$4),($F28*$H$4),J28))</f>
        <v>250</v>
      </c>
      <c r="L28" s="325">
        <f>+'[9]Rates in summary'!D25</f>
        <v>0.90245000000000009</v>
      </c>
      <c r="M28" s="449"/>
      <c r="N28" s="325">
        <f>'[9]Rates in summary'!D25+'Summary of Temporaries '!K25+'Summary of Temporaries '!L25+'Summary of Temporaries '!M25-'Summary of Temporaries '!AX25</f>
        <v>0.90245000000000009</v>
      </c>
      <c r="O28" s="449"/>
      <c r="P28" s="451"/>
      <c r="Q28" s="325">
        <f>'[9]Rates in summary'!D25+'Summary of Temporaries '!N25+'Summary of Temporaries '!O25-'Summary of Temporaries '!AY25</f>
        <v>0.90190999999999999</v>
      </c>
      <c r="R28" s="449"/>
      <c r="S28" s="451"/>
      <c r="T28" s="475">
        <f>'[9]Rates in detail'!D25+'Summary of Temporaries '!T25-'Summary of Temporaries '!BD25+'Summary of Temporaries '!S25-'Summary of Temporaries '!BC25+'Summary of Temporaries '!P25-'Summary of Temporaries '!BB25++'Summary of Temporaries '!Q25-'Summary of Temporaries '!AW25</f>
        <v>0.90211000000000008</v>
      </c>
      <c r="U28" s="456"/>
      <c r="V28" s="455"/>
      <c r="W28" s="325">
        <f>'[9]Rates in summary'!D25+'Summary of Temporaries '!R25-'Summary of Temporaries '!AZ25</f>
        <v>0.90276000000000001</v>
      </c>
      <c r="X28" s="449"/>
      <c r="Y28" s="451"/>
      <c r="Z28" s="325">
        <f>'[9]Rates in summary'!D25+[9]Permanents!F25</f>
        <v>0.9025200000000001</v>
      </c>
      <c r="AA28" s="449"/>
      <c r="AB28" s="451"/>
      <c r="AC28" s="454">
        <f>'[9]Rates in summary'!D25+'Summary of Temporaries '!U25-'Summary of Temporaries '!BE25</f>
        <v>0.90245000000000009</v>
      </c>
      <c r="AD28" s="453"/>
      <c r="AE28" s="452"/>
      <c r="AF28" s="325">
        <f>'[9]Rates in summary'!D25+'Summary of Temporaries '!V25-'Summary of Temporaries '!BF25</f>
        <v>0.90245000000000009</v>
      </c>
      <c r="AG28" s="449"/>
      <c r="AH28" s="451"/>
      <c r="AI28" s="325">
        <f>'[9]Rates in summary'!G25+'Summary of Temporaries '!J25</f>
        <v>0.86338999999999999</v>
      </c>
      <c r="AJ28" s="449"/>
      <c r="AK28" s="450"/>
      <c r="AL28" s="325">
        <f>+'[9]Rates in summary'!Q25</f>
        <v>0.86289000000000005</v>
      </c>
      <c r="AM28" s="449"/>
      <c r="AN28" s="448"/>
      <c r="AO28" s="380"/>
      <c r="AP28" s="383"/>
      <c r="AQ28" s="381">
        <f t="shared" si="22"/>
        <v>0</v>
      </c>
      <c r="AR28" s="381">
        <f t="shared" si="23"/>
        <v>0</v>
      </c>
      <c r="AS28" s="381">
        <f t="shared" si="24"/>
        <v>-3.956000000000004E-2</v>
      </c>
      <c r="AT28" s="381">
        <f t="shared" si="25"/>
        <v>-3.956000000000004E-2</v>
      </c>
      <c r="AU28" s="243">
        <f>+'[9]Rates in summary'!D25+'Summary of Temporaries '!K25+'Summary of Temporaries '!M25+'Summary of Temporaries '!L25-'Summary of Temporaries '!AZ25</f>
        <v>0.89729000000000003</v>
      </c>
      <c r="AV28" s="395"/>
      <c r="AW28" s="447"/>
      <c r="AX28" s="325"/>
      <c r="AY28" s="325"/>
      <c r="AZ28" s="325"/>
      <c r="BA28" s="474" t="s">
        <v>244</v>
      </c>
      <c r="BB28" s="473">
        <f>M85</f>
        <v>1550</v>
      </c>
      <c r="BC28" s="472">
        <f>U85</f>
        <v>1550</v>
      </c>
      <c r="BD28" s="471">
        <f t="shared" si="30"/>
        <v>0</v>
      </c>
      <c r="BE28" s="470">
        <f t="shared" si="31"/>
        <v>0</v>
      </c>
    </row>
    <row r="29" spans="1:57" x14ac:dyDescent="0.25">
      <c r="A29" s="234">
        <f t="shared" si="0"/>
        <v>23</v>
      </c>
      <c r="B29" s="234"/>
      <c r="C29" s="344" t="s">
        <v>62</v>
      </c>
      <c r="D29" s="323">
        <f>+'[9]Washington volumes'!J26</f>
        <v>0</v>
      </c>
      <c r="E29" s="459" t="s">
        <v>243</v>
      </c>
      <c r="F29" s="458"/>
      <c r="G29" s="449"/>
      <c r="H29" s="458"/>
      <c r="I29" s="449"/>
      <c r="J29" s="458"/>
      <c r="K29" s="449"/>
      <c r="L29" s="325">
        <f>+'[9]Rates in summary'!D26</f>
        <v>0.8560899999999998</v>
      </c>
      <c r="M29" s="449"/>
      <c r="N29" s="325">
        <f>'[9]Rates in summary'!D26+'Summary of Temporaries '!K26+'Summary of Temporaries '!L26+'Summary of Temporaries '!M26-'Summary of Temporaries '!AX26</f>
        <v>0.8560899999999998</v>
      </c>
      <c r="O29" s="449"/>
      <c r="P29" s="451"/>
      <c r="Q29" s="325">
        <f>'[9]Rates in summary'!D26+'Summary of Temporaries '!N26+'Summary of Temporaries '!O26-'Summary of Temporaries '!AY26</f>
        <v>0.85562999999999978</v>
      </c>
      <c r="R29" s="449"/>
      <c r="S29" s="451"/>
      <c r="T29" s="457">
        <f>'[9]Rates in detail'!D26+'Summary of Temporaries '!T26-'Summary of Temporaries '!BD26+'Summary of Temporaries '!S26-'Summary of Temporaries '!BC26+'Summary of Temporaries '!P26-'Summary of Temporaries '!BB26++'Summary of Temporaries '!Q26-'Summary of Temporaries '!AW26</f>
        <v>0.85570999999999986</v>
      </c>
      <c r="U29" s="456"/>
      <c r="V29" s="455"/>
      <c r="W29" s="325">
        <f>'[9]Rates in summary'!D26+'Summary of Temporaries '!R26-'Summary of Temporaries '!AZ26</f>
        <v>0.85635999999999979</v>
      </c>
      <c r="X29" s="449"/>
      <c r="Y29" s="451"/>
      <c r="Z29" s="325">
        <f>'[9]Rates in summary'!D26+[9]Permanents!F26</f>
        <v>0.85614999999999974</v>
      </c>
      <c r="AA29" s="449"/>
      <c r="AB29" s="451"/>
      <c r="AC29" s="454">
        <f>'[9]Rates in summary'!D26+'Summary of Temporaries '!U26-'Summary of Temporaries '!BE26</f>
        <v>0.8560899999999998</v>
      </c>
      <c r="AD29" s="453"/>
      <c r="AE29" s="452"/>
      <c r="AF29" s="325">
        <f>'[9]Rates in summary'!D26+'Summary of Temporaries '!V26-'Summary of Temporaries '!BF26</f>
        <v>0.85608999999999968</v>
      </c>
      <c r="AG29" s="449"/>
      <c r="AH29" s="451"/>
      <c r="AI29" s="325">
        <f>'[9]Rates in summary'!G26+'Summary of Temporaries '!J26</f>
        <v>0.81702999999999981</v>
      </c>
      <c r="AJ29" s="449"/>
      <c r="AK29" s="450"/>
      <c r="AL29" s="325">
        <f>+'[9]Rates in summary'!Q26</f>
        <v>0.81651999999999991</v>
      </c>
      <c r="AM29" s="449"/>
      <c r="AN29" s="448"/>
      <c r="AO29" s="380"/>
      <c r="AP29" s="383"/>
      <c r="AQ29" s="381">
        <f t="shared" si="22"/>
        <v>0</v>
      </c>
      <c r="AR29" s="381">
        <f t="shared" si="23"/>
        <v>0</v>
      </c>
      <c r="AS29" s="381">
        <f t="shared" si="24"/>
        <v>-3.9569999999999883E-2</v>
      </c>
      <c r="AT29" s="381">
        <f t="shared" si="25"/>
        <v>-3.9569999999999883E-2</v>
      </c>
      <c r="AU29" s="243">
        <f>+'[9]Rates in summary'!D26+'Summary of Temporaries '!K26+'Summary of Temporaries '!M26+'Summary of Temporaries '!L26-'Summary of Temporaries '!AZ26</f>
        <v>0.85153999999999974</v>
      </c>
      <c r="AV29" s="395"/>
      <c r="AW29" s="447"/>
      <c r="AX29" s="325"/>
      <c r="AY29" s="325"/>
      <c r="AZ29" s="325"/>
      <c r="BA29" s="474" t="s">
        <v>245</v>
      </c>
      <c r="BB29" s="473">
        <f>M92</f>
        <v>27094.530895181615</v>
      </c>
      <c r="BC29" s="472">
        <f>U92</f>
        <v>27038.540895181617</v>
      </c>
      <c r="BD29" s="471">
        <f t="shared" si="30"/>
        <v>-55.989999999997963</v>
      </c>
      <c r="BE29" s="470">
        <f t="shared" si="31"/>
        <v>-2E-3</v>
      </c>
    </row>
    <row r="30" spans="1:57" x14ac:dyDescent="0.25">
      <c r="A30" s="234">
        <f t="shared" si="0"/>
        <v>24</v>
      </c>
      <c r="B30" s="338"/>
      <c r="C30" s="446" t="s">
        <v>27</v>
      </c>
      <c r="D30" s="445"/>
      <c r="E30" s="444"/>
      <c r="F30" s="443"/>
      <c r="G30" s="433"/>
      <c r="H30" s="443"/>
      <c r="I30" s="433"/>
      <c r="J30" s="443"/>
      <c r="K30" s="433"/>
      <c r="L30" s="442"/>
      <c r="M30" s="433">
        <f>$I28+ROUND(IF($F28&lt;$E28,($F28*L28),IF($F28&gt;SUM($E28:$E29),(($E28*L28)+(($F28-$E28)*L29)),0)),2)</f>
        <v>250</v>
      </c>
      <c r="N30" s="442"/>
      <c r="O30" s="433">
        <f>$I28+ROUND(IF($F28&lt;$E28,($F28*N28),IF($F28&gt;SUM($E28:$E29),(($E28*N28)+(($F28-$E28)*N29)),0)),2)</f>
        <v>250</v>
      </c>
      <c r="P30" s="417">
        <f>ROUND((O30-M30)/M30,3)</f>
        <v>0</v>
      </c>
      <c r="Q30" s="442"/>
      <c r="R30" s="433">
        <f>$I28+ROUND(IF($F28&lt;$E28,($F28*Q28),IF($F28&gt;SUM($E28:$E29),(($E28*Q28)+(($F28-$E28)*Q29)),0)),2)</f>
        <v>250</v>
      </c>
      <c r="S30" s="417">
        <f>ROUND((R30-M30)/M30,3)</f>
        <v>0</v>
      </c>
      <c r="T30" s="462"/>
      <c r="U30" s="440">
        <f>$I28+ROUND(IF($F28&lt;$E28,($F28*T28),IF($F28&gt;SUM($E28:$E29),(($E28*T28)+(($F28-$E28)*T29)),0)),2)</f>
        <v>250</v>
      </c>
      <c r="V30" s="439">
        <f>ROUND((U30-M30)/M30,3)</f>
        <v>0</v>
      </c>
      <c r="W30" s="442"/>
      <c r="X30" s="433">
        <f>$I28+ROUND(IF($F28&lt;$E28,($F28*W28),IF($F28&gt;SUM($E28:$E29),(($E28*W28)+(($F28-$E28)*W29)),0)),2)</f>
        <v>250</v>
      </c>
      <c r="Y30" s="417">
        <f>(X30-M30)/M30</f>
        <v>0</v>
      </c>
      <c r="Z30" s="442"/>
      <c r="AA30" s="433">
        <f>$I28+ROUND(IF($F28&lt;$E28,($F28*Z28),IF($F28&gt;SUM($E28:$E29),(($E28*Z28)+(($F28-$E28)*Z29)),0)),2)</f>
        <v>250</v>
      </c>
      <c r="AB30" s="417">
        <f>(AA30-M30)/M30</f>
        <v>0</v>
      </c>
      <c r="AC30" s="460"/>
      <c r="AD30" s="436">
        <f>$I28+ROUND(IF($F28&lt;$E28,($F28*AC28),IF($F28&gt;SUM($E28:$E29),(($E28*AC28)+(($F28-$E28)*AC29)),0)),2)</f>
        <v>250</v>
      </c>
      <c r="AE30" s="418">
        <f>(AD30-M30)/M30</f>
        <v>0</v>
      </c>
      <c r="AF30" s="442"/>
      <c r="AG30" s="433">
        <f>$K28+ROUND(IF($F28&lt;$E28,($F28*AF28),IF($F28&gt;SUM($E28:$E29),(($E28*AF28)+(($F28-$E28)*AF29)),0)),2)</f>
        <v>250</v>
      </c>
      <c r="AH30" s="417">
        <f>(AG30-M30)/M30</f>
        <v>0</v>
      </c>
      <c r="AI30" s="442"/>
      <c r="AJ30" s="433">
        <f>$I28+ROUND(IF($F28&lt;$E28,($F28*AI28),IF($F28&gt;SUM($E28:$E29),(($E28*AI28)+(($F28-$E28)*AI29)),0)),2)</f>
        <v>250</v>
      </c>
      <c r="AK30" s="432">
        <f>ROUND((AJ30-M30)/M30,3)</f>
        <v>0</v>
      </c>
      <c r="AL30" s="442"/>
      <c r="AM30" s="433">
        <f>$K28+ROUND(IF($F28&lt;$E28,($F28*AL28),IF($F28&gt;SUM($E28:$E29),(($E28*AL28)+(($F28-$E28)*AL29)),0)),2)</f>
        <v>250</v>
      </c>
      <c r="AN30" s="432">
        <f>ROUND((AM30-M30)/M30,3)</f>
        <v>0</v>
      </c>
      <c r="AO30" s="380"/>
      <c r="AP30" s="383"/>
      <c r="AQ30" s="381">
        <f t="shared" si="22"/>
        <v>0</v>
      </c>
      <c r="AR30" s="381">
        <f t="shared" si="23"/>
        <v>0</v>
      </c>
      <c r="AS30" s="381">
        <f t="shared" si="24"/>
        <v>0</v>
      </c>
      <c r="AT30" s="381">
        <f t="shared" si="25"/>
        <v>0</v>
      </c>
      <c r="AU30" s="431"/>
      <c r="AV30" s="430">
        <f>$I28+ROUND(IF($F28&lt;$E28,($F28*AU28),IF($F28&gt;SUM($E28:$E29),(($E28*AU28)+(($F28-$E28)*AU29)),0)),2)</f>
        <v>250</v>
      </c>
      <c r="AW30" s="429">
        <f>ROUND((AV30-M30)/M30,3)</f>
        <v>0</v>
      </c>
      <c r="AX30" s="325"/>
      <c r="AY30" s="325"/>
      <c r="AZ30" s="325"/>
      <c r="BA30" s="474" t="s">
        <v>80</v>
      </c>
      <c r="BB30" s="473">
        <f>M93</f>
        <v>38000</v>
      </c>
      <c r="BC30" s="472">
        <f>U93</f>
        <v>38000</v>
      </c>
      <c r="BD30" s="471">
        <f t="shared" si="30"/>
        <v>0</v>
      </c>
      <c r="BE30" s="470">
        <f t="shared" si="31"/>
        <v>0</v>
      </c>
    </row>
    <row r="31" spans="1:57" x14ac:dyDescent="0.25">
      <c r="A31" s="234">
        <f t="shared" si="0"/>
        <v>25</v>
      </c>
      <c r="B31" s="234" t="s">
        <v>66</v>
      </c>
      <c r="C31" s="344" t="s">
        <v>61</v>
      </c>
      <c r="D31" s="323">
        <f>+'[9]Washington volumes'!J27</f>
        <v>123242.73967014518</v>
      </c>
      <c r="E31" s="459">
        <v>2000</v>
      </c>
      <c r="F31" s="458">
        <f>+'[9]Washington volumes'!M27</f>
        <v>4251</v>
      </c>
      <c r="G31" s="449">
        <f>250+250</f>
        <v>500</v>
      </c>
      <c r="H31" s="449">
        <f>'[32]Aver Bill by RS'!$J31</f>
        <v>515.08785319123695</v>
      </c>
      <c r="I31" s="449">
        <f>G31-(IF(H31&gt;(F31*$H$3),(F31*$H$3),H31))</f>
        <v>-15.087853191236945</v>
      </c>
      <c r="J31" s="449">
        <f>'[32]Aver Bill by RS'!$J31</f>
        <v>515.08785319123695</v>
      </c>
      <c r="K31" s="449">
        <f>G31-(IF(J31&gt;($F31*$H$4),($F31*$H$4),J31))</f>
        <v>-15.087853191236945</v>
      </c>
      <c r="L31" s="325">
        <f>+'[9]Rates in summary'!D27</f>
        <v>0.64044000000000001</v>
      </c>
      <c r="M31" s="449"/>
      <c r="N31" s="325">
        <f>'[9]Rates in summary'!D27+'Summary of Temporaries '!K27+'Summary of Temporaries '!L27+'Summary of Temporaries '!M27-'Summary of Temporaries '!AX27</f>
        <v>0.64044000000000001</v>
      </c>
      <c r="O31" s="449"/>
      <c r="P31" s="451"/>
      <c r="Q31" s="325">
        <f>'[9]Rates in summary'!D27+'Summary of Temporaries '!N27+'Summary of Temporaries '!O27-'Summary of Temporaries '!AY27</f>
        <v>0.64044000000000001</v>
      </c>
      <c r="R31" s="449"/>
      <c r="S31" s="451"/>
      <c r="T31" s="457">
        <f>'[9]Rates in detail'!D27+'Summary of Temporaries '!T27-'Summary of Temporaries '!BD27+'Summary of Temporaries '!S27-'Summary of Temporaries '!BC27+'Summary of Temporaries '!P27-'Summary of Temporaries '!BB27++'Summary of Temporaries '!Q27-'Summary of Temporaries '!AW27</f>
        <v>0.63998999999999995</v>
      </c>
      <c r="U31" s="456"/>
      <c r="V31" s="455"/>
      <c r="W31" s="325">
        <f>'[9]Rates in summary'!D27+'Summary of Temporaries '!R27-'Summary of Temporaries '!AZ27</f>
        <v>0.64091000000000009</v>
      </c>
      <c r="X31" s="449"/>
      <c r="Y31" s="451"/>
      <c r="Z31" s="325">
        <f>'[9]Rates in summary'!D27+[9]Permanents!F27</f>
        <v>0.64044000000000001</v>
      </c>
      <c r="AA31" s="449"/>
      <c r="AB31" s="451"/>
      <c r="AC31" s="454">
        <f>'[9]Rates in summary'!D27+'Summary of Temporaries '!U27-'Summary of Temporaries '!BE27</f>
        <v>0.64044000000000001</v>
      </c>
      <c r="AD31" s="453"/>
      <c r="AE31" s="452"/>
      <c r="AF31" s="325">
        <f>'[9]Rates in summary'!D27+'Summary of Temporaries '!V27-'Summary of Temporaries '!BF27</f>
        <v>0.64044000000000001</v>
      </c>
      <c r="AG31" s="449"/>
      <c r="AH31" s="451"/>
      <c r="AI31" s="325">
        <f>'[9]Rates in summary'!G27+'Summary of Temporaries '!J27</f>
        <v>0.64044000000000001</v>
      </c>
      <c r="AJ31" s="449"/>
      <c r="AK31" s="450"/>
      <c r="AL31" s="325">
        <f>+'[9]Rates in summary'!Q27</f>
        <v>0.64046000000000003</v>
      </c>
      <c r="AM31" s="449"/>
      <c r="AN31" s="448"/>
      <c r="AO31" s="380"/>
      <c r="AP31" s="383"/>
      <c r="AQ31" s="381">
        <f t="shared" si="22"/>
        <v>0</v>
      </c>
      <c r="AR31" s="381">
        <f t="shared" si="23"/>
        <v>0</v>
      </c>
      <c r="AS31" s="381">
        <f t="shared" si="24"/>
        <v>2.0000000000020002E-5</v>
      </c>
      <c r="AT31" s="381">
        <f t="shared" si="25"/>
        <v>2.0000000000020002E-5</v>
      </c>
      <c r="AU31" s="243">
        <f>+'[9]Rates in summary'!D27+'Summary of Temporaries '!K27+'Summary of Temporaries '!M27+'Summary of Temporaries '!L27-'Summary of Temporaries '!AZ27</f>
        <v>0.63475000000000004</v>
      </c>
      <c r="AV31" s="395"/>
      <c r="AW31" s="447"/>
      <c r="AX31" s="325"/>
      <c r="AY31" s="325"/>
      <c r="AZ31" s="325"/>
      <c r="BA31" s="474" t="s">
        <v>68</v>
      </c>
      <c r="BB31" s="473">
        <f>M43</f>
        <v>13709.420663486881</v>
      </c>
      <c r="BC31" s="472">
        <f>U43</f>
        <v>13710.870663486881</v>
      </c>
      <c r="BD31" s="471">
        <f t="shared" si="30"/>
        <v>1.4500000000007276</v>
      </c>
      <c r="BE31" s="470">
        <f t="shared" si="31"/>
        <v>0</v>
      </c>
    </row>
    <row r="32" spans="1:57" x14ac:dyDescent="0.25">
      <c r="A32" s="234">
        <f t="shared" si="0"/>
        <v>26</v>
      </c>
      <c r="B32" s="234"/>
      <c r="C32" s="344" t="s">
        <v>62</v>
      </c>
      <c r="D32" s="323">
        <f>+'[9]Washington volumes'!J28</f>
        <v>284875.42061605473</v>
      </c>
      <c r="E32" s="459" t="s">
        <v>243</v>
      </c>
      <c r="F32" s="458"/>
      <c r="G32" s="449"/>
      <c r="H32" s="458"/>
      <c r="I32" s="449"/>
      <c r="J32" s="458"/>
      <c r="K32" s="449"/>
      <c r="L32" s="325">
        <f>+'[9]Rates in summary'!D28</f>
        <v>0.5930200000000001</v>
      </c>
      <c r="M32" s="449"/>
      <c r="N32" s="325">
        <f>'[9]Rates in summary'!D28+'Summary of Temporaries '!K28+'Summary of Temporaries '!L28+'Summary of Temporaries '!M28-'Summary of Temporaries '!AX28</f>
        <v>0.5930200000000001</v>
      </c>
      <c r="O32" s="449"/>
      <c r="P32" s="451"/>
      <c r="Q32" s="325">
        <f>'[9]Rates in summary'!D28+'Summary of Temporaries '!N28+'Summary of Temporaries '!O28-'Summary of Temporaries '!AY28</f>
        <v>0.5930200000000001</v>
      </c>
      <c r="R32" s="449"/>
      <c r="S32" s="451"/>
      <c r="T32" s="457">
        <f>'[9]Rates in detail'!D28+'Summary of Temporaries '!T28-'Summary of Temporaries '!BD28+'Summary of Temporaries '!S28-'Summary of Temporaries '!BC28+'Summary of Temporaries '!P28-'Summary of Temporaries '!BB28++'Summary of Temporaries '!Q28-'Summary of Temporaries '!AW28</f>
        <v>0.59253999999999996</v>
      </c>
      <c r="U32" s="456"/>
      <c r="V32" s="455"/>
      <c r="W32" s="325">
        <f>'[9]Rates in summary'!D28+'Summary of Temporaries '!R28-'Summary of Temporaries '!AZ28</f>
        <v>0.59344000000000019</v>
      </c>
      <c r="X32" s="449"/>
      <c r="Y32" s="451"/>
      <c r="Z32" s="325">
        <f>'[9]Rates in summary'!D28+[9]Permanents!F28</f>
        <v>0.5930200000000001</v>
      </c>
      <c r="AA32" s="449"/>
      <c r="AB32" s="451"/>
      <c r="AC32" s="454">
        <f>'[9]Rates in summary'!D28+'Summary of Temporaries '!U28-'Summary of Temporaries '!BE28</f>
        <v>0.5930200000000001</v>
      </c>
      <c r="AD32" s="453"/>
      <c r="AE32" s="452"/>
      <c r="AF32" s="325">
        <f>'[9]Rates in summary'!D28+'Summary of Temporaries '!V28-'Summary of Temporaries '!BF28</f>
        <v>0.5930200000000001</v>
      </c>
      <c r="AG32" s="449"/>
      <c r="AH32" s="451"/>
      <c r="AI32" s="325">
        <f>'[9]Rates in summary'!G28+'Summary of Temporaries '!J28</f>
        <v>0.5930200000000001</v>
      </c>
      <c r="AJ32" s="449"/>
      <c r="AK32" s="450"/>
      <c r="AL32" s="325">
        <f>+'[9]Rates in summary'!Q28</f>
        <v>0.59296000000000015</v>
      </c>
      <c r="AM32" s="449"/>
      <c r="AN32" s="448"/>
      <c r="AO32" s="380"/>
      <c r="AP32" s="383"/>
      <c r="AQ32" s="381">
        <f t="shared" si="22"/>
        <v>0</v>
      </c>
      <c r="AR32" s="381">
        <f t="shared" si="23"/>
        <v>0</v>
      </c>
      <c r="AS32" s="381">
        <f t="shared" si="24"/>
        <v>-5.9999999999948983E-5</v>
      </c>
      <c r="AT32" s="381">
        <f t="shared" si="25"/>
        <v>-5.9999999999948983E-5</v>
      </c>
      <c r="AU32" s="243">
        <f>+'[9]Rates in summary'!D28+'Summary of Temporaries '!K28+'Summary of Temporaries '!M28+'Summary of Temporaries '!L28-'Summary of Temporaries '!AZ28</f>
        <v>0.58801000000000014</v>
      </c>
      <c r="AV32" s="395"/>
      <c r="AW32" s="447"/>
      <c r="AX32" s="325"/>
      <c r="AY32" s="325"/>
      <c r="AZ32" s="325"/>
      <c r="BA32" s="474" t="s">
        <v>73</v>
      </c>
      <c r="BB32" s="473">
        <f>M50</f>
        <v>7024.0100199999997</v>
      </c>
      <c r="BC32" s="472">
        <f>U50</f>
        <v>7018.1000199999999</v>
      </c>
      <c r="BD32" s="471">
        <f t="shared" si="30"/>
        <v>-5.9099999999998545</v>
      </c>
      <c r="BE32" s="470">
        <f t="shared" si="31"/>
        <v>-1E-3</v>
      </c>
    </row>
    <row r="33" spans="1:57" x14ac:dyDescent="0.25">
      <c r="A33" s="234">
        <f t="shared" si="0"/>
        <v>27</v>
      </c>
      <c r="B33" s="338"/>
      <c r="C33" s="446" t="s">
        <v>27</v>
      </c>
      <c r="D33" s="445"/>
      <c r="E33" s="444"/>
      <c r="F33" s="443"/>
      <c r="G33" s="433"/>
      <c r="H33" s="443"/>
      <c r="I33" s="433"/>
      <c r="J33" s="443"/>
      <c r="K33" s="433"/>
      <c r="L33" s="442"/>
      <c r="M33" s="433">
        <f>$I31+ROUND(IF($F31&lt;$E31,($F31*L31),IF($F31&gt;SUM($E31:$E32),(($E31*L31)+(($F31-$E31)*L32)),0)),2)</f>
        <v>2600.6821468087628</v>
      </c>
      <c r="N33" s="442"/>
      <c r="O33" s="433">
        <f>$I31+ROUND(IF($F31&lt;$E31,($F31*N31),IF($F31&gt;SUM($E31:$E32),(($E31*N31)+(($F31-$E31)*N32)),0)),2)</f>
        <v>2600.6821468087628</v>
      </c>
      <c r="P33" s="417">
        <f>ROUND((O33-M33)/M33,3)</f>
        <v>0</v>
      </c>
      <c r="Q33" s="442"/>
      <c r="R33" s="433">
        <f>$I31+ROUND(IF($F31&lt;$E31,($F31*Q31),IF($F31&gt;SUM($E31:$E32),(($E31*Q31)+(($F31-$E31)*Q32)),0)),2)</f>
        <v>2600.6821468087628</v>
      </c>
      <c r="S33" s="417">
        <f>ROUND((R33-M33)/M33,3)</f>
        <v>0</v>
      </c>
      <c r="T33" s="462"/>
      <c r="U33" s="440">
        <f>$I31+ROUND(IF($F31&lt;$E31,($F31*T31),IF($F31&gt;SUM($E31:$E32),(($E31*T31)+(($F31-$E31)*T32)),0)),2)</f>
        <v>2598.7021468087632</v>
      </c>
      <c r="V33" s="439">
        <f>ROUND((U33-M33)/M33,3)</f>
        <v>-1E-3</v>
      </c>
      <c r="W33" s="442"/>
      <c r="X33" s="433">
        <f>$I31+ROUND(IF($F31&lt;$E31,($F31*W31),IF($F31&gt;SUM($E31:$E32),(($E31*W31)+(($F31-$E31)*W32)),0)),2)</f>
        <v>2602.5621468087629</v>
      </c>
      <c r="Y33" s="417">
        <f>(X33-M33)/M33</f>
        <v>7.2288726336934865E-4</v>
      </c>
      <c r="Z33" s="442"/>
      <c r="AA33" s="433">
        <f>$I31+ROUND(IF($F31&lt;$E31,($F31*Z31),IF($F31&gt;SUM($E31:$E32),(($E31*Z31)+(($F31-$E31)*Z32)),0)),2)</f>
        <v>2600.6821468087628</v>
      </c>
      <c r="AB33" s="417">
        <f>(AA33-M33)/M33</f>
        <v>0</v>
      </c>
      <c r="AC33" s="460"/>
      <c r="AD33" s="436">
        <f>$I31+ROUND(IF($F31&lt;$E31,($F31*AC31),IF($F31&gt;SUM($E31:$E32),(($E31*AC31)+(($F31-$E31)*AC32)),0)),2)</f>
        <v>2600.6821468087628</v>
      </c>
      <c r="AE33" s="418">
        <f>(AD33-M33)/M33</f>
        <v>0</v>
      </c>
      <c r="AF33" s="442"/>
      <c r="AG33" s="433">
        <f>$K31+ROUND(IF($F31&lt;$E31,($F31*AF31),IF($F31&gt;SUM($E31:$E32),(($E31*AF31)+(($F31-$E31)*AF32)),0)),2)</f>
        <v>2600.6821468087628</v>
      </c>
      <c r="AH33" s="417">
        <f>(AG33-M33)/M33</f>
        <v>0</v>
      </c>
      <c r="AI33" s="442"/>
      <c r="AJ33" s="433">
        <f>$I31+ROUND(IF($F31&lt;$E31,($F31*AI31),IF($F31&gt;SUM($E31:$E32),(($E31*AI31)+(($F31-$E31)*AI32)),0)),2)</f>
        <v>2600.6821468087628</v>
      </c>
      <c r="AK33" s="432">
        <f>ROUND((AJ33-M33)/M33,3)</f>
        <v>0</v>
      </c>
      <c r="AL33" s="442"/>
      <c r="AM33" s="433">
        <f>$K31+ROUND(IF($F31&lt;$E31,($F31*AL31),IF($F31&gt;SUM($E31:$E32),(($E31*AL31)+(($F31-$E31)*AL32)),0)),2)</f>
        <v>2600.5821468087634</v>
      </c>
      <c r="AN33" s="432">
        <f>ROUND((AM33-M33)/M33,3)</f>
        <v>0</v>
      </c>
      <c r="AO33" s="380"/>
      <c r="AP33" s="383"/>
      <c r="AQ33" s="381">
        <f t="shared" si="22"/>
        <v>0</v>
      </c>
      <c r="AR33" s="381">
        <f t="shared" si="23"/>
        <v>0</v>
      </c>
      <c r="AS33" s="381">
        <f t="shared" si="24"/>
        <v>0</v>
      </c>
      <c r="AT33" s="381">
        <f t="shared" si="25"/>
        <v>0</v>
      </c>
      <c r="AU33" s="431"/>
      <c r="AV33" s="430">
        <f>$I31+ROUND(IF($F31&lt;$E31,($F31*AU31),IF($F31&gt;SUM($E31:$E32),(($E31*AU31)+(($F31-$E31)*AU32)),0)),2)</f>
        <v>2578.022146808763</v>
      </c>
      <c r="AW33" s="429">
        <f>ROUND((AV33-M33)/M33,3)</f>
        <v>-8.9999999999999993E-3</v>
      </c>
      <c r="AX33" s="325"/>
      <c r="AY33" s="325"/>
      <c r="AZ33" s="325"/>
      <c r="BA33" s="474" t="s">
        <v>74</v>
      </c>
      <c r="BB33" s="473">
        <f>M57</f>
        <v>26683.210663486883</v>
      </c>
      <c r="BC33" s="472">
        <f>U57</f>
        <v>26624.850663486883</v>
      </c>
      <c r="BD33" s="471">
        <f t="shared" si="30"/>
        <v>-58.360000000000582</v>
      </c>
      <c r="BE33" s="470">
        <f t="shared" si="31"/>
        <v>-2E-3</v>
      </c>
    </row>
    <row r="34" spans="1:57" x14ac:dyDescent="0.25">
      <c r="A34" s="234">
        <f t="shared" si="0"/>
        <v>28</v>
      </c>
      <c r="B34" s="234" t="s">
        <v>163</v>
      </c>
      <c r="C34" s="344" t="s">
        <v>61</v>
      </c>
      <c r="D34" s="323">
        <f>+'[9]Washington volumes'!J29</f>
        <v>0</v>
      </c>
      <c r="E34" s="459">
        <v>2000</v>
      </c>
      <c r="F34" s="458">
        <f>+'[9]Washington volumes'!M29</f>
        <v>0</v>
      </c>
      <c r="G34" s="449">
        <f>250+250</f>
        <v>500</v>
      </c>
      <c r="H34" s="449">
        <f>'[32]Aver Bill by RS'!$J34</f>
        <v>622.72278920943302</v>
      </c>
      <c r="I34" s="449">
        <f>G34-(IF(H34&gt;(F34*$H$3),(F34*$H$3),H34))</f>
        <v>500</v>
      </c>
      <c r="J34" s="449">
        <f>'[32]Aver Bill by RS'!$J34</f>
        <v>622.72278920943302</v>
      </c>
      <c r="K34" s="449">
        <f>G34-(IF(J34&gt;($F34*$H$4),($F34*$H$4),J34))</f>
        <v>500</v>
      </c>
      <c r="L34" s="325">
        <f>+'[9]Rates in summary'!D29</f>
        <v>0.62856000000000001</v>
      </c>
      <c r="M34" s="449"/>
      <c r="N34" s="325">
        <f>'[9]Rates in summary'!D29+'Summary of Temporaries '!K29+'Summary of Temporaries '!L29+'Summary of Temporaries '!M29-'Summary of Temporaries '!AX29</f>
        <v>0.62856000000000001</v>
      </c>
      <c r="O34" s="449"/>
      <c r="P34" s="451"/>
      <c r="Q34" s="325">
        <f>'[9]Rates in summary'!D29+'Summary of Temporaries '!N29+'Summary of Temporaries '!O29-'Summary of Temporaries '!AY29</f>
        <v>0.62856000000000001</v>
      </c>
      <c r="R34" s="449"/>
      <c r="S34" s="451"/>
      <c r="T34" s="457">
        <f>'[9]Rates in detail'!D29+'Summary of Temporaries '!T29-'Summary of Temporaries '!BD29+'Summary of Temporaries '!S29-'Summary of Temporaries '!BC29+'Summary of Temporaries '!P29-'Summary of Temporaries '!BB29++'Summary of Temporaries '!Q29-'Summary of Temporaries '!AW29</f>
        <v>0.62822</v>
      </c>
      <c r="U34" s="456"/>
      <c r="V34" s="455"/>
      <c r="W34" s="325">
        <f>'[9]Rates in summary'!D29+'Summary of Temporaries '!R29-'Summary of Temporaries '!AZ29</f>
        <v>0.62887000000000004</v>
      </c>
      <c r="X34" s="449"/>
      <c r="Y34" s="451"/>
      <c r="Z34" s="325">
        <f>'[9]Rates in summary'!D29+[9]Permanents!F29</f>
        <v>0.62856000000000001</v>
      </c>
      <c r="AA34" s="449"/>
      <c r="AB34" s="451"/>
      <c r="AC34" s="454">
        <f>'[9]Rates in summary'!D29+'Summary of Temporaries '!U29-'Summary of Temporaries '!BE29</f>
        <v>0.62856000000000001</v>
      </c>
      <c r="AD34" s="453"/>
      <c r="AE34" s="452"/>
      <c r="AF34" s="325">
        <f>'[9]Rates in summary'!D29+'Summary of Temporaries '!V29-'Summary of Temporaries '!BF29</f>
        <v>0.62856000000000001</v>
      </c>
      <c r="AG34" s="449"/>
      <c r="AH34" s="451"/>
      <c r="AI34" s="325">
        <f>'[9]Rates in summary'!G29+'Summary of Temporaries '!J2</f>
        <v>0.62856000000000001</v>
      </c>
      <c r="AJ34" s="449"/>
      <c r="AK34" s="450"/>
      <c r="AL34" s="325">
        <f>+'[9]Rates in summary'!Q29</f>
        <v>0.62853000000000003</v>
      </c>
      <c r="AM34" s="449"/>
      <c r="AN34" s="448"/>
      <c r="AO34" s="380"/>
      <c r="AP34" s="383"/>
      <c r="AQ34" s="381">
        <f t="shared" si="22"/>
        <v>0</v>
      </c>
      <c r="AR34" s="381">
        <f t="shared" si="23"/>
        <v>0</v>
      </c>
      <c r="AS34" s="381">
        <f t="shared" si="24"/>
        <v>-2.9999999999974492E-5</v>
      </c>
      <c r="AT34" s="381">
        <f t="shared" si="25"/>
        <v>-2.9999999999974492E-5</v>
      </c>
      <c r="AU34" s="243">
        <f>+'[9]Rates in summary'!D30+'Summary of Temporaries '!K30+'Summary of Temporaries '!M30+'Summary of Temporaries '!L30-'Summary of Temporaries '!AZ30</f>
        <v>0.57796000000000014</v>
      </c>
      <c r="AV34" s="395"/>
      <c r="AW34" s="447"/>
      <c r="AX34" s="325"/>
      <c r="AY34" s="325"/>
      <c r="AZ34" s="325"/>
      <c r="BA34" s="474" t="s">
        <v>81</v>
      </c>
      <c r="BB34" s="473">
        <f>M94</f>
        <v>38000</v>
      </c>
      <c r="BC34" s="472">
        <f>U94</f>
        <v>38000</v>
      </c>
      <c r="BD34" s="471">
        <f t="shared" si="30"/>
        <v>0</v>
      </c>
      <c r="BE34" s="470">
        <f t="shared" si="31"/>
        <v>0</v>
      </c>
    </row>
    <row r="35" spans="1:57" x14ac:dyDescent="0.25">
      <c r="A35" s="234">
        <f t="shared" si="0"/>
        <v>29</v>
      </c>
      <c r="B35" s="234"/>
      <c r="C35" s="344" t="s">
        <v>62</v>
      </c>
      <c r="D35" s="323">
        <f>+'[9]Washington volumes'!J30</f>
        <v>0</v>
      </c>
      <c r="E35" s="459" t="s">
        <v>243</v>
      </c>
      <c r="F35" s="458"/>
      <c r="G35" s="449"/>
      <c r="H35" s="458"/>
      <c r="I35" s="449"/>
      <c r="J35" s="458"/>
      <c r="K35" s="449"/>
      <c r="L35" s="325">
        <f>+'[9]Rates in summary'!D30</f>
        <v>0.58256000000000019</v>
      </c>
      <c r="M35" s="449"/>
      <c r="N35" s="325">
        <f>'[9]Rates in summary'!D30+'Summary of Temporaries '!K30+'Summary of Temporaries '!L30+'Summary of Temporaries '!M30-'Summary of Temporaries '!AX30</f>
        <v>0.58256000000000019</v>
      </c>
      <c r="O35" s="449"/>
      <c r="P35" s="451"/>
      <c r="Q35" s="325">
        <f>'[9]Rates in summary'!D30+'Summary of Temporaries '!N30+'Summary of Temporaries '!O30-'Summary of Temporaries '!AY30</f>
        <v>0.58256000000000019</v>
      </c>
      <c r="R35" s="449"/>
      <c r="S35" s="451"/>
      <c r="T35" s="457">
        <f>'[9]Rates in detail'!D30+'Summary of Temporaries '!T30-'Summary of Temporaries '!BD30+'Summary of Temporaries '!S30-'Summary of Temporaries '!BC30+'Summary of Temporaries '!P30-'Summary of Temporaries '!BB30++'Summary of Temporaries '!Q30-'Summary of Temporaries '!AW30</f>
        <v>0.58218000000000025</v>
      </c>
      <c r="U35" s="456"/>
      <c r="V35" s="455"/>
      <c r="W35" s="325">
        <f>'[9]Rates in summary'!D30+'Summary of Temporaries '!R30-'Summary of Temporaries '!AZ30</f>
        <v>0.58283000000000018</v>
      </c>
      <c r="X35" s="449"/>
      <c r="Y35" s="451"/>
      <c r="Z35" s="325">
        <f>'[9]Rates in summary'!D30+[9]Permanents!F30</f>
        <v>0.58256000000000019</v>
      </c>
      <c r="AA35" s="449"/>
      <c r="AB35" s="451"/>
      <c r="AC35" s="454">
        <f>'[9]Rates in summary'!D30+'Summary of Temporaries '!U30-'Summary of Temporaries '!BE30</f>
        <v>0.58256000000000019</v>
      </c>
      <c r="AD35" s="453"/>
      <c r="AE35" s="452"/>
      <c r="AF35" s="325">
        <f>'[9]Rates in summary'!D30+'Summary of Temporaries '!V30-'Summary of Temporaries '!BF30</f>
        <v>0.58256000000000019</v>
      </c>
      <c r="AG35" s="449"/>
      <c r="AH35" s="451"/>
      <c r="AI35" s="325">
        <f>'[9]Rates in summary'!G30+'Summary of Temporaries '!J3</f>
        <v>0.58256000000000019</v>
      </c>
      <c r="AJ35" s="449"/>
      <c r="AK35" s="450"/>
      <c r="AL35" s="325">
        <f>+'[9]Rates in summary'!Q30</f>
        <v>0.58245000000000013</v>
      </c>
      <c r="AM35" s="449"/>
      <c r="AN35" s="448"/>
      <c r="AO35" s="380"/>
      <c r="AP35" s="383"/>
      <c r="AQ35" s="381">
        <f t="shared" si="22"/>
        <v>0</v>
      </c>
      <c r="AR35" s="381">
        <f t="shared" si="23"/>
        <v>0</v>
      </c>
      <c r="AS35" s="381">
        <f t="shared" si="24"/>
        <v>-1.100000000000545E-4</v>
      </c>
      <c r="AT35" s="381">
        <f t="shared" si="25"/>
        <v>-1.100000000000545E-4</v>
      </c>
      <c r="AU35" s="243">
        <f>+'[9]Rates in summary'!D21+'Summary of Temporaries '!K21+'Summary of Temporaries '!M21+'Summary of Temporaries '!L21-'Summary of Temporaries '!AZ21</f>
        <v>0.94129000000000029</v>
      </c>
      <c r="AV35" s="395"/>
      <c r="AW35" s="447"/>
      <c r="AX35" s="325"/>
      <c r="AY35" s="325"/>
      <c r="AZ35" s="325"/>
      <c r="BA35" s="325"/>
    </row>
    <row r="36" spans="1:57" s="469" customFormat="1" x14ac:dyDescent="0.25">
      <c r="A36" s="234">
        <f t="shared" si="0"/>
        <v>30</v>
      </c>
      <c r="B36" s="338"/>
      <c r="C36" s="446" t="s">
        <v>27</v>
      </c>
      <c r="D36" s="445"/>
      <c r="E36" s="444"/>
      <c r="F36" s="443"/>
      <c r="G36" s="433"/>
      <c r="H36" s="443"/>
      <c r="I36" s="433"/>
      <c r="J36" s="443"/>
      <c r="K36" s="433"/>
      <c r="L36" s="442"/>
      <c r="M36" s="433">
        <f>$I34+ROUND(IF($F34&lt;$E34,($F34*L34),IF($F34&gt;SUM($E34:$E35),(($E34*L34)+(($F34-$E34)*L35)),0)),2)</f>
        <v>500</v>
      </c>
      <c r="N36" s="442"/>
      <c r="O36" s="433">
        <f>$I34+ROUND(IF($F34&lt;$E34,($F34*N34),IF($F34&gt;SUM($E34:$E35),(($E34*N34)+(($F34-$E34)*N35)),0)),2)</f>
        <v>500</v>
      </c>
      <c r="P36" s="417">
        <f>ROUND((O36-M36)/M36,3)</f>
        <v>0</v>
      </c>
      <c r="Q36" s="442"/>
      <c r="R36" s="433">
        <f>$I34+ROUND(IF($F34&lt;$E34,($F34*Q34),IF($F34&gt;SUM($E34:$E35),(($E34*Q34)+(($F34-$E34)*Q35)),0)),2)</f>
        <v>500</v>
      </c>
      <c r="S36" s="417">
        <f>ROUND((R36-M36)/M36,3)</f>
        <v>0</v>
      </c>
      <c r="T36" s="462"/>
      <c r="U36" s="440">
        <f>$I34+ROUND(IF($F34&lt;$E34,($F34*T34),IF($F34&gt;SUM($E34:$E35),(($E34*T34)+(($F34-$E34)*T35)),0)),2)</f>
        <v>500</v>
      </c>
      <c r="V36" s="439">
        <f>ROUND((U36-M36)/M36,3)</f>
        <v>0</v>
      </c>
      <c r="W36" s="442"/>
      <c r="X36" s="433">
        <f>$I34+ROUND(IF($F34&lt;$E34,($F34*W34),IF($F34&gt;SUM($E34:$E35),(($E34*W34)+(($F34-$E34)*W35)),0)),2)</f>
        <v>500</v>
      </c>
      <c r="Y36" s="417">
        <f>(X36-M36)/M36</f>
        <v>0</v>
      </c>
      <c r="Z36" s="442"/>
      <c r="AA36" s="433">
        <f>$I34+ROUND(IF($F34&lt;$E34,($F34*Z34),IF($F34&gt;SUM($E34:$E35),(($E34*Z34)+(($F34-$E34)*Z35)),0)),2)</f>
        <v>500</v>
      </c>
      <c r="AB36" s="417">
        <f>(AA36-M36)/M36</f>
        <v>0</v>
      </c>
      <c r="AC36" s="460"/>
      <c r="AD36" s="436">
        <f>$I34+ROUND(IF($F34&lt;$E34,($F34*AC34),IF($F34&gt;SUM($E34:$E35),(($E34*AC34)+(($F34-$E34)*AC35)),0)),2)</f>
        <v>500</v>
      </c>
      <c r="AE36" s="418">
        <f>(AD36-M36)/M36</f>
        <v>0</v>
      </c>
      <c r="AF36" s="442"/>
      <c r="AG36" s="433">
        <f>$K34+ROUND(IF($F34&lt;$E34,($F34*AF34),IF($F34&gt;SUM($E34:$E35),(($E34*AF34)+(($F34-$E34)*AF35)),0)),2)</f>
        <v>500</v>
      </c>
      <c r="AH36" s="417">
        <f>(AG36-M36)/M36</f>
        <v>0</v>
      </c>
      <c r="AI36" s="442"/>
      <c r="AJ36" s="433">
        <f>$I34+ROUND(IF($F34&lt;$E34,($F34*AI34),IF($F34&gt;SUM($E34:$E35),(($E34*AI34)+(($F34-$E34)*AI35)),0)),2)</f>
        <v>500</v>
      </c>
      <c r="AK36" s="432">
        <f>ROUND((AJ36-M36)/M36,3)</f>
        <v>0</v>
      </c>
      <c r="AL36" s="442"/>
      <c r="AM36" s="433">
        <f>$K34+ROUND(IF($F34&lt;$E34,($F34*AL34),IF($F34&gt;SUM($E34:$E35),(($E34*AL34)+(($F34-$E34)*AL35)),0)),2)</f>
        <v>500</v>
      </c>
      <c r="AN36" s="432">
        <f>ROUND((AM36-M36)/M36,3)</f>
        <v>0</v>
      </c>
      <c r="AO36" s="380"/>
      <c r="AP36" s="383"/>
      <c r="AQ36" s="381">
        <f t="shared" si="22"/>
        <v>0</v>
      </c>
      <c r="AR36" s="381">
        <f t="shared" si="23"/>
        <v>0</v>
      </c>
      <c r="AS36" s="381">
        <f t="shared" si="24"/>
        <v>0</v>
      </c>
      <c r="AT36" s="381">
        <f t="shared" si="25"/>
        <v>0</v>
      </c>
      <c r="AU36" s="431"/>
      <c r="AV36" s="430">
        <f>$I34+ROUND(IF($F34&lt;$E34,($F34*AU34),IF($F34&gt;SUM($E34:$E35),(($E34*AU34)+(($F34-$E34)*AU35)),0)),2)</f>
        <v>500</v>
      </c>
      <c r="AW36" s="429">
        <f>ROUND((AV36-M36)/M36,3)</f>
        <v>0</v>
      </c>
      <c r="AX36" s="325"/>
      <c r="AY36" s="325"/>
      <c r="AZ36" s="325"/>
      <c r="BA36" s="325"/>
      <c r="BB36" s="380"/>
      <c r="BC36" s="379"/>
      <c r="BD36" s="379"/>
      <c r="BE36" s="379"/>
    </row>
    <row r="37" spans="1:57" x14ac:dyDescent="0.25">
      <c r="A37" s="234">
        <f t="shared" si="0"/>
        <v>31</v>
      </c>
      <c r="B37" s="234" t="s">
        <v>68</v>
      </c>
      <c r="C37" s="344" t="s">
        <v>61</v>
      </c>
      <c r="D37" s="323">
        <f>+'[9]Washington volumes'!J31</f>
        <v>820212.7</v>
      </c>
      <c r="E37" s="323">
        <v>10000</v>
      </c>
      <c r="F37" s="458">
        <f>+'[9]Washington volumes'!M31</f>
        <v>22449</v>
      </c>
      <c r="G37" s="449">
        <v>1300</v>
      </c>
      <c r="H37" s="449">
        <f>'[32]Aver Bill by RS'!$J37</f>
        <v>5142.2693365131181</v>
      </c>
      <c r="I37" s="449">
        <f>G37-(IF(H37&gt;(F37*$H$3),(F37*$H$3),H37))</f>
        <v>-3842.2693365131181</v>
      </c>
      <c r="J37" s="449">
        <f>'[32]Aver Bill by RS'!$J37</f>
        <v>5142.2693365131181</v>
      </c>
      <c r="K37" s="449">
        <f>G37-(IF(J37&gt;($F37*$H$4),($F37*$H$4),J37))</f>
        <v>-3842.2693365131181</v>
      </c>
      <c r="L37" s="325">
        <f>+'[9]Rates in summary'!D31</f>
        <v>0.79625999999999986</v>
      </c>
      <c r="M37" s="449"/>
      <c r="N37" s="325">
        <f>'[9]Rates in summary'!D31+'Summary of Temporaries '!K31+'Summary of Temporaries '!L31+'Summary of Temporaries '!M31-'Summary of Temporaries '!AX31</f>
        <v>0.79621999999999982</v>
      </c>
      <c r="O37" s="449"/>
      <c r="P37" s="451"/>
      <c r="Q37" s="325">
        <f>'[9]Rates in summary'!D31+'Summary of Temporaries '!N31+'Summary of Temporaries '!O31-'Summary of Temporaries '!AY31</f>
        <v>0.79579999999999984</v>
      </c>
      <c r="R37" s="449"/>
      <c r="S37" s="451"/>
      <c r="T37" s="457">
        <f>'[9]Rates in detail'!D31+'Summary of Temporaries '!T31-'Summary of Temporaries '!BD31+'Summary of Temporaries '!S31-'Summary of Temporaries '!BC31+'Summary of Temporaries '!P31-'Summary of Temporaries '!BB31++'Summary of Temporaries '!Q31-'Summary of Temporaries '!AW31</f>
        <v>0.79632999999999976</v>
      </c>
      <c r="U37" s="456"/>
      <c r="V37" s="455"/>
      <c r="W37" s="325">
        <f>'[9]Rates in summary'!D31+'Summary of Temporaries '!R31-'Summary of Temporaries '!AZ31</f>
        <v>0.79645999999999983</v>
      </c>
      <c r="X37" s="449"/>
      <c r="Y37" s="451"/>
      <c r="Z37" s="325">
        <f>'[9]Rates in summary'!D31+[9]Permanents!F31</f>
        <v>0.7962999999999999</v>
      </c>
      <c r="AA37" s="449"/>
      <c r="AB37" s="451"/>
      <c r="AC37" s="454">
        <f>'[9]Rates in summary'!D31+'Summary of Temporaries '!U31-'Summary of Temporaries '!BE31</f>
        <v>0.79625999999999986</v>
      </c>
      <c r="AD37" s="453"/>
      <c r="AE37" s="452"/>
      <c r="AF37" s="325">
        <f>'[9]Rates in summary'!D31+'Summary of Temporaries '!V31-'Summary of Temporaries '!BF31</f>
        <v>0.79625999999999986</v>
      </c>
      <c r="AG37" s="449"/>
      <c r="AH37" s="451"/>
      <c r="AI37" s="325">
        <f>'[9]Rates in summary'!G31+'Summary of Temporaries '!J31</f>
        <v>0.72489999999999977</v>
      </c>
      <c r="AJ37" s="449"/>
      <c r="AK37" s="450"/>
      <c r="AL37" s="325">
        <f>+'[9]Rates in summary'!Q31</f>
        <v>0.72470999999999985</v>
      </c>
      <c r="AM37" s="449"/>
      <c r="AN37" s="448"/>
      <c r="AO37" s="380"/>
      <c r="AP37" s="383"/>
      <c r="AQ37" s="381">
        <f t="shared" si="22"/>
        <v>0</v>
      </c>
      <c r="AR37" s="381">
        <f t="shared" si="23"/>
        <v>0</v>
      </c>
      <c r="AS37" s="381">
        <f t="shared" si="24"/>
        <v>-7.1550000000000002E-2</v>
      </c>
      <c r="AT37" s="381">
        <f t="shared" si="25"/>
        <v>-7.1550000000000002E-2</v>
      </c>
      <c r="AU37" s="243">
        <f>+'[9]Rates in summary'!D31+'Summary of Temporaries '!K31+'Summary of Temporaries '!M31+'Summary of Temporaries '!L31-'Summary of Temporaries '!AZ31</f>
        <v>0.81830999999999987</v>
      </c>
      <c r="AV37" s="395"/>
      <c r="AW37" s="447"/>
      <c r="AX37" s="325"/>
      <c r="AY37" s="325"/>
      <c r="AZ37" s="325"/>
      <c r="BA37" s="325"/>
    </row>
    <row r="38" spans="1:57" x14ac:dyDescent="0.25">
      <c r="A38" s="234">
        <f t="shared" si="0"/>
        <v>32</v>
      </c>
      <c r="B38" s="234"/>
      <c r="C38" s="344" t="s">
        <v>62</v>
      </c>
      <c r="D38" s="323">
        <f>+'[9]Washington volumes'!J32</f>
        <v>926222.5</v>
      </c>
      <c r="E38" s="323">
        <v>20000</v>
      </c>
      <c r="F38" s="458"/>
      <c r="G38" s="449"/>
      <c r="H38" s="458"/>
      <c r="I38" s="449"/>
      <c r="J38" s="458"/>
      <c r="K38" s="449"/>
      <c r="L38" s="325">
        <f>+'[9]Rates in summary'!D32</f>
        <v>0.77026999999999957</v>
      </c>
      <c r="M38" s="449"/>
      <c r="N38" s="325">
        <f>'[9]Rates in summary'!D32+'Summary of Temporaries '!K32+'Summary of Temporaries '!L32+'Summary of Temporaries '!M32-'Summary of Temporaries '!AX32</f>
        <v>0.77022999999999964</v>
      </c>
      <c r="O38" s="449"/>
      <c r="P38" s="451"/>
      <c r="Q38" s="325">
        <f>'[9]Rates in summary'!D32+'Summary of Temporaries '!N32+'Summary of Temporaries '!O32-'Summary of Temporaries '!AY32</f>
        <v>0.76985999999999966</v>
      </c>
      <c r="R38" s="449"/>
      <c r="S38" s="451"/>
      <c r="T38" s="457">
        <f>'[9]Rates in detail'!D32+'Summary of Temporaries '!T32-'Summary of Temporaries '!BD32+'Summary of Temporaries '!S32-'Summary of Temporaries '!BC32+'Summary of Temporaries '!P32-'Summary of Temporaries '!BB32++'Summary of Temporaries '!Q32-'Summary of Temporaries '!AW32</f>
        <v>0.7703299999999994</v>
      </c>
      <c r="U38" s="456"/>
      <c r="V38" s="455"/>
      <c r="W38" s="325">
        <f>'[9]Rates in summary'!D32+'Summary of Temporaries '!R32-'Summary of Temporaries '!AZ32</f>
        <v>0.77044999999999964</v>
      </c>
      <c r="X38" s="449"/>
      <c r="Y38" s="451"/>
      <c r="Z38" s="325">
        <f>'[9]Rates in summary'!D32+[9]Permanents!F32</f>
        <v>0.77030999999999961</v>
      </c>
      <c r="AA38" s="449"/>
      <c r="AB38" s="451"/>
      <c r="AC38" s="454">
        <f>'[9]Rates in summary'!D32+'Summary of Temporaries '!U32-'Summary of Temporaries '!BE32</f>
        <v>0.77026999999999957</v>
      </c>
      <c r="AD38" s="453"/>
      <c r="AE38" s="452"/>
      <c r="AF38" s="325">
        <f>'[9]Rates in summary'!D32+'Summary of Temporaries '!V32-'Summary of Temporaries '!BF32</f>
        <v>0.77026999999999968</v>
      </c>
      <c r="AG38" s="449"/>
      <c r="AH38" s="451"/>
      <c r="AI38" s="325">
        <f>'[9]Rates in summary'!G32+'Summary of Temporaries '!J32</f>
        <v>0.69890999999999959</v>
      </c>
      <c r="AJ38" s="449"/>
      <c r="AK38" s="450"/>
      <c r="AL38" s="325">
        <f>+'[9]Rates in summary'!Q32</f>
        <v>0.69873999999999969</v>
      </c>
      <c r="AM38" s="449"/>
      <c r="AN38" s="448"/>
      <c r="AO38" s="380"/>
      <c r="AP38" s="383"/>
      <c r="AQ38" s="381">
        <f t="shared" si="22"/>
        <v>0</v>
      </c>
      <c r="AR38" s="381">
        <f t="shared" si="23"/>
        <v>0</v>
      </c>
      <c r="AS38" s="381">
        <f t="shared" si="24"/>
        <v>-7.1529999999999871E-2</v>
      </c>
      <c r="AT38" s="381">
        <f t="shared" si="25"/>
        <v>-7.1529999999999871E-2</v>
      </c>
      <c r="AU38" s="243">
        <f>+'[9]Rates in summary'!D32+'Summary of Temporaries '!K32+'Summary of Temporaries '!M32+'Summary of Temporaries '!L32-'Summary of Temporaries '!AZ32</f>
        <v>0.79000999999999966</v>
      </c>
      <c r="AV38" s="395"/>
      <c r="AW38" s="447"/>
      <c r="AX38" s="325"/>
      <c r="AY38" s="325"/>
      <c r="AZ38" s="325"/>
      <c r="BA38" s="325"/>
    </row>
    <row r="39" spans="1:57" x14ac:dyDescent="0.25">
      <c r="A39" s="234">
        <f t="shared" si="0"/>
        <v>33</v>
      </c>
      <c r="B39" s="234"/>
      <c r="C39" s="344" t="s">
        <v>69</v>
      </c>
      <c r="D39" s="323">
        <f>+'[9]Washington volumes'!J33</f>
        <v>323675.40000000002</v>
      </c>
      <c r="E39" s="323">
        <v>20000</v>
      </c>
      <c r="F39" s="458"/>
      <c r="G39" s="449"/>
      <c r="H39" s="458"/>
      <c r="I39" s="449"/>
      <c r="J39" s="458"/>
      <c r="K39" s="449"/>
      <c r="L39" s="325">
        <f>+'[9]Rates in summary'!D33</f>
        <v>0.71862999999999988</v>
      </c>
      <c r="M39" s="449"/>
      <c r="N39" s="325">
        <f>'[9]Rates in summary'!D33+'Summary of Temporaries '!K33+'Summary of Temporaries '!L33+'Summary of Temporaries '!M33-'Summary of Temporaries '!AX33</f>
        <v>0.71859999999999979</v>
      </c>
      <c r="O39" s="449"/>
      <c r="P39" s="451"/>
      <c r="Q39" s="325">
        <f>'[9]Rates in summary'!D33+'Summary of Temporaries '!N33+'Summary of Temporaries '!O33-'Summary of Temporaries '!AY33</f>
        <v>0.71831999999999985</v>
      </c>
      <c r="R39" s="449"/>
      <c r="S39" s="451"/>
      <c r="T39" s="457">
        <f>'[9]Rates in detail'!D33+'Summary of Temporaries '!T33-'Summary of Temporaries '!BD33+'Summary of Temporaries '!S33-'Summary of Temporaries '!BC33+'Summary of Temporaries '!P33-'Summary of Temporaries '!BB33++'Summary of Temporaries '!Q33-'Summary of Temporaries '!AW33</f>
        <v>0.71863999999999983</v>
      </c>
      <c r="U39" s="456"/>
      <c r="V39" s="455"/>
      <c r="W39" s="325">
        <f>'[9]Rates in summary'!D33+'Summary of Temporaries '!R33-'Summary of Temporaries '!AZ33</f>
        <v>0.71876999999999991</v>
      </c>
      <c r="X39" s="449"/>
      <c r="Y39" s="451"/>
      <c r="Z39" s="325">
        <f>'[9]Rates in summary'!D33+[9]Permanents!F33</f>
        <v>0.71865999999999985</v>
      </c>
      <c r="AA39" s="449"/>
      <c r="AB39" s="451"/>
      <c r="AC39" s="454">
        <f>'[9]Rates in summary'!D33+'Summary of Temporaries '!U33-'Summary of Temporaries '!BE33</f>
        <v>0.71862999999999988</v>
      </c>
      <c r="AD39" s="453"/>
      <c r="AE39" s="452"/>
      <c r="AF39" s="325">
        <f>'[9]Rates in summary'!D33+'Summary of Temporaries '!V33-'Summary of Temporaries '!BF33</f>
        <v>0.71862999999999988</v>
      </c>
      <c r="AG39" s="449"/>
      <c r="AH39" s="451"/>
      <c r="AI39" s="325">
        <f>'[9]Rates in summary'!G33+'Summary of Temporaries '!J33</f>
        <v>0.6472699999999999</v>
      </c>
      <c r="AJ39" s="449"/>
      <c r="AK39" s="450"/>
      <c r="AL39" s="325">
        <f>+'[9]Rates in summary'!Q33</f>
        <v>0.64710999999999985</v>
      </c>
      <c r="AM39" s="449"/>
      <c r="AN39" s="448"/>
      <c r="AO39" s="380"/>
      <c r="AP39" s="383"/>
      <c r="AQ39" s="381">
        <f t="shared" si="22"/>
        <v>0</v>
      </c>
      <c r="AR39" s="381">
        <f t="shared" si="23"/>
        <v>0</v>
      </c>
      <c r="AS39" s="381">
        <f t="shared" si="24"/>
        <v>-7.1520000000000028E-2</v>
      </c>
      <c r="AT39" s="381">
        <f t="shared" si="25"/>
        <v>-7.1520000000000028E-2</v>
      </c>
      <c r="AU39" s="243">
        <f>+'[9]Rates in summary'!D33+'Summary of Temporaries '!K33+'Summary of Temporaries '!M33+'Summary of Temporaries '!L33-'Summary of Temporaries '!AZ33</f>
        <v>0.73376999999999981</v>
      </c>
      <c r="AV39" s="395"/>
      <c r="AW39" s="447"/>
      <c r="AX39" s="325"/>
      <c r="AY39" s="325"/>
      <c r="AZ39" s="325"/>
      <c r="BA39" s="325"/>
    </row>
    <row r="40" spans="1:57" x14ac:dyDescent="0.25">
      <c r="A40" s="234">
        <f t="shared" ref="A40:A71" si="33">+A39+1</f>
        <v>34</v>
      </c>
      <c r="B40" s="234"/>
      <c r="C40" s="344" t="s">
        <v>70</v>
      </c>
      <c r="D40" s="323">
        <f>+'[9]Washington volumes'!J34</f>
        <v>84982.8</v>
      </c>
      <c r="E40" s="323">
        <v>100000</v>
      </c>
      <c r="F40" s="458"/>
      <c r="G40" s="449"/>
      <c r="H40" s="458"/>
      <c r="I40" s="449"/>
      <c r="J40" s="458"/>
      <c r="K40" s="449"/>
      <c r="L40" s="325">
        <f>+'[9]Rates in summary'!D34</f>
        <v>0.68461000000000016</v>
      </c>
      <c r="M40" s="449"/>
      <c r="N40" s="325">
        <f>'[9]Rates in summary'!D34+'Summary of Temporaries '!K34+'Summary of Temporaries '!L34+'Summary of Temporaries '!M34-'Summary of Temporaries '!AX34</f>
        <v>0.68459000000000025</v>
      </c>
      <c r="O40" s="449"/>
      <c r="P40" s="451"/>
      <c r="Q40" s="325">
        <f>'[9]Rates in summary'!D34+'Summary of Temporaries '!N34+'Summary of Temporaries '!O34-'Summary of Temporaries '!AY34</f>
        <v>0.68436000000000008</v>
      </c>
      <c r="R40" s="449"/>
      <c r="S40" s="451"/>
      <c r="T40" s="457">
        <f>'[9]Rates in detail'!D34+'Summary of Temporaries '!T34-'Summary of Temporaries '!BD34+'Summary of Temporaries '!S34-'Summary of Temporaries '!BC34+'Summary of Temporaries '!P34-'Summary of Temporaries '!BB34++'Summary of Temporaries '!Q34-'Summary of Temporaries '!AW34</f>
        <v>0.68461000000000016</v>
      </c>
      <c r="U40" s="456"/>
      <c r="V40" s="455"/>
      <c r="W40" s="325">
        <f>'[9]Rates in summary'!D34+'Summary of Temporaries '!R34-'Summary of Temporaries '!AZ34</f>
        <v>0.68472000000000022</v>
      </c>
      <c r="X40" s="449"/>
      <c r="Y40" s="451"/>
      <c r="Z40" s="325">
        <f>'[9]Rates in summary'!D34+[9]Permanents!F34</f>
        <v>0.68463000000000018</v>
      </c>
      <c r="AA40" s="449"/>
      <c r="AB40" s="451"/>
      <c r="AC40" s="454">
        <f>'[9]Rates in summary'!D34+'Summary of Temporaries '!U34-'Summary of Temporaries '!BE34</f>
        <v>0.68461000000000016</v>
      </c>
      <c r="AD40" s="453"/>
      <c r="AE40" s="452"/>
      <c r="AF40" s="325">
        <f>'[9]Rates in summary'!D34+'Summary of Temporaries '!V34-'Summary of Temporaries '!BF34</f>
        <v>0.68461000000000016</v>
      </c>
      <c r="AG40" s="449"/>
      <c r="AH40" s="451"/>
      <c r="AI40" s="325">
        <f>'[9]Rates in summary'!G34+'Summary of Temporaries '!J34</f>
        <v>0.61325000000000018</v>
      </c>
      <c r="AJ40" s="449"/>
      <c r="AK40" s="450"/>
      <c r="AL40" s="325">
        <f>+'[9]Rates in summary'!Q34</f>
        <v>0.61311000000000027</v>
      </c>
      <c r="AM40" s="449"/>
      <c r="AN40" s="448"/>
      <c r="AO40" s="380"/>
      <c r="AP40" s="383"/>
      <c r="AQ40" s="381">
        <f t="shared" si="22"/>
        <v>0</v>
      </c>
      <c r="AR40" s="381">
        <f t="shared" si="23"/>
        <v>0</v>
      </c>
      <c r="AS40" s="381">
        <f t="shared" si="24"/>
        <v>-7.1499999999999897E-2</v>
      </c>
      <c r="AT40" s="381">
        <f t="shared" si="25"/>
        <v>-7.1499999999999897E-2</v>
      </c>
      <c r="AU40" s="243">
        <f>+'[9]Rates in summary'!D34+'Summary of Temporaries '!K34+'Summary of Temporaries '!M34+'Summary of Temporaries '!L34-'Summary of Temporaries '!AZ34</f>
        <v>0.69672000000000023</v>
      </c>
      <c r="AV40" s="395"/>
      <c r="AW40" s="447"/>
      <c r="AX40" s="325"/>
      <c r="AY40" s="325"/>
      <c r="AZ40" s="325"/>
      <c r="BA40" s="325"/>
    </row>
    <row r="41" spans="1:57" x14ac:dyDescent="0.25">
      <c r="A41" s="234">
        <f t="shared" si="33"/>
        <v>35</v>
      </c>
      <c r="B41" s="234"/>
      <c r="C41" s="344" t="s">
        <v>71</v>
      </c>
      <c r="D41" s="323">
        <f>+'[9]Washington volumes'!J35</f>
        <v>0</v>
      </c>
      <c r="E41" s="323">
        <v>600000</v>
      </c>
      <c r="F41" s="458"/>
      <c r="G41" s="449"/>
      <c r="H41" s="458"/>
      <c r="I41" s="449"/>
      <c r="J41" s="458"/>
      <c r="K41" s="449"/>
      <c r="L41" s="325">
        <f>+'[9]Rates in summary'!D35</f>
        <v>0.63927</v>
      </c>
      <c r="M41" s="449"/>
      <c r="N41" s="325">
        <f>'[9]Rates in summary'!D35+'Summary of Temporaries '!K35+'Summary of Temporaries '!L35+'Summary of Temporaries '!M35-'Summary of Temporaries '!AX35</f>
        <v>0.63924999999999998</v>
      </c>
      <c r="O41" s="449"/>
      <c r="P41" s="451"/>
      <c r="Q41" s="325">
        <f>'[9]Rates in summary'!D35+'Summary of Temporaries '!N35+'Summary of Temporaries '!O35-'Summary of Temporaries '!AY35</f>
        <v>0.6391</v>
      </c>
      <c r="R41" s="449"/>
      <c r="S41" s="451"/>
      <c r="T41" s="457">
        <f>'[9]Rates in detail'!D35+'Summary of Temporaries '!T35-'Summary of Temporaries '!BD35+'Summary of Temporaries '!S35-'Summary of Temporaries '!BC35+'Summary of Temporaries '!P35-'Summary of Temporaries '!BB35++'Summary of Temporaries '!Q35-'Summary of Temporaries '!AW35</f>
        <v>0.63922000000000001</v>
      </c>
      <c r="U41" s="456"/>
      <c r="V41" s="455"/>
      <c r="W41" s="325">
        <f>'[9]Rates in summary'!D35+'Summary of Temporaries '!R35-'Summary of Temporaries '!AZ35</f>
        <v>0.63934000000000002</v>
      </c>
      <c r="X41" s="449"/>
      <c r="Y41" s="451"/>
      <c r="Z41" s="325">
        <f>'[9]Rates in summary'!D35+[9]Permanents!F35</f>
        <v>0.63929000000000002</v>
      </c>
      <c r="AA41" s="449"/>
      <c r="AB41" s="451"/>
      <c r="AC41" s="454">
        <f>'[9]Rates in summary'!D35+'Summary of Temporaries '!U35-'Summary of Temporaries '!BE35</f>
        <v>0.63927</v>
      </c>
      <c r="AD41" s="453"/>
      <c r="AE41" s="452"/>
      <c r="AF41" s="325">
        <f>'[9]Rates in summary'!D35+'Summary of Temporaries '!V35-'Summary of Temporaries '!BF35</f>
        <v>0.63927</v>
      </c>
      <c r="AG41" s="449"/>
      <c r="AH41" s="451"/>
      <c r="AI41" s="325">
        <f>'[9]Rates in summary'!G35+'Summary of Temporaries '!J35</f>
        <v>0.56791000000000003</v>
      </c>
      <c r="AJ41" s="449"/>
      <c r="AK41" s="450"/>
      <c r="AL41" s="325">
        <f>+'[9]Rates in summary'!Q35</f>
        <v>0.56776000000000004</v>
      </c>
      <c r="AM41" s="449"/>
      <c r="AN41" s="448"/>
      <c r="AO41" s="380"/>
      <c r="AP41" s="383"/>
      <c r="AQ41" s="381">
        <f t="shared" si="22"/>
        <v>0</v>
      </c>
      <c r="AR41" s="381">
        <f t="shared" si="23"/>
        <v>0</v>
      </c>
      <c r="AS41" s="381">
        <f t="shared" si="24"/>
        <v>-7.1509999999999962E-2</v>
      </c>
      <c r="AT41" s="381">
        <f t="shared" si="25"/>
        <v>-7.1509999999999962E-2</v>
      </c>
      <c r="AU41" s="243">
        <f>+'[9]Rates in summary'!D35+'Summary of Temporaries '!K35+'Summary of Temporaries '!M35+'Summary of Temporaries '!L35-'Summary of Temporaries '!AZ35</f>
        <v>0.64734000000000003</v>
      </c>
      <c r="AV41" s="243"/>
      <c r="AW41" s="447"/>
      <c r="AX41" s="325"/>
      <c r="AY41" s="325"/>
      <c r="AZ41" s="325"/>
      <c r="BA41" s="325"/>
    </row>
    <row r="42" spans="1:57" x14ac:dyDescent="0.25">
      <c r="A42" s="234">
        <f t="shared" si="33"/>
        <v>36</v>
      </c>
      <c r="B42" s="234"/>
      <c r="C42" s="344" t="s">
        <v>72</v>
      </c>
      <c r="D42" s="323">
        <f>+'[9]Washington volumes'!J36</f>
        <v>0</v>
      </c>
      <c r="E42" s="459" t="s">
        <v>243</v>
      </c>
      <c r="F42" s="458"/>
      <c r="G42" s="449"/>
      <c r="H42" s="458"/>
      <c r="I42" s="449"/>
      <c r="J42" s="458"/>
      <c r="K42" s="449"/>
      <c r="L42" s="325">
        <f>+'[9]Rates in summary'!D36</f>
        <v>0.58259000000000005</v>
      </c>
      <c r="M42" s="449"/>
      <c r="N42" s="325">
        <f>'[9]Rates in summary'!D36+'Summary of Temporaries '!K36+'Summary of Temporaries '!L36+'Summary of Temporaries '!M36-'Summary of Temporaries '!AX36</f>
        <v>0.58259000000000005</v>
      </c>
      <c r="O42" s="449"/>
      <c r="P42" s="451"/>
      <c r="Q42" s="325">
        <f>'[9]Rates in summary'!D36+'Summary of Temporaries '!N36+'Summary of Temporaries '!O36-'Summary of Temporaries '!AY36</f>
        <v>0.58252999999999999</v>
      </c>
      <c r="R42" s="449"/>
      <c r="S42" s="451"/>
      <c r="T42" s="457">
        <f>'[9]Rates in detail'!D36+'Summary of Temporaries '!T36-'Summary of Temporaries '!BD36+'Summary of Temporaries '!S36-'Summary of Temporaries '!BC36+'Summary of Temporaries '!P36-'Summary of Temporaries '!BB36++'Summary of Temporaries '!Q36-'Summary of Temporaries '!AW36</f>
        <v>0.58250000000000002</v>
      </c>
      <c r="U42" s="456"/>
      <c r="V42" s="455"/>
      <c r="W42" s="325">
        <f>'[9]Rates in summary'!D36+'Summary of Temporaries '!R36-'Summary of Temporaries '!AZ36</f>
        <v>0.58262000000000003</v>
      </c>
      <c r="X42" s="449"/>
      <c r="Y42" s="451"/>
      <c r="Z42" s="325">
        <f>'[9]Rates in summary'!D36+[9]Permanents!F36</f>
        <v>0.58260000000000001</v>
      </c>
      <c r="AA42" s="449"/>
      <c r="AB42" s="451"/>
      <c r="AC42" s="454">
        <f>'[9]Rates in summary'!D36+'Summary of Temporaries '!U36-'Summary of Temporaries '!BE36</f>
        <v>0.58259000000000005</v>
      </c>
      <c r="AD42" s="453"/>
      <c r="AE42" s="452"/>
      <c r="AF42" s="325">
        <f>'[9]Rates in summary'!D36+'Summary of Temporaries '!V36-'Summary of Temporaries '!BF36</f>
        <v>0.58259000000000005</v>
      </c>
      <c r="AG42" s="449"/>
      <c r="AH42" s="451"/>
      <c r="AI42" s="325">
        <f>'[9]Rates in summary'!G36+'Summary of Temporaries '!J36</f>
        <v>0.51122999999999996</v>
      </c>
      <c r="AJ42" s="449"/>
      <c r="AK42" s="450"/>
      <c r="AL42" s="325">
        <f>+'[9]Rates in summary'!Q36</f>
        <v>0.51111999999999991</v>
      </c>
      <c r="AM42" s="449"/>
      <c r="AN42" s="448"/>
      <c r="AO42" s="380"/>
      <c r="AP42" s="383"/>
      <c r="AQ42" s="381">
        <f t="shared" si="22"/>
        <v>0</v>
      </c>
      <c r="AR42" s="381">
        <f t="shared" si="23"/>
        <v>0</v>
      </c>
      <c r="AS42" s="381">
        <f t="shared" si="24"/>
        <v>-7.1470000000000145E-2</v>
      </c>
      <c r="AT42" s="381">
        <f t="shared" si="25"/>
        <v>-7.1470000000000145E-2</v>
      </c>
      <c r="AU42" s="243">
        <f>+'[9]Rates in summary'!D36+'Summary of Temporaries '!K36+'Summary of Temporaries '!M36+'Summary of Temporaries '!L36-'Summary of Temporaries '!AZ36</f>
        <v>0.58562000000000003</v>
      </c>
      <c r="AV42" s="243"/>
      <c r="AW42" s="447"/>
      <c r="AX42" s="325"/>
      <c r="AY42" s="325"/>
      <c r="AZ42" s="325"/>
      <c r="BA42" s="325"/>
    </row>
    <row r="43" spans="1:57" x14ac:dyDescent="0.25">
      <c r="A43" s="234">
        <f t="shared" si="33"/>
        <v>37</v>
      </c>
      <c r="B43" s="338"/>
      <c r="C43" s="446" t="s">
        <v>27</v>
      </c>
      <c r="D43" s="445"/>
      <c r="E43" s="444"/>
      <c r="F43" s="443"/>
      <c r="G43" s="433"/>
      <c r="H43" s="443"/>
      <c r="I43" s="433"/>
      <c r="J43" s="443"/>
      <c r="K43" s="433"/>
      <c r="L43" s="442"/>
      <c r="M43" s="433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13709.420663486881</v>
      </c>
      <c r="N43" s="442"/>
      <c r="O43" s="433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13708.520663486883</v>
      </c>
      <c r="P43" s="417">
        <f>ROUND((O43-M43)/M43,3)</f>
        <v>0</v>
      </c>
      <c r="Q43" s="442"/>
      <c r="R43" s="433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13699.720663486883</v>
      </c>
      <c r="S43" s="417">
        <f>ROUND((R43-M43)/M43,3)</f>
        <v>-1E-3</v>
      </c>
      <c r="T43" s="462"/>
      <c r="U43" s="440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13710.870663486881</v>
      </c>
      <c r="V43" s="439">
        <f>ROUND((U43-M43)/M43,3)</f>
        <v>0</v>
      </c>
      <c r="W43" s="442"/>
      <c r="X43" s="433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13713.660663486882</v>
      </c>
      <c r="Y43" s="417">
        <f>(X43-M43)/M43</f>
        <v>3.0927638038668156E-4</v>
      </c>
      <c r="Z43" s="442"/>
      <c r="AA43" s="433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13710.320663486882</v>
      </c>
      <c r="AB43" s="417">
        <f>(AA43-M43)/M43</f>
        <v>6.5648288289707162E-5</v>
      </c>
      <c r="AC43" s="460"/>
      <c r="AD43" s="436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13709.420663486881</v>
      </c>
      <c r="AE43" s="418">
        <f>(AD43-M43)/M43</f>
        <v>0</v>
      </c>
      <c r="AF43" s="442"/>
      <c r="AG43" s="433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13709.420663486881</v>
      </c>
      <c r="AH43" s="417">
        <f>(AG43-M43)/M43</f>
        <v>0</v>
      </c>
      <c r="AI43" s="442"/>
      <c r="AJ43" s="433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12107.460663486881</v>
      </c>
      <c r="AK43" s="432">
        <f>ROUND((AJ43-M43)/M43,3)</f>
        <v>-0.11700000000000001</v>
      </c>
      <c r="AL43" s="442"/>
      <c r="AM43" s="433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12103.440663486881</v>
      </c>
      <c r="AN43" s="432">
        <f>ROUND((AM43-M43)/M43,3)</f>
        <v>-0.11700000000000001</v>
      </c>
      <c r="AO43" s="380"/>
      <c r="AP43" s="383"/>
      <c r="AQ43" s="381">
        <f t="shared" si="22"/>
        <v>0</v>
      </c>
      <c r="AR43" s="381">
        <f t="shared" si="23"/>
        <v>0</v>
      </c>
      <c r="AS43" s="381">
        <f t="shared" si="24"/>
        <v>0</v>
      </c>
      <c r="AT43" s="381">
        <f t="shared" si="25"/>
        <v>0</v>
      </c>
      <c r="AU43" s="431"/>
      <c r="AV43" s="430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14175.660663486882</v>
      </c>
      <c r="AW43" s="429">
        <f>ROUND((AV43-M43)/M43,3)</f>
        <v>3.4000000000000002E-2</v>
      </c>
      <c r="AX43" s="325"/>
      <c r="AY43" s="325"/>
      <c r="AZ43" s="325"/>
      <c r="BA43" s="325"/>
    </row>
    <row r="44" spans="1:57" x14ac:dyDescent="0.25">
      <c r="A44" s="234">
        <f t="shared" si="33"/>
        <v>38</v>
      </c>
      <c r="B44" s="234" t="s">
        <v>73</v>
      </c>
      <c r="C44" s="344" t="s">
        <v>61</v>
      </c>
      <c r="D44" s="323">
        <f>+'[9]Washington volumes'!J37</f>
        <v>887029.75709862076</v>
      </c>
      <c r="E44" s="323">
        <v>10000</v>
      </c>
      <c r="F44" s="458">
        <f>+'[9]Washington volumes'!M37</f>
        <v>11726</v>
      </c>
      <c r="G44" s="449">
        <v>1300</v>
      </c>
      <c r="H44" s="449">
        <f>'[32]Aver Bill by RS'!$J44</f>
        <v>3945.7691048183847</v>
      </c>
      <c r="I44" s="449">
        <f>G44-(IF(H44&gt;(F44*$H$3),(F44*$H$3),H44))</f>
        <v>-1522.7999799999998</v>
      </c>
      <c r="J44" s="449">
        <f>'[32]Aver Bill by RS'!$J44</f>
        <v>3945.7691048183847</v>
      </c>
      <c r="K44" s="449">
        <f>G44-(IF(J44&gt;($F44*$H$4),($F44*$H$4),J44))</f>
        <v>-1522.7999799999998</v>
      </c>
      <c r="L44" s="325">
        <f>+'[9]Rates in summary'!D37</f>
        <v>0.73169000000000006</v>
      </c>
      <c r="M44" s="449"/>
      <c r="N44" s="325">
        <f>'[9]Rates in summary'!D37+'Summary of Temporaries '!K37+'Summary of Temporaries '!L37+'Summary of Temporaries '!M37-'Summary of Temporaries '!AX37</f>
        <v>0.73169000000000006</v>
      </c>
      <c r="O44" s="449"/>
      <c r="P44" s="451"/>
      <c r="Q44" s="325">
        <f>'[9]Rates in summary'!D37+'Summary of Temporaries '!N37+'Summary of Temporaries '!O37-'Summary of Temporaries '!AY37</f>
        <v>0.73159000000000018</v>
      </c>
      <c r="R44" s="449"/>
      <c r="S44" s="451"/>
      <c r="T44" s="457">
        <f>'[9]Rates in detail'!D37+'Summary of Temporaries '!T37-'Summary of Temporaries '!BD37+'Summary of Temporaries '!S37-'Summary of Temporaries '!BC37+'Summary of Temporaries '!P37-'Summary of Temporaries '!BB37++'Summary of Temporaries '!Q37-'Summary of Temporaries '!AW37</f>
        <v>0.73119000000000001</v>
      </c>
      <c r="U44" s="456"/>
      <c r="V44" s="455"/>
      <c r="W44" s="325">
        <f>'[9]Rates in summary'!D37+'Summary of Temporaries '!R37-'Summary of Temporaries '!AZ37</f>
        <v>0.73206000000000004</v>
      </c>
      <c r="X44" s="449"/>
      <c r="Y44" s="451"/>
      <c r="Z44" s="325">
        <f>'[9]Rates in summary'!D37+[9]Permanents!F37</f>
        <v>0.73174000000000006</v>
      </c>
      <c r="AA44" s="449"/>
      <c r="AB44" s="451"/>
      <c r="AC44" s="454">
        <f>'[9]Rates in summary'!D37+'Summary of Temporaries '!U37-'Summary of Temporaries '!BE37</f>
        <v>0.73169000000000006</v>
      </c>
      <c r="AD44" s="453"/>
      <c r="AE44" s="452"/>
      <c r="AF44" s="325">
        <f>'[9]Rates in summary'!D37+'Summary of Temporaries '!V37-'Summary of Temporaries '!BF37</f>
        <v>0.73169000000000006</v>
      </c>
      <c r="AG44" s="449"/>
      <c r="AH44" s="451"/>
      <c r="AI44" s="325">
        <f>'[9]Rates in summary'!G37+'Summary of Temporaries '!J37</f>
        <v>0.66032999999999997</v>
      </c>
      <c r="AJ44" s="449"/>
      <c r="AK44" s="450"/>
      <c r="AL44" s="325">
        <f>+'[9]Rates in summary'!Q37</f>
        <v>0.66015000000000001</v>
      </c>
      <c r="AM44" s="449"/>
      <c r="AN44" s="448"/>
      <c r="AO44" s="380"/>
      <c r="AP44" s="383"/>
      <c r="AQ44" s="381">
        <f t="shared" si="22"/>
        <v>0</v>
      </c>
      <c r="AR44" s="381">
        <f t="shared" si="23"/>
        <v>0</v>
      </c>
      <c r="AS44" s="381">
        <f t="shared" si="24"/>
        <v>-7.1540000000000048E-2</v>
      </c>
      <c r="AT44" s="381">
        <f t="shared" si="25"/>
        <v>-7.1540000000000048E-2</v>
      </c>
      <c r="AU44" s="243">
        <f>+'[9]Rates in summary'!D37+'Summary of Temporaries '!K37+'Summary of Temporaries '!M37+'Summary of Temporaries '!L37-'Summary of Temporaries '!AZ37</f>
        <v>0.72859000000000007</v>
      </c>
      <c r="AV44" s="395"/>
      <c r="AW44" s="447"/>
      <c r="AX44" s="325"/>
      <c r="AY44" s="325"/>
      <c r="AZ44" s="325"/>
      <c r="BA44" s="325"/>
    </row>
    <row r="45" spans="1:57" x14ac:dyDescent="0.25">
      <c r="A45" s="234">
        <f t="shared" si="33"/>
        <v>39</v>
      </c>
      <c r="B45" s="234"/>
      <c r="C45" s="344" t="s">
        <v>62</v>
      </c>
      <c r="D45" s="323">
        <f>+'[9]Washington volumes'!J38</f>
        <v>668287.37243846827</v>
      </c>
      <c r="E45" s="323">
        <v>20000</v>
      </c>
      <c r="F45" s="458"/>
      <c r="G45" s="449"/>
      <c r="H45" s="458"/>
      <c r="I45" s="449"/>
      <c r="J45" s="458"/>
      <c r="K45" s="449"/>
      <c r="L45" s="325">
        <f>+'[9]Rates in summary'!D38</f>
        <v>0.71257999999999988</v>
      </c>
      <c r="M45" s="449"/>
      <c r="N45" s="325">
        <f>'[9]Rates in summary'!D38+'Summary of Temporaries '!K38+'Summary of Temporaries '!L38+'Summary of Temporaries '!M38-'Summary of Temporaries '!AX38</f>
        <v>0.71257999999999988</v>
      </c>
      <c r="O45" s="449"/>
      <c r="P45" s="451"/>
      <c r="Q45" s="325">
        <f>'[9]Rates in summary'!D38+'Summary of Temporaries '!N38+'Summary of Temporaries '!O38-'Summary of Temporaries '!AY38</f>
        <v>0.71248999999999985</v>
      </c>
      <c r="R45" s="449"/>
      <c r="S45" s="451"/>
      <c r="T45" s="457">
        <f>'[9]Rates in detail'!D38+'Summary of Temporaries '!T38-'Summary of Temporaries '!BD38+'Summary of Temporaries '!S38-'Summary of Temporaries '!BC38+'Summary of Temporaries '!P38-'Summary of Temporaries '!BB38++'Summary of Temporaries '!Q38-'Summary of Temporaries '!AW38</f>
        <v>0.71204999999999985</v>
      </c>
      <c r="U45" s="456"/>
      <c r="V45" s="455"/>
      <c r="W45" s="325">
        <f>'[9]Rates in summary'!D38+'Summary of Temporaries '!R38-'Summary of Temporaries '!AZ38</f>
        <v>0.71291999999999978</v>
      </c>
      <c r="X45" s="449"/>
      <c r="Y45" s="451"/>
      <c r="Z45" s="325">
        <f>'[9]Rates in summary'!D38+[9]Permanents!F38</f>
        <v>0.71261999999999992</v>
      </c>
      <c r="AA45" s="449"/>
      <c r="AB45" s="451"/>
      <c r="AC45" s="454">
        <f>'[9]Rates in summary'!D38+'Summary of Temporaries '!U38-'Summary of Temporaries '!BE38</f>
        <v>0.71257999999999988</v>
      </c>
      <c r="AD45" s="453"/>
      <c r="AE45" s="452"/>
      <c r="AF45" s="325">
        <f>'[9]Rates in summary'!D38+'Summary of Temporaries '!V38-'Summary of Temporaries '!BF38</f>
        <v>0.71257999999999988</v>
      </c>
      <c r="AG45" s="449"/>
      <c r="AH45" s="451"/>
      <c r="AI45" s="325">
        <f>'[9]Rates in summary'!G38+'Summary of Temporaries '!J38</f>
        <v>0.64121999999999979</v>
      </c>
      <c r="AJ45" s="449"/>
      <c r="AK45" s="450"/>
      <c r="AL45" s="325">
        <f>+'[9]Rates in summary'!Q38</f>
        <v>0.64097999999999988</v>
      </c>
      <c r="AM45" s="449"/>
      <c r="AN45" s="448"/>
      <c r="AO45" s="380"/>
      <c r="AP45" s="383"/>
      <c r="AQ45" s="381">
        <f t="shared" ref="AQ45:AQ76" si="34">AC45-L45</f>
        <v>0</v>
      </c>
      <c r="AR45" s="381">
        <f t="shared" ref="AR45:AR76" si="35">AF45-L45</f>
        <v>0</v>
      </c>
      <c r="AS45" s="381">
        <f t="shared" ref="AS45:AS76" si="36">AL45-L45</f>
        <v>-7.1599999999999997E-2</v>
      </c>
      <c r="AT45" s="381">
        <f t="shared" ref="AT45:AT76" si="37">AS45-(AQ45+AR45)</f>
        <v>-7.1599999999999997E-2</v>
      </c>
      <c r="AU45" s="243">
        <f>+'[9]Rates in summary'!D38+'Summary of Temporaries '!K38+'Summary of Temporaries '!M38+'Summary of Temporaries '!L38-'Summary of Temporaries '!AZ38</f>
        <v>0.70980999999999983</v>
      </c>
      <c r="AV45" s="395"/>
      <c r="AW45" s="447"/>
      <c r="AX45" s="325"/>
      <c r="AY45" s="325"/>
      <c r="AZ45" s="325"/>
      <c r="BA45" s="325"/>
    </row>
    <row r="46" spans="1:57" x14ac:dyDescent="0.25">
      <c r="A46" s="234">
        <f t="shared" si="33"/>
        <v>40</v>
      </c>
      <c r="B46" s="234"/>
      <c r="C46" s="344" t="s">
        <v>69</v>
      </c>
      <c r="D46" s="323">
        <f>+'[9]Washington volumes'!J39</f>
        <v>109047.67533172015</v>
      </c>
      <c r="E46" s="323">
        <v>20000</v>
      </c>
      <c r="F46" s="458"/>
      <c r="G46" s="449"/>
      <c r="H46" s="458"/>
      <c r="I46" s="449"/>
      <c r="J46" s="458"/>
      <c r="K46" s="449"/>
      <c r="L46" s="325">
        <f>+'[9]Rates in summary'!D39</f>
        <v>0.67456999999999967</v>
      </c>
      <c r="M46" s="449"/>
      <c r="N46" s="325">
        <f>'[9]Rates in summary'!D39+'Summary of Temporaries '!K39+'Summary of Temporaries '!L39+'Summary of Temporaries '!M39-'Summary of Temporaries '!AX39</f>
        <v>0.67456999999999967</v>
      </c>
      <c r="O46" s="449"/>
      <c r="P46" s="451"/>
      <c r="Q46" s="325">
        <f>'[9]Rates in summary'!D39+'Summary of Temporaries '!N39+'Summary of Temporaries '!O39-'Summary of Temporaries '!AY39</f>
        <v>0.6744899999999997</v>
      </c>
      <c r="R46" s="449"/>
      <c r="S46" s="451"/>
      <c r="T46" s="457">
        <f>'[9]Rates in detail'!D39+'Summary of Temporaries '!T39-'Summary of Temporaries '!BD39+'Summary of Temporaries '!S39-'Summary of Temporaries '!BC39+'Summary of Temporaries '!P39-'Summary of Temporaries '!BB39++'Summary of Temporaries '!Q39-'Summary of Temporaries '!AW39</f>
        <v>0.67399999999999971</v>
      </c>
      <c r="U46" s="456"/>
      <c r="V46" s="455"/>
      <c r="W46" s="325">
        <f>'[9]Rates in summary'!D39+'Summary of Temporaries '!R39-'Summary of Temporaries '!AZ39</f>
        <v>0.67481999999999975</v>
      </c>
      <c r="X46" s="449"/>
      <c r="Y46" s="451"/>
      <c r="Z46" s="325">
        <f>'[9]Rates in summary'!D39+[9]Permanents!F39</f>
        <v>0.67459999999999964</v>
      </c>
      <c r="AA46" s="449"/>
      <c r="AB46" s="451"/>
      <c r="AC46" s="454">
        <f>'[9]Rates in summary'!D39+'Summary of Temporaries '!U39-'Summary of Temporaries '!BE39</f>
        <v>0.67456999999999967</v>
      </c>
      <c r="AD46" s="453"/>
      <c r="AE46" s="452"/>
      <c r="AF46" s="325">
        <f>'[9]Rates in summary'!D39+'Summary of Temporaries '!V39-'Summary of Temporaries '!BF39</f>
        <v>0.67456999999999967</v>
      </c>
      <c r="AG46" s="449"/>
      <c r="AH46" s="451"/>
      <c r="AI46" s="325">
        <f>'[9]Rates in summary'!G39+'Summary of Temporaries '!J39</f>
        <v>0.60320999999999969</v>
      </c>
      <c r="AJ46" s="449"/>
      <c r="AK46" s="450"/>
      <c r="AL46" s="325">
        <f>+'[9]Rates in summary'!Q39</f>
        <v>0.60283999999999971</v>
      </c>
      <c r="AM46" s="449"/>
      <c r="AN46" s="448"/>
      <c r="AO46" s="380"/>
      <c r="AP46" s="383"/>
      <c r="AQ46" s="381">
        <f t="shared" si="34"/>
        <v>0</v>
      </c>
      <c r="AR46" s="381">
        <f t="shared" si="35"/>
        <v>0</v>
      </c>
      <c r="AS46" s="381">
        <f t="shared" si="36"/>
        <v>-7.172999999999996E-2</v>
      </c>
      <c r="AT46" s="381">
        <f t="shared" si="37"/>
        <v>-7.172999999999996E-2</v>
      </c>
      <c r="AU46" s="243">
        <f>+'[9]Rates in summary'!D39+'Summary of Temporaries '!K39+'Summary of Temporaries '!M39+'Summary of Temporaries '!L39-'Summary of Temporaries '!AZ39</f>
        <v>0.6724399999999997</v>
      </c>
      <c r="AV46" s="395"/>
      <c r="AW46" s="447"/>
      <c r="AX46" s="325"/>
      <c r="AY46" s="325"/>
      <c r="AZ46" s="325"/>
      <c r="BA46" s="325"/>
    </row>
    <row r="47" spans="1:57" x14ac:dyDescent="0.25">
      <c r="A47" s="234">
        <f t="shared" si="33"/>
        <v>41</v>
      </c>
      <c r="B47" s="234"/>
      <c r="C47" s="344" t="s">
        <v>70</v>
      </c>
      <c r="D47" s="323">
        <f>+'[9]Washington volumes'!J40</f>
        <v>24232.772003191028</v>
      </c>
      <c r="E47" s="323">
        <v>100000</v>
      </c>
      <c r="F47" s="458"/>
      <c r="G47" s="449"/>
      <c r="H47" s="458"/>
      <c r="I47" s="449"/>
      <c r="J47" s="458"/>
      <c r="K47" s="449"/>
      <c r="L47" s="325">
        <f>+'[9]Rates in summary'!D40</f>
        <v>0.64957000000000009</v>
      </c>
      <c r="M47" s="449"/>
      <c r="N47" s="325">
        <f>'[9]Rates in summary'!D40+'Summary of Temporaries '!K40+'Summary of Temporaries '!L40+'Summary of Temporaries '!M40-'Summary of Temporaries '!AX40</f>
        <v>0.64957000000000009</v>
      </c>
      <c r="O47" s="449"/>
      <c r="P47" s="451"/>
      <c r="Q47" s="325">
        <f>'[9]Rates in summary'!D40+'Summary of Temporaries '!N40+'Summary of Temporaries '!O40-'Summary of Temporaries '!AY40</f>
        <v>0.64951000000000014</v>
      </c>
      <c r="R47" s="449"/>
      <c r="S47" s="451"/>
      <c r="T47" s="457">
        <f>'[9]Rates in detail'!D40+'Summary of Temporaries '!T40-'Summary of Temporaries '!BD40+'Summary of Temporaries '!S40-'Summary of Temporaries '!BC40+'Summary of Temporaries '!P40-'Summary of Temporaries '!BB40++'Summary of Temporaries '!Q40-'Summary of Temporaries '!AW40</f>
        <v>0.64898000000000011</v>
      </c>
      <c r="U47" s="456"/>
      <c r="V47" s="455"/>
      <c r="W47" s="325">
        <f>'[9]Rates in summary'!D40+'Summary of Temporaries '!R40-'Summary of Temporaries '!AZ40</f>
        <v>0.64978000000000002</v>
      </c>
      <c r="X47" s="449"/>
      <c r="Y47" s="451"/>
      <c r="Z47" s="325">
        <f>'[9]Rates in summary'!D40+[9]Permanents!F40</f>
        <v>0.64959000000000011</v>
      </c>
      <c r="AA47" s="449"/>
      <c r="AB47" s="451"/>
      <c r="AC47" s="454">
        <f>'[9]Rates in summary'!D40+'Summary of Temporaries '!U40-'Summary of Temporaries '!BE40</f>
        <v>0.64957000000000009</v>
      </c>
      <c r="AD47" s="453"/>
      <c r="AE47" s="452"/>
      <c r="AF47" s="325">
        <f>'[9]Rates in summary'!D40+'Summary of Temporaries '!V40-'Summary of Temporaries '!BF40</f>
        <v>0.64957000000000009</v>
      </c>
      <c r="AG47" s="449"/>
      <c r="AH47" s="451"/>
      <c r="AI47" s="325">
        <f>'[9]Rates in summary'!G40+'Summary of Temporaries '!J40</f>
        <v>0.57821</v>
      </c>
      <c r="AJ47" s="449"/>
      <c r="AK47" s="450"/>
      <c r="AL47" s="325">
        <f>+'[9]Rates in summary'!Q40</f>
        <v>0.57779000000000003</v>
      </c>
      <c r="AM47" s="449"/>
      <c r="AN47" s="448"/>
      <c r="AO47" s="380"/>
      <c r="AP47" s="383"/>
      <c r="AQ47" s="381">
        <f t="shared" si="34"/>
        <v>0</v>
      </c>
      <c r="AR47" s="381">
        <f t="shared" si="35"/>
        <v>0</v>
      </c>
      <c r="AS47" s="381">
        <f t="shared" si="36"/>
        <v>-7.1780000000000066E-2</v>
      </c>
      <c r="AT47" s="381">
        <f t="shared" si="37"/>
        <v>-7.1780000000000066E-2</v>
      </c>
      <c r="AU47" s="243">
        <f>+'[9]Rates in summary'!D40+'Summary of Temporaries '!K40+'Summary of Temporaries '!M40+'Summary of Temporaries '!L40-'Summary of Temporaries '!AZ40</f>
        <v>0.64787000000000006</v>
      </c>
      <c r="AV47" s="395"/>
      <c r="AW47" s="447"/>
      <c r="AX47" s="325"/>
      <c r="AY47" s="325"/>
      <c r="AZ47" s="325"/>
      <c r="BA47" s="325"/>
    </row>
    <row r="48" spans="1:57" x14ac:dyDescent="0.25">
      <c r="A48" s="234">
        <f t="shared" si="33"/>
        <v>42</v>
      </c>
      <c r="B48" s="234"/>
      <c r="C48" s="344" t="s">
        <v>71</v>
      </c>
      <c r="D48" s="323">
        <f>+'[9]Washington volumes'!J41</f>
        <v>0</v>
      </c>
      <c r="E48" s="323">
        <v>600000</v>
      </c>
      <c r="F48" s="458"/>
      <c r="G48" s="449"/>
      <c r="H48" s="458"/>
      <c r="I48" s="449"/>
      <c r="J48" s="458"/>
      <c r="K48" s="449"/>
      <c r="L48" s="325">
        <f>+'[9]Rates in summary'!D41</f>
        <v>0.61626000000000036</v>
      </c>
      <c r="M48" s="449"/>
      <c r="N48" s="325">
        <f>'[9]Rates in summary'!D41+'Summary of Temporaries '!K41+'Summary of Temporaries '!L41+'Summary of Temporaries '!M41-'Summary of Temporaries '!AX41</f>
        <v>0.61626000000000036</v>
      </c>
      <c r="O48" s="449"/>
      <c r="P48" s="451"/>
      <c r="Q48" s="325">
        <f>'[9]Rates in summary'!D41+'Summary of Temporaries '!N41+'Summary of Temporaries '!O41-'Summary of Temporaries '!AY41</f>
        <v>0.61622000000000032</v>
      </c>
      <c r="R48" s="449"/>
      <c r="S48" s="451"/>
      <c r="T48" s="457">
        <f>'[9]Rates in detail'!D41+'Summary of Temporaries '!T41-'Summary of Temporaries '!BD41+'Summary of Temporaries '!S41-'Summary of Temporaries '!BC41+'Summary of Temporaries '!P41-'Summary of Temporaries '!BB41++'Summary of Temporaries '!Q41-'Summary of Temporaries '!AW41</f>
        <v>0.61562000000000039</v>
      </c>
      <c r="U48" s="456"/>
      <c r="V48" s="455"/>
      <c r="W48" s="325">
        <f>'[9]Rates in summary'!D41+'Summary of Temporaries '!R41-'Summary of Temporaries '!AZ41</f>
        <v>0.61639000000000033</v>
      </c>
      <c r="X48" s="449"/>
      <c r="Y48" s="451"/>
      <c r="Z48" s="325">
        <f>'[9]Rates in summary'!D41+[9]Permanents!F41</f>
        <v>0.61628000000000038</v>
      </c>
      <c r="AA48" s="449"/>
      <c r="AB48" s="451"/>
      <c r="AC48" s="454">
        <f>'[9]Rates in summary'!D41+'Summary of Temporaries '!U41-'Summary of Temporaries '!BE41</f>
        <v>0.61626000000000036</v>
      </c>
      <c r="AD48" s="453"/>
      <c r="AE48" s="452"/>
      <c r="AF48" s="325">
        <f>'[9]Rates in summary'!D41+'Summary of Temporaries '!V41-'Summary of Temporaries '!BF41</f>
        <v>0.61626000000000036</v>
      </c>
      <c r="AG48" s="449"/>
      <c r="AH48" s="451"/>
      <c r="AI48" s="325">
        <f>'[9]Rates in summary'!G41+'Summary of Temporaries '!J41</f>
        <v>0.54490000000000027</v>
      </c>
      <c r="AJ48" s="449"/>
      <c r="AK48" s="450"/>
      <c r="AL48" s="325">
        <f>+'[9]Rates in summary'!Q41</f>
        <v>0.54437000000000035</v>
      </c>
      <c r="AM48" s="449"/>
      <c r="AN48" s="448"/>
      <c r="AO48" s="380"/>
      <c r="AP48" s="383"/>
      <c r="AQ48" s="381">
        <f t="shared" si="34"/>
        <v>0</v>
      </c>
      <c r="AR48" s="381">
        <f t="shared" si="35"/>
        <v>0</v>
      </c>
      <c r="AS48" s="381">
        <f t="shared" si="36"/>
        <v>-7.1890000000000009E-2</v>
      </c>
      <c r="AT48" s="381">
        <f t="shared" si="37"/>
        <v>-7.1890000000000009E-2</v>
      </c>
      <c r="AU48" s="243">
        <f>+'[9]Rates in summary'!D41+'Summary of Temporaries '!K41+'Summary of Temporaries '!M41+'Summary of Temporaries '!L41-'Summary of Temporaries '!AZ41</f>
        <v>0.61512000000000033</v>
      </c>
      <c r="AV48" s="243"/>
      <c r="AW48" s="447"/>
      <c r="AX48" s="325"/>
      <c r="AY48" s="325"/>
      <c r="AZ48" s="325"/>
      <c r="BA48" s="325"/>
    </row>
    <row r="49" spans="1:57" x14ac:dyDescent="0.25">
      <c r="A49" s="234">
        <f t="shared" si="33"/>
        <v>43</v>
      </c>
      <c r="B49" s="234"/>
      <c r="C49" s="344" t="s">
        <v>72</v>
      </c>
      <c r="D49" s="323">
        <f>+'[9]Washington volumes'!J42</f>
        <v>0</v>
      </c>
      <c r="E49" s="459" t="s">
        <v>243</v>
      </c>
      <c r="F49" s="458"/>
      <c r="G49" s="449"/>
      <c r="H49" s="458"/>
      <c r="I49" s="449"/>
      <c r="J49" s="458"/>
      <c r="K49" s="449"/>
      <c r="L49" s="325">
        <f>+'[9]Rates in summary'!D42</f>
        <v>0.57454999999999989</v>
      </c>
      <c r="M49" s="449"/>
      <c r="N49" s="325">
        <f>'[9]Rates in summary'!D42+'Summary of Temporaries '!K42+'Summary of Temporaries '!L42+'Summary of Temporaries '!M42-'Summary of Temporaries '!AX42</f>
        <v>0.57454999999999989</v>
      </c>
      <c r="O49" s="449"/>
      <c r="P49" s="451"/>
      <c r="Q49" s="325">
        <f>'[9]Rates in summary'!D42+'Summary of Temporaries '!N42+'Summary of Temporaries '!O42-'Summary of Temporaries '!AY42</f>
        <v>0.57452999999999987</v>
      </c>
      <c r="R49" s="449"/>
      <c r="S49" s="451"/>
      <c r="T49" s="457">
        <f>'[9]Rates in detail'!D42+'Summary of Temporaries '!T42-'Summary of Temporaries '!BD42+'Summary of Temporaries '!S42-'Summary of Temporaries '!BC42+'Summary of Temporaries '!P42-'Summary of Temporaries '!BB42++'Summary of Temporaries '!Q42-'Summary of Temporaries '!AW42</f>
        <v>0.57385999999999993</v>
      </c>
      <c r="U49" s="456"/>
      <c r="V49" s="455"/>
      <c r="W49" s="325">
        <f>'[9]Rates in summary'!D42+'Summary of Temporaries '!R42-'Summary of Temporaries '!AZ42</f>
        <v>0.57459999999999989</v>
      </c>
      <c r="X49" s="449"/>
      <c r="Y49" s="451"/>
      <c r="Z49" s="325">
        <f>'[9]Rates in summary'!D42+[9]Permanents!F42</f>
        <v>0.57455999999999985</v>
      </c>
      <c r="AA49" s="449"/>
      <c r="AB49" s="451"/>
      <c r="AC49" s="454">
        <f>'[9]Rates in summary'!D42+'Summary of Temporaries '!U42-'Summary of Temporaries '!BE42</f>
        <v>0.57454999999999989</v>
      </c>
      <c r="AD49" s="453"/>
      <c r="AE49" s="452"/>
      <c r="AF49" s="325">
        <f>'[9]Rates in summary'!D42+'Summary of Temporaries '!V42-'Summary of Temporaries '!BF42</f>
        <v>0.57454999999999989</v>
      </c>
      <c r="AG49" s="449"/>
      <c r="AH49" s="451"/>
      <c r="AI49" s="325">
        <f>'[9]Rates in summary'!G42+'Summary of Temporaries '!J42</f>
        <v>0.50318999999999992</v>
      </c>
      <c r="AJ49" s="449"/>
      <c r="AK49" s="450"/>
      <c r="AL49" s="325">
        <f>+'[9]Rates in summary'!Q42</f>
        <v>0.50253999999999988</v>
      </c>
      <c r="AM49" s="449"/>
      <c r="AN49" s="448"/>
      <c r="AO49" s="380"/>
      <c r="AP49" s="383"/>
      <c r="AQ49" s="381">
        <f t="shared" si="34"/>
        <v>0</v>
      </c>
      <c r="AR49" s="381">
        <f t="shared" si="35"/>
        <v>0</v>
      </c>
      <c r="AS49" s="381">
        <f t="shared" si="36"/>
        <v>-7.2010000000000018E-2</v>
      </c>
      <c r="AT49" s="381">
        <f t="shared" si="37"/>
        <v>-7.2010000000000018E-2</v>
      </c>
      <c r="AU49" s="243">
        <f>+'[9]Rates in summary'!D42+'Summary of Temporaries '!K42+'Summary of Temporaries '!M42+'Summary of Temporaries '!L42-'Summary of Temporaries '!AZ42</f>
        <v>0.57411999999999985</v>
      </c>
      <c r="AV49" s="243"/>
      <c r="AW49" s="447"/>
      <c r="AX49" s="325"/>
      <c r="AY49" s="325"/>
      <c r="AZ49" s="325"/>
      <c r="BA49" s="325"/>
    </row>
    <row r="50" spans="1:57" x14ac:dyDescent="0.25">
      <c r="A50" s="234">
        <f t="shared" si="33"/>
        <v>44</v>
      </c>
      <c r="B50" s="338"/>
      <c r="C50" s="446" t="s">
        <v>27</v>
      </c>
      <c r="D50" s="445"/>
      <c r="E50" s="444"/>
      <c r="F50" s="443"/>
      <c r="G50" s="433"/>
      <c r="H50" s="443"/>
      <c r="I50" s="433"/>
      <c r="J50" s="443"/>
      <c r="K50" s="433"/>
      <c r="L50" s="442"/>
      <c r="M50" s="433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7024.0100199999997</v>
      </c>
      <c r="N50" s="442"/>
      <c r="O50" s="433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7024.0100199999997</v>
      </c>
      <c r="P50" s="417">
        <f>ROUND((O50-M50)/M50,3)</f>
        <v>0</v>
      </c>
      <c r="Q50" s="442"/>
      <c r="R50" s="433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7022.8600200000001</v>
      </c>
      <c r="S50" s="417">
        <f>ROUND((R50-M50)/M50,3)</f>
        <v>0</v>
      </c>
      <c r="T50" s="462"/>
      <c r="U50" s="440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7018.1000199999999</v>
      </c>
      <c r="V50" s="439">
        <f>ROUND((U50-M50)/M50,3)</f>
        <v>-1E-3</v>
      </c>
      <c r="W50" s="442"/>
      <c r="X50" s="433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7028.3000200000006</v>
      </c>
      <c r="Y50" s="417">
        <f>(X50-M50)/M50</f>
        <v>6.1076222667473838E-4</v>
      </c>
      <c r="Z50" s="442"/>
      <c r="AA50" s="433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7024.5800199999994</v>
      </c>
      <c r="AB50" s="417">
        <f>(AA50-M50)/M50</f>
        <v>8.1150225921760433E-5</v>
      </c>
      <c r="AC50" s="460"/>
      <c r="AD50" s="436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7024.0100199999997</v>
      </c>
      <c r="AE50" s="418">
        <f>(AD50-M50)/M50</f>
        <v>0</v>
      </c>
      <c r="AF50" s="442"/>
      <c r="AG50" s="433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7024.0100199999997</v>
      </c>
      <c r="AH50" s="417">
        <f>(AG50-M50)/M50</f>
        <v>0</v>
      </c>
      <c r="AI50" s="442"/>
      <c r="AJ50" s="433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6187.2500200000004</v>
      </c>
      <c r="AK50" s="432">
        <f>ROUND((AJ50-M50)/M50,3)</f>
        <v>-0.11899999999999999</v>
      </c>
      <c r="AL50" s="442"/>
      <c r="AM50" s="433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6185.0300200000001</v>
      </c>
      <c r="AN50" s="432">
        <f>ROUND((AM50-M50)/M50,3)</f>
        <v>-0.11899999999999999</v>
      </c>
      <c r="AO50" s="380"/>
      <c r="AP50" s="383"/>
      <c r="AQ50" s="381">
        <f t="shared" si="34"/>
        <v>0</v>
      </c>
      <c r="AR50" s="381">
        <f t="shared" si="35"/>
        <v>0</v>
      </c>
      <c r="AS50" s="381">
        <f t="shared" si="36"/>
        <v>0</v>
      </c>
      <c r="AT50" s="381">
        <f t="shared" si="37"/>
        <v>0</v>
      </c>
      <c r="AU50" s="431"/>
      <c r="AV50" s="430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6988.2300200000009</v>
      </c>
      <c r="AW50" s="429">
        <f>ROUND((AV50-M50)/M50,3)</f>
        <v>-5.0000000000000001E-3</v>
      </c>
      <c r="AX50" s="325"/>
      <c r="AY50" s="325"/>
      <c r="AZ50" s="325"/>
      <c r="BA50" s="325"/>
    </row>
    <row r="51" spans="1:57" x14ac:dyDescent="0.25">
      <c r="A51" s="234">
        <f t="shared" si="33"/>
        <v>45</v>
      </c>
      <c r="B51" s="234" t="s">
        <v>74</v>
      </c>
      <c r="C51" s="344" t="s">
        <v>61</v>
      </c>
      <c r="D51" s="323">
        <f>+'[9]Washington volumes'!J43</f>
        <v>122543.87639893022</v>
      </c>
      <c r="E51" s="323">
        <v>10000</v>
      </c>
      <c r="F51" s="458">
        <f>+'[9]Washington volumes'!M43</f>
        <v>84672</v>
      </c>
      <c r="G51" s="449">
        <f>1300+250</f>
        <v>1550</v>
      </c>
      <c r="H51" s="449">
        <f>'[32]Aver Bill by RS'!$J51</f>
        <v>5142.2693365131181</v>
      </c>
      <c r="I51" s="449">
        <f>G51-(IF(H51&gt;(F51*$H$3),(F51*$H$3),H51))</f>
        <v>-3592.2693365131181</v>
      </c>
      <c r="J51" s="449">
        <f>'[32]Aver Bill by RS'!$J51</f>
        <v>5142.2693365131181</v>
      </c>
      <c r="K51" s="449">
        <f>G51-(IF(J51&gt;($F51*$H$4),($F51*$H$4),J51))</f>
        <v>-3592.2693365131181</v>
      </c>
      <c r="L51" s="325">
        <f>+'[9]Rates in summary'!D43</f>
        <v>0.40332000000000001</v>
      </c>
      <c r="M51" s="449"/>
      <c r="N51" s="325">
        <f>'[9]Rates in summary'!D43+'Summary of Temporaries '!K43+'Summary of Temporaries '!L43+'Summary of Temporaries '!M43-'Summary of Temporaries '!AX43</f>
        <v>0.40332000000000001</v>
      </c>
      <c r="O51" s="449"/>
      <c r="P51" s="451"/>
      <c r="Q51" s="325">
        <f>'[9]Rates in summary'!D43+'Summary of Temporaries '!N43+'Summary of Temporaries '!O43-'Summary of Temporaries '!AY43</f>
        <v>0.40332000000000001</v>
      </c>
      <c r="R51" s="449"/>
      <c r="S51" s="451"/>
      <c r="T51" s="457">
        <f>'[9]Rates in detail'!D43+'Summary of Temporaries '!T43-'Summary of Temporaries '!BD43+'Summary of Temporaries '!S43-'Summary of Temporaries '!BC43+'Summary of Temporaries '!P43-'Summary of Temporaries '!BB43++'Summary of Temporaries '!Q43-'Summary of Temporaries '!AW43</f>
        <v>0.40266000000000007</v>
      </c>
      <c r="U51" s="456"/>
      <c r="V51" s="455"/>
      <c r="W51" s="325">
        <f>'[9]Rates in summary'!D43+'Summary of Temporaries '!R43-'Summary of Temporaries '!AZ43</f>
        <v>0.40358000000000005</v>
      </c>
      <c r="X51" s="449"/>
      <c r="Y51" s="451"/>
      <c r="Z51" s="325">
        <f>'[9]Rates in summary'!D43+[9]Permanents!F43</f>
        <v>0.40332000000000001</v>
      </c>
      <c r="AA51" s="449"/>
      <c r="AB51" s="451"/>
      <c r="AC51" s="454">
        <f>'[9]Rates in summary'!D43+'Summary of Temporaries '!U43-'Summary of Temporaries '!BE43</f>
        <v>0.40332000000000001</v>
      </c>
      <c r="AD51" s="453"/>
      <c r="AE51" s="452"/>
      <c r="AF51" s="325">
        <f>'[9]Rates in summary'!D43+'Summary of Temporaries '!V43-'Summary of Temporaries '!BF43</f>
        <v>0.40332000000000001</v>
      </c>
      <c r="AG51" s="449"/>
      <c r="AH51" s="451"/>
      <c r="AI51" s="325">
        <f>'[9]Rates in summary'!G43+'Summary of Temporaries '!J43</f>
        <v>0.40332000000000001</v>
      </c>
      <c r="AJ51" s="449"/>
      <c r="AK51" s="450"/>
      <c r="AL51" s="325">
        <f>+'[9]Rates in summary'!Q43</f>
        <v>0.40292</v>
      </c>
      <c r="AM51" s="449"/>
      <c r="AN51" s="448"/>
      <c r="AO51" s="380"/>
      <c r="AP51" s="383"/>
      <c r="AQ51" s="381">
        <f t="shared" si="34"/>
        <v>0</v>
      </c>
      <c r="AR51" s="381">
        <f t="shared" si="35"/>
        <v>0</v>
      </c>
      <c r="AS51" s="381">
        <f t="shared" si="36"/>
        <v>-4.0000000000001146E-4</v>
      </c>
      <c r="AT51" s="381">
        <f t="shared" si="37"/>
        <v>-4.0000000000001146E-4</v>
      </c>
      <c r="AU51" s="243">
        <f>+'[9]Rates in summary'!D43+'Summary of Temporaries '!K43+'Summary of Temporaries '!M43+'Summary of Temporaries '!L43-'Summary of Temporaries '!AZ43</f>
        <v>0.40139000000000002</v>
      </c>
      <c r="AV51" s="395"/>
      <c r="AW51" s="447"/>
      <c r="AX51" s="325"/>
      <c r="AY51" s="325"/>
      <c r="AZ51" s="325"/>
      <c r="BA51" s="325"/>
    </row>
    <row r="52" spans="1:57" x14ac:dyDescent="0.25">
      <c r="A52" s="234">
        <f t="shared" si="33"/>
        <v>46</v>
      </c>
      <c r="B52" s="234"/>
      <c r="C52" s="344" t="s">
        <v>62</v>
      </c>
      <c r="D52" s="323">
        <f>+'[9]Washington volumes'!J44</f>
        <v>245087.75279786045</v>
      </c>
      <c r="E52" s="323">
        <v>20000</v>
      </c>
      <c r="F52" s="458"/>
      <c r="G52" s="449"/>
      <c r="H52" s="458"/>
      <c r="I52" s="449"/>
      <c r="J52" s="458"/>
      <c r="K52" s="449"/>
      <c r="L52" s="325">
        <f>+'[9]Rates in summary'!D44</f>
        <v>0.38640000000000002</v>
      </c>
      <c r="M52" s="449"/>
      <c r="N52" s="325">
        <f>'[9]Rates in summary'!D44+'Summary of Temporaries '!K44+'Summary of Temporaries '!L44+'Summary of Temporaries '!M44-'Summary of Temporaries '!AX44</f>
        <v>0.38640000000000002</v>
      </c>
      <c r="O52" s="449"/>
      <c r="P52" s="451"/>
      <c r="Q52" s="325">
        <f>'[9]Rates in summary'!D44+'Summary of Temporaries '!N44+'Summary of Temporaries '!O44-'Summary of Temporaries '!AY44</f>
        <v>0.38640000000000002</v>
      </c>
      <c r="R52" s="449"/>
      <c r="S52" s="451"/>
      <c r="T52" s="457">
        <f>'[9]Rates in detail'!D44+'Summary of Temporaries '!T44-'Summary of Temporaries '!BD44+'Summary of Temporaries '!S44-'Summary of Temporaries '!BC44+'Summary of Temporaries '!P44-'Summary of Temporaries '!BB44++'Summary of Temporaries '!Q44-'Summary of Temporaries '!AW44</f>
        <v>0.38574000000000003</v>
      </c>
      <c r="U52" s="456"/>
      <c r="V52" s="455"/>
      <c r="W52" s="325">
        <f>'[9]Rates in summary'!D44+'Summary of Temporaries '!R44-'Summary of Temporaries '!AZ44</f>
        <v>0.38663000000000003</v>
      </c>
      <c r="X52" s="449"/>
      <c r="Y52" s="451"/>
      <c r="Z52" s="325">
        <f>'[9]Rates in summary'!D44+[9]Permanents!F44</f>
        <v>0.38640000000000002</v>
      </c>
      <c r="AA52" s="449"/>
      <c r="AB52" s="451"/>
      <c r="AC52" s="454">
        <f>'[9]Rates in summary'!D44+'Summary of Temporaries '!U44-'Summary of Temporaries '!BE44</f>
        <v>0.38640000000000008</v>
      </c>
      <c r="AD52" s="453"/>
      <c r="AE52" s="452"/>
      <c r="AF52" s="325">
        <f>'[9]Rates in summary'!D44+'Summary of Temporaries '!V44-'Summary of Temporaries '!BF44</f>
        <v>0.38639999999999997</v>
      </c>
      <c r="AG52" s="449"/>
      <c r="AH52" s="451"/>
      <c r="AI52" s="325">
        <f>'[9]Rates in summary'!G44+'Summary of Temporaries '!J44</f>
        <v>0.38640000000000002</v>
      </c>
      <c r="AJ52" s="449"/>
      <c r="AK52" s="450"/>
      <c r="AL52" s="325">
        <f>+'[9]Rates in summary'!Q44</f>
        <v>0.38597000000000004</v>
      </c>
      <c r="AM52" s="449"/>
      <c r="AN52" s="448"/>
      <c r="AO52" s="380"/>
      <c r="AP52" s="383"/>
      <c r="AQ52" s="381">
        <f t="shared" si="34"/>
        <v>0</v>
      </c>
      <c r="AR52" s="381">
        <f t="shared" si="35"/>
        <v>0</v>
      </c>
      <c r="AS52" s="381">
        <f t="shared" si="36"/>
        <v>-4.2999999999998595E-4</v>
      </c>
      <c r="AT52" s="381">
        <f t="shared" si="37"/>
        <v>-4.2999999999998595E-4</v>
      </c>
      <c r="AU52" s="243">
        <f>+'[9]Rates in summary'!D44+'Summary of Temporaries '!K44+'Summary of Temporaries '!M44+'Summary of Temporaries '!L44-'Summary of Temporaries '!AZ44</f>
        <v>0.38467000000000001</v>
      </c>
      <c r="AV52" s="395"/>
      <c r="AW52" s="447"/>
      <c r="AX52" s="325"/>
      <c r="AY52" s="325"/>
      <c r="AZ52" s="325"/>
      <c r="BA52" s="325"/>
    </row>
    <row r="53" spans="1:57" x14ac:dyDescent="0.25">
      <c r="A53" s="234">
        <f t="shared" si="33"/>
        <v>47</v>
      </c>
      <c r="B53" s="234"/>
      <c r="C53" s="344" t="s">
        <v>69</v>
      </c>
      <c r="D53" s="323">
        <f>+'[9]Washington volumes'!J45</f>
        <v>245087.75279786045</v>
      </c>
      <c r="E53" s="323">
        <v>20000</v>
      </c>
      <c r="F53" s="458"/>
      <c r="G53" s="449"/>
      <c r="H53" s="458"/>
      <c r="I53" s="449"/>
      <c r="J53" s="458"/>
      <c r="K53" s="449"/>
      <c r="L53" s="325">
        <f>+'[9]Rates in summary'!D45</f>
        <v>0.35268999999999995</v>
      </c>
      <c r="M53" s="449"/>
      <c r="N53" s="325">
        <f>'[9]Rates in summary'!D45+'Summary of Temporaries '!K45+'Summary of Temporaries '!L45+'Summary of Temporaries '!M45-'Summary of Temporaries '!AX45</f>
        <v>0.35268999999999995</v>
      </c>
      <c r="O53" s="449"/>
      <c r="P53" s="451"/>
      <c r="Q53" s="325">
        <f>'[9]Rates in summary'!D45+'Summary of Temporaries '!N45+'Summary of Temporaries '!O45-'Summary of Temporaries '!AY45</f>
        <v>0.35268999999999995</v>
      </c>
      <c r="R53" s="449"/>
      <c r="S53" s="451"/>
      <c r="T53" s="457">
        <f>'[9]Rates in detail'!D45+'Summary of Temporaries '!T45-'Summary of Temporaries '!BD45+'Summary of Temporaries '!S45-'Summary of Temporaries '!BC45+'Summary of Temporaries '!P45-'Summary of Temporaries '!BB45++'Summary of Temporaries '!Q45-'Summary of Temporaries '!AW45</f>
        <v>0.35200999999999999</v>
      </c>
      <c r="U53" s="456"/>
      <c r="V53" s="455"/>
      <c r="W53" s="325">
        <f>'[9]Rates in summary'!D45+'Summary of Temporaries '!R45-'Summary of Temporaries '!AZ45</f>
        <v>0.35285999999999995</v>
      </c>
      <c r="X53" s="449"/>
      <c r="Y53" s="451"/>
      <c r="Z53" s="325">
        <f>'[9]Rates in summary'!D45+[9]Permanents!F45</f>
        <v>0.35268999999999995</v>
      </c>
      <c r="AA53" s="449"/>
      <c r="AB53" s="451"/>
      <c r="AC53" s="454">
        <f>'[9]Rates in summary'!D45+'Summary of Temporaries '!U45-'Summary of Temporaries '!BE45</f>
        <v>0.35268999999999995</v>
      </c>
      <c r="AD53" s="453"/>
      <c r="AE53" s="452"/>
      <c r="AF53" s="325">
        <f>'[9]Rates in summary'!D45+'Summary of Temporaries '!V45-'Summary of Temporaries '!BF45</f>
        <v>0.35268999999999995</v>
      </c>
      <c r="AG53" s="449"/>
      <c r="AH53" s="451"/>
      <c r="AI53" s="325">
        <f>'[9]Rates in summary'!G45+'Summary of Temporaries '!J45</f>
        <v>0.35268999999999995</v>
      </c>
      <c r="AJ53" s="449"/>
      <c r="AK53" s="450"/>
      <c r="AL53" s="325">
        <f>+'[9]Rates in summary'!Q45</f>
        <v>0.35217999999999994</v>
      </c>
      <c r="AM53" s="449"/>
      <c r="AN53" s="448"/>
      <c r="AO53" s="380"/>
      <c r="AP53" s="383"/>
      <c r="AQ53" s="381">
        <f t="shared" si="34"/>
        <v>0</v>
      </c>
      <c r="AR53" s="381">
        <f t="shared" si="35"/>
        <v>0</v>
      </c>
      <c r="AS53" s="381">
        <f t="shared" si="36"/>
        <v>-5.1000000000001044E-4</v>
      </c>
      <c r="AT53" s="381">
        <f t="shared" si="37"/>
        <v>-5.1000000000001044E-4</v>
      </c>
      <c r="AU53" s="243">
        <f>+'[9]Rates in summary'!D45+'Summary of Temporaries '!K45+'Summary of Temporaries '!M45+'Summary of Temporaries '!L45-'Summary of Temporaries '!AZ45</f>
        <v>0.35135999999999995</v>
      </c>
      <c r="AV53" s="395"/>
      <c r="AW53" s="447"/>
      <c r="AX53" s="325"/>
      <c r="AY53" s="325"/>
      <c r="AZ53" s="325"/>
      <c r="BA53" s="325"/>
    </row>
    <row r="54" spans="1:57" x14ac:dyDescent="0.25">
      <c r="A54" s="234">
        <f t="shared" si="33"/>
        <v>48</v>
      </c>
      <c r="B54" s="234"/>
      <c r="C54" s="344" t="s">
        <v>70</v>
      </c>
      <c r="D54" s="323">
        <f>+'[9]Washington volumes'!J46</f>
        <v>403343.97837634891</v>
      </c>
      <c r="E54" s="323">
        <v>100000</v>
      </c>
      <c r="F54" s="458"/>
      <c r="G54" s="449"/>
      <c r="H54" s="458"/>
      <c r="I54" s="449"/>
      <c r="J54" s="458"/>
      <c r="K54" s="449"/>
      <c r="L54" s="325">
        <f>+'[9]Rates in summary'!D46</f>
        <v>0.33054000000000006</v>
      </c>
      <c r="M54" s="449"/>
      <c r="N54" s="325">
        <f>'[9]Rates in summary'!D46+'Summary of Temporaries '!K46+'Summary of Temporaries '!L46+'Summary of Temporaries '!M46-'Summary of Temporaries '!AX46</f>
        <v>0.33054000000000006</v>
      </c>
      <c r="O54" s="449"/>
      <c r="P54" s="451"/>
      <c r="Q54" s="325">
        <f>'[9]Rates in summary'!D46+'Summary of Temporaries '!N46+'Summary of Temporaries '!O46-'Summary of Temporaries '!AY46</f>
        <v>0.33054000000000006</v>
      </c>
      <c r="R54" s="449"/>
      <c r="S54" s="451"/>
      <c r="T54" s="457">
        <f>'[9]Rates in detail'!D46+'Summary of Temporaries '!T46-'Summary of Temporaries '!BD46+'Summary of Temporaries '!S46-'Summary of Temporaries '!BC46+'Summary of Temporaries '!P46-'Summary of Temporaries '!BB46++'Summary of Temporaries '!Q46-'Summary of Temporaries '!AW46</f>
        <v>0.32982000000000011</v>
      </c>
      <c r="U54" s="456"/>
      <c r="V54" s="455"/>
      <c r="W54" s="325">
        <f>'[9]Rates in summary'!D46+'Summary of Temporaries '!R46-'Summary of Temporaries '!AZ46</f>
        <v>0.33068000000000003</v>
      </c>
      <c r="X54" s="449"/>
      <c r="Y54" s="451"/>
      <c r="Z54" s="325">
        <f>'[9]Rates in summary'!D46+[9]Permanents!F46</f>
        <v>0.33054000000000006</v>
      </c>
      <c r="AA54" s="449"/>
      <c r="AB54" s="451"/>
      <c r="AC54" s="454">
        <f>'[9]Rates in summary'!D46+'Summary of Temporaries '!U46-'Summary of Temporaries '!BE46</f>
        <v>0.33054000000000006</v>
      </c>
      <c r="AD54" s="453"/>
      <c r="AE54" s="452"/>
      <c r="AF54" s="325">
        <f>'[9]Rates in summary'!D46+'Summary of Temporaries '!V46-'Summary of Temporaries '!BF46</f>
        <v>0.33054000000000006</v>
      </c>
      <c r="AG54" s="449"/>
      <c r="AH54" s="451"/>
      <c r="AI54" s="325">
        <f>'[9]Rates in summary'!G46+'Summary of Temporaries '!J46</f>
        <v>0.33054000000000006</v>
      </c>
      <c r="AJ54" s="449"/>
      <c r="AK54" s="450"/>
      <c r="AL54" s="325">
        <f>+'[9]Rates in summary'!Q46</f>
        <v>0.32996000000000003</v>
      </c>
      <c r="AM54" s="449"/>
      <c r="AN54" s="448"/>
      <c r="AO54" s="380"/>
      <c r="AP54" s="383"/>
      <c r="AQ54" s="381">
        <f t="shared" si="34"/>
        <v>0</v>
      </c>
      <c r="AR54" s="381">
        <f t="shared" si="35"/>
        <v>0</v>
      </c>
      <c r="AS54" s="381">
        <f t="shared" si="36"/>
        <v>-5.8000000000002494E-4</v>
      </c>
      <c r="AT54" s="381">
        <f t="shared" si="37"/>
        <v>-5.8000000000002494E-4</v>
      </c>
      <c r="AU54" s="243">
        <f>+'[9]Rates in summary'!D46+'Summary of Temporaries '!K46+'Summary of Temporaries '!M46+'Summary of Temporaries '!L46-'Summary of Temporaries '!AZ46</f>
        <v>0.32948000000000005</v>
      </c>
      <c r="AV54" s="395"/>
      <c r="AW54" s="447"/>
      <c r="AX54" s="325"/>
      <c r="AY54" s="325"/>
      <c r="AZ54" s="325"/>
      <c r="BA54" s="325"/>
    </row>
    <row r="55" spans="1:57" x14ac:dyDescent="0.25">
      <c r="A55" s="234">
        <f t="shared" si="33"/>
        <v>49</v>
      </c>
      <c r="B55" s="234"/>
      <c r="C55" s="344" t="s">
        <v>71</v>
      </c>
      <c r="D55" s="323">
        <f>+'[9]Washington volumes'!J47</f>
        <v>0</v>
      </c>
      <c r="E55" s="323">
        <v>600000</v>
      </c>
      <c r="F55" s="458"/>
      <c r="G55" s="449"/>
      <c r="H55" s="458"/>
      <c r="I55" s="449"/>
      <c r="J55" s="458"/>
      <c r="K55" s="449"/>
      <c r="L55" s="325">
        <f>+'[9]Rates in summary'!D47</f>
        <v>0.30097000000000007</v>
      </c>
      <c r="M55" s="449"/>
      <c r="N55" s="325">
        <f>'[9]Rates in summary'!D47+'Summary of Temporaries '!K47+'Summary of Temporaries '!L47+'Summary of Temporaries '!M47-'Summary of Temporaries '!AX47</f>
        <v>0.30097000000000007</v>
      </c>
      <c r="O55" s="449"/>
      <c r="P55" s="451"/>
      <c r="Q55" s="325">
        <f>'[9]Rates in summary'!D47+'Summary of Temporaries '!N47+'Summary of Temporaries '!O47-'Summary of Temporaries '!AY47</f>
        <v>0.30097000000000007</v>
      </c>
      <c r="R55" s="449"/>
      <c r="S55" s="451"/>
      <c r="T55" s="457">
        <f>'[9]Rates in detail'!D47+'Summary of Temporaries '!T47-'Summary of Temporaries '!BD47+'Summary of Temporaries '!S47-'Summary of Temporaries '!BC47+'Summary of Temporaries '!P47-'Summary of Temporaries '!BB47++'Summary of Temporaries '!Q47-'Summary of Temporaries '!AW47</f>
        <v>0.30025000000000013</v>
      </c>
      <c r="U55" s="456"/>
      <c r="V55" s="455"/>
      <c r="W55" s="325">
        <f>'[9]Rates in summary'!D47+'Summary of Temporaries '!R47-'Summary of Temporaries '!AZ47</f>
        <v>0.30106000000000011</v>
      </c>
      <c r="X55" s="449"/>
      <c r="Y55" s="451"/>
      <c r="Z55" s="325">
        <f>'[9]Rates in summary'!D47+[9]Permanents!F47</f>
        <v>0.30097000000000007</v>
      </c>
      <c r="AA55" s="449"/>
      <c r="AB55" s="451"/>
      <c r="AC55" s="454">
        <f>'[9]Rates in summary'!D47+'Summary of Temporaries '!U47-'Summary of Temporaries '!BE47</f>
        <v>0.30097000000000007</v>
      </c>
      <c r="AD55" s="453"/>
      <c r="AE55" s="452"/>
      <c r="AF55" s="325">
        <f>'[9]Rates in summary'!D47+'Summary of Temporaries '!V47-'Summary of Temporaries '!BF47</f>
        <v>0.30097000000000007</v>
      </c>
      <c r="AG55" s="449"/>
      <c r="AH55" s="451"/>
      <c r="AI55" s="325">
        <f>'[9]Rates in summary'!G47+'Summary of Temporaries '!J47</f>
        <v>0.30097000000000007</v>
      </c>
      <c r="AJ55" s="449"/>
      <c r="AK55" s="450"/>
      <c r="AL55" s="325">
        <f>+'[9]Rates in summary'!Q47</f>
        <v>0.30034000000000005</v>
      </c>
      <c r="AM55" s="449"/>
      <c r="AN55" s="448"/>
      <c r="AO55" s="380"/>
      <c r="AP55" s="383"/>
      <c r="AQ55" s="381">
        <f t="shared" si="34"/>
        <v>0</v>
      </c>
      <c r="AR55" s="381">
        <f t="shared" si="35"/>
        <v>0</v>
      </c>
      <c r="AS55" s="381">
        <f t="shared" si="36"/>
        <v>-6.3000000000001943E-4</v>
      </c>
      <c r="AT55" s="381">
        <f t="shared" si="37"/>
        <v>-6.3000000000001943E-4</v>
      </c>
      <c r="AU55" s="243">
        <f>+'[9]Rates in summary'!D47+'Summary of Temporaries '!K47+'Summary of Temporaries '!M47+'Summary of Temporaries '!L47-'Summary of Temporaries '!AZ47</f>
        <v>0.30026000000000008</v>
      </c>
      <c r="AV55" s="243"/>
      <c r="AW55" s="447"/>
      <c r="AX55" s="325"/>
      <c r="AY55" s="325"/>
      <c r="AZ55" s="325"/>
      <c r="BA55" s="325"/>
    </row>
    <row r="56" spans="1:57" x14ac:dyDescent="0.25">
      <c r="A56" s="234">
        <f t="shared" si="33"/>
        <v>50</v>
      </c>
      <c r="B56" s="234"/>
      <c r="C56" s="344" t="s">
        <v>72</v>
      </c>
      <c r="D56" s="323">
        <f>+'[9]Washington volumes'!J48</f>
        <v>0</v>
      </c>
      <c r="E56" s="459" t="s">
        <v>243</v>
      </c>
      <c r="F56" s="458"/>
      <c r="G56" s="449"/>
      <c r="H56" s="458"/>
      <c r="I56" s="449"/>
      <c r="J56" s="458"/>
      <c r="K56" s="449"/>
      <c r="L56" s="325">
        <f>+'[9]Rates in summary'!D48</f>
        <v>0.26403000000000004</v>
      </c>
      <c r="M56" s="449"/>
      <c r="N56" s="325">
        <f>'[9]Rates in summary'!D48+'Summary of Temporaries '!K48+'Summary of Temporaries '!L48+'Summary of Temporaries '!M48-'Summary of Temporaries '!AX48</f>
        <v>0.26403000000000004</v>
      </c>
      <c r="O56" s="449"/>
      <c r="P56" s="451"/>
      <c r="Q56" s="325">
        <f>'[9]Rates in summary'!D48+'Summary of Temporaries '!N48+'Summary of Temporaries '!O48-'Summary of Temporaries '!AY48</f>
        <v>0.26403000000000004</v>
      </c>
      <c r="R56" s="449"/>
      <c r="S56" s="451"/>
      <c r="T56" s="457">
        <f>'[9]Rates in detail'!D48+'Summary of Temporaries '!T48-'Summary of Temporaries '!BD48+'Summary of Temporaries '!S48-'Summary of Temporaries '!BC48+'Summary of Temporaries '!P48-'Summary of Temporaries '!BB48++'Summary of Temporaries '!Q48-'Summary of Temporaries '!AW48</f>
        <v>0.26328000000000013</v>
      </c>
      <c r="U56" s="456"/>
      <c r="V56" s="455"/>
      <c r="W56" s="325">
        <f>'[9]Rates in summary'!D48+'Summary of Temporaries '!R48-'Summary of Temporaries '!AZ48</f>
        <v>0.26406000000000007</v>
      </c>
      <c r="X56" s="449"/>
      <c r="Y56" s="451"/>
      <c r="Z56" s="325">
        <f>'[9]Rates in summary'!D48+[9]Permanents!F48</f>
        <v>0.26403000000000004</v>
      </c>
      <c r="AA56" s="449"/>
      <c r="AB56" s="451"/>
      <c r="AC56" s="454">
        <f>'[9]Rates in summary'!D48+'Summary of Temporaries '!U48-'Summary of Temporaries '!BE48</f>
        <v>0.26403000000000004</v>
      </c>
      <c r="AD56" s="453"/>
      <c r="AE56" s="452"/>
      <c r="AF56" s="325">
        <f>'[9]Rates in summary'!D48+'Summary of Temporaries '!V48-'Summary of Temporaries '!BF48</f>
        <v>0.2640300000000001</v>
      </c>
      <c r="AG56" s="449"/>
      <c r="AH56" s="451"/>
      <c r="AI56" s="325">
        <f>'[9]Rates in summary'!G48+'Summary of Temporaries '!J48</f>
        <v>0.26403000000000004</v>
      </c>
      <c r="AJ56" s="449"/>
      <c r="AK56" s="450"/>
      <c r="AL56" s="325">
        <f>+'[9]Rates in summary'!Q48</f>
        <v>0.26331000000000004</v>
      </c>
      <c r="AM56" s="449"/>
      <c r="AN56" s="448"/>
      <c r="AO56" s="380"/>
      <c r="AP56" s="383"/>
      <c r="AQ56" s="381">
        <f t="shared" si="34"/>
        <v>0</v>
      </c>
      <c r="AR56" s="381">
        <f t="shared" si="35"/>
        <v>0</v>
      </c>
      <c r="AS56" s="381">
        <f t="shared" si="36"/>
        <v>-7.1999999999999842E-4</v>
      </c>
      <c r="AT56" s="381">
        <f t="shared" si="37"/>
        <v>-7.1999999999999842E-4</v>
      </c>
      <c r="AU56" s="243">
        <f>+'[9]Rates in summary'!D48+'Summary of Temporaries '!K48+'Summary of Temporaries '!M48+'Summary of Temporaries '!L48-'Summary of Temporaries '!AZ48</f>
        <v>0.26376000000000005</v>
      </c>
      <c r="AV56" s="243"/>
      <c r="AW56" s="447"/>
      <c r="AX56" s="325"/>
      <c r="AY56" s="325"/>
      <c r="AZ56" s="325"/>
      <c r="BA56" s="325"/>
    </row>
    <row r="57" spans="1:57" x14ac:dyDescent="0.25">
      <c r="A57" s="234">
        <f t="shared" si="33"/>
        <v>51</v>
      </c>
      <c r="B57" s="338"/>
      <c r="C57" s="446" t="s">
        <v>27</v>
      </c>
      <c r="D57" s="445"/>
      <c r="E57" s="444"/>
      <c r="F57" s="443"/>
      <c r="G57" s="433"/>
      <c r="H57" s="443"/>
      <c r="I57" s="433"/>
      <c r="J57" s="443"/>
      <c r="K57" s="433"/>
      <c r="L57" s="442"/>
      <c r="M57" s="433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26683.210663486883</v>
      </c>
      <c r="N57" s="442"/>
      <c r="O57" s="433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26683.210663486883</v>
      </c>
      <c r="P57" s="417">
        <f>ROUND((O57-M57)/M57,3)</f>
        <v>0</v>
      </c>
      <c r="Q57" s="442"/>
      <c r="R57" s="433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26683.210663486883</v>
      </c>
      <c r="S57" s="417">
        <f>ROUND((R57-M57)/M57,3)</f>
        <v>0</v>
      </c>
      <c r="T57" s="462"/>
      <c r="U57" s="440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26624.850663486883</v>
      </c>
      <c r="V57" s="439">
        <f>ROUND((U57-M57)/M57,3)</f>
        <v>-2E-3</v>
      </c>
      <c r="W57" s="442"/>
      <c r="X57" s="433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26698.670663486882</v>
      </c>
      <c r="Y57" s="417">
        <f>(X57-M57)/M57</f>
        <v>5.7939054617420845E-4</v>
      </c>
      <c r="Z57" s="442"/>
      <c r="AA57" s="433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26683.210663486883</v>
      </c>
      <c r="AB57" s="417">
        <f>(AA57-M57)/M57</f>
        <v>0</v>
      </c>
      <c r="AC57" s="460"/>
      <c r="AD57" s="436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26683.210663486883</v>
      </c>
      <c r="AE57" s="418">
        <f>(AD57-M57)/M57</f>
        <v>0</v>
      </c>
      <c r="AF57" s="442"/>
      <c r="AG57" s="433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26683.210663486883</v>
      </c>
      <c r="AH57" s="417">
        <f>(AG57-M57)/M57</f>
        <v>0</v>
      </c>
      <c r="AI57" s="442"/>
      <c r="AJ57" s="433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26683.210663486883</v>
      </c>
      <c r="AK57" s="432">
        <f>ROUND((AJ57-M57)/M57,3)</f>
        <v>0</v>
      </c>
      <c r="AL57" s="442"/>
      <c r="AM57" s="433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26640.30066348688</v>
      </c>
      <c r="AN57" s="432">
        <f>ROUND((AM57-M57)/M57,3)</f>
        <v>-2E-3</v>
      </c>
      <c r="AO57" s="380"/>
      <c r="AP57" s="383"/>
      <c r="AQ57" s="381">
        <f t="shared" si="34"/>
        <v>0</v>
      </c>
      <c r="AR57" s="381">
        <f t="shared" si="35"/>
        <v>0</v>
      </c>
      <c r="AS57" s="381">
        <f t="shared" si="36"/>
        <v>0</v>
      </c>
      <c r="AT57" s="381">
        <f t="shared" si="37"/>
        <v>0</v>
      </c>
      <c r="AU57" s="431"/>
      <c r="AV57" s="430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26565.960663486883</v>
      </c>
      <c r="AW57" s="429">
        <f>ROUND((AV57-M57)/M57,3)</f>
        <v>-4.0000000000000001E-3</v>
      </c>
      <c r="AX57" s="325"/>
      <c r="AY57" s="325"/>
      <c r="AZ57" s="325"/>
      <c r="BA57" s="325"/>
      <c r="BB57" s="468"/>
      <c r="BC57" s="467"/>
      <c r="BD57" s="467"/>
      <c r="BE57" s="467"/>
    </row>
    <row r="58" spans="1:57" x14ac:dyDescent="0.25">
      <c r="A58" s="234">
        <f t="shared" si="33"/>
        <v>52</v>
      </c>
      <c r="B58" s="234" t="s">
        <v>75</v>
      </c>
      <c r="C58" s="344" t="s">
        <v>61</v>
      </c>
      <c r="D58" s="323">
        <f>+'[9]Washington volumes'!J49</f>
        <v>933451.95163091726</v>
      </c>
      <c r="E58" s="323">
        <v>10000</v>
      </c>
      <c r="F58" s="458">
        <f>+'[9]Washington volumes'!M49</f>
        <v>60372</v>
      </c>
      <c r="G58" s="449">
        <f>1300+250</f>
        <v>1550</v>
      </c>
      <c r="H58" s="449">
        <f>'[32]Aver Bill by RS'!$J58</f>
        <v>3945.7691048183847</v>
      </c>
      <c r="I58" s="449">
        <f>G58-(IF(H58&gt;(F58*$H$3),(F58*$H$3),H58))</f>
        <v>-2395.7691048183847</v>
      </c>
      <c r="J58" s="449">
        <f>'[32]Aver Bill by RS'!$J58</f>
        <v>3945.7691048183847</v>
      </c>
      <c r="K58" s="449">
        <f>G58-(IF(J58&gt;($F58*$H$4),($F58*$H$4),J58))</f>
        <v>-2395.7691048183847</v>
      </c>
      <c r="L58" s="325">
        <f>+'[9]Rates in summary'!D49</f>
        <v>0.40095999999999998</v>
      </c>
      <c r="M58" s="449"/>
      <c r="N58" s="325">
        <f>'[9]Rates in summary'!D49+'Summary of Temporaries '!K49+'Summary of Temporaries '!L49+'Summary of Temporaries '!M49-'Summary of Temporaries '!AX49</f>
        <v>0.40095999999999998</v>
      </c>
      <c r="O58" s="449"/>
      <c r="P58" s="451"/>
      <c r="Q58" s="325">
        <f>'[9]Rates in summary'!D49+'Summary of Temporaries '!N49+'Summary of Temporaries '!O49-'Summary of Temporaries '!AY49</f>
        <v>0.40095999999999998</v>
      </c>
      <c r="R58" s="449"/>
      <c r="S58" s="451"/>
      <c r="T58" s="457">
        <f>'[9]Rates in detail'!D49+'Summary of Temporaries '!T49-'Summary of Temporaries '!BD49+'Summary of Temporaries '!S49-'Summary of Temporaries '!BC49+'Summary of Temporaries '!P49-'Summary of Temporaries '!BB49++'Summary of Temporaries '!Q49-'Summary of Temporaries '!AW49</f>
        <v>0.40032000000000006</v>
      </c>
      <c r="U58" s="456"/>
      <c r="V58" s="455"/>
      <c r="W58" s="325">
        <f>'[9]Rates in summary'!D49+'Summary of Temporaries '!R49-'Summary of Temporaries '!AZ49</f>
        <v>0.40120999999999996</v>
      </c>
      <c r="X58" s="449"/>
      <c r="Y58" s="451"/>
      <c r="Z58" s="325">
        <f>'[9]Rates in summary'!D49+[9]Permanents!F49</f>
        <v>0.40095999999999998</v>
      </c>
      <c r="AA58" s="449"/>
      <c r="AB58" s="451"/>
      <c r="AC58" s="454">
        <f>'[9]Rates in summary'!D49+'Summary of Temporaries '!U49-'Summary of Temporaries '!BE49</f>
        <v>0.40095999999999998</v>
      </c>
      <c r="AD58" s="453"/>
      <c r="AE58" s="452"/>
      <c r="AF58" s="325">
        <f>'[9]Rates in summary'!D49+'Summary of Temporaries '!V49-'Summary of Temporaries '!BF49</f>
        <v>0.40095999999999998</v>
      </c>
      <c r="AG58" s="449"/>
      <c r="AH58" s="451"/>
      <c r="AI58" s="325">
        <f>'[9]Rates in summary'!G49+'Summary of Temporaries '!J49</f>
        <v>0.40095999999999998</v>
      </c>
      <c r="AJ58" s="449"/>
      <c r="AK58" s="451"/>
      <c r="AL58" s="325">
        <f>+'[9]Rates in summary'!Q49</f>
        <v>0.40056999999999998</v>
      </c>
      <c r="AM58" s="449"/>
      <c r="AN58" s="448"/>
      <c r="AO58" s="380"/>
      <c r="AP58" s="383"/>
      <c r="AQ58" s="381">
        <f t="shared" si="34"/>
        <v>0</v>
      </c>
      <c r="AR58" s="381">
        <f t="shared" si="35"/>
        <v>0</v>
      </c>
      <c r="AS58" s="381">
        <f t="shared" si="36"/>
        <v>-3.9000000000000146E-4</v>
      </c>
      <c r="AT58" s="381">
        <f t="shared" si="37"/>
        <v>-3.9000000000000146E-4</v>
      </c>
      <c r="AU58" s="243">
        <f>+'[9]Rates in summary'!D49+'Summary of Temporaries '!K49+'Summary of Temporaries '!M49+'Summary of Temporaries '!L49-'Summary of Temporaries '!AZ49</f>
        <v>0.39889999999999998</v>
      </c>
      <c r="AV58" s="395"/>
      <c r="AW58" s="447"/>
      <c r="AX58" s="325"/>
      <c r="AY58" s="325"/>
      <c r="AZ58" s="325"/>
      <c r="BA58" s="325"/>
      <c r="BB58" s="468"/>
      <c r="BC58" s="467"/>
      <c r="BD58" s="467"/>
      <c r="BE58" s="467"/>
    </row>
    <row r="59" spans="1:57" x14ac:dyDescent="0.25">
      <c r="A59" s="234">
        <f t="shared" si="33"/>
        <v>53</v>
      </c>
      <c r="B59" s="234"/>
      <c r="C59" s="344" t="s">
        <v>62</v>
      </c>
      <c r="D59" s="323">
        <f>+'[9]Washington volumes'!J50</f>
        <v>1354331.8549391942</v>
      </c>
      <c r="E59" s="323">
        <v>20000</v>
      </c>
      <c r="F59" s="458"/>
      <c r="G59" s="449"/>
      <c r="H59" s="458"/>
      <c r="I59" s="449"/>
      <c r="J59" s="458"/>
      <c r="K59" s="449"/>
      <c r="L59" s="325">
        <f>+'[9]Rates in summary'!D50</f>
        <v>0.38426999999999989</v>
      </c>
      <c r="M59" s="449"/>
      <c r="N59" s="325">
        <f>'[9]Rates in summary'!D50+'Summary of Temporaries '!K50+'Summary of Temporaries '!L50+'Summary of Temporaries '!M50-'Summary of Temporaries '!AX50</f>
        <v>0.38426999999999989</v>
      </c>
      <c r="O59" s="449"/>
      <c r="P59" s="451"/>
      <c r="Q59" s="325">
        <f>'[9]Rates in summary'!D50+'Summary of Temporaries '!N50+'Summary of Temporaries '!O50-'Summary of Temporaries '!AY50</f>
        <v>0.38426999999999989</v>
      </c>
      <c r="R59" s="449"/>
      <c r="S59" s="451"/>
      <c r="T59" s="457">
        <f>'[9]Rates in detail'!D50+'Summary of Temporaries '!T50-'Summary of Temporaries '!BD50+'Summary of Temporaries '!S50-'Summary of Temporaries '!BC50+'Summary of Temporaries '!P50-'Summary of Temporaries '!BB50++'Summary of Temporaries '!Q50-'Summary of Temporaries '!AW50</f>
        <v>0.38361999999999996</v>
      </c>
      <c r="U59" s="456"/>
      <c r="V59" s="455"/>
      <c r="W59" s="325">
        <f>'[9]Rates in summary'!D50+'Summary of Temporaries '!R50-'Summary of Temporaries '!AZ50</f>
        <v>0.3844999999999999</v>
      </c>
      <c r="X59" s="449"/>
      <c r="Y59" s="451"/>
      <c r="Z59" s="325">
        <f>'[9]Rates in summary'!D50+[9]Permanents!F50</f>
        <v>0.38426999999999989</v>
      </c>
      <c r="AA59" s="449"/>
      <c r="AB59" s="451"/>
      <c r="AC59" s="454">
        <f>'[9]Rates in summary'!D50+'Summary of Temporaries '!U50-'Summary of Temporaries '!BE50</f>
        <v>0.38426999999999989</v>
      </c>
      <c r="AD59" s="453"/>
      <c r="AE59" s="452"/>
      <c r="AF59" s="325">
        <f>'[9]Rates in summary'!D50+'Summary of Temporaries '!V50-'Summary of Temporaries '!BF50</f>
        <v>0.38426999999999989</v>
      </c>
      <c r="AG59" s="449"/>
      <c r="AH59" s="451"/>
      <c r="AI59" s="325">
        <f>'[9]Rates in summary'!G50+'Summary of Temporaries '!J50</f>
        <v>0.38426999999999989</v>
      </c>
      <c r="AJ59" s="449"/>
      <c r="AK59" s="451"/>
      <c r="AL59" s="325">
        <f>+'[9]Rates in summary'!Q50</f>
        <v>0.38384999999999991</v>
      </c>
      <c r="AM59" s="449"/>
      <c r="AN59" s="448"/>
      <c r="AO59" s="380"/>
      <c r="AP59" s="383"/>
      <c r="AQ59" s="381">
        <f t="shared" si="34"/>
        <v>0</v>
      </c>
      <c r="AR59" s="381">
        <f t="shared" si="35"/>
        <v>0</v>
      </c>
      <c r="AS59" s="381">
        <f t="shared" si="36"/>
        <v>-4.1999999999997595E-4</v>
      </c>
      <c r="AT59" s="381">
        <f t="shared" si="37"/>
        <v>-4.1999999999997595E-4</v>
      </c>
      <c r="AU59" s="243">
        <f>+'[9]Rates in summary'!D50+'Summary of Temporaries '!K50+'Summary of Temporaries '!M50+'Summary of Temporaries '!L50-'Summary of Temporaries '!AZ50</f>
        <v>0.38242999999999988</v>
      </c>
      <c r="AV59" s="395"/>
      <c r="AW59" s="447"/>
      <c r="AX59" s="325"/>
      <c r="AY59" s="325"/>
      <c r="AZ59" s="325"/>
      <c r="BA59" s="325"/>
      <c r="BB59" s="468"/>
      <c r="BC59" s="467"/>
      <c r="BD59" s="467"/>
      <c r="BE59" s="467"/>
    </row>
    <row r="60" spans="1:57" x14ac:dyDescent="0.25">
      <c r="A60" s="234">
        <f t="shared" si="33"/>
        <v>54</v>
      </c>
      <c r="B60" s="234"/>
      <c r="C60" s="344" t="s">
        <v>69</v>
      </c>
      <c r="D60" s="323">
        <f>+'[9]Washington volumes'!J51</f>
        <v>1182764.9803330612</v>
      </c>
      <c r="E60" s="323">
        <v>20000</v>
      </c>
      <c r="F60" s="458"/>
      <c r="G60" s="449"/>
      <c r="H60" s="458"/>
      <c r="I60" s="449"/>
      <c r="J60" s="458"/>
      <c r="K60" s="449"/>
      <c r="L60" s="325">
        <f>+'[9]Rates in summary'!D51</f>
        <v>0.35105000000000003</v>
      </c>
      <c r="M60" s="449"/>
      <c r="N60" s="325">
        <f>'[9]Rates in summary'!D51+'Summary of Temporaries '!K51+'Summary of Temporaries '!L51+'Summary of Temporaries '!M51-'Summary of Temporaries '!AX51</f>
        <v>0.35105000000000003</v>
      </c>
      <c r="O60" s="449"/>
      <c r="P60" s="451"/>
      <c r="Q60" s="325">
        <f>'[9]Rates in summary'!D51+'Summary of Temporaries '!N51+'Summary of Temporaries '!O51-'Summary of Temporaries '!AY51</f>
        <v>0.35105000000000003</v>
      </c>
      <c r="R60" s="449"/>
      <c r="S60" s="451"/>
      <c r="T60" s="457">
        <f>'[9]Rates in detail'!D51+'Summary of Temporaries '!T51-'Summary of Temporaries '!BD51+'Summary of Temporaries '!S51-'Summary of Temporaries '!BC51+'Summary of Temporaries '!P51-'Summary of Temporaries '!BB51++'Summary of Temporaries '!Q51-'Summary of Temporaries '!AW51</f>
        <v>0.35038000000000008</v>
      </c>
      <c r="U60" s="456"/>
      <c r="V60" s="455"/>
      <c r="W60" s="325">
        <f>'[9]Rates in summary'!D51+'Summary of Temporaries '!R51-'Summary of Temporaries '!AZ51</f>
        <v>0.35122999999999999</v>
      </c>
      <c r="X60" s="449"/>
      <c r="Y60" s="451"/>
      <c r="Z60" s="325">
        <f>'[9]Rates in summary'!D51+[9]Permanents!F51</f>
        <v>0.35105000000000003</v>
      </c>
      <c r="AA60" s="449"/>
      <c r="AB60" s="451"/>
      <c r="AC60" s="454">
        <f>'[9]Rates in summary'!D51+'Summary of Temporaries '!U51-'Summary of Temporaries '!BE51</f>
        <v>0.35105000000000003</v>
      </c>
      <c r="AD60" s="453"/>
      <c r="AE60" s="452"/>
      <c r="AF60" s="325">
        <f>'[9]Rates in summary'!D51+'Summary of Temporaries '!V51-'Summary of Temporaries '!BF51</f>
        <v>0.35104999999999997</v>
      </c>
      <c r="AG60" s="449"/>
      <c r="AH60" s="451"/>
      <c r="AI60" s="325">
        <f>'[9]Rates in summary'!G51+'Summary of Temporaries '!J51</f>
        <v>0.35105000000000003</v>
      </c>
      <c r="AJ60" s="449"/>
      <c r="AK60" s="451"/>
      <c r="AL60" s="325">
        <f>+'[9]Rates in summary'!Q51</f>
        <v>0.35056000000000004</v>
      </c>
      <c r="AM60" s="449"/>
      <c r="AN60" s="448"/>
      <c r="AO60" s="380"/>
      <c r="AP60" s="383"/>
      <c r="AQ60" s="381">
        <f t="shared" si="34"/>
        <v>0</v>
      </c>
      <c r="AR60" s="381">
        <f t="shared" si="35"/>
        <v>0</v>
      </c>
      <c r="AS60" s="381">
        <f t="shared" si="36"/>
        <v>-4.8999999999999044E-4</v>
      </c>
      <c r="AT60" s="381">
        <f t="shared" si="37"/>
        <v>-4.8999999999999044E-4</v>
      </c>
      <c r="AU60" s="243">
        <f>+'[9]Rates in summary'!D51+'Summary of Temporaries '!K51+'Summary of Temporaries '!M51+'Summary of Temporaries '!L51-'Summary of Temporaries '!AZ51</f>
        <v>0.34964000000000001</v>
      </c>
      <c r="AV60" s="395"/>
      <c r="AW60" s="447"/>
      <c r="AX60" s="325"/>
      <c r="AY60" s="325"/>
      <c r="AZ60" s="325"/>
      <c r="BA60" s="325"/>
      <c r="BB60" s="468"/>
      <c r="BC60" s="467"/>
      <c r="BD60" s="467"/>
      <c r="BE60" s="467"/>
    </row>
    <row r="61" spans="1:57" x14ac:dyDescent="0.25">
      <c r="A61" s="234">
        <f t="shared" si="33"/>
        <v>55</v>
      </c>
      <c r="B61" s="234"/>
      <c r="C61" s="344" t="s">
        <v>70</v>
      </c>
      <c r="D61" s="323">
        <f>+'[9]Washington volumes'!J52</f>
        <v>2743941.1371104051</v>
      </c>
      <c r="E61" s="323">
        <v>100000</v>
      </c>
      <c r="F61" s="458"/>
      <c r="G61" s="449"/>
      <c r="H61" s="458"/>
      <c r="I61" s="449"/>
      <c r="J61" s="458"/>
      <c r="K61" s="449"/>
      <c r="L61" s="325">
        <f>+'[9]Rates in summary'!D52</f>
        <v>0.32922000000000012</v>
      </c>
      <c r="M61" s="449"/>
      <c r="N61" s="325">
        <f>'[9]Rates in summary'!D52+'Summary of Temporaries '!K52+'Summary of Temporaries '!L52+'Summary of Temporaries '!M52-'Summary of Temporaries '!AX52</f>
        <v>0.32922000000000012</v>
      </c>
      <c r="O61" s="449"/>
      <c r="P61" s="451"/>
      <c r="Q61" s="325">
        <f>'[9]Rates in summary'!D52+'Summary of Temporaries '!N52+'Summary of Temporaries '!O52-'Summary of Temporaries '!AY52</f>
        <v>0.32922000000000012</v>
      </c>
      <c r="R61" s="449"/>
      <c r="S61" s="451"/>
      <c r="T61" s="457">
        <f>'[9]Rates in detail'!D52+'Summary of Temporaries '!T52-'Summary of Temporaries '!BD52+'Summary of Temporaries '!S52-'Summary of Temporaries '!BC52+'Summary of Temporaries '!P52-'Summary of Temporaries '!BB52++'Summary of Temporaries '!Q52-'Summary of Temporaries '!AW52</f>
        <v>0.32853000000000016</v>
      </c>
      <c r="U61" s="456"/>
      <c r="V61" s="455"/>
      <c r="W61" s="325">
        <f>'[9]Rates in summary'!D52+'Summary of Temporaries '!R52-'Summary of Temporaries '!AZ52</f>
        <v>0.3293600000000001</v>
      </c>
      <c r="X61" s="449"/>
      <c r="Y61" s="451"/>
      <c r="Z61" s="325">
        <f>'[9]Rates in summary'!D52+[9]Permanents!F52</f>
        <v>0.32922000000000012</v>
      </c>
      <c r="AA61" s="449"/>
      <c r="AB61" s="451"/>
      <c r="AC61" s="454">
        <f>'[9]Rates in summary'!D52+'Summary of Temporaries '!U52-'Summary of Temporaries '!BE52</f>
        <v>0.32922000000000012</v>
      </c>
      <c r="AD61" s="453"/>
      <c r="AE61" s="452"/>
      <c r="AF61" s="325">
        <f>'[9]Rates in summary'!D52+'Summary of Temporaries '!V52-'Summary of Temporaries '!BF52</f>
        <v>0.32922000000000018</v>
      </c>
      <c r="AG61" s="449"/>
      <c r="AH61" s="451"/>
      <c r="AI61" s="325">
        <f>'[9]Rates in summary'!G52+'Summary of Temporaries '!J52</f>
        <v>0.32922000000000012</v>
      </c>
      <c r="AJ61" s="449"/>
      <c r="AK61" s="451"/>
      <c r="AL61" s="325">
        <f>+'[9]Rates in summary'!Q52</f>
        <v>0.32867000000000013</v>
      </c>
      <c r="AM61" s="449"/>
      <c r="AN61" s="448"/>
      <c r="AO61" s="380"/>
      <c r="AP61" s="383"/>
      <c r="AQ61" s="381">
        <f t="shared" si="34"/>
        <v>0</v>
      </c>
      <c r="AR61" s="381">
        <f t="shared" si="35"/>
        <v>0</v>
      </c>
      <c r="AS61" s="381">
        <f t="shared" si="36"/>
        <v>-5.4999999999999494E-4</v>
      </c>
      <c r="AT61" s="381">
        <f t="shared" si="37"/>
        <v>-5.4999999999999494E-4</v>
      </c>
      <c r="AU61" s="243">
        <f>+'[9]Rates in summary'!D52+'Summary of Temporaries '!K52+'Summary of Temporaries '!M52+'Summary of Temporaries '!L52-'Summary of Temporaries '!AZ52</f>
        <v>0.3280900000000001</v>
      </c>
      <c r="AV61" s="395"/>
      <c r="AW61" s="447"/>
      <c r="AX61" s="325"/>
      <c r="AY61" s="325"/>
      <c r="AZ61" s="325"/>
      <c r="BA61" s="325"/>
      <c r="BB61" s="468"/>
      <c r="BC61" s="467"/>
      <c r="BD61" s="467"/>
      <c r="BE61" s="467"/>
    </row>
    <row r="62" spans="1:57" x14ac:dyDescent="0.25">
      <c r="A62" s="234">
        <f t="shared" si="33"/>
        <v>56</v>
      </c>
      <c r="B62" s="234"/>
      <c r="C62" s="344" t="s">
        <v>71</v>
      </c>
      <c r="D62" s="323">
        <f>+'[9]Washington volumes'!J53</f>
        <v>1030133.9063092957</v>
      </c>
      <c r="E62" s="323">
        <v>600000</v>
      </c>
      <c r="F62" s="458"/>
      <c r="G62" s="449"/>
      <c r="H62" s="458"/>
      <c r="I62" s="449"/>
      <c r="J62" s="458"/>
      <c r="K62" s="449"/>
      <c r="L62" s="325">
        <f>+'[9]Rates in summary'!D53</f>
        <v>0.30008999999999997</v>
      </c>
      <c r="M62" s="449"/>
      <c r="N62" s="325">
        <f>'[9]Rates in summary'!D53+'Summary of Temporaries '!K53+'Summary of Temporaries '!L53+'Summary of Temporaries '!M53-'Summary of Temporaries '!AX53</f>
        <v>0.30008999999999997</v>
      </c>
      <c r="O62" s="449"/>
      <c r="P62" s="451"/>
      <c r="Q62" s="325">
        <f>'[9]Rates in summary'!D53+'Summary of Temporaries '!N53+'Summary of Temporaries '!O53-'Summary of Temporaries '!AY53</f>
        <v>0.30008999999999997</v>
      </c>
      <c r="R62" s="449"/>
      <c r="S62" s="451"/>
      <c r="T62" s="457">
        <f>'[9]Rates in detail'!D53+'Summary of Temporaries '!T53-'Summary of Temporaries '!BD53+'Summary of Temporaries '!S53-'Summary of Temporaries '!BC53+'Summary of Temporaries '!P53-'Summary of Temporaries '!BB53++'Summary of Temporaries '!Q53-'Summary of Temporaries '!AW53</f>
        <v>0.29938000000000003</v>
      </c>
      <c r="U62" s="456"/>
      <c r="V62" s="455"/>
      <c r="W62" s="325">
        <f>'[9]Rates in summary'!D53+'Summary of Temporaries '!R53-'Summary of Temporaries '!AZ53</f>
        <v>0.30019000000000001</v>
      </c>
      <c r="X62" s="449"/>
      <c r="Y62" s="451"/>
      <c r="Z62" s="325">
        <f>'[9]Rates in summary'!D53+[9]Permanents!F53</f>
        <v>0.30008999999999997</v>
      </c>
      <c r="AA62" s="449"/>
      <c r="AB62" s="451"/>
      <c r="AC62" s="454">
        <f>'[9]Rates in summary'!D53+'Summary of Temporaries '!U53-'Summary of Temporaries '!BE53</f>
        <v>0.30008999999999997</v>
      </c>
      <c r="AD62" s="453"/>
      <c r="AE62" s="452"/>
      <c r="AF62" s="325">
        <f>'[9]Rates in summary'!D53+'Summary of Temporaries '!V53-'Summary of Temporaries '!BF53</f>
        <v>0.30008999999999997</v>
      </c>
      <c r="AG62" s="449"/>
      <c r="AH62" s="451"/>
      <c r="AI62" s="325">
        <f>'[9]Rates in summary'!G53+'Summary of Temporaries '!J53</f>
        <v>0.30008999999999997</v>
      </c>
      <c r="AJ62" s="449"/>
      <c r="AK62" s="451"/>
      <c r="AL62" s="325">
        <f>+'[9]Rates in summary'!Q53</f>
        <v>0.29947999999999997</v>
      </c>
      <c r="AM62" s="449"/>
      <c r="AN62" s="448"/>
      <c r="AO62" s="380"/>
      <c r="AP62" s="383"/>
      <c r="AQ62" s="381">
        <f t="shared" si="34"/>
        <v>0</v>
      </c>
      <c r="AR62" s="381">
        <f t="shared" si="35"/>
        <v>0</v>
      </c>
      <c r="AS62" s="381">
        <f t="shared" si="36"/>
        <v>-6.0999999999999943E-4</v>
      </c>
      <c r="AT62" s="381">
        <f t="shared" si="37"/>
        <v>-6.0999999999999943E-4</v>
      </c>
      <c r="AU62" s="243">
        <f>+'[9]Rates in summary'!D53+'Summary of Temporaries '!K53+'Summary of Temporaries '!M53+'Summary of Temporaries '!L53-'Summary of Temporaries '!AZ53</f>
        <v>0.29933999999999999</v>
      </c>
      <c r="AV62" s="243"/>
      <c r="AW62" s="447"/>
      <c r="AX62" s="325"/>
      <c r="AY62" s="325"/>
      <c r="AZ62" s="325"/>
      <c r="BA62" s="325"/>
      <c r="BB62" s="468"/>
      <c r="BC62" s="467"/>
      <c r="BD62" s="467"/>
      <c r="BE62" s="467"/>
    </row>
    <row r="63" spans="1:57" x14ac:dyDescent="0.25">
      <c r="A63" s="234">
        <f t="shared" si="33"/>
        <v>57</v>
      </c>
      <c r="B63" s="234"/>
      <c r="C63" s="344" t="s">
        <v>72</v>
      </c>
      <c r="D63" s="323">
        <f>+'[9]Washington volumes'!J54</f>
        <v>0</v>
      </c>
      <c r="E63" s="459" t="s">
        <v>243</v>
      </c>
      <c r="F63" s="458"/>
      <c r="G63" s="449"/>
      <c r="H63" s="458"/>
      <c r="I63" s="449"/>
      <c r="J63" s="458"/>
      <c r="K63" s="449"/>
      <c r="L63" s="325">
        <f>+'[9]Rates in summary'!D54</f>
        <v>0.26369000000000009</v>
      </c>
      <c r="M63" s="449"/>
      <c r="N63" s="325">
        <f>'[9]Rates in summary'!D54+'Summary of Temporaries '!K54+'Summary of Temporaries '!L54+'Summary of Temporaries '!M54-'Summary of Temporaries '!AX54</f>
        <v>0.26369000000000009</v>
      </c>
      <c r="O63" s="449"/>
      <c r="P63" s="451"/>
      <c r="Q63" s="325">
        <f>'[9]Rates in summary'!D54+'Summary of Temporaries '!N54+'Summary of Temporaries '!O54-'Summary of Temporaries '!AY54</f>
        <v>0.26369000000000009</v>
      </c>
      <c r="R63" s="449"/>
      <c r="S63" s="451"/>
      <c r="T63" s="457">
        <f>'[9]Rates in detail'!D54+'Summary of Temporaries '!T54-'Summary of Temporaries '!BD54+'Summary of Temporaries '!S54-'Summary of Temporaries '!BC54+'Summary of Temporaries '!P54-'Summary of Temporaries '!BB54++'Summary of Temporaries '!Q54-'Summary of Temporaries '!AW54</f>
        <v>0.26296000000000014</v>
      </c>
      <c r="U63" s="456"/>
      <c r="V63" s="455"/>
      <c r="W63" s="325">
        <f>'[9]Rates in summary'!D54+'Summary of Temporaries '!R54-'Summary of Temporaries '!AZ54</f>
        <v>0.26373000000000008</v>
      </c>
      <c r="X63" s="449"/>
      <c r="Y63" s="451"/>
      <c r="Z63" s="325">
        <f>'[9]Rates in summary'!D54+[9]Permanents!F54</f>
        <v>0.26369000000000009</v>
      </c>
      <c r="AA63" s="449"/>
      <c r="AB63" s="451"/>
      <c r="AC63" s="454">
        <f>'[9]Rates in summary'!D54+'Summary of Temporaries '!U54-'Summary of Temporaries '!BE54</f>
        <v>0.26369000000000009</v>
      </c>
      <c r="AD63" s="453"/>
      <c r="AE63" s="452"/>
      <c r="AF63" s="325">
        <f>'[9]Rates in summary'!D54+'Summary of Temporaries '!V54-'Summary of Temporaries '!BF54</f>
        <v>0.26369000000000009</v>
      </c>
      <c r="AG63" s="449"/>
      <c r="AH63" s="451"/>
      <c r="AI63" s="325">
        <f>'[9]Rates in summary'!G54+'Summary of Temporaries '!J54</f>
        <v>0.26369000000000009</v>
      </c>
      <c r="AJ63" s="449"/>
      <c r="AK63" s="451"/>
      <c r="AL63" s="325">
        <f>+'[9]Rates in summary'!Q54</f>
        <v>0.26300000000000012</v>
      </c>
      <c r="AM63" s="449"/>
      <c r="AN63" s="448"/>
      <c r="AO63" s="380"/>
      <c r="AP63" s="383"/>
      <c r="AQ63" s="381">
        <f t="shared" si="34"/>
        <v>0</v>
      </c>
      <c r="AR63" s="381">
        <f t="shared" si="35"/>
        <v>0</v>
      </c>
      <c r="AS63" s="381">
        <f t="shared" si="36"/>
        <v>-6.8999999999996842E-4</v>
      </c>
      <c r="AT63" s="381">
        <f t="shared" si="37"/>
        <v>-6.8999999999996842E-4</v>
      </c>
      <c r="AU63" s="243">
        <f>+'[9]Rates in summary'!D54+'Summary of Temporaries '!K54+'Summary of Temporaries '!M54+'Summary of Temporaries '!L54-'Summary of Temporaries '!AZ54</f>
        <v>0.26341000000000009</v>
      </c>
      <c r="AV63" s="243"/>
      <c r="AW63" s="447"/>
      <c r="AX63" s="325"/>
      <c r="AY63" s="325"/>
      <c r="AZ63" s="325"/>
      <c r="BA63" s="325"/>
      <c r="BB63" s="468"/>
      <c r="BC63" s="467"/>
      <c r="BD63" s="467"/>
      <c r="BE63" s="467"/>
    </row>
    <row r="64" spans="1:57" x14ac:dyDescent="0.25">
      <c r="A64" s="234">
        <f t="shared" si="33"/>
        <v>58</v>
      </c>
      <c r="B64" s="338"/>
      <c r="C64" s="446" t="s">
        <v>27</v>
      </c>
      <c r="D64" s="445"/>
      <c r="E64" s="444"/>
      <c r="F64" s="443"/>
      <c r="G64" s="433"/>
      <c r="H64" s="443"/>
      <c r="I64" s="433"/>
      <c r="J64" s="443"/>
      <c r="K64" s="433"/>
      <c r="L64" s="442"/>
      <c r="M64" s="433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19734.900895181614</v>
      </c>
      <c r="N64" s="442"/>
      <c r="O64" s="433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19734.900895181614</v>
      </c>
      <c r="P64" s="417">
        <f>ROUND((O64-M64)/M64,3)</f>
        <v>0</v>
      </c>
      <c r="Q64" s="442"/>
      <c r="R64" s="433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19734.900895181614</v>
      </c>
      <c r="S64" s="417">
        <f>ROUND((R64-M64)/M64,3)</f>
        <v>0</v>
      </c>
      <c r="T64" s="462"/>
      <c r="U64" s="440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19694.940895181615</v>
      </c>
      <c r="V64" s="439">
        <f>ROUND((U64-M64)/M64,3)</f>
        <v>-2E-3</v>
      </c>
      <c r="W64" s="442"/>
      <c r="X64" s="433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19747.050895181615</v>
      </c>
      <c r="Y64" s="417">
        <f>(X64-M64)/M64</f>
        <v>6.1566055307467717E-4</v>
      </c>
      <c r="Z64" s="442"/>
      <c r="AA64" s="433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19734.900895181614</v>
      </c>
      <c r="AB64" s="417">
        <f>(AA64-M64)/M64</f>
        <v>0</v>
      </c>
      <c r="AC64" s="460"/>
      <c r="AD64" s="436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19734.900895181614</v>
      </c>
      <c r="AE64" s="418">
        <f>(AD64-M64)/M64</f>
        <v>0</v>
      </c>
      <c r="AF64" s="442"/>
      <c r="AG64" s="433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19734.900895181614</v>
      </c>
      <c r="AH64" s="417">
        <f>(AG64-M64)/M64</f>
        <v>0</v>
      </c>
      <c r="AI64" s="442"/>
      <c r="AJ64" s="433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19734.900895181614</v>
      </c>
      <c r="AK64" s="417">
        <f>ROUND((AJ64-M64)/M64,3)</f>
        <v>0</v>
      </c>
      <c r="AL64" s="442"/>
      <c r="AM64" s="433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19707.100895181615</v>
      </c>
      <c r="AN64" s="417">
        <f>ROUND((AM64-M64)/M64,3)</f>
        <v>-1E-3</v>
      </c>
      <c r="AO64" s="380"/>
      <c r="AP64" s="383"/>
      <c r="AQ64" s="381">
        <f t="shared" si="34"/>
        <v>0</v>
      </c>
      <c r="AR64" s="381">
        <f t="shared" si="35"/>
        <v>0</v>
      </c>
      <c r="AS64" s="381">
        <f t="shared" si="36"/>
        <v>0</v>
      </c>
      <c r="AT64" s="381">
        <f t="shared" si="37"/>
        <v>0</v>
      </c>
      <c r="AU64" s="431"/>
      <c r="AV64" s="430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19637.580895181614</v>
      </c>
      <c r="AW64" s="466">
        <f>ROUND((AV64-M64)/M64,3)</f>
        <v>-5.0000000000000001E-3</v>
      </c>
      <c r="AX64" s="325"/>
      <c r="AY64" s="325"/>
      <c r="AZ64" s="325"/>
      <c r="BA64" s="325"/>
    </row>
    <row r="65" spans="1:53" x14ac:dyDescent="0.25">
      <c r="A65" s="234">
        <f t="shared" si="33"/>
        <v>59</v>
      </c>
      <c r="B65" s="234" t="s">
        <v>76</v>
      </c>
      <c r="C65" s="344" t="s">
        <v>61</v>
      </c>
      <c r="D65" s="323">
        <f>+'[9]Washington volumes'!J55</f>
        <v>237823.79371068976</v>
      </c>
      <c r="E65" s="323">
        <v>10000</v>
      </c>
      <c r="F65" s="458">
        <f>+'[9]Washington volumes'!M55</f>
        <v>39550</v>
      </c>
      <c r="G65" s="449">
        <v>1300</v>
      </c>
      <c r="H65" s="449">
        <f>'[32]Aver Bill by RS'!$J65</f>
        <v>5142.2693365131181</v>
      </c>
      <c r="I65" s="449">
        <f>G65-(IF(H65&gt;(F65*$H$3),(F65*$H$3),H65))</f>
        <v>-3842.2693365131181</v>
      </c>
      <c r="J65" s="449">
        <f>'[32]Aver Bill by RS'!$J65</f>
        <v>5142.2693365131181</v>
      </c>
      <c r="K65" s="449">
        <f>G65-(IF(J65&gt;($F65*$H$4),($F65*$H$4),J65))</f>
        <v>-3842.2693365131181</v>
      </c>
      <c r="L65" s="325">
        <f>+'[9]Rates in summary'!D55</f>
        <v>0.71133000000000013</v>
      </c>
      <c r="M65" s="449"/>
      <c r="N65" s="325">
        <f>'[9]Rates in summary'!D55+'Summary of Temporaries '!K55+'Summary of Temporaries '!L55+'Summary of Temporaries '!M55-'Summary of Temporaries '!AX55</f>
        <v>0.71192000000000011</v>
      </c>
      <c r="O65" s="449"/>
      <c r="P65" s="451"/>
      <c r="Q65" s="325">
        <f>'[9]Rates in summary'!D55+'Summary of Temporaries '!N55+'Summary of Temporaries '!O55-'Summary of Temporaries '!AY55</f>
        <v>0.71109000000000011</v>
      </c>
      <c r="R65" s="449"/>
      <c r="S65" s="451"/>
      <c r="T65" s="457">
        <f>'[9]Rates in detail'!D55+'Summary of Temporaries '!T55-'Summary of Temporaries '!BD55+'Summary of Temporaries '!S55-'Summary of Temporaries '!BC55+'Summary of Temporaries '!P55-'Summary of Temporaries '!BB55++'Summary of Temporaries '!Q55-'Summary of Temporaries '!AW55</f>
        <v>0.71132000000000017</v>
      </c>
      <c r="U65" s="456"/>
      <c r="V65" s="455"/>
      <c r="W65" s="325">
        <f>'[9]Rates in summary'!D55+'Summary of Temporaries '!R55-'Summary of Temporaries '!AZ55</f>
        <v>0.71149000000000007</v>
      </c>
      <c r="X65" s="449"/>
      <c r="Y65" s="451"/>
      <c r="Z65" s="325">
        <f>'[9]Rates in summary'!D55+[9]Permanents!F55</f>
        <v>0.7113600000000001</v>
      </c>
      <c r="AA65" s="449"/>
      <c r="AB65" s="451"/>
      <c r="AC65" s="454">
        <f>'[9]Rates in summary'!D55+'Summary of Temporaries '!U55-'Summary of Temporaries '!BE55</f>
        <v>0.71133000000000013</v>
      </c>
      <c r="AD65" s="453"/>
      <c r="AE65" s="452"/>
      <c r="AF65" s="325">
        <f>'[9]Rates in summary'!D55+'Summary of Temporaries '!V55-'Summary of Temporaries '!BF55</f>
        <v>0.71133000000000013</v>
      </c>
      <c r="AG65" s="449"/>
      <c r="AH65" s="451"/>
      <c r="AI65" s="325">
        <f>'[9]Rates in summary'!G55+'Summary of Temporaries '!J55</f>
        <v>0.67227000000000003</v>
      </c>
      <c r="AJ65" s="449"/>
      <c r="AK65" s="450"/>
      <c r="AL65" s="325">
        <f>+'[9]Rates in summary'!Q55</f>
        <v>0.67280000000000006</v>
      </c>
      <c r="AM65" s="449"/>
      <c r="AN65" s="434"/>
      <c r="AO65" s="380"/>
      <c r="AP65" s="383"/>
      <c r="AQ65" s="381">
        <f t="shared" si="34"/>
        <v>0</v>
      </c>
      <c r="AR65" s="381">
        <f t="shared" si="35"/>
        <v>0</v>
      </c>
      <c r="AS65" s="381">
        <f t="shared" si="36"/>
        <v>-3.8530000000000064E-2</v>
      </c>
      <c r="AT65" s="381">
        <f t="shared" si="37"/>
        <v>-3.8530000000000064E-2</v>
      </c>
      <c r="AU65" s="243">
        <f>+'[9]Rates in summary'!D55+'Summary of Temporaries '!K55+'Summary of Temporaries '!M55+'Summary of Temporaries '!L55-'Summary of Temporaries '!AZ55</f>
        <v>0.72826000000000013</v>
      </c>
      <c r="AV65" s="395"/>
      <c r="AW65" s="463"/>
      <c r="AX65" s="325"/>
      <c r="AY65" s="325"/>
      <c r="AZ65" s="325"/>
      <c r="BA65" s="325"/>
    </row>
    <row r="66" spans="1:53" x14ac:dyDescent="0.25">
      <c r="A66" s="234">
        <f t="shared" si="33"/>
        <v>60</v>
      </c>
      <c r="B66" s="234"/>
      <c r="C66" s="344" t="s">
        <v>62</v>
      </c>
      <c r="D66" s="323">
        <f>+'[9]Washington volumes'!J56</f>
        <v>449890.27963003801</v>
      </c>
      <c r="E66" s="323">
        <v>20000</v>
      </c>
      <c r="F66" s="465"/>
      <c r="G66" s="464"/>
      <c r="H66" s="465"/>
      <c r="I66" s="464"/>
      <c r="J66" s="465"/>
      <c r="K66" s="464"/>
      <c r="L66" s="325">
        <f>+'[9]Rates in summary'!D56</f>
        <v>0.69042999999999966</v>
      </c>
      <c r="M66" s="449"/>
      <c r="N66" s="325">
        <f>'[9]Rates in summary'!D56+'Summary of Temporaries '!K56+'Summary of Temporaries '!L56+'Summary of Temporaries '!M56-'Summary of Temporaries '!AX56</f>
        <v>0.69094999999999973</v>
      </c>
      <c r="O66" s="449"/>
      <c r="P66" s="451"/>
      <c r="Q66" s="325">
        <f>'[9]Rates in summary'!D56+'Summary of Temporaries '!N56+'Summary of Temporaries '!O56-'Summary of Temporaries '!AY56</f>
        <v>0.69021999999999961</v>
      </c>
      <c r="R66" s="449"/>
      <c r="S66" s="451"/>
      <c r="T66" s="457">
        <f>'[9]Rates in detail'!D56+'Summary of Temporaries '!T56-'Summary of Temporaries '!BD56+'Summary of Temporaries '!S56-'Summary of Temporaries '!BC56+'Summary of Temporaries '!P56-'Summary of Temporaries '!BB56++'Summary of Temporaries '!Q56-'Summary of Temporaries '!AW56</f>
        <v>0.69039999999999968</v>
      </c>
      <c r="U66" s="456"/>
      <c r="V66" s="455"/>
      <c r="W66" s="325">
        <f>'[9]Rates in summary'!D56+'Summary of Temporaries '!R56-'Summary of Temporaries '!AZ56</f>
        <v>0.69056999999999968</v>
      </c>
      <c r="X66" s="449"/>
      <c r="Y66" s="451"/>
      <c r="Z66" s="325">
        <f>'[9]Rates in summary'!D56+[9]Permanents!F56</f>
        <v>0.69045999999999963</v>
      </c>
      <c r="AA66" s="449"/>
      <c r="AB66" s="451"/>
      <c r="AC66" s="454">
        <f>'[9]Rates in summary'!D56+'Summary of Temporaries '!U56-'Summary of Temporaries '!BE56</f>
        <v>0.69042999999999966</v>
      </c>
      <c r="AD66" s="453"/>
      <c r="AE66" s="452"/>
      <c r="AF66" s="325">
        <f>'[9]Rates in summary'!D56+'Summary of Temporaries '!V56-'Summary of Temporaries '!BF56</f>
        <v>0.69042999999999966</v>
      </c>
      <c r="AG66" s="449"/>
      <c r="AH66" s="451"/>
      <c r="AI66" s="325">
        <f>'[9]Rates in summary'!G56+'Summary of Temporaries '!J56</f>
        <v>0.65136999999999967</v>
      </c>
      <c r="AJ66" s="449"/>
      <c r="AK66" s="450"/>
      <c r="AL66" s="325">
        <f>+'[9]Rates in summary'!Q56</f>
        <v>0.65181999999999962</v>
      </c>
      <c r="AM66" s="449"/>
      <c r="AN66" s="434"/>
      <c r="AO66" s="380"/>
      <c r="AP66" s="383"/>
      <c r="AQ66" s="381">
        <f t="shared" si="34"/>
        <v>0</v>
      </c>
      <c r="AR66" s="381">
        <f t="shared" si="35"/>
        <v>0</v>
      </c>
      <c r="AS66" s="381">
        <f t="shared" si="36"/>
        <v>-3.8610000000000033E-2</v>
      </c>
      <c r="AT66" s="381">
        <f t="shared" si="37"/>
        <v>-3.8610000000000033E-2</v>
      </c>
      <c r="AU66" s="243">
        <f>+'[9]Rates in summary'!D56+'Summary of Temporaries '!K56+'Summary of Temporaries '!M56+'Summary of Temporaries '!L56-'Summary of Temporaries '!AZ56</f>
        <v>0.7055699999999997</v>
      </c>
      <c r="AV66" s="395"/>
      <c r="AW66" s="463"/>
      <c r="AX66" s="325"/>
      <c r="AY66" s="325"/>
      <c r="AZ66" s="325"/>
      <c r="BA66" s="325"/>
    </row>
    <row r="67" spans="1:53" x14ac:dyDescent="0.25">
      <c r="A67" s="234">
        <f t="shared" si="33"/>
        <v>61</v>
      </c>
      <c r="B67" s="234"/>
      <c r="C67" s="344" t="s">
        <v>69</v>
      </c>
      <c r="D67" s="323">
        <f>+'[9]Washington volumes'!J57</f>
        <v>201896.54594079489</v>
      </c>
      <c r="E67" s="323">
        <v>20000</v>
      </c>
      <c r="F67" s="465"/>
      <c r="G67" s="464"/>
      <c r="H67" s="465"/>
      <c r="I67" s="464"/>
      <c r="J67" s="465"/>
      <c r="K67" s="464"/>
      <c r="L67" s="325">
        <f>+'[9]Rates in summary'!D57</f>
        <v>0.64878000000000013</v>
      </c>
      <c r="M67" s="449"/>
      <c r="N67" s="325">
        <f>'[9]Rates in summary'!D57+'Summary of Temporaries '!K57+'Summary of Temporaries '!L57+'Summary of Temporaries '!M57-'Summary of Temporaries '!AX57</f>
        <v>0.64917000000000014</v>
      </c>
      <c r="O67" s="449"/>
      <c r="P67" s="451"/>
      <c r="Q67" s="325">
        <f>'[9]Rates in summary'!D57+'Summary of Temporaries '!N57+'Summary of Temporaries '!O57-'Summary of Temporaries '!AY57</f>
        <v>0.64862000000000009</v>
      </c>
      <c r="R67" s="449"/>
      <c r="S67" s="451"/>
      <c r="T67" s="457">
        <f>'[9]Rates in detail'!D57+'Summary of Temporaries '!T57-'Summary of Temporaries '!BD57+'Summary of Temporaries '!S57-'Summary of Temporaries '!BC57+'Summary of Temporaries '!P57-'Summary of Temporaries '!BB57++'Summary of Temporaries '!Q57-'Summary of Temporaries '!AW57</f>
        <v>0.64873000000000003</v>
      </c>
      <c r="U67" s="456"/>
      <c r="V67" s="455"/>
      <c r="W67" s="325">
        <f>'[9]Rates in summary'!D57+'Summary of Temporaries '!R57-'Summary of Temporaries '!AZ57</f>
        <v>0.64889000000000019</v>
      </c>
      <c r="X67" s="449"/>
      <c r="Y67" s="451"/>
      <c r="Z67" s="325">
        <f>'[9]Rates in summary'!D57+[9]Permanents!F57</f>
        <v>0.64880000000000015</v>
      </c>
      <c r="AA67" s="449"/>
      <c r="AB67" s="451"/>
      <c r="AC67" s="454">
        <f>'[9]Rates in summary'!D57+'Summary of Temporaries '!U57-'Summary of Temporaries '!BE57</f>
        <v>0.64878000000000013</v>
      </c>
      <c r="AD67" s="453"/>
      <c r="AE67" s="452"/>
      <c r="AF67" s="325">
        <f>'[9]Rates in summary'!D57+'Summary of Temporaries '!V57-'Summary of Temporaries '!BF57</f>
        <v>0.64878000000000013</v>
      </c>
      <c r="AG67" s="449"/>
      <c r="AH67" s="451"/>
      <c r="AI67" s="325">
        <f>'[9]Rates in summary'!G57+'Summary of Temporaries '!J57</f>
        <v>0.60972000000000015</v>
      </c>
      <c r="AJ67" s="449"/>
      <c r="AK67" s="450"/>
      <c r="AL67" s="325">
        <f>+'[9]Rates in summary'!Q57</f>
        <v>0.61003000000000018</v>
      </c>
      <c r="AM67" s="449"/>
      <c r="AN67" s="434"/>
      <c r="AO67" s="380"/>
      <c r="AP67" s="383"/>
      <c r="AQ67" s="381">
        <f t="shared" si="34"/>
        <v>0</v>
      </c>
      <c r="AR67" s="381">
        <f t="shared" si="35"/>
        <v>0</v>
      </c>
      <c r="AS67" s="381">
        <f t="shared" si="36"/>
        <v>-3.8749999999999951E-2</v>
      </c>
      <c r="AT67" s="381">
        <f t="shared" si="37"/>
        <v>-3.8749999999999951E-2</v>
      </c>
      <c r="AU67" s="243">
        <f>+'[9]Rates in summary'!D57+'Summary of Temporaries '!K57+'Summary of Temporaries '!M57+'Summary of Temporaries '!L57-'Summary of Temporaries '!AZ57</f>
        <v>0.66039000000000014</v>
      </c>
      <c r="AV67" s="395"/>
      <c r="AW67" s="463"/>
      <c r="AX67" s="325"/>
      <c r="AY67" s="325"/>
      <c r="AZ67" s="325"/>
      <c r="BA67" s="325"/>
    </row>
    <row r="68" spans="1:53" x14ac:dyDescent="0.25">
      <c r="A68" s="234">
        <f t="shared" si="33"/>
        <v>62</v>
      </c>
      <c r="B68" s="234"/>
      <c r="C68" s="344" t="s">
        <v>70</v>
      </c>
      <c r="D68" s="323">
        <f>+'[9]Washington volumes'!J58</f>
        <v>59595.669906477466</v>
      </c>
      <c r="E68" s="323">
        <v>100000</v>
      </c>
      <c r="F68" s="465"/>
      <c r="G68" s="464"/>
      <c r="H68" s="465"/>
      <c r="I68" s="464"/>
      <c r="J68" s="465"/>
      <c r="K68" s="464"/>
      <c r="L68" s="325">
        <f>+'[9]Rates in summary'!D58</f>
        <v>0.62140999999999991</v>
      </c>
      <c r="M68" s="449"/>
      <c r="N68" s="325">
        <f>'[9]Rates in summary'!D58+'Summary of Temporaries '!K58+'Summary of Temporaries '!L58+'Summary of Temporaries '!M58-'Summary of Temporaries '!AX58</f>
        <v>0.62173999999999985</v>
      </c>
      <c r="O68" s="449"/>
      <c r="P68" s="451"/>
      <c r="Q68" s="325">
        <f>'[9]Rates in summary'!D58+'Summary of Temporaries '!N58+'Summary of Temporaries '!O58-'Summary of Temporaries '!AY58</f>
        <v>0.62126999999999988</v>
      </c>
      <c r="R68" s="449"/>
      <c r="S68" s="451"/>
      <c r="T68" s="457">
        <f>'[9]Rates in detail'!D58+'Summary of Temporaries '!T58-'Summary of Temporaries '!BD58+'Summary of Temporaries '!S58-'Summary of Temporaries '!BC58+'Summary of Temporaries '!P58-'Summary of Temporaries '!BB58++'Summary of Temporaries '!Q58-'Summary of Temporaries '!AW58</f>
        <v>0.62132999999999983</v>
      </c>
      <c r="U68" s="456"/>
      <c r="V68" s="455"/>
      <c r="W68" s="325">
        <f>'[9]Rates in summary'!D58+'Summary of Temporaries '!R58-'Summary of Temporaries '!AZ58</f>
        <v>0.62148999999999999</v>
      </c>
      <c r="X68" s="449"/>
      <c r="Y68" s="451"/>
      <c r="Z68" s="325">
        <f>'[9]Rates in summary'!D58+[9]Permanents!F58</f>
        <v>0.62142999999999993</v>
      </c>
      <c r="AA68" s="449"/>
      <c r="AB68" s="451"/>
      <c r="AC68" s="454">
        <f>'[9]Rates in summary'!D58+'Summary of Temporaries '!U58-'Summary of Temporaries '!BE58</f>
        <v>0.62140999999999991</v>
      </c>
      <c r="AD68" s="453"/>
      <c r="AE68" s="452"/>
      <c r="AF68" s="325">
        <f>'[9]Rates in summary'!D58+'Summary of Temporaries '!V58-'Summary of Temporaries '!BF58</f>
        <v>0.62140999999999991</v>
      </c>
      <c r="AG68" s="449"/>
      <c r="AH68" s="451"/>
      <c r="AI68" s="325">
        <f>'[9]Rates in summary'!G58+'Summary of Temporaries '!J58</f>
        <v>0.58234999999999981</v>
      </c>
      <c r="AJ68" s="449"/>
      <c r="AK68" s="450"/>
      <c r="AL68" s="325">
        <f>+'[9]Rates in summary'!Q58</f>
        <v>0.58255999999999986</v>
      </c>
      <c r="AM68" s="449"/>
      <c r="AN68" s="434"/>
      <c r="AO68" s="380"/>
      <c r="AP68" s="383"/>
      <c r="AQ68" s="381">
        <f t="shared" si="34"/>
        <v>0</v>
      </c>
      <c r="AR68" s="381">
        <f t="shared" si="35"/>
        <v>0</v>
      </c>
      <c r="AS68" s="381">
        <f t="shared" si="36"/>
        <v>-3.8850000000000051E-2</v>
      </c>
      <c r="AT68" s="381">
        <f t="shared" si="37"/>
        <v>-3.8850000000000051E-2</v>
      </c>
      <c r="AU68" s="243">
        <f>+'[9]Rates in summary'!D58+'Summary of Temporaries '!K58+'Summary of Temporaries '!M58+'Summary of Temporaries '!L58-'Summary of Temporaries '!AZ58</f>
        <v>0.63069999999999993</v>
      </c>
      <c r="AV68" s="395"/>
      <c r="AW68" s="463"/>
      <c r="AX68" s="325"/>
      <c r="AY68" s="325"/>
      <c r="AZ68" s="325"/>
      <c r="BA68" s="325"/>
    </row>
    <row r="69" spans="1:53" x14ac:dyDescent="0.25">
      <c r="A69" s="234">
        <f t="shared" si="33"/>
        <v>63</v>
      </c>
      <c r="B69" s="234"/>
      <c r="C69" s="344" t="s">
        <v>71</v>
      </c>
      <c r="D69" s="323">
        <f>+'[9]Washington volumes'!J59</f>
        <v>0</v>
      </c>
      <c r="E69" s="323">
        <v>600000</v>
      </c>
      <c r="F69" s="465"/>
      <c r="G69" s="464"/>
      <c r="H69" s="465"/>
      <c r="I69" s="464"/>
      <c r="J69" s="465"/>
      <c r="K69" s="464"/>
      <c r="L69" s="325">
        <f>+'[9]Rates in summary'!D59</f>
        <v>0.58492999999999984</v>
      </c>
      <c r="M69" s="449"/>
      <c r="N69" s="325">
        <f>'[9]Rates in summary'!D59+'Summary of Temporaries '!K59+'Summary of Temporaries '!L59+'Summary of Temporaries '!M59-'Summary of Temporaries '!AX59</f>
        <v>0.58513999999999977</v>
      </c>
      <c r="O69" s="449"/>
      <c r="P69" s="451"/>
      <c r="Q69" s="325">
        <f>'[9]Rates in summary'!D59+'Summary of Temporaries '!N59+'Summary of Temporaries '!O59-'Summary of Temporaries '!AY59</f>
        <v>0.58483999999999992</v>
      </c>
      <c r="R69" s="449"/>
      <c r="S69" s="451"/>
      <c r="T69" s="457">
        <f>'[9]Rates in detail'!D59+'Summary of Temporaries '!T59-'Summary of Temporaries '!BD59+'Summary of Temporaries '!S59-'Summary of Temporaries '!BC59+'Summary of Temporaries '!P59-'Summary of Temporaries '!BB59++'Summary of Temporaries '!Q59-'Summary of Temporaries '!AW59</f>
        <v>0.5848399999999998</v>
      </c>
      <c r="U69" s="456"/>
      <c r="V69" s="455"/>
      <c r="W69" s="325">
        <f>'[9]Rates in summary'!D59+'Summary of Temporaries '!R59-'Summary of Temporaries '!AZ59</f>
        <v>0.58497999999999983</v>
      </c>
      <c r="X69" s="449"/>
      <c r="Y69" s="451"/>
      <c r="Z69" s="325">
        <f>'[9]Rates in summary'!D59+[9]Permanents!F59</f>
        <v>0.58493999999999979</v>
      </c>
      <c r="AA69" s="449"/>
      <c r="AB69" s="451"/>
      <c r="AC69" s="454">
        <f>'[9]Rates in summary'!D59+'Summary of Temporaries '!U59-'Summary of Temporaries '!BE59</f>
        <v>0.58492999999999984</v>
      </c>
      <c r="AD69" s="453"/>
      <c r="AE69" s="452"/>
      <c r="AF69" s="325">
        <f>'[9]Rates in summary'!D59+'Summary of Temporaries '!V59-'Summary of Temporaries '!BF59</f>
        <v>0.58492999999999984</v>
      </c>
      <c r="AG69" s="449"/>
      <c r="AH69" s="451"/>
      <c r="AI69" s="325">
        <f>'[9]Rates in summary'!G59+'Summary of Temporaries '!J59</f>
        <v>0.54586999999999974</v>
      </c>
      <c r="AJ69" s="449"/>
      <c r="AK69" s="450"/>
      <c r="AL69" s="325">
        <f>+'[9]Rates in summary'!Q59</f>
        <v>0.54595999999999978</v>
      </c>
      <c r="AM69" s="449"/>
      <c r="AN69" s="434"/>
      <c r="AO69" s="380"/>
      <c r="AP69" s="383"/>
      <c r="AQ69" s="381">
        <f t="shared" si="34"/>
        <v>0</v>
      </c>
      <c r="AR69" s="381">
        <f t="shared" si="35"/>
        <v>0</v>
      </c>
      <c r="AS69" s="381">
        <f t="shared" si="36"/>
        <v>-3.897000000000006E-2</v>
      </c>
      <c r="AT69" s="381">
        <f t="shared" si="37"/>
        <v>-3.897000000000006E-2</v>
      </c>
      <c r="AU69" s="243">
        <f>+'[9]Rates in summary'!D59+'Summary of Temporaries '!K59+'Summary of Temporaries '!M59+'Summary of Temporaries '!L59-'Summary of Temporaries '!AZ59</f>
        <v>0.59111999999999976</v>
      </c>
      <c r="AV69" s="243"/>
      <c r="AW69" s="463"/>
      <c r="AX69" s="325"/>
      <c r="AY69" s="325"/>
      <c r="AZ69" s="325"/>
      <c r="BA69" s="325"/>
    </row>
    <row r="70" spans="1:53" x14ac:dyDescent="0.25">
      <c r="A70" s="234">
        <f t="shared" si="33"/>
        <v>64</v>
      </c>
      <c r="B70" s="234"/>
      <c r="C70" s="344" t="s">
        <v>72</v>
      </c>
      <c r="D70" s="323">
        <f>+'[9]Washington volumes'!J60</f>
        <v>0</v>
      </c>
      <c r="E70" s="459" t="s">
        <v>243</v>
      </c>
      <c r="F70" s="465"/>
      <c r="G70" s="464"/>
      <c r="H70" s="465"/>
      <c r="I70" s="464"/>
      <c r="J70" s="465"/>
      <c r="K70" s="464"/>
      <c r="L70" s="325">
        <f>+'[9]Rates in summary'!D60</f>
        <v>0.53925000000000001</v>
      </c>
      <c r="M70" s="449"/>
      <c r="N70" s="325">
        <f>'[9]Rates in summary'!D60+'Summary of Temporaries '!K60+'Summary of Temporaries '!L60+'Summary of Temporaries '!M60-'Summary of Temporaries '!AX60</f>
        <v>0.53934000000000004</v>
      </c>
      <c r="O70" s="449"/>
      <c r="P70" s="451"/>
      <c r="Q70" s="325">
        <f>'[9]Rates in summary'!D60+'Summary of Temporaries '!N60+'Summary of Temporaries '!O60-'Summary of Temporaries '!AY60</f>
        <v>0.53921999999999992</v>
      </c>
      <c r="R70" s="449"/>
      <c r="S70" s="451"/>
      <c r="T70" s="457">
        <f>'[9]Rates in detail'!D60+'Summary of Temporaries '!T60-'Summary of Temporaries '!BD60+'Summary of Temporaries '!S60-'Summary of Temporaries '!BC60+'Summary of Temporaries '!P60-'Summary of Temporaries '!BB60++'Summary of Temporaries '!Q60-'Summary of Temporaries '!AW60</f>
        <v>0.53913999999999995</v>
      </c>
      <c r="U70" s="456"/>
      <c r="V70" s="455"/>
      <c r="W70" s="325">
        <f>'[9]Rates in summary'!D60+'Summary of Temporaries '!R60-'Summary of Temporaries '!AZ60</f>
        <v>0.53927999999999998</v>
      </c>
      <c r="X70" s="449"/>
      <c r="Y70" s="451"/>
      <c r="Z70" s="325">
        <f>'[9]Rates in summary'!D60+[9]Permanents!F60</f>
        <v>0.53925000000000001</v>
      </c>
      <c r="AA70" s="449"/>
      <c r="AB70" s="451"/>
      <c r="AC70" s="454">
        <f>'[9]Rates in summary'!D60+'Summary of Temporaries '!U60-'Summary of Temporaries '!BE60</f>
        <v>0.53925000000000001</v>
      </c>
      <c r="AD70" s="453"/>
      <c r="AE70" s="452"/>
      <c r="AF70" s="325">
        <f>'[9]Rates in summary'!D60+'Summary of Temporaries '!V60-'Summary of Temporaries '!BF60</f>
        <v>0.53925000000000001</v>
      </c>
      <c r="AG70" s="449"/>
      <c r="AH70" s="451"/>
      <c r="AI70" s="325">
        <f>'[9]Rates in summary'!G60+'Summary of Temporaries '!J60</f>
        <v>0.50019000000000002</v>
      </c>
      <c r="AJ70" s="449"/>
      <c r="AK70" s="450"/>
      <c r="AL70" s="325">
        <f>+'[9]Rates in summary'!Q60</f>
        <v>0.50017</v>
      </c>
      <c r="AM70" s="449"/>
      <c r="AN70" s="434"/>
      <c r="AO70" s="380"/>
      <c r="AP70" s="383"/>
      <c r="AQ70" s="381">
        <f t="shared" si="34"/>
        <v>0</v>
      </c>
      <c r="AR70" s="381">
        <f t="shared" si="35"/>
        <v>0</v>
      </c>
      <c r="AS70" s="381">
        <f t="shared" si="36"/>
        <v>-3.9080000000000004E-2</v>
      </c>
      <c r="AT70" s="381">
        <f t="shared" si="37"/>
        <v>-3.9080000000000004E-2</v>
      </c>
      <c r="AU70" s="243">
        <f>+'[9]Rates in summary'!D60+'Summary of Temporaries '!K60+'Summary of Temporaries '!M60+'Summary of Temporaries '!L60-'Summary of Temporaries '!AZ60</f>
        <v>0.54158000000000006</v>
      </c>
      <c r="AV70" s="243"/>
      <c r="AW70" s="463"/>
      <c r="AX70" s="325"/>
      <c r="AY70" s="325"/>
      <c r="AZ70" s="325"/>
      <c r="BA70" s="325"/>
    </row>
    <row r="71" spans="1:53" x14ac:dyDescent="0.25">
      <c r="A71" s="234">
        <f t="shared" si="33"/>
        <v>65</v>
      </c>
      <c r="B71" s="338"/>
      <c r="C71" s="446" t="s">
        <v>27</v>
      </c>
      <c r="D71" s="445"/>
      <c r="E71" s="444"/>
      <c r="F71" s="443"/>
      <c r="G71" s="433"/>
      <c r="H71" s="443"/>
      <c r="I71" s="433"/>
      <c r="J71" s="443"/>
      <c r="K71" s="433"/>
      <c r="L71" s="442"/>
      <c r="M71" s="433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23275.48066348688</v>
      </c>
      <c r="N71" s="442"/>
      <c r="O71" s="433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23295.500663486884</v>
      </c>
      <c r="P71" s="417">
        <f>ROUND((O71-M71)/M71,3)</f>
        <v>1E-3</v>
      </c>
      <c r="Q71" s="442"/>
      <c r="R71" s="433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23267.350663486883</v>
      </c>
      <c r="S71" s="417">
        <f>ROUND((R71-M71)/M71,3)</f>
        <v>0</v>
      </c>
      <c r="T71" s="462"/>
      <c r="U71" s="440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23274.30066348688</v>
      </c>
      <c r="V71" s="439">
        <f>ROUND((U71-M71)/M71,3)</f>
        <v>0</v>
      </c>
      <c r="W71" s="442"/>
      <c r="X71" s="433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23280.930663486884</v>
      </c>
      <c r="Y71" s="417">
        <f>(X71-M71)/M71</f>
        <v>2.3415198503522143E-4</v>
      </c>
      <c r="Z71" s="442"/>
      <c r="AA71" s="433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23276.570663486884</v>
      </c>
      <c r="AB71" s="417">
        <f>(AA71-M71)/M71</f>
        <v>4.6830397007169324E-5</v>
      </c>
      <c r="AC71" s="460"/>
      <c r="AD71" s="436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23275.48066348688</v>
      </c>
      <c r="AE71" s="418">
        <f>(AD71-M71)/M71</f>
        <v>0</v>
      </c>
      <c r="AF71" s="442"/>
      <c r="AG71" s="433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23275.48066348688</v>
      </c>
      <c r="AH71" s="417">
        <f>(AG71-M71)/M71</f>
        <v>0</v>
      </c>
      <c r="AI71" s="442"/>
      <c r="AJ71" s="433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21730.66066348688</v>
      </c>
      <c r="AK71" s="432">
        <f>ROUND((AJ71-M71)/M71,3)</f>
        <v>-6.6000000000000003E-2</v>
      </c>
      <c r="AL71" s="442"/>
      <c r="AM71" s="433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21747.920663486882</v>
      </c>
      <c r="AN71" s="432">
        <f>ROUND((AM71-M71)/M71,3)</f>
        <v>-6.6000000000000003E-2</v>
      </c>
      <c r="AO71" s="380"/>
      <c r="AP71" s="383"/>
      <c r="AQ71" s="381">
        <f t="shared" si="34"/>
        <v>0</v>
      </c>
      <c r="AR71" s="381">
        <f t="shared" si="35"/>
        <v>0</v>
      </c>
      <c r="AS71" s="381">
        <f t="shared" si="36"/>
        <v>0</v>
      </c>
      <c r="AT71" s="381">
        <f t="shared" si="37"/>
        <v>0</v>
      </c>
      <c r="AU71" s="431"/>
      <c r="AV71" s="430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23858.450663486881</v>
      </c>
      <c r="AW71" s="429">
        <f>ROUND((AV71-M71)/M71,3)</f>
        <v>2.5000000000000001E-2</v>
      </c>
      <c r="AX71" s="325"/>
      <c r="AY71" s="325"/>
      <c r="AZ71" s="325"/>
      <c r="BA71" s="325"/>
    </row>
    <row r="72" spans="1:53" x14ac:dyDescent="0.25">
      <c r="A72" s="234">
        <f t="shared" ref="A72:A105" si="38">+A71+1</f>
        <v>66</v>
      </c>
      <c r="B72" s="234" t="s">
        <v>77</v>
      </c>
      <c r="C72" s="344" t="s">
        <v>61</v>
      </c>
      <c r="D72" s="323">
        <f>+'[9]Washington volumes'!J61</f>
        <v>171532.62817612645</v>
      </c>
      <c r="E72" s="323">
        <v>10000</v>
      </c>
      <c r="F72" s="458">
        <f>+'[9]Washington volumes'!M61</f>
        <v>16547</v>
      </c>
      <c r="G72" s="449">
        <v>1300</v>
      </c>
      <c r="H72" s="449">
        <f>'[32]Aver Bill by RS'!$J72</f>
        <v>3945.7691048183847</v>
      </c>
      <c r="I72" s="449">
        <f>G72-(IF(H72&gt;(F72*$H$3),(F72*$H$3),H72))</f>
        <v>-2645.7691048183847</v>
      </c>
      <c r="J72" s="449">
        <f>'[32]Aver Bill by RS'!$J72</f>
        <v>3945.7691048183847</v>
      </c>
      <c r="K72" s="449">
        <f>G72-(IF(J72&gt;($F72*$H$4),($F72*$H$4),J72))</f>
        <v>-2645.7691048183847</v>
      </c>
      <c r="L72" s="325">
        <f>+'[9]Rates in summary'!D61</f>
        <v>0.69063999999999992</v>
      </c>
      <c r="M72" s="449"/>
      <c r="N72" s="325">
        <f>'[9]Rates in summary'!D61+'Summary of Temporaries '!K61+'Summary of Temporaries '!L61+'Summary of Temporaries '!M61-'Summary of Temporaries '!AX61</f>
        <v>0.69063999999999992</v>
      </c>
      <c r="O72" s="449"/>
      <c r="P72" s="451"/>
      <c r="Q72" s="325">
        <f>'[9]Rates in summary'!D61+'Summary of Temporaries '!N61+'Summary of Temporaries '!O61-'Summary of Temporaries '!AY61</f>
        <v>0.69030999999999987</v>
      </c>
      <c r="R72" s="449"/>
      <c r="S72" s="451"/>
      <c r="T72" s="457">
        <f>'[9]Rates in detail'!D61+'Summary of Temporaries '!T61-'Summary of Temporaries '!BD61+'Summary of Temporaries '!S61-'Summary of Temporaries '!BC61+'Summary of Temporaries '!P61-'Summary of Temporaries '!BB61++'Summary of Temporaries '!Q61-'Summary of Temporaries '!AW61</f>
        <v>0.6900799999999998</v>
      </c>
      <c r="U72" s="456"/>
      <c r="V72" s="455"/>
      <c r="W72" s="325">
        <f>'[9]Rates in summary'!D61+'Summary of Temporaries '!R61-'Summary of Temporaries '!AZ61</f>
        <v>0.6907899999999999</v>
      </c>
      <c r="X72" s="449"/>
      <c r="Y72" s="451"/>
      <c r="Z72" s="325">
        <f>'[9]Rates in summary'!D61+[9]Permanents!F61</f>
        <v>0.69067999999999996</v>
      </c>
      <c r="AA72" s="449"/>
      <c r="AB72" s="451"/>
      <c r="AC72" s="454">
        <f>'[9]Rates in summary'!D61+'Summary of Temporaries '!U61-'Summary of Temporaries '!BE61</f>
        <v>0.69063999999999992</v>
      </c>
      <c r="AD72" s="453"/>
      <c r="AE72" s="452"/>
      <c r="AF72" s="325">
        <f>'[9]Rates in summary'!D61+'Summary of Temporaries '!V61-'Summary of Temporaries '!BF61</f>
        <v>0.69063999999999992</v>
      </c>
      <c r="AG72" s="449"/>
      <c r="AH72" s="451"/>
      <c r="AI72" s="325">
        <f>'[9]Rates in summary'!G61+'Summary of Temporaries '!J61</f>
        <v>0.65157999999999994</v>
      </c>
      <c r="AJ72" s="449"/>
      <c r="AK72" s="450"/>
      <c r="AL72" s="325">
        <f>+'[9]Rates in summary'!Q61</f>
        <v>0.65088000000000001</v>
      </c>
      <c r="AM72" s="449"/>
      <c r="AN72" s="448"/>
      <c r="AO72" s="380"/>
      <c r="AP72" s="383"/>
      <c r="AQ72" s="381">
        <f t="shared" si="34"/>
        <v>0</v>
      </c>
      <c r="AR72" s="381">
        <f t="shared" si="35"/>
        <v>0</v>
      </c>
      <c r="AS72" s="381">
        <f t="shared" si="36"/>
        <v>-3.9759999999999907E-2</v>
      </c>
      <c r="AT72" s="381">
        <f t="shared" si="37"/>
        <v>-3.9759999999999907E-2</v>
      </c>
      <c r="AU72" s="243">
        <f>+'[9]Rates in summary'!D61+'Summary of Temporaries '!K61+'Summary of Temporaries '!M61+'Summary of Temporaries '!L61-'Summary of Temporaries '!AZ61</f>
        <v>0.68782999999999994</v>
      </c>
      <c r="AV72" s="395"/>
      <c r="AW72" s="447"/>
      <c r="AX72" s="325"/>
      <c r="AY72" s="325"/>
      <c r="AZ72" s="325"/>
      <c r="BA72" s="325"/>
    </row>
    <row r="73" spans="1:53" x14ac:dyDescent="0.25">
      <c r="A73" s="234">
        <f t="shared" si="38"/>
        <v>67</v>
      </c>
      <c r="B73" s="234"/>
      <c r="C73" s="344" t="s">
        <v>62</v>
      </c>
      <c r="D73" s="323">
        <f>+'[9]Washington volumes'!J62</f>
        <v>27036.058789873507</v>
      </c>
      <c r="E73" s="323">
        <v>20000</v>
      </c>
      <c r="F73" s="458"/>
      <c r="G73" s="449"/>
      <c r="H73" s="458"/>
      <c r="I73" s="449"/>
      <c r="J73" s="458"/>
      <c r="K73" s="449"/>
      <c r="L73" s="325">
        <f>+'[9]Rates in summary'!D62</f>
        <v>0.67198999999999998</v>
      </c>
      <c r="M73" s="449"/>
      <c r="N73" s="325">
        <f>'[9]Rates in summary'!D62+'Summary of Temporaries '!K62+'Summary of Temporaries '!L62+'Summary of Temporaries '!M62-'Summary of Temporaries '!AX62</f>
        <v>0.67198999999999998</v>
      </c>
      <c r="O73" s="449"/>
      <c r="P73" s="451"/>
      <c r="Q73" s="325">
        <f>'[9]Rates in summary'!D62+'Summary of Temporaries '!N62+'Summary of Temporaries '!O62-'Summary of Temporaries '!AY62</f>
        <v>0.67169000000000001</v>
      </c>
      <c r="R73" s="449"/>
      <c r="S73" s="451"/>
      <c r="T73" s="457">
        <f>'[9]Rates in detail'!D62+'Summary of Temporaries '!T62-'Summary of Temporaries '!BD62+'Summary of Temporaries '!S62-'Summary of Temporaries '!BC62+'Summary of Temporaries '!P62-'Summary of Temporaries '!BB62++'Summary of Temporaries '!Q62-'Summary of Temporaries '!AW62</f>
        <v>0.67140999999999995</v>
      </c>
      <c r="U73" s="456"/>
      <c r="V73" s="455"/>
      <c r="W73" s="325">
        <f>'[9]Rates in summary'!D62+'Summary of Temporaries '!R62-'Summary of Temporaries '!AZ62</f>
        <v>0.67212000000000005</v>
      </c>
      <c r="X73" s="449"/>
      <c r="Y73" s="451"/>
      <c r="Z73" s="325">
        <f>'[9]Rates in summary'!D62+[9]Permanents!F62</f>
        <v>0.67203000000000002</v>
      </c>
      <c r="AA73" s="449"/>
      <c r="AB73" s="451"/>
      <c r="AC73" s="454">
        <f>'[9]Rates in summary'!D62+'Summary of Temporaries '!U62-'Summary of Temporaries '!BE62</f>
        <v>0.67198999999999998</v>
      </c>
      <c r="AD73" s="453"/>
      <c r="AE73" s="452"/>
      <c r="AF73" s="325">
        <f>'[9]Rates in summary'!D62+'Summary of Temporaries '!V62-'Summary of Temporaries '!BF62</f>
        <v>0.67198999999999998</v>
      </c>
      <c r="AG73" s="449"/>
      <c r="AH73" s="451"/>
      <c r="AI73" s="325">
        <f>'[9]Rates in summary'!G62+'Summary of Temporaries '!J62</f>
        <v>0.63292999999999988</v>
      </c>
      <c r="AJ73" s="449"/>
      <c r="AK73" s="450"/>
      <c r="AL73" s="325">
        <f>+'[9]Rates in summary'!Q62</f>
        <v>0.63222</v>
      </c>
      <c r="AM73" s="449"/>
      <c r="AN73" s="448"/>
      <c r="AO73" s="380"/>
      <c r="AP73" s="383"/>
      <c r="AQ73" s="381">
        <f t="shared" si="34"/>
        <v>0</v>
      </c>
      <c r="AR73" s="381">
        <f t="shared" si="35"/>
        <v>0</v>
      </c>
      <c r="AS73" s="381">
        <f t="shared" si="36"/>
        <v>-3.9769999999999972E-2</v>
      </c>
      <c r="AT73" s="381">
        <f t="shared" si="37"/>
        <v>-3.9769999999999972E-2</v>
      </c>
      <c r="AU73" s="243">
        <f>+'[9]Rates in summary'!D62+'Summary of Temporaries '!K62+'Summary of Temporaries '!M62+'Summary of Temporaries '!L62-'Summary of Temporaries '!AZ62</f>
        <v>0.66947000000000001</v>
      </c>
      <c r="AV73" s="395"/>
      <c r="AW73" s="447"/>
      <c r="AX73" s="325"/>
      <c r="AY73" s="325"/>
      <c r="AZ73" s="325"/>
      <c r="BA73" s="325"/>
    </row>
    <row r="74" spans="1:53" x14ac:dyDescent="0.25">
      <c r="A74" s="234">
        <f t="shared" si="38"/>
        <v>68</v>
      </c>
      <c r="B74" s="234"/>
      <c r="C74" s="344" t="s">
        <v>69</v>
      </c>
      <c r="D74" s="323">
        <f>+'[9]Washington volumes'!J63</f>
        <v>0</v>
      </c>
      <c r="E74" s="323">
        <v>20000</v>
      </c>
      <c r="F74" s="458"/>
      <c r="G74" s="449"/>
      <c r="H74" s="458"/>
      <c r="I74" s="449"/>
      <c r="J74" s="458"/>
      <c r="K74" s="449"/>
      <c r="L74" s="325">
        <f>+'[9]Rates in summary'!D63</f>
        <v>0.63488999999999995</v>
      </c>
      <c r="M74" s="449"/>
      <c r="N74" s="325">
        <f>'[9]Rates in summary'!D63+'Summary of Temporaries '!K63+'Summary of Temporaries '!L63+'Summary of Temporaries '!M63-'Summary of Temporaries '!AX63</f>
        <v>0.63488999999999995</v>
      </c>
      <c r="O74" s="449"/>
      <c r="P74" s="451"/>
      <c r="Q74" s="325">
        <f>'[9]Rates in summary'!D63+'Summary of Temporaries '!N63+'Summary of Temporaries '!O63-'Summary of Temporaries '!AY63</f>
        <v>0.63464999999999994</v>
      </c>
      <c r="R74" s="449"/>
      <c r="S74" s="451"/>
      <c r="T74" s="457">
        <f>'[9]Rates in detail'!D63+'Summary of Temporaries '!T63-'Summary of Temporaries '!BD63+'Summary of Temporaries '!S63-'Summary of Temporaries '!BC63+'Summary of Temporaries '!P63-'Summary of Temporaries '!BB63++'Summary of Temporaries '!Q63-'Summary of Temporaries '!AW63</f>
        <v>0.63426999999999989</v>
      </c>
      <c r="U74" s="456"/>
      <c r="V74" s="455"/>
      <c r="W74" s="325">
        <f>'[9]Rates in summary'!D63+'Summary of Temporaries '!R63-'Summary of Temporaries '!AZ63</f>
        <v>0.63498999999999994</v>
      </c>
      <c r="X74" s="449"/>
      <c r="Y74" s="451"/>
      <c r="Z74" s="325">
        <f>'[9]Rates in summary'!D63+[9]Permanents!F63</f>
        <v>0.63491999999999993</v>
      </c>
      <c r="AA74" s="449"/>
      <c r="AB74" s="451"/>
      <c r="AC74" s="454">
        <f>'[9]Rates in summary'!D63+'Summary of Temporaries '!U63-'Summary of Temporaries '!BE63</f>
        <v>0.63488999999999995</v>
      </c>
      <c r="AD74" s="453"/>
      <c r="AE74" s="452"/>
      <c r="AF74" s="325">
        <f>'[9]Rates in summary'!D63+'Summary of Temporaries '!V63-'Summary of Temporaries '!BF63</f>
        <v>0.63488999999999995</v>
      </c>
      <c r="AG74" s="449"/>
      <c r="AH74" s="451"/>
      <c r="AI74" s="325">
        <f>'[9]Rates in summary'!G63+'Summary of Temporaries '!J63</f>
        <v>0.59582999999999997</v>
      </c>
      <c r="AJ74" s="449"/>
      <c r="AK74" s="450"/>
      <c r="AL74" s="325">
        <f>+'[9]Rates in summary'!Q63</f>
        <v>0.59509999999999996</v>
      </c>
      <c r="AM74" s="449"/>
      <c r="AN74" s="448"/>
      <c r="AO74" s="380"/>
      <c r="AP74" s="383"/>
      <c r="AQ74" s="381">
        <f t="shared" si="34"/>
        <v>0</v>
      </c>
      <c r="AR74" s="381">
        <f t="shared" si="35"/>
        <v>0</v>
      </c>
      <c r="AS74" s="381">
        <f t="shared" si="36"/>
        <v>-3.9789999999999992E-2</v>
      </c>
      <c r="AT74" s="381">
        <f t="shared" si="37"/>
        <v>-3.9789999999999992E-2</v>
      </c>
      <c r="AU74" s="243">
        <f>+'[9]Rates in summary'!D63+'Summary of Temporaries '!K63+'Summary of Temporaries '!M63+'Summary of Temporaries '!L63-'Summary of Temporaries '!AZ63</f>
        <v>0.63295999999999997</v>
      </c>
      <c r="AV74" s="395"/>
      <c r="AW74" s="447"/>
      <c r="AX74" s="325"/>
      <c r="AY74" s="325"/>
      <c r="AZ74" s="325"/>
      <c r="BA74" s="325"/>
    </row>
    <row r="75" spans="1:53" x14ac:dyDescent="0.25">
      <c r="A75" s="234">
        <f t="shared" si="38"/>
        <v>69</v>
      </c>
      <c r="B75" s="234"/>
      <c r="C75" s="344" t="s">
        <v>70</v>
      </c>
      <c r="D75" s="323">
        <f>+'[9]Washington volumes'!J64</f>
        <v>0</v>
      </c>
      <c r="E75" s="323">
        <v>100000</v>
      </c>
      <c r="F75" s="458"/>
      <c r="G75" s="449"/>
      <c r="H75" s="458"/>
      <c r="I75" s="449"/>
      <c r="J75" s="458"/>
      <c r="K75" s="449"/>
      <c r="L75" s="325">
        <f>+'[9]Rates in summary'!D64</f>
        <v>0.61047999999999969</v>
      </c>
      <c r="M75" s="449"/>
      <c r="N75" s="325">
        <f>'[9]Rates in summary'!D64+'Summary of Temporaries '!K64+'Summary of Temporaries '!L64+'Summary of Temporaries '!M64-'Summary of Temporaries '!AX64</f>
        <v>0.61047999999999969</v>
      </c>
      <c r="O75" s="449"/>
      <c r="P75" s="451"/>
      <c r="Q75" s="325">
        <f>'[9]Rates in summary'!D64+'Summary of Temporaries '!N64+'Summary of Temporaries '!O64-'Summary of Temporaries '!AY64</f>
        <v>0.61028999999999967</v>
      </c>
      <c r="R75" s="449"/>
      <c r="S75" s="451"/>
      <c r="T75" s="457">
        <f>'[9]Rates in detail'!D64+'Summary of Temporaries '!T64-'Summary of Temporaries '!BD64+'Summary of Temporaries '!S64-'Summary of Temporaries '!BC64+'Summary of Temporaries '!P64-'Summary of Temporaries '!BB64++'Summary of Temporaries '!Q64-'Summary of Temporaries '!AW64</f>
        <v>0.60982999999999965</v>
      </c>
      <c r="U75" s="456"/>
      <c r="V75" s="455"/>
      <c r="W75" s="325">
        <f>'[9]Rates in summary'!D64+'Summary of Temporaries '!R64-'Summary of Temporaries '!AZ64</f>
        <v>0.61056999999999972</v>
      </c>
      <c r="X75" s="449"/>
      <c r="Y75" s="451"/>
      <c r="Z75" s="325">
        <f>'[9]Rates in summary'!D64+[9]Permanents!F64</f>
        <v>0.61049999999999971</v>
      </c>
      <c r="AA75" s="449"/>
      <c r="AB75" s="451"/>
      <c r="AC75" s="454">
        <f>'[9]Rates in summary'!D64+'Summary of Temporaries '!U64-'Summary of Temporaries '!BE64</f>
        <v>0.61047999999999969</v>
      </c>
      <c r="AD75" s="453"/>
      <c r="AE75" s="452"/>
      <c r="AF75" s="325">
        <f>'[9]Rates in summary'!D64+'Summary of Temporaries '!V64-'Summary of Temporaries '!BF64</f>
        <v>0.61047999999999969</v>
      </c>
      <c r="AG75" s="449"/>
      <c r="AH75" s="451"/>
      <c r="AI75" s="325">
        <f>'[9]Rates in summary'!G64+'Summary of Temporaries '!J64</f>
        <v>0.57141999999999971</v>
      </c>
      <c r="AJ75" s="449"/>
      <c r="AK75" s="450"/>
      <c r="AL75" s="325">
        <f>+'[9]Rates in summary'!Q64</f>
        <v>0.57068999999999981</v>
      </c>
      <c r="AM75" s="449"/>
      <c r="AN75" s="448"/>
      <c r="AO75" s="380"/>
      <c r="AP75" s="383"/>
      <c r="AQ75" s="381">
        <f t="shared" si="34"/>
        <v>0</v>
      </c>
      <c r="AR75" s="381">
        <f t="shared" si="35"/>
        <v>0</v>
      </c>
      <c r="AS75" s="381">
        <f t="shared" si="36"/>
        <v>-3.9789999999999881E-2</v>
      </c>
      <c r="AT75" s="381">
        <f t="shared" si="37"/>
        <v>-3.9789999999999881E-2</v>
      </c>
      <c r="AU75" s="243">
        <f>+'[9]Rates in summary'!D64+'Summary of Temporaries '!K64+'Summary of Temporaries '!M64+'Summary of Temporaries '!L64-'Summary of Temporaries '!AZ64</f>
        <v>0.6089399999999997</v>
      </c>
      <c r="AV75" s="395"/>
      <c r="AW75" s="447"/>
      <c r="AX75" s="325"/>
      <c r="AY75" s="325"/>
      <c r="AZ75" s="325"/>
      <c r="BA75" s="325"/>
    </row>
    <row r="76" spans="1:53" x14ac:dyDescent="0.25">
      <c r="A76" s="234">
        <f t="shared" si="38"/>
        <v>70</v>
      </c>
      <c r="B76" s="234"/>
      <c r="C76" s="344" t="s">
        <v>71</v>
      </c>
      <c r="D76" s="323">
        <f>+'[9]Washington volumes'!J65</f>
        <v>0</v>
      </c>
      <c r="E76" s="323">
        <v>600000</v>
      </c>
      <c r="F76" s="458"/>
      <c r="G76" s="449"/>
      <c r="H76" s="458"/>
      <c r="I76" s="449"/>
      <c r="J76" s="458"/>
      <c r="K76" s="449"/>
      <c r="L76" s="325">
        <f>+'[9]Rates in summary'!D65</f>
        <v>0.57791000000000003</v>
      </c>
      <c r="M76" s="449"/>
      <c r="N76" s="325">
        <f>'[9]Rates in summary'!D65+'Summary of Temporaries '!K65+'Summary of Temporaries '!L65+'Summary of Temporaries '!M65-'Summary of Temporaries '!AX65</f>
        <v>0.57791000000000003</v>
      </c>
      <c r="O76" s="449"/>
      <c r="P76" s="451"/>
      <c r="Q76" s="325">
        <f>'[9]Rates in summary'!D65+'Summary of Temporaries '!N65+'Summary of Temporaries '!O65-'Summary of Temporaries '!AY65</f>
        <v>0.57780000000000009</v>
      </c>
      <c r="R76" s="449"/>
      <c r="S76" s="451"/>
      <c r="T76" s="457">
        <f>'[9]Rates in detail'!D65+'Summary of Temporaries '!T65-'Summary of Temporaries '!BD65+'Summary of Temporaries '!S65-'Summary of Temporaries '!BC65+'Summary of Temporaries '!P65-'Summary of Temporaries '!BB65++'Summary of Temporaries '!Q65-'Summary of Temporaries '!AW65</f>
        <v>0.57723000000000002</v>
      </c>
      <c r="U76" s="456"/>
      <c r="V76" s="455"/>
      <c r="W76" s="325">
        <f>'[9]Rates in summary'!D65+'Summary of Temporaries '!R65-'Summary of Temporaries '!AZ65</f>
        <v>0.57796000000000003</v>
      </c>
      <c r="X76" s="449"/>
      <c r="Y76" s="451"/>
      <c r="Z76" s="325">
        <f>'[9]Rates in summary'!D65+[9]Permanents!F65</f>
        <v>0.57791999999999999</v>
      </c>
      <c r="AA76" s="449"/>
      <c r="AB76" s="451"/>
      <c r="AC76" s="454">
        <f>'[9]Rates in summary'!D65+'Summary of Temporaries '!U65-'Summary of Temporaries '!BE65</f>
        <v>0.57791000000000003</v>
      </c>
      <c r="AD76" s="453"/>
      <c r="AE76" s="452"/>
      <c r="AF76" s="325">
        <f>'[9]Rates in summary'!D65+'Summary of Temporaries '!V65-'Summary of Temporaries '!BF65</f>
        <v>0.57791000000000003</v>
      </c>
      <c r="AG76" s="449"/>
      <c r="AH76" s="451"/>
      <c r="AI76" s="325">
        <f>'[9]Rates in summary'!G65+'Summary of Temporaries '!J65</f>
        <v>0.53884999999999994</v>
      </c>
      <c r="AJ76" s="449"/>
      <c r="AK76" s="450"/>
      <c r="AL76" s="325">
        <f>+'[9]Rates in summary'!Q65</f>
        <v>0.53811999999999993</v>
      </c>
      <c r="AM76" s="449"/>
      <c r="AN76" s="448"/>
      <c r="AO76" s="380"/>
      <c r="AP76" s="383"/>
      <c r="AQ76" s="381">
        <f t="shared" si="34"/>
        <v>0</v>
      </c>
      <c r="AR76" s="381">
        <f t="shared" si="35"/>
        <v>0</v>
      </c>
      <c r="AS76" s="381">
        <f t="shared" si="36"/>
        <v>-3.9790000000000103E-2</v>
      </c>
      <c r="AT76" s="381">
        <f t="shared" si="37"/>
        <v>-3.9790000000000103E-2</v>
      </c>
      <c r="AU76" s="243">
        <f>+'[9]Rates in summary'!D65+'Summary of Temporaries '!K65+'Summary of Temporaries '!M65+'Summary of Temporaries '!L65-'Summary of Temporaries '!AZ65</f>
        <v>0.57688000000000006</v>
      </c>
      <c r="AV76" s="243"/>
      <c r="AW76" s="447"/>
      <c r="AX76" s="325"/>
      <c r="AY76" s="325"/>
      <c r="AZ76" s="325"/>
      <c r="BA76" s="325"/>
    </row>
    <row r="77" spans="1:53" x14ac:dyDescent="0.25">
      <c r="A77" s="234">
        <f t="shared" si="38"/>
        <v>71</v>
      </c>
      <c r="B77" s="234"/>
      <c r="C77" s="344" t="s">
        <v>72</v>
      </c>
      <c r="D77" s="323">
        <f>+'[9]Washington volumes'!J66</f>
        <v>0</v>
      </c>
      <c r="E77" s="459" t="s">
        <v>243</v>
      </c>
      <c r="F77" s="458"/>
      <c r="G77" s="449"/>
      <c r="H77" s="458"/>
      <c r="I77" s="449"/>
      <c r="J77" s="458"/>
      <c r="K77" s="449"/>
      <c r="L77" s="325">
        <f>+'[9]Rates in summary'!D66</f>
        <v>0.53723999999999983</v>
      </c>
      <c r="M77" s="449"/>
      <c r="N77" s="325">
        <f>'[9]Rates in summary'!D66+'Summary of Temporaries '!K66+'Summary of Temporaries '!L66+'Summary of Temporaries '!M66-'Summary of Temporaries '!AX66</f>
        <v>0.53723999999999983</v>
      </c>
      <c r="O77" s="449"/>
      <c r="P77" s="451"/>
      <c r="Q77" s="325">
        <f>'[9]Rates in summary'!D66+'Summary of Temporaries '!N66+'Summary of Temporaries '!O66-'Summary of Temporaries '!AY66</f>
        <v>0.53718999999999983</v>
      </c>
      <c r="R77" s="449"/>
      <c r="S77" s="451"/>
      <c r="T77" s="457">
        <f>'[9]Rates in detail'!D66+'Summary of Temporaries '!T66-'Summary of Temporaries '!BD66+'Summary of Temporaries '!S66-'Summary of Temporaries '!BC66+'Summary of Temporaries '!P66-'Summary of Temporaries '!BB66++'Summary of Temporaries '!Q66-'Summary of Temporaries '!AW66</f>
        <v>0.53652999999999984</v>
      </c>
      <c r="U77" s="456"/>
      <c r="V77" s="455"/>
      <c r="W77" s="325">
        <f>'[9]Rates in summary'!D66+'Summary of Temporaries '!R66-'Summary of Temporaries '!AZ66</f>
        <v>0.53725999999999985</v>
      </c>
      <c r="X77" s="449"/>
      <c r="Y77" s="451"/>
      <c r="Z77" s="325">
        <f>'[9]Rates in summary'!D66+[9]Permanents!F66</f>
        <v>0.53724999999999978</v>
      </c>
      <c r="AA77" s="449"/>
      <c r="AB77" s="451"/>
      <c r="AC77" s="454">
        <f>'[9]Rates in summary'!D66+'Summary of Temporaries '!U66-'Summary of Temporaries '!BE66</f>
        <v>0.53723999999999983</v>
      </c>
      <c r="AD77" s="453"/>
      <c r="AE77" s="452"/>
      <c r="AF77" s="325">
        <f>'[9]Rates in summary'!D66+'Summary of Temporaries '!V66-'Summary of Temporaries '!BF66</f>
        <v>0.53723999999999983</v>
      </c>
      <c r="AG77" s="449"/>
      <c r="AH77" s="451"/>
      <c r="AI77" s="325">
        <f>'[9]Rates in summary'!G66+'Summary of Temporaries '!J66</f>
        <v>0.49817999999999973</v>
      </c>
      <c r="AJ77" s="449"/>
      <c r="AK77" s="450"/>
      <c r="AL77" s="325">
        <f>+'[9]Rates in summary'!Q66</f>
        <v>0.49744999999999978</v>
      </c>
      <c r="AM77" s="449"/>
      <c r="AN77" s="448"/>
      <c r="AO77" s="380"/>
      <c r="AP77" s="383"/>
      <c r="AQ77" s="381">
        <f t="shared" ref="AQ77:AQ94" si="39">AC77-L77</f>
        <v>0</v>
      </c>
      <c r="AR77" s="381">
        <f t="shared" ref="AR77:AR94" si="40">AF77-L77</f>
        <v>0</v>
      </c>
      <c r="AS77" s="381">
        <f t="shared" ref="AS77:AS94" si="41">AL77-L77</f>
        <v>-3.9790000000000048E-2</v>
      </c>
      <c r="AT77" s="381">
        <f t="shared" ref="AT77:AT108" si="42">AS77-(AQ77+AR77)</f>
        <v>-3.9790000000000048E-2</v>
      </c>
      <c r="AU77" s="243">
        <f>+'[9]Rates in summary'!D66+'Summary of Temporaries '!K66+'Summary of Temporaries '!M66+'Summary of Temporaries '!L66-'Summary of Temporaries '!AZ66</f>
        <v>0.53684999999999983</v>
      </c>
      <c r="AV77" s="243"/>
      <c r="AW77" s="447"/>
      <c r="AX77" s="325"/>
      <c r="AY77" s="325"/>
      <c r="AZ77" s="325"/>
      <c r="BA77" s="325"/>
    </row>
    <row r="78" spans="1:53" x14ac:dyDescent="0.25">
      <c r="A78" s="234">
        <f t="shared" si="38"/>
        <v>72</v>
      </c>
      <c r="B78" s="338"/>
      <c r="C78" s="446" t="s">
        <v>27</v>
      </c>
      <c r="D78" s="445"/>
      <c r="E78" s="444"/>
      <c r="F78" s="443"/>
      <c r="G78" s="433"/>
      <c r="H78" s="443"/>
      <c r="I78" s="433"/>
      <c r="J78" s="443"/>
      <c r="K78" s="433"/>
      <c r="L78" s="442"/>
      <c r="M78" s="433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8660.1508951816159</v>
      </c>
      <c r="N78" s="442"/>
      <c r="O78" s="433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8660.1508951816159</v>
      </c>
      <c r="P78" s="417">
        <f>ROUND((O78-M78)/M78,3)</f>
        <v>0</v>
      </c>
      <c r="Q78" s="442"/>
      <c r="R78" s="433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8654.8808951816154</v>
      </c>
      <c r="S78" s="417">
        <f>ROUND((R78-M78)/M78,3)</f>
        <v>-1E-3</v>
      </c>
      <c r="T78" s="462"/>
      <c r="U78" s="440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8650.7508951816162</v>
      </c>
      <c r="V78" s="439">
        <f>ROUND((U78-M78)/M78,3)</f>
        <v>-1E-3</v>
      </c>
      <c r="W78" s="442"/>
      <c r="X78" s="433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8662.5008951816162</v>
      </c>
      <c r="Y78" s="417">
        <f>(X78-M78)/M78</f>
        <v>2.713578583610905E-4</v>
      </c>
      <c r="Z78" s="442"/>
      <c r="AA78" s="433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8660.8108951816157</v>
      </c>
      <c r="AB78" s="417">
        <f>(AA78-M78)/M78</f>
        <v>7.6211143199256387E-5</v>
      </c>
      <c r="AC78" s="460"/>
      <c r="AD78" s="436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8660.1508951816159</v>
      </c>
      <c r="AE78" s="418">
        <f>(AD78-M78)/M78</f>
        <v>0</v>
      </c>
      <c r="AF78" s="442"/>
      <c r="AG78" s="433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8660.1508951816159</v>
      </c>
      <c r="AH78" s="417">
        <f>(AG78-M78)/M78</f>
        <v>0</v>
      </c>
      <c r="AI78" s="442"/>
      <c r="AJ78" s="433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8013.8208951816159</v>
      </c>
      <c r="AK78" s="432">
        <f>ROUND((AJ78-M78)/M78,3)</f>
        <v>-7.4999999999999997E-2</v>
      </c>
      <c r="AL78" s="442"/>
      <c r="AM78" s="433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8002.1708951816163</v>
      </c>
      <c r="AN78" s="432">
        <f>ROUND((AM78-M78)/M78,3)</f>
        <v>-7.5999999999999998E-2</v>
      </c>
      <c r="AO78" s="380"/>
      <c r="AP78" s="383"/>
      <c r="AQ78" s="381">
        <f t="shared" si="39"/>
        <v>0</v>
      </c>
      <c r="AR78" s="381">
        <f t="shared" si="40"/>
        <v>0</v>
      </c>
      <c r="AS78" s="381">
        <f t="shared" si="41"/>
        <v>0</v>
      </c>
      <c r="AT78" s="381">
        <f t="shared" si="42"/>
        <v>0</v>
      </c>
      <c r="AU78" s="431"/>
      <c r="AV78" s="430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8615.5508951816155</v>
      </c>
      <c r="AW78" s="429">
        <f>ROUND((AV78-M78)/M78,3)</f>
        <v>-5.0000000000000001E-3</v>
      </c>
      <c r="AX78" s="325"/>
      <c r="AY78" s="325"/>
      <c r="AZ78" s="325"/>
      <c r="BA78" s="325"/>
    </row>
    <row r="79" spans="1:53" x14ac:dyDescent="0.25">
      <c r="A79" s="234">
        <f t="shared" si="38"/>
        <v>73</v>
      </c>
      <c r="B79" s="234" t="s">
        <v>78</v>
      </c>
      <c r="C79" s="344" t="s">
        <v>61</v>
      </c>
      <c r="D79" s="323">
        <f>+'[9]Washington volumes'!J67</f>
        <v>0</v>
      </c>
      <c r="E79" s="323">
        <v>10000</v>
      </c>
      <c r="F79" s="458">
        <f>+'[9]Washington volumes'!M67</f>
        <v>0</v>
      </c>
      <c r="G79" s="449">
        <f>1300+250</f>
        <v>1550</v>
      </c>
      <c r="H79" s="449">
        <f>'[32]Aver Bill by RS'!$J79</f>
        <v>5142.2693365131181</v>
      </c>
      <c r="I79" s="449">
        <f>G79-(IF(H79&gt;(F79*$H$3),(F79*$H$3),H79))</f>
        <v>1550</v>
      </c>
      <c r="J79" s="449">
        <f>'[32]Aver Bill by RS'!$J79</f>
        <v>5142.2693365131181</v>
      </c>
      <c r="K79" s="449">
        <f>G79-(IF(J79&gt;($F79*$H$4),($F79*$H$4),J79))</f>
        <v>1550</v>
      </c>
      <c r="L79" s="325">
        <f>+'[9]Rates in summary'!D67</f>
        <v>0.39076</v>
      </c>
      <c r="M79" s="449"/>
      <c r="N79" s="325">
        <f>'[9]Rates in summary'!D67+'Summary of Temporaries '!K67+'Summary of Temporaries '!L67+'Summary of Temporaries '!M67-'Summary of Temporaries '!AX67</f>
        <v>0.39076</v>
      </c>
      <c r="O79" s="449"/>
      <c r="P79" s="451"/>
      <c r="Q79" s="325">
        <f>'[9]Rates in summary'!D67+'Summary of Temporaries '!N67+'Summary of Temporaries '!O67-'Summary of Temporaries '!AY67</f>
        <v>0.39076</v>
      </c>
      <c r="R79" s="449"/>
      <c r="S79" s="451"/>
      <c r="T79" s="457">
        <f>'[9]Rates in detail'!D67+'Summary of Temporaries '!T67-'Summary of Temporaries '!BD67+'Summary of Temporaries '!S67-'Summary of Temporaries '!BC67+'Summary of Temporaries '!P67-'Summary of Temporaries '!BB67++'Summary of Temporaries '!Q67-'Summary of Temporaries '!AW67</f>
        <v>0.39021000000000006</v>
      </c>
      <c r="U79" s="456"/>
      <c r="V79" s="455"/>
      <c r="W79" s="325">
        <f>'[9]Rates in summary'!D67+'Summary of Temporaries '!R67-'Summary of Temporaries '!AZ67</f>
        <v>0.39088000000000001</v>
      </c>
      <c r="X79" s="449"/>
      <c r="Y79" s="451"/>
      <c r="Z79" s="325">
        <f>'[9]Rates in summary'!D67+[9]Permanents!F67</f>
        <v>0.39076</v>
      </c>
      <c r="AA79" s="449"/>
      <c r="AB79" s="451"/>
      <c r="AC79" s="454">
        <f>'[9]Rates in summary'!D67+'Summary of Temporaries '!U67-'Summary of Temporaries '!BE67</f>
        <v>0.39076</v>
      </c>
      <c r="AD79" s="453"/>
      <c r="AE79" s="452"/>
      <c r="AF79" s="325">
        <f>'[9]Rates in summary'!D67+'Summary of Temporaries '!V67-'Summary of Temporaries '!BF67</f>
        <v>0.39076</v>
      </c>
      <c r="AG79" s="449"/>
      <c r="AH79" s="451"/>
      <c r="AI79" s="325">
        <f>'[9]Rates in summary'!G67+'Summary of Temporaries '!J67</f>
        <v>0.39076</v>
      </c>
      <c r="AJ79" s="449"/>
      <c r="AK79" s="450"/>
      <c r="AL79" s="325">
        <f>+'[9]Rates in summary'!Q67</f>
        <v>0.39032999999999995</v>
      </c>
      <c r="AM79" s="449"/>
      <c r="AN79" s="448"/>
      <c r="AO79" s="380"/>
      <c r="AP79" s="383"/>
      <c r="AQ79" s="381">
        <f t="shared" si="39"/>
        <v>0</v>
      </c>
      <c r="AR79" s="381">
        <f t="shared" si="40"/>
        <v>0</v>
      </c>
      <c r="AS79" s="381">
        <f t="shared" si="41"/>
        <v>-4.3000000000004146E-4</v>
      </c>
      <c r="AT79" s="381">
        <f t="shared" si="42"/>
        <v>-4.3000000000004146E-4</v>
      </c>
      <c r="AU79" s="243">
        <f>+'[9]Rates in summary'!D67+'Summary of Temporaries '!K67+'Summary of Temporaries '!M67+'Summary of Temporaries '!L67-'Summary of Temporaries '!AZ67</f>
        <v>0.38874999999999998</v>
      </c>
      <c r="AV79" s="395"/>
      <c r="AW79" s="447"/>
      <c r="AX79" s="325"/>
      <c r="AY79" s="325"/>
      <c r="AZ79" s="325"/>
      <c r="BA79" s="325"/>
    </row>
    <row r="80" spans="1:53" x14ac:dyDescent="0.25">
      <c r="A80" s="234">
        <f t="shared" si="38"/>
        <v>74</v>
      </c>
      <c r="B80" s="234"/>
      <c r="C80" s="344" t="s">
        <v>62</v>
      </c>
      <c r="D80" s="323">
        <f>+'[9]Washington volumes'!J68</f>
        <v>0</v>
      </c>
      <c r="E80" s="323">
        <v>20000</v>
      </c>
      <c r="F80" s="458"/>
      <c r="G80" s="449"/>
      <c r="H80" s="458"/>
      <c r="I80" s="449"/>
      <c r="J80" s="458"/>
      <c r="K80" s="449"/>
      <c r="L80" s="325">
        <f>+'[9]Rates in summary'!D68</f>
        <v>0.37516000000000005</v>
      </c>
      <c r="M80" s="449"/>
      <c r="N80" s="325">
        <f>'[9]Rates in summary'!D68+'Summary of Temporaries '!K68+'Summary of Temporaries '!L68+'Summary of Temporaries '!M68-'Summary of Temporaries '!AX68</f>
        <v>0.37516000000000005</v>
      </c>
      <c r="O80" s="449"/>
      <c r="P80" s="451"/>
      <c r="Q80" s="325">
        <f>'[9]Rates in summary'!D68+'Summary of Temporaries '!N68+'Summary of Temporaries '!O68-'Summary of Temporaries '!AY68</f>
        <v>0.37516000000000005</v>
      </c>
      <c r="R80" s="449"/>
      <c r="S80" s="451"/>
      <c r="T80" s="457">
        <f>'[9]Rates in detail'!D68+'Summary of Temporaries '!T68-'Summary of Temporaries '!BD68+'Summary of Temporaries '!S68-'Summary of Temporaries '!BC68+'Summary of Temporaries '!P68-'Summary of Temporaries '!BB68++'Summary of Temporaries '!Q68-'Summary of Temporaries '!AW68</f>
        <v>0.37460000000000004</v>
      </c>
      <c r="U80" s="456"/>
      <c r="V80" s="455"/>
      <c r="W80" s="325">
        <f>'[9]Rates in summary'!D68+'Summary of Temporaries '!R68-'Summary of Temporaries '!AZ68</f>
        <v>0.37527000000000005</v>
      </c>
      <c r="X80" s="449"/>
      <c r="Y80" s="451"/>
      <c r="Z80" s="325">
        <f>'[9]Rates in summary'!D68+[9]Permanents!F68</f>
        <v>0.37516000000000005</v>
      </c>
      <c r="AA80" s="449"/>
      <c r="AB80" s="451"/>
      <c r="AC80" s="454">
        <f>'[9]Rates in summary'!D68+'Summary of Temporaries '!U68-'Summary of Temporaries '!BE68</f>
        <v>0.37516000000000005</v>
      </c>
      <c r="AD80" s="453"/>
      <c r="AE80" s="452"/>
      <c r="AF80" s="325">
        <f>'[9]Rates in summary'!D68+'Summary of Temporaries '!V68-'Summary of Temporaries '!BF68</f>
        <v>0.37516000000000005</v>
      </c>
      <c r="AG80" s="449"/>
      <c r="AH80" s="451"/>
      <c r="AI80" s="325">
        <f>'[9]Rates in summary'!G68+'Summary of Temporaries '!J68</f>
        <v>0.37516000000000005</v>
      </c>
      <c r="AJ80" s="449"/>
      <c r="AK80" s="450"/>
      <c r="AL80" s="325">
        <f>+'[9]Rates in summary'!Q68</f>
        <v>0.37471000000000004</v>
      </c>
      <c r="AM80" s="449"/>
      <c r="AN80" s="448"/>
      <c r="AO80" s="380"/>
      <c r="AP80" s="383"/>
      <c r="AQ80" s="381">
        <f t="shared" si="39"/>
        <v>0</v>
      </c>
      <c r="AR80" s="381">
        <f t="shared" si="40"/>
        <v>0</v>
      </c>
      <c r="AS80" s="381">
        <f t="shared" si="41"/>
        <v>-4.5000000000000595E-4</v>
      </c>
      <c r="AT80" s="381">
        <f t="shared" si="42"/>
        <v>-4.5000000000000595E-4</v>
      </c>
      <c r="AU80" s="243">
        <f>+'[9]Rates in summary'!D68+'Summary of Temporaries '!K68+'Summary of Temporaries '!M68+'Summary of Temporaries '!L68-'Summary of Temporaries '!AZ68</f>
        <v>0.37336000000000003</v>
      </c>
      <c r="AV80" s="395"/>
      <c r="AW80" s="447"/>
      <c r="AX80" s="325"/>
      <c r="AY80" s="325"/>
      <c r="AZ80" s="325"/>
      <c r="BA80" s="325"/>
    </row>
    <row r="81" spans="1:53" x14ac:dyDescent="0.25">
      <c r="A81" s="234">
        <f t="shared" si="38"/>
        <v>75</v>
      </c>
      <c r="B81" s="234"/>
      <c r="C81" s="344" t="s">
        <v>69</v>
      </c>
      <c r="D81" s="323">
        <f>+'[9]Washington volumes'!J69</f>
        <v>0</v>
      </c>
      <c r="E81" s="323">
        <v>20000</v>
      </c>
      <c r="F81" s="458"/>
      <c r="G81" s="449"/>
      <c r="H81" s="458"/>
      <c r="I81" s="449"/>
      <c r="J81" s="458"/>
      <c r="K81" s="449"/>
      <c r="L81" s="325">
        <f>+'[9]Rates in summary'!D69</f>
        <v>0.34404999999999997</v>
      </c>
      <c r="M81" s="449"/>
      <c r="N81" s="325">
        <f>'[9]Rates in summary'!D69+'Summary of Temporaries '!K69+'Summary of Temporaries '!L69+'Summary of Temporaries '!M69-'Summary of Temporaries '!AX69</f>
        <v>0.34404999999999997</v>
      </c>
      <c r="O81" s="449"/>
      <c r="P81" s="451"/>
      <c r="Q81" s="325">
        <f>'[9]Rates in summary'!D69+'Summary of Temporaries '!N69+'Summary of Temporaries '!O69-'Summary of Temporaries '!AY69</f>
        <v>0.34404999999999997</v>
      </c>
      <c r="R81" s="449"/>
      <c r="S81" s="451"/>
      <c r="T81" s="457">
        <f>'[9]Rates in detail'!D69+'Summary of Temporaries '!T69-'Summary of Temporaries '!BD69+'Summary of Temporaries '!S69-'Summary of Temporaries '!BC69+'Summary of Temporaries '!P69-'Summary of Temporaries '!BB69++'Summary of Temporaries '!Q69-'Summary of Temporaries '!AW69</f>
        <v>0.34345999999999999</v>
      </c>
      <c r="U81" s="456"/>
      <c r="V81" s="455"/>
      <c r="W81" s="325">
        <f>'[9]Rates in summary'!D69+'Summary of Temporaries '!R69-'Summary of Temporaries '!AZ69</f>
        <v>0.34412999999999999</v>
      </c>
      <c r="X81" s="449"/>
      <c r="Y81" s="451"/>
      <c r="Z81" s="325">
        <f>'[9]Rates in summary'!D69+[9]Permanents!F69</f>
        <v>0.34404999999999997</v>
      </c>
      <c r="AA81" s="449"/>
      <c r="AB81" s="451"/>
      <c r="AC81" s="454">
        <f>'[9]Rates in summary'!D69+'Summary of Temporaries '!U69-'Summary of Temporaries '!BE69</f>
        <v>0.34404999999999997</v>
      </c>
      <c r="AD81" s="453"/>
      <c r="AE81" s="452"/>
      <c r="AF81" s="325">
        <f>'[9]Rates in summary'!D69+'Summary of Temporaries '!V69-'Summary of Temporaries '!BF69</f>
        <v>0.34404999999999997</v>
      </c>
      <c r="AG81" s="449"/>
      <c r="AH81" s="451"/>
      <c r="AI81" s="325">
        <f>'[9]Rates in summary'!G69+'Summary of Temporaries '!J69</f>
        <v>0.34404999999999997</v>
      </c>
      <c r="AJ81" s="449"/>
      <c r="AK81" s="450"/>
      <c r="AL81" s="325">
        <f>+'[9]Rates in summary'!Q69</f>
        <v>0.34353999999999996</v>
      </c>
      <c r="AM81" s="449"/>
      <c r="AN81" s="448"/>
      <c r="AO81" s="380"/>
      <c r="AP81" s="383"/>
      <c r="AQ81" s="381">
        <f t="shared" si="39"/>
        <v>0</v>
      </c>
      <c r="AR81" s="381">
        <f t="shared" si="40"/>
        <v>0</v>
      </c>
      <c r="AS81" s="381">
        <f t="shared" si="41"/>
        <v>-5.1000000000001044E-4</v>
      </c>
      <c r="AT81" s="381">
        <f t="shared" si="42"/>
        <v>-5.1000000000001044E-4</v>
      </c>
      <c r="AU81" s="243">
        <f>+'[9]Rates in summary'!D69+'Summary of Temporaries '!K69+'Summary of Temporaries '!M69+'Summary of Temporaries '!L69-'Summary of Temporaries '!AZ69</f>
        <v>0.34266999999999997</v>
      </c>
      <c r="AV81" s="395"/>
      <c r="AW81" s="447"/>
      <c r="AX81" s="325"/>
      <c r="AY81" s="325"/>
      <c r="AZ81" s="325"/>
      <c r="BA81" s="325"/>
    </row>
    <row r="82" spans="1:53" x14ac:dyDescent="0.25">
      <c r="A82" s="234">
        <f t="shared" si="38"/>
        <v>76</v>
      </c>
      <c r="B82" s="234"/>
      <c r="C82" s="344" t="s">
        <v>70</v>
      </c>
      <c r="D82" s="323">
        <f>+'[9]Washington volumes'!J70</f>
        <v>0</v>
      </c>
      <c r="E82" s="323">
        <v>100000</v>
      </c>
      <c r="F82" s="458"/>
      <c r="G82" s="449"/>
      <c r="H82" s="458"/>
      <c r="I82" s="449"/>
      <c r="J82" s="458"/>
      <c r="K82" s="449"/>
      <c r="L82" s="325">
        <f>+'[9]Rates in summary'!D70</f>
        <v>0.3236</v>
      </c>
      <c r="M82" s="449"/>
      <c r="N82" s="325">
        <f>'[9]Rates in summary'!D70+'Summary of Temporaries '!K70+'Summary of Temporaries '!L70+'Summary of Temporaries '!M70-'Summary of Temporaries '!AX70</f>
        <v>0.3236</v>
      </c>
      <c r="O82" s="449"/>
      <c r="P82" s="451"/>
      <c r="Q82" s="325">
        <f>'[9]Rates in summary'!D70+'Summary of Temporaries '!N70+'Summary of Temporaries '!O70-'Summary of Temporaries '!AY70</f>
        <v>0.3236</v>
      </c>
      <c r="R82" s="449"/>
      <c r="S82" s="451"/>
      <c r="T82" s="457">
        <f>'[9]Rates in detail'!D70+'Summary of Temporaries '!T70-'Summary of Temporaries '!BD70+'Summary of Temporaries '!S70-'Summary of Temporaries '!BC70+'Summary of Temporaries '!P70-'Summary of Temporaries '!BB70++'Summary of Temporaries '!Q70-'Summary of Temporaries '!AW70</f>
        <v>0.32300000000000001</v>
      </c>
      <c r="U82" s="456"/>
      <c r="V82" s="455"/>
      <c r="W82" s="325">
        <f>'[9]Rates in summary'!D70+'Summary of Temporaries '!R70-'Summary of Temporaries '!AZ70</f>
        <v>0.32366</v>
      </c>
      <c r="X82" s="449"/>
      <c r="Y82" s="451"/>
      <c r="Z82" s="325">
        <f>'[9]Rates in summary'!D70+[9]Permanents!F70</f>
        <v>0.3236</v>
      </c>
      <c r="AA82" s="449"/>
      <c r="AB82" s="451"/>
      <c r="AC82" s="454">
        <f>'[9]Rates in summary'!D70+'Summary of Temporaries '!U70-'Summary of Temporaries '!BE70</f>
        <v>0.3236</v>
      </c>
      <c r="AD82" s="453"/>
      <c r="AE82" s="452"/>
      <c r="AF82" s="325">
        <f>'[9]Rates in summary'!D70+'Summary of Temporaries '!V70-'Summary of Temporaries '!BF70</f>
        <v>0.3236</v>
      </c>
      <c r="AG82" s="449"/>
      <c r="AH82" s="451"/>
      <c r="AI82" s="325">
        <f>'[9]Rates in summary'!G70+'Summary of Temporaries '!J70</f>
        <v>0.3236</v>
      </c>
      <c r="AJ82" s="449"/>
      <c r="AK82" s="450"/>
      <c r="AL82" s="325">
        <f>+'[9]Rates in summary'!Q70</f>
        <v>0.32306000000000001</v>
      </c>
      <c r="AM82" s="449"/>
      <c r="AN82" s="448"/>
      <c r="AO82" s="380"/>
      <c r="AP82" s="383"/>
      <c r="AQ82" s="381">
        <f t="shared" si="39"/>
        <v>0</v>
      </c>
      <c r="AR82" s="381">
        <f t="shared" si="40"/>
        <v>0</v>
      </c>
      <c r="AS82" s="381">
        <f t="shared" si="41"/>
        <v>-5.3999999999998494E-4</v>
      </c>
      <c r="AT82" s="381">
        <f t="shared" si="42"/>
        <v>-5.3999999999998494E-4</v>
      </c>
      <c r="AU82" s="243">
        <f>+'[9]Rates in summary'!D70+'Summary of Temporaries '!K70+'Summary of Temporaries '!M70+'Summary of Temporaries '!L70-'Summary of Temporaries '!AZ70</f>
        <v>0.32249</v>
      </c>
      <c r="AV82" s="395"/>
      <c r="AW82" s="447"/>
      <c r="AX82" s="325"/>
      <c r="AY82" s="325"/>
      <c r="AZ82" s="325"/>
      <c r="BA82" s="325"/>
    </row>
    <row r="83" spans="1:53" x14ac:dyDescent="0.25">
      <c r="A83" s="234">
        <f t="shared" si="38"/>
        <v>77</v>
      </c>
      <c r="B83" s="234"/>
      <c r="C83" s="344" t="s">
        <v>71</v>
      </c>
      <c r="D83" s="323">
        <f>+'[9]Washington volumes'!J71</f>
        <v>0</v>
      </c>
      <c r="E83" s="323">
        <v>600000</v>
      </c>
      <c r="F83" s="458"/>
      <c r="G83" s="449"/>
      <c r="H83" s="458"/>
      <c r="I83" s="449"/>
      <c r="J83" s="458"/>
      <c r="K83" s="449"/>
      <c r="L83" s="325">
        <f>+'[9]Rates in summary'!D71</f>
        <v>0.29632999999999998</v>
      </c>
      <c r="M83" s="449"/>
      <c r="N83" s="325">
        <f>'[9]Rates in summary'!D71+'Summary of Temporaries '!K71+'Summary of Temporaries '!L71+'Summary of Temporaries '!M71-'Summary of Temporaries '!AX71</f>
        <v>0.29632999999999998</v>
      </c>
      <c r="O83" s="449"/>
      <c r="P83" s="451"/>
      <c r="Q83" s="325">
        <f>'[9]Rates in summary'!D71+'Summary of Temporaries '!N71+'Summary of Temporaries '!O71-'Summary of Temporaries '!AY71</f>
        <v>0.29632999999999998</v>
      </c>
      <c r="R83" s="449"/>
      <c r="S83" s="451"/>
      <c r="T83" s="457">
        <f>'[9]Rates in detail'!D71+'Summary of Temporaries '!T71-'Summary of Temporaries '!BD71+'Summary of Temporaries '!S71-'Summary of Temporaries '!BC71+'Summary of Temporaries '!P71-'Summary of Temporaries '!BB71++'Summary of Temporaries '!Q71-'Summary of Temporaries '!AW71</f>
        <v>0.29570000000000002</v>
      </c>
      <c r="U83" s="456"/>
      <c r="V83" s="455"/>
      <c r="W83" s="325">
        <f>'[9]Rates in summary'!D71+'Summary of Temporaries '!R71-'Summary of Temporaries '!AZ71</f>
        <v>0.29636999999999997</v>
      </c>
      <c r="X83" s="449"/>
      <c r="Y83" s="451"/>
      <c r="Z83" s="325">
        <f>'[9]Rates in summary'!D71+[9]Permanents!F71</f>
        <v>0.29632999999999998</v>
      </c>
      <c r="AA83" s="449"/>
      <c r="AB83" s="451"/>
      <c r="AC83" s="454">
        <f>'[9]Rates in summary'!D71+'Summary of Temporaries '!U71-'Summary of Temporaries '!BE71</f>
        <v>0.29632999999999998</v>
      </c>
      <c r="AD83" s="453"/>
      <c r="AE83" s="452"/>
      <c r="AF83" s="325">
        <f>'[9]Rates in summary'!D71+'Summary of Temporaries '!V71-'Summary of Temporaries '!BF71</f>
        <v>0.29632999999999998</v>
      </c>
      <c r="AG83" s="449"/>
      <c r="AH83" s="451"/>
      <c r="AI83" s="325">
        <f>'[9]Rates in summary'!G71+'Summary of Temporaries '!J71</f>
        <v>0.29632999999999998</v>
      </c>
      <c r="AJ83" s="449"/>
      <c r="AK83" s="450"/>
      <c r="AL83" s="325">
        <f>+'[9]Rates in summary'!Q71</f>
        <v>0.29574</v>
      </c>
      <c r="AM83" s="449"/>
      <c r="AN83" s="448"/>
      <c r="AO83" s="380"/>
      <c r="AP83" s="383"/>
      <c r="AQ83" s="381">
        <f t="shared" si="39"/>
        <v>0</v>
      </c>
      <c r="AR83" s="381">
        <f t="shared" si="40"/>
        <v>0</v>
      </c>
      <c r="AS83" s="381">
        <f t="shared" si="41"/>
        <v>-5.8999999999997943E-4</v>
      </c>
      <c r="AT83" s="381">
        <f t="shared" si="42"/>
        <v>-5.8999999999997943E-4</v>
      </c>
      <c r="AU83" s="243">
        <f>+'[9]Rates in summary'!D71+'Summary of Temporaries '!K71+'Summary of Temporaries '!M71+'Summary of Temporaries '!L71-'Summary of Temporaries '!AZ71</f>
        <v>0.29558999999999996</v>
      </c>
      <c r="AV83" s="243"/>
      <c r="AW83" s="447"/>
      <c r="AX83" s="325"/>
      <c r="AY83" s="325"/>
      <c r="AZ83" s="325"/>
      <c r="BA83" s="325"/>
    </row>
    <row r="84" spans="1:53" x14ac:dyDescent="0.25">
      <c r="A84" s="234">
        <f t="shared" si="38"/>
        <v>78</v>
      </c>
      <c r="B84" s="234"/>
      <c r="C84" s="344" t="s">
        <v>72</v>
      </c>
      <c r="D84" s="323">
        <f>+'[9]Washington volumes'!J72</f>
        <v>0</v>
      </c>
      <c r="E84" s="459" t="s">
        <v>243</v>
      </c>
      <c r="F84" s="458"/>
      <c r="G84" s="449"/>
      <c r="H84" s="458"/>
      <c r="I84" s="449"/>
      <c r="J84" s="458"/>
      <c r="K84" s="449"/>
      <c r="L84" s="325">
        <f>+'[9]Rates in summary'!D72</f>
        <v>0.26221000000000005</v>
      </c>
      <c r="M84" s="449"/>
      <c r="N84" s="325">
        <f>'[9]Rates in summary'!D72+'Summary of Temporaries '!K72+'Summary of Temporaries '!L72+'Summary of Temporaries '!M72-'Summary of Temporaries '!AX72</f>
        <v>0.26221000000000005</v>
      </c>
      <c r="O84" s="449"/>
      <c r="P84" s="451"/>
      <c r="Q84" s="325">
        <f>'[9]Rates in summary'!D72+'Summary of Temporaries '!N72+'Summary of Temporaries '!O72-'Summary of Temporaries '!AY72</f>
        <v>0.26221000000000005</v>
      </c>
      <c r="R84" s="449"/>
      <c r="S84" s="451"/>
      <c r="T84" s="457">
        <f>'[9]Rates in detail'!D72+'Summary of Temporaries '!T72-'Summary of Temporaries '!BD72+'Summary of Temporaries '!S72-'Summary of Temporaries '!BC72+'Summary of Temporaries '!P72-'Summary of Temporaries '!BB72++'Summary of Temporaries '!Q72-'Summary of Temporaries '!AW72</f>
        <v>0.26155000000000012</v>
      </c>
      <c r="U84" s="456"/>
      <c r="V84" s="455"/>
      <c r="W84" s="325">
        <f>'[9]Rates in summary'!D72+'Summary of Temporaries '!R72-'Summary of Temporaries '!AZ72</f>
        <v>0.26222000000000006</v>
      </c>
      <c r="X84" s="449"/>
      <c r="Y84" s="451"/>
      <c r="Z84" s="325">
        <f>'[9]Rates in summary'!D72+[9]Permanents!F72</f>
        <v>0.26221000000000005</v>
      </c>
      <c r="AA84" s="449"/>
      <c r="AB84" s="451"/>
      <c r="AC84" s="454">
        <f>'[9]Rates in summary'!D72+'Summary of Temporaries '!U72-'Summary of Temporaries '!BE72</f>
        <v>0.26221000000000005</v>
      </c>
      <c r="AD84" s="453"/>
      <c r="AE84" s="452"/>
      <c r="AF84" s="325">
        <f>'[9]Rates in summary'!D72+'Summary of Temporaries '!V72-'Summary of Temporaries '!BF72</f>
        <v>0.26221000000000005</v>
      </c>
      <c r="AG84" s="449"/>
      <c r="AH84" s="451"/>
      <c r="AI84" s="325">
        <f>'[9]Rates in summary'!G72+'Summary of Temporaries '!J72</f>
        <v>0.26221000000000005</v>
      </c>
      <c r="AJ84" s="449"/>
      <c r="AK84" s="450"/>
      <c r="AL84" s="325">
        <f>+'[9]Rates in summary'!Q72</f>
        <v>0.26156000000000007</v>
      </c>
      <c r="AM84" s="449"/>
      <c r="AN84" s="448"/>
      <c r="AO84" s="380"/>
      <c r="AP84" s="383"/>
      <c r="AQ84" s="381">
        <f t="shared" si="39"/>
        <v>0</v>
      </c>
      <c r="AR84" s="381">
        <f t="shared" si="40"/>
        <v>0</v>
      </c>
      <c r="AS84" s="381">
        <f t="shared" si="41"/>
        <v>-6.4999999999998392E-4</v>
      </c>
      <c r="AT84" s="381">
        <f t="shared" si="42"/>
        <v>-6.4999999999998392E-4</v>
      </c>
      <c r="AU84" s="243">
        <f>+'[9]Rates in summary'!D72+'Summary of Temporaries '!K72+'Summary of Temporaries '!M72+'Summary of Temporaries '!L72-'Summary of Temporaries '!AZ72</f>
        <v>0.26193000000000005</v>
      </c>
      <c r="AV84" s="243"/>
      <c r="AW84" s="447"/>
      <c r="AX84" s="325"/>
      <c r="AY84" s="325"/>
      <c r="AZ84" s="325"/>
      <c r="BA84" s="325"/>
    </row>
    <row r="85" spans="1:53" x14ac:dyDescent="0.25">
      <c r="A85" s="234">
        <f t="shared" si="38"/>
        <v>79</v>
      </c>
      <c r="B85" s="338"/>
      <c r="C85" s="446" t="s">
        <v>27</v>
      </c>
      <c r="D85" s="445"/>
      <c r="E85" s="444"/>
      <c r="F85" s="443"/>
      <c r="G85" s="433"/>
      <c r="H85" s="443"/>
      <c r="I85" s="433"/>
      <c r="J85" s="443"/>
      <c r="K85" s="433"/>
      <c r="L85" s="442"/>
      <c r="M85" s="433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433"/>
      <c r="O85" s="433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417">
        <f>ROUND((O85-M85)/M85,3)</f>
        <v>0</v>
      </c>
      <c r="Q85" s="433"/>
      <c r="R85" s="433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417">
        <f>ROUND((R85-M85)/M85,3)</f>
        <v>0</v>
      </c>
      <c r="T85" s="461"/>
      <c r="U85" s="440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439">
        <f>ROUND((U85-M85)/M85,3)</f>
        <v>0</v>
      </c>
      <c r="W85" s="433"/>
      <c r="X85" s="433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438">
        <f>(X85-M85)/M85</f>
        <v>0</v>
      </c>
      <c r="Z85" s="442"/>
      <c r="AA85" s="433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417">
        <f>(AA85-M85)/M85</f>
        <v>0</v>
      </c>
      <c r="AC85" s="460"/>
      <c r="AD85" s="436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418">
        <f>(AD85-M85)/M85</f>
        <v>0</v>
      </c>
      <c r="AF85" s="442"/>
      <c r="AG85" s="433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417">
        <f>(AG85-M85)/M85</f>
        <v>0</v>
      </c>
      <c r="AI85" s="435"/>
      <c r="AJ85" s="433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434">
        <f>ROUND((AJ85-M85)/M85,3)</f>
        <v>0</v>
      </c>
      <c r="AL85" s="325"/>
      <c r="AM85" s="433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432">
        <f>ROUND((AM85-M85)/M85,3)</f>
        <v>0</v>
      </c>
      <c r="AO85" s="380"/>
      <c r="AP85" s="383"/>
      <c r="AQ85" s="381">
        <f t="shared" si="39"/>
        <v>0</v>
      </c>
      <c r="AR85" s="381">
        <f t="shared" si="40"/>
        <v>0</v>
      </c>
      <c r="AS85" s="381">
        <f t="shared" si="41"/>
        <v>0</v>
      </c>
      <c r="AT85" s="381">
        <f t="shared" si="42"/>
        <v>0</v>
      </c>
      <c r="AU85" s="431"/>
      <c r="AV85" s="430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429">
        <f>ROUND((AV85-M85)/M85,3)</f>
        <v>0</v>
      </c>
      <c r="AX85" s="325"/>
      <c r="AY85" s="325"/>
      <c r="AZ85" s="325"/>
      <c r="BA85" s="325"/>
    </row>
    <row r="86" spans="1:53" x14ac:dyDescent="0.25">
      <c r="A86" s="234">
        <f t="shared" si="38"/>
        <v>80</v>
      </c>
      <c r="B86" s="234" t="s">
        <v>79</v>
      </c>
      <c r="C86" s="344" t="s">
        <v>61</v>
      </c>
      <c r="D86" s="323">
        <f>+'[9]Washington volumes'!J73</f>
        <v>952237.06746634038</v>
      </c>
      <c r="E86" s="323">
        <v>10000</v>
      </c>
      <c r="F86" s="458">
        <f>+'[9]Washington volumes'!M73</f>
        <v>84098</v>
      </c>
      <c r="G86" s="449">
        <f>1300+250</f>
        <v>1550</v>
      </c>
      <c r="H86" s="449">
        <f>'[32]Aver Bill by RS'!$J86</f>
        <v>3945.7691048183847</v>
      </c>
      <c r="I86" s="449">
        <f>G86-(IF(H86&gt;(F86*$H$3),(F86*$H$3),H86))</f>
        <v>-2395.7691048183847</v>
      </c>
      <c r="J86" s="449">
        <f>'[32]Aver Bill by RS'!$J86</f>
        <v>3945.7691048183847</v>
      </c>
      <c r="K86" s="449">
        <f>G86-(IF(J86&gt;($F86*$H$4),($F86*$H$4),J86))</f>
        <v>-2395.7691048183847</v>
      </c>
      <c r="L86" s="325">
        <f>+'[9]Rates in summary'!D73</f>
        <v>0.39346999999999999</v>
      </c>
      <c r="M86" s="449"/>
      <c r="N86" s="325">
        <f>'[9]Rates in summary'!D73+'Summary of Temporaries '!K73+'Summary of Temporaries '!L73+'Summary of Temporaries '!M73-'Summary of Temporaries '!AX73</f>
        <v>0.39346999999999999</v>
      </c>
      <c r="O86" s="449"/>
      <c r="P86" s="451"/>
      <c r="Q86" s="325">
        <f>'[9]Rates in summary'!D73+'Summary of Temporaries '!N73+'Summary of Temporaries '!O73-'Summary of Temporaries '!AY73</f>
        <v>0.39346999999999999</v>
      </c>
      <c r="R86" s="449"/>
      <c r="S86" s="451"/>
      <c r="T86" s="457">
        <f>'[9]Rates in detail'!D73+'Summary of Temporaries '!T73-'Summary of Temporaries '!BD73+'Summary of Temporaries '!S73-'Summary of Temporaries '!BC73+'Summary of Temporaries '!P73-'Summary of Temporaries '!BB73++'Summary of Temporaries '!Q73-'Summary of Temporaries '!AW73</f>
        <v>0.39283000000000007</v>
      </c>
      <c r="U86" s="456"/>
      <c r="V86" s="455"/>
      <c r="W86" s="325">
        <f>'[9]Rates in summary'!D73+'Summary of Temporaries '!R73-'Summary of Temporaries '!AZ73</f>
        <v>0.39356999999999998</v>
      </c>
      <c r="X86" s="449"/>
      <c r="Y86" s="451"/>
      <c r="Z86" s="325">
        <f>'[9]Rates in summary'!D73+[9]Permanents!F73</f>
        <v>0.39346999999999999</v>
      </c>
      <c r="AA86" s="449"/>
      <c r="AB86" s="451"/>
      <c r="AC86" s="454">
        <f>'[9]Rates in summary'!D73+'Summary of Temporaries '!U73-'Summary of Temporaries '!BE73</f>
        <v>0.39346999999999999</v>
      </c>
      <c r="AD86" s="453"/>
      <c r="AE86" s="452"/>
      <c r="AF86" s="325">
        <f>'[9]Rates in summary'!D73+'Summary of Temporaries '!V73-'Summary of Temporaries '!BF73</f>
        <v>0.39346999999999999</v>
      </c>
      <c r="AG86" s="449"/>
      <c r="AH86" s="451"/>
      <c r="AI86" s="325">
        <f>'[9]Rates in summary'!G73+'Summary of Temporaries '!J73</f>
        <v>0.39346999999999999</v>
      </c>
      <c r="AJ86" s="449"/>
      <c r="AK86" s="450"/>
      <c r="AL86" s="325">
        <f>+'[9]Rates in summary'!Q73</f>
        <v>0.39293</v>
      </c>
      <c r="AM86" s="449"/>
      <c r="AN86" s="448"/>
      <c r="AO86" s="380"/>
      <c r="AP86" s="383"/>
      <c r="AQ86" s="381">
        <f t="shared" si="39"/>
        <v>0</v>
      </c>
      <c r="AR86" s="381">
        <f t="shared" si="40"/>
        <v>0</v>
      </c>
      <c r="AS86" s="381">
        <f t="shared" si="41"/>
        <v>-5.3999999999998494E-4</v>
      </c>
      <c r="AT86" s="381">
        <f t="shared" si="42"/>
        <v>-5.3999999999998494E-4</v>
      </c>
      <c r="AU86" s="243">
        <f>+'[9]Rates in summary'!D80+'Summary of Temporaries '!K74+'Summary of Temporaries '!M74+'Summary of Temporaries '!L74-'Summary of Temporaries '!AZ74</f>
        <v>0.24504999999999996</v>
      </c>
      <c r="AV86" s="395"/>
      <c r="AW86" s="447"/>
      <c r="AX86" s="325"/>
      <c r="AY86" s="325"/>
      <c r="AZ86" s="325"/>
      <c r="BA86" s="325"/>
    </row>
    <row r="87" spans="1:53" x14ac:dyDescent="0.25">
      <c r="A87" s="234">
        <f t="shared" si="38"/>
        <v>81</v>
      </c>
      <c r="B87" s="234"/>
      <c r="C87" s="344" t="s">
        <v>62</v>
      </c>
      <c r="D87" s="323">
        <f>+'[9]Washington volumes'!J74</f>
        <v>1827774.6796347289</v>
      </c>
      <c r="E87" s="323">
        <v>20000</v>
      </c>
      <c r="F87" s="458"/>
      <c r="G87" s="449"/>
      <c r="H87" s="458"/>
      <c r="I87" s="449"/>
      <c r="J87" s="458"/>
      <c r="K87" s="449"/>
      <c r="L87" s="325">
        <f>+'[9]Rates in summary'!D74</f>
        <v>0.37758000000000003</v>
      </c>
      <c r="M87" s="449"/>
      <c r="N87" s="325">
        <f>'[9]Rates in summary'!D74+'Summary of Temporaries '!K74+'Summary of Temporaries '!L74+'Summary of Temporaries '!M74-'Summary of Temporaries '!AX74</f>
        <v>0.37758000000000003</v>
      </c>
      <c r="O87" s="449"/>
      <c r="P87" s="451"/>
      <c r="Q87" s="325">
        <f>'[9]Rates in summary'!D74+'Summary of Temporaries '!N74+'Summary of Temporaries '!O74-'Summary of Temporaries '!AY74</f>
        <v>0.37758000000000003</v>
      </c>
      <c r="R87" s="449"/>
      <c r="S87" s="451"/>
      <c r="T87" s="457">
        <f>'[9]Rates in detail'!D74+'Summary of Temporaries '!T74-'Summary of Temporaries '!BD74+'Summary of Temporaries '!S74-'Summary of Temporaries '!BC74+'Summary of Temporaries '!P74-'Summary of Temporaries '!BB74++'Summary of Temporaries '!Q74-'Summary of Temporaries '!AW74</f>
        <v>0.37693000000000004</v>
      </c>
      <c r="U87" s="456"/>
      <c r="V87" s="455"/>
      <c r="W87" s="325">
        <f>'[9]Rates in summary'!D74+'Summary of Temporaries '!R74-'Summary of Temporaries '!AZ74</f>
        <v>0.37767000000000001</v>
      </c>
      <c r="X87" s="449"/>
      <c r="Y87" s="451"/>
      <c r="Z87" s="325">
        <f>'[9]Rates in summary'!D74+[9]Permanents!F74</f>
        <v>0.37758000000000003</v>
      </c>
      <c r="AA87" s="449"/>
      <c r="AB87" s="451"/>
      <c r="AC87" s="454">
        <f>'[9]Rates in summary'!D74+'Summary of Temporaries '!U74-'Summary of Temporaries '!BE74</f>
        <v>0.37758000000000003</v>
      </c>
      <c r="AD87" s="453"/>
      <c r="AE87" s="452"/>
      <c r="AF87" s="325">
        <f>'[9]Rates in summary'!D74+'Summary of Temporaries '!V74-'Summary of Temporaries '!BF74</f>
        <v>0.37758000000000003</v>
      </c>
      <c r="AG87" s="449"/>
      <c r="AH87" s="451"/>
      <c r="AI87" s="325">
        <f>'[9]Rates in summary'!G74+'Summary of Temporaries '!J74</f>
        <v>0.37758000000000003</v>
      </c>
      <c r="AJ87" s="449"/>
      <c r="AK87" s="450"/>
      <c r="AL87" s="325">
        <f>+'[9]Rates in summary'!Q74</f>
        <v>0.37702000000000002</v>
      </c>
      <c r="AM87" s="449"/>
      <c r="AN87" s="448"/>
      <c r="AO87" s="380"/>
      <c r="AP87" s="383"/>
      <c r="AQ87" s="381">
        <f t="shared" si="39"/>
        <v>0</v>
      </c>
      <c r="AR87" s="381">
        <f t="shared" si="40"/>
        <v>0</v>
      </c>
      <c r="AS87" s="381">
        <f t="shared" si="41"/>
        <v>-5.6000000000000494E-4</v>
      </c>
      <c r="AT87" s="381">
        <f t="shared" si="42"/>
        <v>-5.6000000000000494E-4</v>
      </c>
      <c r="AU87" s="243">
        <f>+'[9]Rates in summary'!D81+'Summary of Temporaries '!K75+'Summary of Temporaries '!M75+'Summary of Temporaries '!L75-'Summary of Temporaries '!AZ75</f>
        <v>-1.3799999999999999E-3</v>
      </c>
      <c r="AV87" s="395"/>
      <c r="AW87" s="447"/>
      <c r="AX87" s="325"/>
      <c r="AY87" s="325"/>
      <c r="AZ87" s="325"/>
      <c r="BA87" s="325"/>
    </row>
    <row r="88" spans="1:53" x14ac:dyDescent="0.25">
      <c r="A88" s="234">
        <f t="shared" si="38"/>
        <v>82</v>
      </c>
      <c r="B88" s="234"/>
      <c r="C88" s="344" t="s">
        <v>69</v>
      </c>
      <c r="D88" s="323">
        <f>+'[9]Washington volumes'!J75</f>
        <v>1364375.8495009863</v>
      </c>
      <c r="E88" s="323">
        <v>20000</v>
      </c>
      <c r="F88" s="458"/>
      <c r="G88" s="449"/>
      <c r="H88" s="458"/>
      <c r="I88" s="449"/>
      <c r="J88" s="458"/>
      <c r="K88" s="449"/>
      <c r="L88" s="325">
        <f>+'[9]Rates in summary'!D75</f>
        <v>0.34592000000000001</v>
      </c>
      <c r="M88" s="449"/>
      <c r="N88" s="325">
        <f>'[9]Rates in summary'!D75+'Summary of Temporaries '!K75+'Summary of Temporaries '!L75+'Summary of Temporaries '!M75-'Summary of Temporaries '!AX75</f>
        <v>0.34592000000000001</v>
      </c>
      <c r="O88" s="449"/>
      <c r="P88" s="451"/>
      <c r="Q88" s="325">
        <f>'[9]Rates in summary'!D75+'Summary of Temporaries '!N75+'Summary of Temporaries '!O75-'Summary of Temporaries '!AY75</f>
        <v>0.34592000000000001</v>
      </c>
      <c r="R88" s="449"/>
      <c r="S88" s="451"/>
      <c r="T88" s="457">
        <f>'[9]Rates in detail'!D75+'Summary of Temporaries '!T75-'Summary of Temporaries '!BD75+'Summary of Temporaries '!S75-'Summary of Temporaries '!BC75+'Summary of Temporaries '!P75-'Summary of Temporaries '!BB75++'Summary of Temporaries '!Q75-'Summary of Temporaries '!AW75</f>
        <v>0.34525000000000006</v>
      </c>
      <c r="U88" s="456"/>
      <c r="V88" s="455"/>
      <c r="W88" s="325">
        <f>'[9]Rates in summary'!D75+'Summary of Temporaries '!R75-'Summary of Temporaries '!AZ75</f>
        <v>0.34599000000000002</v>
      </c>
      <c r="X88" s="449"/>
      <c r="Y88" s="451"/>
      <c r="Z88" s="325">
        <f>'[9]Rates in summary'!D75+[9]Permanents!F75</f>
        <v>0.34592000000000001</v>
      </c>
      <c r="AA88" s="449"/>
      <c r="AB88" s="451"/>
      <c r="AC88" s="454">
        <f>'[9]Rates in summary'!D75+'Summary of Temporaries '!U75-'Summary of Temporaries '!BE75</f>
        <v>0.34592000000000001</v>
      </c>
      <c r="AD88" s="453"/>
      <c r="AE88" s="452"/>
      <c r="AF88" s="325">
        <f>'[9]Rates in summary'!D75+'Summary of Temporaries '!V75-'Summary of Temporaries '!BF75</f>
        <v>0.34592000000000001</v>
      </c>
      <c r="AG88" s="449"/>
      <c r="AH88" s="451"/>
      <c r="AI88" s="325">
        <f>'[9]Rates in summary'!G75+'Summary of Temporaries '!J75</f>
        <v>0.34592000000000001</v>
      </c>
      <c r="AJ88" s="449"/>
      <c r="AK88" s="450"/>
      <c r="AL88" s="325">
        <f>+'[9]Rates in summary'!Q75</f>
        <v>0.34531999999999996</v>
      </c>
      <c r="AM88" s="449"/>
      <c r="AN88" s="448"/>
      <c r="AO88" s="380"/>
      <c r="AP88" s="383"/>
      <c r="AQ88" s="381">
        <f t="shared" si="39"/>
        <v>0</v>
      </c>
      <c r="AR88" s="381">
        <f t="shared" si="40"/>
        <v>0</v>
      </c>
      <c r="AS88" s="381">
        <f t="shared" si="41"/>
        <v>-6.0000000000004494E-4</v>
      </c>
      <c r="AT88" s="381">
        <f t="shared" si="42"/>
        <v>-6.0000000000004494E-4</v>
      </c>
      <c r="AU88" s="243">
        <f>+'[9]Rates in summary'!D82+'Summary of Temporaries '!K76+'Summary of Temporaries '!M76+'Summary of Temporaries '!L76-'Summary of Temporaries '!AZ76</f>
        <v>-1.1000000000000001E-3</v>
      </c>
      <c r="AV88" s="395"/>
      <c r="AW88" s="447"/>
      <c r="AX88" s="325"/>
      <c r="AY88" s="325"/>
      <c r="AZ88" s="325"/>
      <c r="BA88" s="325"/>
    </row>
    <row r="89" spans="1:53" x14ac:dyDescent="0.25">
      <c r="A89" s="234">
        <f t="shared" si="38"/>
        <v>83</v>
      </c>
      <c r="B89" s="234"/>
      <c r="C89" s="344" t="s">
        <v>70</v>
      </c>
      <c r="D89" s="323">
        <f>+'[9]Washington volumes'!J76</f>
        <v>4116253.0789308902</v>
      </c>
      <c r="E89" s="323">
        <v>100000</v>
      </c>
      <c r="F89" s="458"/>
      <c r="G89" s="449"/>
      <c r="H89" s="458"/>
      <c r="I89" s="449"/>
      <c r="J89" s="458"/>
      <c r="K89" s="449"/>
      <c r="L89" s="325">
        <f>+'[9]Rates in summary'!D76</f>
        <v>0.32511000000000001</v>
      </c>
      <c r="M89" s="449"/>
      <c r="N89" s="325">
        <f>'[9]Rates in summary'!D76+'Summary of Temporaries '!K76+'Summary of Temporaries '!L76+'Summary of Temporaries '!M76-'Summary of Temporaries '!AX76</f>
        <v>0.32511000000000001</v>
      </c>
      <c r="O89" s="449"/>
      <c r="P89" s="451"/>
      <c r="Q89" s="325">
        <f>'[9]Rates in summary'!D76+'Summary of Temporaries '!N76+'Summary of Temporaries '!O76-'Summary of Temporaries '!AY76</f>
        <v>0.32511000000000001</v>
      </c>
      <c r="R89" s="449"/>
      <c r="S89" s="451"/>
      <c r="T89" s="457">
        <f>'[9]Rates in detail'!D76+'Summary of Temporaries '!T76-'Summary of Temporaries '!BD76+'Summary of Temporaries '!S76-'Summary of Temporaries '!BC76+'Summary of Temporaries '!P76-'Summary of Temporaries '!BB76++'Summary of Temporaries '!Q76-'Summary of Temporaries '!AW76</f>
        <v>0.32443000000000005</v>
      </c>
      <c r="U89" s="456"/>
      <c r="V89" s="455"/>
      <c r="W89" s="325">
        <f>'[9]Rates in summary'!D76+'Summary of Temporaries '!R76-'Summary of Temporaries '!AZ76</f>
        <v>0.32517000000000001</v>
      </c>
      <c r="X89" s="449"/>
      <c r="Y89" s="451"/>
      <c r="Z89" s="325">
        <f>'[9]Rates in summary'!D76+[9]Permanents!F76</f>
        <v>0.32511000000000001</v>
      </c>
      <c r="AA89" s="449"/>
      <c r="AB89" s="451"/>
      <c r="AC89" s="454">
        <f>'[9]Rates in summary'!D76+'Summary of Temporaries '!U76-'Summary of Temporaries '!BE76</f>
        <v>0.32511000000000001</v>
      </c>
      <c r="AD89" s="453"/>
      <c r="AE89" s="452"/>
      <c r="AF89" s="325">
        <f>'[9]Rates in summary'!D76+'Summary of Temporaries '!V76-'Summary of Temporaries '!BF76</f>
        <v>0.32511000000000001</v>
      </c>
      <c r="AG89" s="449"/>
      <c r="AH89" s="451"/>
      <c r="AI89" s="325">
        <f>'[9]Rates in summary'!G76+'Summary of Temporaries '!J76</f>
        <v>0.32511000000000001</v>
      </c>
      <c r="AJ89" s="449"/>
      <c r="AK89" s="450"/>
      <c r="AL89" s="325">
        <f>+'[9]Rates in summary'!Q76</f>
        <v>0.32449000000000006</v>
      </c>
      <c r="AM89" s="449"/>
      <c r="AN89" s="448"/>
      <c r="AO89" s="380"/>
      <c r="AP89" s="383"/>
      <c r="AQ89" s="381">
        <f t="shared" si="39"/>
        <v>0</v>
      </c>
      <c r="AR89" s="381">
        <f t="shared" si="40"/>
        <v>0</v>
      </c>
      <c r="AS89" s="381">
        <f t="shared" si="41"/>
        <v>-6.1999999999995392E-4</v>
      </c>
      <c r="AT89" s="381">
        <f t="shared" si="42"/>
        <v>-6.1999999999995392E-4</v>
      </c>
      <c r="AU89" s="243">
        <f>+'[9]Rates in summary'!D83+'Summary of Temporaries '!K77+'Summary of Temporaries '!M77+'Summary of Temporaries '!L77-'Summary of Temporaries '!AZ77</f>
        <v>-7.3999999999999999E-4</v>
      </c>
      <c r="AV89" s="395"/>
      <c r="AW89" s="447"/>
      <c r="AX89" s="325"/>
      <c r="AY89" s="325"/>
      <c r="AZ89" s="325"/>
      <c r="BA89" s="325"/>
    </row>
    <row r="90" spans="1:53" x14ac:dyDescent="0.25">
      <c r="A90" s="234">
        <f t="shared" si="38"/>
        <v>84</v>
      </c>
      <c r="B90" s="234"/>
      <c r="C90" s="344" t="s">
        <v>71</v>
      </c>
      <c r="D90" s="323">
        <f>+'[9]Washington volumes'!J77</f>
        <v>1831129.0067156893</v>
      </c>
      <c r="E90" s="323">
        <v>600000</v>
      </c>
      <c r="F90" s="458"/>
      <c r="G90" s="449"/>
      <c r="H90" s="458"/>
      <c r="I90" s="449"/>
      <c r="J90" s="458"/>
      <c r="K90" s="449"/>
      <c r="L90" s="325">
        <f>+'[9]Rates in summary'!D77</f>
        <v>0.29735999999999996</v>
      </c>
      <c r="M90" s="449"/>
      <c r="N90" s="325">
        <f>'[9]Rates in summary'!D77+'Summary of Temporaries '!K77+'Summary of Temporaries '!L77+'Summary of Temporaries '!M77-'Summary of Temporaries '!AX77</f>
        <v>0.29735999999999996</v>
      </c>
      <c r="O90" s="449"/>
      <c r="P90" s="451"/>
      <c r="Q90" s="325">
        <f>'[9]Rates in summary'!D77+'Summary of Temporaries '!N77+'Summary of Temporaries '!O77-'Summary of Temporaries '!AY77</f>
        <v>0.29735999999999996</v>
      </c>
      <c r="R90" s="449"/>
      <c r="S90" s="451"/>
      <c r="T90" s="457">
        <f>'[9]Rates in detail'!D77+'Summary of Temporaries '!T77-'Summary of Temporaries '!BD77+'Summary of Temporaries '!S77-'Summary of Temporaries '!BC77+'Summary of Temporaries '!P77-'Summary of Temporaries '!BB77++'Summary of Temporaries '!Q77-'Summary of Temporaries '!AW77</f>
        <v>0.29665999999999998</v>
      </c>
      <c r="U90" s="456"/>
      <c r="V90" s="455"/>
      <c r="W90" s="325">
        <f>'[9]Rates in summary'!D77+'Summary of Temporaries '!R77-'Summary of Temporaries '!AZ77</f>
        <v>0.29738999999999993</v>
      </c>
      <c r="X90" s="449"/>
      <c r="Y90" s="451"/>
      <c r="Z90" s="325">
        <f>'[9]Rates in summary'!D77+[9]Permanents!F77</f>
        <v>0.29735999999999996</v>
      </c>
      <c r="AA90" s="449"/>
      <c r="AB90" s="451"/>
      <c r="AC90" s="454">
        <f>'[9]Rates in summary'!D77+'Summary of Temporaries '!U77-'Summary of Temporaries '!BE77</f>
        <v>0.29735999999999996</v>
      </c>
      <c r="AD90" s="453"/>
      <c r="AE90" s="452"/>
      <c r="AF90" s="325">
        <f>'[9]Rates in summary'!D77+'Summary of Temporaries '!V77-'Summary of Temporaries '!BF77</f>
        <v>0.29735999999999996</v>
      </c>
      <c r="AG90" s="449"/>
      <c r="AH90" s="451"/>
      <c r="AI90" s="325">
        <f>'[9]Rates in summary'!G77+'Summary of Temporaries '!J77</f>
        <v>0.29735999999999996</v>
      </c>
      <c r="AJ90" s="449"/>
      <c r="AK90" s="450"/>
      <c r="AL90" s="325">
        <f>+'[9]Rates in summary'!Q77</f>
        <v>0.29669000000000001</v>
      </c>
      <c r="AM90" s="449"/>
      <c r="AN90" s="448"/>
      <c r="AO90" s="380"/>
      <c r="AP90" s="383"/>
      <c r="AQ90" s="381">
        <f t="shared" si="39"/>
        <v>0</v>
      </c>
      <c r="AR90" s="381">
        <f t="shared" si="40"/>
        <v>0</v>
      </c>
      <c r="AS90" s="381">
        <f t="shared" si="41"/>
        <v>-6.6999999999994841E-4</v>
      </c>
      <c r="AT90" s="381">
        <f t="shared" si="42"/>
        <v>-6.6999999999994841E-4</v>
      </c>
      <c r="AU90" s="243" t="e">
        <f>+'[9]Rates in summary'!D84+'Summary of Temporaries '!K78+'Summary of Temporaries '!M78+'Summary of Temporaries '!L78-'Summary of Temporaries '!AZ78</f>
        <v>#VALUE!</v>
      </c>
      <c r="AV90" s="243"/>
      <c r="AW90" s="447"/>
      <c r="AX90" s="325"/>
      <c r="AY90" s="325"/>
      <c r="AZ90" s="325"/>
      <c r="BA90" s="325"/>
    </row>
    <row r="91" spans="1:53" x14ac:dyDescent="0.25">
      <c r="A91" s="234">
        <f t="shared" si="38"/>
        <v>85</v>
      </c>
      <c r="B91" s="234"/>
      <c r="C91" s="344" t="s">
        <v>72</v>
      </c>
      <c r="D91" s="323">
        <f>+'[9]Washington volumes'!J78</f>
        <v>0</v>
      </c>
      <c r="E91" s="459" t="s">
        <v>243</v>
      </c>
      <c r="F91" s="458"/>
      <c r="G91" s="449"/>
      <c r="H91" s="458"/>
      <c r="I91" s="449"/>
      <c r="J91" s="458"/>
      <c r="K91" s="449"/>
      <c r="L91" s="325">
        <f>+'[9]Rates in summary'!D78</f>
        <v>0.26266000000000006</v>
      </c>
      <c r="M91" s="449"/>
      <c r="N91" s="325">
        <f>'[9]Rates in summary'!D78+'Summary of Temporaries '!K78+'Summary of Temporaries '!L78+'Summary of Temporaries '!M78-'Summary of Temporaries '!AX78</f>
        <v>0.26266000000000006</v>
      </c>
      <c r="O91" s="449"/>
      <c r="P91" s="451"/>
      <c r="Q91" s="325">
        <f>'[9]Rates in summary'!D78+'Summary of Temporaries '!N78+'Summary of Temporaries '!O78-'Summary of Temporaries '!AY78</f>
        <v>0.26266000000000006</v>
      </c>
      <c r="R91" s="449"/>
      <c r="S91" s="451"/>
      <c r="T91" s="457">
        <f>'[9]Rates in detail'!D78+'Summary of Temporaries '!T78-'Summary of Temporaries '!BD78+'Summary of Temporaries '!S78-'Summary of Temporaries '!BC78+'Summary of Temporaries '!P78-'Summary of Temporaries '!BB78++'Summary of Temporaries '!Q78-'Summary of Temporaries '!AW78</f>
        <v>0.2619200000000001</v>
      </c>
      <c r="U91" s="456"/>
      <c r="V91" s="455"/>
      <c r="W91" s="325">
        <f>'[9]Rates in summary'!D78+'Summary of Temporaries '!R78-'Summary of Temporaries '!AZ78</f>
        <v>0.26267000000000007</v>
      </c>
      <c r="X91" s="449"/>
      <c r="Y91" s="451"/>
      <c r="Z91" s="325">
        <f>'[9]Rates in summary'!D78+[9]Permanents!F78</f>
        <v>0.26266000000000006</v>
      </c>
      <c r="AA91" s="449"/>
      <c r="AB91" s="451"/>
      <c r="AC91" s="454">
        <f>'[9]Rates in summary'!D78+'Summary of Temporaries '!U78-'Summary of Temporaries '!BE78</f>
        <v>0.26266000000000006</v>
      </c>
      <c r="AD91" s="453"/>
      <c r="AE91" s="452"/>
      <c r="AF91" s="325">
        <f>'[9]Rates in summary'!D78+'Summary of Temporaries '!V78-'Summary of Temporaries '!BF78</f>
        <v>0.26266</v>
      </c>
      <c r="AG91" s="449"/>
      <c r="AH91" s="451"/>
      <c r="AI91" s="325">
        <f>'[9]Rates in summary'!G78+'Summary of Temporaries '!J78</f>
        <v>0.26266000000000006</v>
      </c>
      <c r="AJ91" s="449"/>
      <c r="AK91" s="450"/>
      <c r="AL91" s="325">
        <f>+'[9]Rates in summary'!Q78</f>
        <v>0.26193000000000005</v>
      </c>
      <c r="AM91" s="449"/>
      <c r="AN91" s="448"/>
      <c r="AO91" s="380"/>
      <c r="AP91" s="383"/>
      <c r="AQ91" s="381">
        <f t="shared" si="39"/>
        <v>0</v>
      </c>
      <c r="AR91" s="381">
        <f t="shared" si="40"/>
        <v>0</v>
      </c>
      <c r="AS91" s="381">
        <f t="shared" si="41"/>
        <v>-7.3000000000000842E-4</v>
      </c>
      <c r="AT91" s="381">
        <f t="shared" si="42"/>
        <v>-7.3000000000000842E-4</v>
      </c>
      <c r="AU91" s="243">
        <f>+'[9]Rates in summary'!D85+'Summary of Temporaries '!K79+'Summary of Temporaries '!M79+'Summary of Temporaries '!L79-'Summary of Temporaries '!AZ79</f>
        <v>0</v>
      </c>
      <c r="AV91" s="243"/>
      <c r="AW91" s="447"/>
      <c r="AX91" s="325"/>
      <c r="AY91" s="325"/>
      <c r="AZ91" s="325"/>
      <c r="BA91" s="325"/>
    </row>
    <row r="92" spans="1:53" x14ac:dyDescent="0.25">
      <c r="A92" s="234">
        <f t="shared" si="38"/>
        <v>86</v>
      </c>
      <c r="B92" s="338"/>
      <c r="C92" s="446" t="s">
        <v>27</v>
      </c>
      <c r="D92" s="445"/>
      <c r="E92" s="444"/>
      <c r="F92" s="443"/>
      <c r="G92" s="433"/>
      <c r="H92" s="443"/>
      <c r="I92" s="433"/>
      <c r="J92" s="443"/>
      <c r="K92" s="433"/>
      <c r="L92" s="442"/>
      <c r="M92" s="433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27094.530895181615</v>
      </c>
      <c r="N92" s="435"/>
      <c r="O92" s="433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27094.530895181615</v>
      </c>
      <c r="P92" s="438">
        <f>ROUND((O92-M92)/M92,3)</f>
        <v>0</v>
      </c>
      <c r="Q92" s="435"/>
      <c r="R92" s="433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27094.530895181615</v>
      </c>
      <c r="S92" s="438">
        <f>ROUND((R92-M92)/M92,3)</f>
        <v>0</v>
      </c>
      <c r="T92" s="441"/>
      <c r="U92" s="440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27038.540895181617</v>
      </c>
      <c r="V92" s="439">
        <f>ROUND((U92-M92)/M92,3)</f>
        <v>-2E-3</v>
      </c>
      <c r="W92" s="435"/>
      <c r="X92" s="433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27100.780895181615</v>
      </c>
      <c r="Y92" s="438">
        <f>(X92-M92)/M92</f>
        <v>2.3067385902265152E-4</v>
      </c>
      <c r="Z92" s="435"/>
      <c r="AA92" s="433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27094.530895181615</v>
      </c>
      <c r="AB92" s="417">
        <f>(AA92-M92)/M92</f>
        <v>0</v>
      </c>
      <c r="AC92" s="437"/>
      <c r="AD92" s="436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27094.530895181615</v>
      </c>
      <c r="AE92" s="418">
        <f>(AD92-M92)/M92</f>
        <v>0</v>
      </c>
      <c r="AF92" s="435"/>
      <c r="AG92" s="433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27094.530895181615</v>
      </c>
      <c r="AH92" s="417">
        <f>(AG92-M92)/M92</f>
        <v>0</v>
      </c>
      <c r="AI92" s="435"/>
      <c r="AJ92" s="433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27094.530895181615</v>
      </c>
      <c r="AK92" s="434">
        <f>ROUND((AJ92-M92)/M92,3)</f>
        <v>0</v>
      </c>
      <c r="AL92" s="325"/>
      <c r="AM92" s="433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27044.790895181617</v>
      </c>
      <c r="AN92" s="432">
        <f>ROUND((AM92-M92)/M92,3)</f>
        <v>-2E-3</v>
      </c>
      <c r="AO92" s="380"/>
      <c r="AP92" s="383"/>
      <c r="AQ92" s="381">
        <f t="shared" si="39"/>
        <v>0</v>
      </c>
      <c r="AR92" s="381">
        <f t="shared" si="40"/>
        <v>0</v>
      </c>
      <c r="AS92" s="381">
        <f t="shared" si="41"/>
        <v>0</v>
      </c>
      <c r="AT92" s="381">
        <f t="shared" si="42"/>
        <v>0</v>
      </c>
      <c r="AU92" s="431"/>
      <c r="AV92" s="430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-20.099104818384603</v>
      </c>
      <c r="AW92" s="429">
        <f>ROUND((AV92-M92)/M92,3)</f>
        <v>-1.0009999999999999</v>
      </c>
      <c r="AX92" s="325"/>
      <c r="AY92" s="325"/>
      <c r="AZ92" s="325"/>
      <c r="BA92" s="325"/>
    </row>
    <row r="93" spans="1:53" x14ac:dyDescent="0.25">
      <c r="A93" s="234">
        <f t="shared" si="38"/>
        <v>87</v>
      </c>
      <c r="B93" s="338" t="s">
        <v>80</v>
      </c>
      <c r="C93" s="338"/>
      <c r="D93" s="330">
        <f>+'[9]Washington volumes'!J79</f>
        <v>0</v>
      </c>
      <c r="E93" s="413" t="s">
        <v>179</v>
      </c>
      <c r="F93" s="428">
        <f>+'[9]Washington volumes'!M79</f>
        <v>0</v>
      </c>
      <c r="G93" s="425">
        <v>38000</v>
      </c>
      <c r="H93" s="428"/>
      <c r="I93" s="425">
        <f>G93-H93</f>
        <v>38000</v>
      </c>
      <c r="J93" s="428">
        <f>'[32]Aver Bill by RS'!$J93</f>
        <v>0</v>
      </c>
      <c r="K93" s="403"/>
      <c r="L93" s="404">
        <f>+'[9]Rates in summary'!D79</f>
        <v>0.24684999999999996</v>
      </c>
      <c r="M93" s="403">
        <f>ROUND(+$I93+(L93*$F93),2)</f>
        <v>38000</v>
      </c>
      <c r="N93" s="404">
        <f>'[9]Rates in summary'!D79+'Summary of Temporaries '!K79+'Summary of Temporaries '!L79+'Summary of Temporaries '!M79-'Summary of Temporaries '!AX79</f>
        <v>0.24684999999999996</v>
      </c>
      <c r="O93" s="403">
        <f>ROUND(+$I93+(N93*$F93),2)</f>
        <v>38000</v>
      </c>
      <c r="P93" s="427">
        <f>ROUND((O93-M93)/M93,3)</f>
        <v>0</v>
      </c>
      <c r="Q93" s="404">
        <f>'[9]Rates in summary'!D79+'Summary of Temporaries '!N79+'Summary of Temporaries '!O79-'Summary of Temporaries '!AY79</f>
        <v>0.24684999999999996</v>
      </c>
      <c r="R93" s="403">
        <f>ROUND(+$I93+(Q93*$F93),2)</f>
        <v>38000</v>
      </c>
      <c r="S93" s="427">
        <f>ROUND((R93-M93)/M93,3)</f>
        <v>0</v>
      </c>
      <c r="T93" s="424">
        <f>'[9]Rates in detail'!D79+'Summary of Temporaries '!T79-'Summary of Temporaries '!BD79+'Summary of Temporaries '!S79-'Summary of Temporaries '!BC79+'Summary of Temporaries '!P79-'Summary of Temporaries '!BB79++'Summary of Temporaries '!Q79-'Summary of Temporaries '!AW79</f>
        <v>0.24617999999999995</v>
      </c>
      <c r="U93" s="423">
        <f>ROUND(+$I93+(T93*$F93),2)</f>
        <v>38000</v>
      </c>
      <c r="V93" s="422">
        <f>ROUND((U93-M93)/M93,3)</f>
        <v>0</v>
      </c>
      <c r="W93" s="404">
        <f>'[9]Rates in summary'!D79+'Summary of Temporaries '!R79-'Summary of Temporaries '!AZ79</f>
        <v>0.24684999999999996</v>
      </c>
      <c r="X93" s="403">
        <f>ROUND(+$I93+(W93*$F93),2)</f>
        <v>38000</v>
      </c>
      <c r="Y93" s="427">
        <f>(X93-M93)/M93</f>
        <v>0</v>
      </c>
      <c r="Z93" s="404">
        <f>'[9]Rates in summary'!D79+[9]Permanents!F79</f>
        <v>0.24684999999999996</v>
      </c>
      <c r="AA93" s="403">
        <f>I93+(F93*Z93)</f>
        <v>38000</v>
      </c>
      <c r="AB93" s="417">
        <f>(AA93-M93)/M93</f>
        <v>0</v>
      </c>
      <c r="AC93" s="420">
        <f>'[9]Rates in summary'!D79+'Summary of Temporaries '!U79-'Summary of Temporaries '!BE79</f>
        <v>0.24684999999999996</v>
      </c>
      <c r="AD93" s="419">
        <f>ROUND(+$I93+(AC93*$F93),2)</f>
        <v>38000</v>
      </c>
      <c r="AE93" s="418">
        <f>(AD93-M93)/M93</f>
        <v>0</v>
      </c>
      <c r="AF93" s="404">
        <f>'[9]Rates in summary'!D79+'Summary of Temporaries '!V79-'Summary of Temporaries '!BF79</f>
        <v>0.24684999999999996</v>
      </c>
      <c r="AG93" s="403">
        <f>ROUND(+$I93+(AF93*$F93),2)</f>
        <v>38000</v>
      </c>
      <c r="AH93" s="417">
        <f>(AG93-M93)/M93</f>
        <v>0</v>
      </c>
      <c r="AI93" s="404">
        <f>'[9]Rates in summary'!G79+'Summary of Temporaries '!J79</f>
        <v>0.24684999999999996</v>
      </c>
      <c r="AJ93" s="403">
        <f>ROUND(+$I93+(AI93*$F93),2)</f>
        <v>38000</v>
      </c>
      <c r="AK93" s="426">
        <f>ROUND((AJ93-M93)/M93,3)</f>
        <v>0</v>
      </c>
      <c r="AL93" s="404">
        <f>+'[9]Rates in summary'!Q79</f>
        <v>0.24617999999999998</v>
      </c>
      <c r="AM93" s="403">
        <f>ROUND(+$I93+(AL93*$F93),2)</f>
        <v>38000</v>
      </c>
      <c r="AN93" s="415" t="s">
        <v>179</v>
      </c>
      <c r="AO93" s="381"/>
      <c r="AP93" s="383"/>
      <c r="AQ93" s="381">
        <f t="shared" si="39"/>
        <v>0</v>
      </c>
      <c r="AR93" s="381">
        <f t="shared" si="40"/>
        <v>0</v>
      </c>
      <c r="AS93" s="381">
        <f t="shared" si="41"/>
        <v>-6.6999999999997617E-4</v>
      </c>
      <c r="AT93" s="381">
        <f t="shared" si="42"/>
        <v>-6.6999999999997617E-4</v>
      </c>
      <c r="AU93" s="257">
        <f>+'[9]Rates in summary'!D79+'Summary of Temporaries '!K79+'Summary of Temporaries '!M79+'Summary of Temporaries '!L79-'Summary of Temporaries '!AZ79</f>
        <v>0.24684999999999996</v>
      </c>
      <c r="AV93" s="399">
        <f>ROUND(+$I93+(AU93*$F93),2)</f>
        <v>38000</v>
      </c>
      <c r="AW93" s="414" t="s">
        <v>179</v>
      </c>
      <c r="AX93" s="325"/>
      <c r="AY93" s="325"/>
      <c r="AZ93" s="325"/>
      <c r="BA93" s="325"/>
    </row>
    <row r="94" spans="1:53" x14ac:dyDescent="0.25">
      <c r="A94" s="234">
        <f t="shared" si="38"/>
        <v>88</v>
      </c>
      <c r="B94" s="337" t="s">
        <v>81</v>
      </c>
      <c r="C94" s="337"/>
      <c r="D94" s="333">
        <f>+'[9]Washington volumes'!J80</f>
        <v>0</v>
      </c>
      <c r="E94" s="413" t="s">
        <v>179</v>
      </c>
      <c r="F94" s="412">
        <f>+'[9]Washington volumes'!M80</f>
        <v>0</v>
      </c>
      <c r="G94" s="425">
        <v>38000</v>
      </c>
      <c r="H94" s="412"/>
      <c r="I94" s="425">
        <f>G94-H94</f>
        <v>38000</v>
      </c>
      <c r="J94" s="412">
        <f>'[32]Aver Bill by RS'!$J94</f>
        <v>0</v>
      </c>
      <c r="K94" s="403"/>
      <c r="L94" s="250">
        <f>+'[9]Rates in summary'!D80</f>
        <v>0.24684999999999996</v>
      </c>
      <c r="M94" s="403">
        <f>ROUND(+$I94+(L94*$F94),2)</f>
        <v>38000</v>
      </c>
      <c r="N94" s="404">
        <f>'[9]Rates in summary'!D80+'Summary of Temporaries '!K80+'Summary of Temporaries '!L80+'Summary of Temporaries '!M80-'Summary of Temporaries '!AX80</f>
        <v>0.24684999999999996</v>
      </c>
      <c r="O94" s="403">
        <f>ROUND(+$I94+(N94*$F94),2)</f>
        <v>38000</v>
      </c>
      <c r="P94" s="421">
        <f>ROUND((O94-M94)/M94,3)</f>
        <v>0</v>
      </c>
      <c r="Q94" s="250">
        <f>'[9]Rates in summary'!D80+'Summary of Temporaries '!N80+'Summary of Temporaries '!O80-'Summary of Temporaries '!AY80</f>
        <v>0.24684999999999996</v>
      </c>
      <c r="R94" s="403">
        <f>ROUND(+$I94+(Q94*$F94),2)</f>
        <v>38000</v>
      </c>
      <c r="S94" s="421">
        <f>ROUND((R94-M94)/M94,3)</f>
        <v>0</v>
      </c>
      <c r="T94" s="424">
        <f>'[9]Rates in detail'!D80+'Summary of Temporaries '!T80-'Summary of Temporaries '!BD80+'Summary of Temporaries '!S80-'Summary of Temporaries '!BC80+'Summary of Temporaries '!P80-'Summary of Temporaries '!BB80++'Summary of Temporaries '!Q80-'Summary of Temporaries '!AW80</f>
        <v>0.24617999999999995</v>
      </c>
      <c r="U94" s="423">
        <f>ROUND(+$I94+(T94*$F94),2)</f>
        <v>38000</v>
      </c>
      <c r="V94" s="422">
        <f>ROUND((U94-M94)/M94,3)</f>
        <v>0</v>
      </c>
      <c r="W94" s="404">
        <f>'[9]Rates in summary'!D80+'Summary of Temporaries '!R80-'Summary of Temporaries '!AZ80</f>
        <v>0.24684999999999996</v>
      </c>
      <c r="X94" s="403">
        <f>ROUND(+$I94+(W94*$F94),2)</f>
        <v>38000</v>
      </c>
      <c r="Y94" s="421">
        <f>(X94-M94)/M94</f>
        <v>0</v>
      </c>
      <c r="Z94" s="404">
        <f>'[9]Rates in summary'!D80+[9]Permanents!F80</f>
        <v>0.24684999999999996</v>
      </c>
      <c r="AA94" s="403">
        <f>I94+(F94*Z94)</f>
        <v>38000</v>
      </c>
      <c r="AB94" s="417">
        <f>(AA94-M94)/M94</f>
        <v>0</v>
      </c>
      <c r="AC94" s="420">
        <f>'[9]Rates in summary'!D80+'Summary of Temporaries '!U80-'Summary of Temporaries '!BE80</f>
        <v>0.24684999999999996</v>
      </c>
      <c r="AD94" s="419">
        <f>ROUND(+$I94+(AC94*$F94),2)</f>
        <v>38000</v>
      </c>
      <c r="AE94" s="418">
        <f>(AD94-M94)/M94</f>
        <v>0</v>
      </c>
      <c r="AF94" s="404">
        <f>'[9]Rates in summary'!D80+'Summary of Temporaries '!V80-'Summary of Temporaries '!BF80</f>
        <v>0.24684999999999996</v>
      </c>
      <c r="AG94" s="403">
        <f>ROUND(+$I94+(AF94*$F94),2)</f>
        <v>38000</v>
      </c>
      <c r="AH94" s="417">
        <f>(AG94-M94)/M94</f>
        <v>0</v>
      </c>
      <c r="AI94" s="404">
        <f>'[9]Rates in summary'!G80+'Summary of Temporaries '!J80</f>
        <v>0.24684999999999996</v>
      </c>
      <c r="AJ94" s="403">
        <f>ROUND(+$I94+(AI94*$F94),2)</f>
        <v>38000</v>
      </c>
      <c r="AK94" s="416">
        <f>ROUND((AJ94-M94)/M94,3)</f>
        <v>0</v>
      </c>
      <c r="AL94" s="404">
        <f>+'[9]Rates in summary'!Q80</f>
        <v>0.24617999999999998</v>
      </c>
      <c r="AM94" s="403">
        <f>ROUND(+$I94+(AL94*$F94),2)</f>
        <v>38000</v>
      </c>
      <c r="AN94" s="415" t="s">
        <v>179</v>
      </c>
      <c r="AO94" s="381"/>
      <c r="AP94" s="383"/>
      <c r="AQ94" s="381">
        <f t="shared" si="39"/>
        <v>0</v>
      </c>
      <c r="AR94" s="381">
        <f t="shared" si="40"/>
        <v>0</v>
      </c>
      <c r="AS94" s="381">
        <f t="shared" si="41"/>
        <v>-6.6999999999997617E-4</v>
      </c>
      <c r="AT94" s="381">
        <f t="shared" si="42"/>
        <v>-6.6999999999997617E-4</v>
      </c>
      <c r="AU94" s="257">
        <f>+'[9]Rates in summary'!D80+'Summary of Temporaries '!K80+'Summary of Temporaries '!M80+'Summary of Temporaries '!L80-'Summary of Temporaries '!AZ80</f>
        <v>0.24684999999999996</v>
      </c>
      <c r="AV94" s="399">
        <f>ROUND(+$I94+(AU94*$F94),2)</f>
        <v>38000</v>
      </c>
      <c r="AW94" s="414" t="s">
        <v>179</v>
      </c>
      <c r="AX94" s="325"/>
      <c r="AY94" s="325"/>
      <c r="AZ94" s="325"/>
    </row>
    <row r="95" spans="1:53" ht="15.75" thickBot="1" x14ac:dyDescent="0.3">
      <c r="A95" s="234">
        <f t="shared" si="38"/>
        <v>89</v>
      </c>
      <c r="B95" s="337" t="s">
        <v>82</v>
      </c>
      <c r="C95" s="337"/>
      <c r="D95" s="333"/>
      <c r="E95" s="413"/>
      <c r="F95" s="412"/>
      <c r="G95" s="399"/>
      <c r="H95" s="412"/>
      <c r="I95" s="399"/>
      <c r="J95" s="412"/>
      <c r="K95" s="412"/>
      <c r="L95" s="249"/>
      <c r="M95" s="399"/>
      <c r="N95" s="399"/>
      <c r="O95" s="399"/>
      <c r="P95" s="401"/>
      <c r="Q95" s="399"/>
      <c r="R95" s="399"/>
      <c r="S95" s="401"/>
      <c r="T95" s="411"/>
      <c r="U95" s="410"/>
      <c r="V95" s="409"/>
      <c r="W95" s="408"/>
      <c r="X95" s="399"/>
      <c r="Y95" s="401"/>
      <c r="Z95" s="408"/>
      <c r="AA95" s="399"/>
      <c r="AB95" s="401"/>
      <c r="AC95" s="407"/>
      <c r="AD95" s="406"/>
      <c r="AE95" s="405"/>
      <c r="AF95" s="404">
        <f>'[9]Rates in summary'!D81+'Summary of Temporaries '!V81-'Summary of Temporaries '!BF81</f>
        <v>-0.49725999999999998</v>
      </c>
      <c r="AG95" s="403">
        <f>ROUND(+$I95+(AF95*$F95),2)</f>
        <v>0</v>
      </c>
      <c r="AH95" s="402"/>
      <c r="AI95" s="399"/>
      <c r="AJ95" s="399"/>
      <c r="AK95" s="401"/>
      <c r="AL95" s="249"/>
      <c r="AM95" s="399"/>
      <c r="AN95" s="400"/>
      <c r="AO95" s="381"/>
      <c r="AP95" s="383"/>
      <c r="AQ95" s="381"/>
      <c r="AR95" s="381"/>
      <c r="AS95" s="381"/>
      <c r="AT95" s="381"/>
      <c r="AU95" s="249"/>
      <c r="AV95" s="399"/>
      <c r="AW95" s="398"/>
    </row>
    <row r="96" spans="1:53" x14ac:dyDescent="0.25">
      <c r="A96" s="234">
        <f t="shared" si="38"/>
        <v>90</v>
      </c>
      <c r="B96" s="645" t="s">
        <v>246</v>
      </c>
      <c r="C96" s="644"/>
      <c r="D96" s="644"/>
      <c r="E96" s="644"/>
      <c r="F96" s="644"/>
      <c r="G96" s="644"/>
      <c r="H96" s="644"/>
      <c r="I96" s="644"/>
      <c r="J96" s="644"/>
      <c r="K96" s="644"/>
      <c r="L96" s="644"/>
      <c r="M96" s="644"/>
      <c r="N96" s="644"/>
      <c r="O96" s="644"/>
      <c r="P96" s="644"/>
      <c r="AO96" s="381"/>
      <c r="AP96" s="383"/>
      <c r="AQ96" s="381"/>
      <c r="AR96" s="381"/>
      <c r="AS96" s="381"/>
      <c r="AT96" s="381"/>
    </row>
    <row r="97" spans="1:49" x14ac:dyDescent="0.25">
      <c r="A97" s="234">
        <f t="shared" si="38"/>
        <v>91</v>
      </c>
      <c r="B97" s="644"/>
      <c r="C97" s="644"/>
      <c r="D97" s="644"/>
      <c r="E97" s="644"/>
      <c r="F97" s="644"/>
      <c r="G97" s="644"/>
      <c r="H97" s="644"/>
      <c r="I97" s="644"/>
      <c r="J97" s="644"/>
      <c r="K97" s="644"/>
      <c r="L97" s="644"/>
      <c r="M97" s="644"/>
      <c r="N97" s="644"/>
      <c r="O97" s="644"/>
      <c r="P97" s="644"/>
      <c r="AO97" s="381"/>
      <c r="AP97" s="383"/>
      <c r="AQ97" s="381"/>
      <c r="AR97" s="381"/>
      <c r="AS97" s="381"/>
      <c r="AT97" s="381"/>
    </row>
    <row r="98" spans="1:49" ht="17.100000000000001" customHeight="1" x14ac:dyDescent="0.25">
      <c r="A98" s="234">
        <f t="shared" si="38"/>
        <v>92</v>
      </c>
      <c r="B98" s="646" t="s">
        <v>247</v>
      </c>
      <c r="C98" s="646"/>
      <c r="D98" s="646"/>
      <c r="E98" s="646"/>
      <c r="F98" s="646"/>
      <c r="G98" s="646"/>
      <c r="H98" s="646"/>
      <c r="I98" s="646"/>
      <c r="J98" s="646"/>
      <c r="K98" s="646"/>
      <c r="L98" s="646"/>
      <c r="M98" s="646"/>
      <c r="N98" s="646"/>
      <c r="O98" s="646"/>
      <c r="P98" s="646"/>
      <c r="AO98" s="381"/>
      <c r="AP98" s="383"/>
      <c r="AQ98" s="381"/>
      <c r="AR98" s="381"/>
      <c r="AS98" s="381"/>
      <c r="AT98" s="381"/>
    </row>
    <row r="99" spans="1:49" x14ac:dyDescent="0.25">
      <c r="A99" s="234">
        <f t="shared" si="38"/>
        <v>93</v>
      </c>
      <c r="B99" s="643" t="s">
        <v>248</v>
      </c>
      <c r="C99" s="644"/>
      <c r="D99" s="644"/>
      <c r="E99" s="644"/>
      <c r="F99" s="644"/>
      <c r="G99" s="644"/>
      <c r="H99" s="644"/>
      <c r="I99" s="644"/>
      <c r="J99" s="644"/>
      <c r="K99" s="644"/>
      <c r="L99" s="644"/>
      <c r="M99" s="644"/>
      <c r="N99" s="644"/>
      <c r="O99" s="644"/>
      <c r="P99" s="644"/>
      <c r="Q99" s="395"/>
      <c r="R99" s="395"/>
      <c r="S99" s="395"/>
      <c r="T99" s="397"/>
      <c r="U99" s="397"/>
      <c r="V99" s="397"/>
      <c r="W99" s="395"/>
      <c r="X99" s="395"/>
      <c r="Y99" s="395"/>
      <c r="Z99" s="395"/>
      <c r="AA99" s="395"/>
      <c r="AB99" s="395"/>
      <c r="AC99" s="396"/>
      <c r="AD99" s="396"/>
      <c r="AE99" s="396"/>
      <c r="AF99" s="395"/>
      <c r="AG99" s="395"/>
      <c r="AH99" s="395"/>
      <c r="AI99" s="395"/>
      <c r="AJ99" s="395"/>
      <c r="AK99" s="395"/>
      <c r="AM99" s="395"/>
      <c r="AN99" s="394"/>
      <c r="AO99" s="381"/>
      <c r="AP99" s="383"/>
      <c r="AQ99" s="381"/>
      <c r="AR99" s="381"/>
      <c r="AS99" s="381"/>
      <c r="AT99" s="381"/>
      <c r="AV99" s="395"/>
      <c r="AW99" s="394"/>
    </row>
    <row r="100" spans="1:49" ht="4.5" customHeight="1" x14ac:dyDescent="0.25">
      <c r="A100" s="234">
        <f t="shared" si="38"/>
        <v>94</v>
      </c>
      <c r="B100" s="644"/>
      <c r="C100" s="644"/>
      <c r="D100" s="644"/>
      <c r="E100" s="644"/>
      <c r="F100" s="644"/>
      <c r="G100" s="644"/>
      <c r="H100" s="644"/>
      <c r="I100" s="644"/>
      <c r="J100" s="644"/>
      <c r="K100" s="644"/>
      <c r="L100" s="644"/>
      <c r="M100" s="644"/>
      <c r="N100" s="644"/>
      <c r="O100" s="644"/>
      <c r="P100" s="644"/>
      <c r="AO100" s="381"/>
      <c r="AP100" s="383"/>
      <c r="AQ100" s="381"/>
      <c r="AR100" s="381"/>
      <c r="AS100" s="381"/>
      <c r="AT100" s="381"/>
    </row>
    <row r="101" spans="1:49" ht="19.5" hidden="1" customHeight="1" thickBot="1" x14ac:dyDescent="0.3">
      <c r="A101" s="234">
        <f t="shared" si="38"/>
        <v>95</v>
      </c>
      <c r="B101" s="644"/>
      <c r="C101" s="644"/>
      <c r="D101" s="644"/>
      <c r="E101" s="644"/>
      <c r="F101" s="644"/>
      <c r="G101" s="644"/>
      <c r="H101" s="644"/>
      <c r="I101" s="644"/>
      <c r="J101" s="644"/>
      <c r="K101" s="644"/>
      <c r="L101" s="644"/>
      <c r="M101" s="644"/>
      <c r="N101" s="644"/>
      <c r="O101" s="644"/>
      <c r="P101" s="644"/>
      <c r="AO101" s="385"/>
      <c r="AP101" s="383"/>
      <c r="AQ101" s="241"/>
      <c r="AR101" s="241"/>
      <c r="AS101" s="241"/>
      <c r="AT101" s="241"/>
      <c r="AU101" s="229" t="s">
        <v>249</v>
      </c>
      <c r="AV101" s="384"/>
      <c r="AW101" s="384"/>
    </row>
    <row r="102" spans="1:49" ht="15.75" thickBot="1" x14ac:dyDescent="0.3">
      <c r="A102" s="234">
        <f t="shared" si="38"/>
        <v>96</v>
      </c>
      <c r="B102" s="321" t="s">
        <v>164</v>
      </c>
      <c r="P102" s="391">
        <f>SUM(P13:P94)</f>
        <v>4.1000000000000002E-2</v>
      </c>
      <c r="S102" s="391">
        <f>SUM(S13:S94)</f>
        <v>-2E-3</v>
      </c>
      <c r="V102" s="393">
        <f>SUM(V13:V94)</f>
        <v>-0.01</v>
      </c>
      <c r="Y102" s="391">
        <f>SUM(Y13:Y94)</f>
        <v>1.102285318511358E-2</v>
      </c>
      <c r="AB102" s="391">
        <f>SUM(AB13:AB94)</f>
        <v>1.1618626990741792E-3</v>
      </c>
      <c r="AE102" s="392">
        <f>SUM(AE13:AE94)</f>
        <v>1.6462086211972693E-4</v>
      </c>
      <c r="AH102" s="391">
        <f>SUM(AH13:AH94)</f>
        <v>1.6462086211926783E-4</v>
      </c>
      <c r="AK102" s="391">
        <f>SUM(AK13:AK94)</f>
        <v>-0.83899999999999997</v>
      </c>
      <c r="AN102" s="391">
        <f>SUM(AN13:AN94)</f>
        <v>-0.79700000000000004</v>
      </c>
      <c r="AO102" s="390"/>
      <c r="AP102" s="383"/>
      <c r="AQ102" s="389"/>
      <c r="AR102" s="389"/>
      <c r="AS102" s="389"/>
      <c r="AT102" s="389"/>
      <c r="AU102" s="367" t="s">
        <v>250</v>
      </c>
      <c r="AV102" s="388"/>
      <c r="AW102" s="388"/>
    </row>
    <row r="103" spans="1:49" ht="15.75" thickBot="1" x14ac:dyDescent="0.3">
      <c r="A103" s="234">
        <f t="shared" si="38"/>
        <v>97</v>
      </c>
      <c r="B103" s="385" t="s">
        <v>165</v>
      </c>
      <c r="C103" s="241"/>
      <c r="D103" s="229"/>
      <c r="E103" s="229" t="s">
        <v>251</v>
      </c>
      <c r="F103" s="229"/>
      <c r="G103" s="229"/>
      <c r="H103" s="229"/>
      <c r="I103" s="229"/>
      <c r="J103" s="229" t="s">
        <v>251</v>
      </c>
      <c r="K103" s="229"/>
      <c r="L103" s="229"/>
      <c r="M103" s="229"/>
      <c r="N103" s="229"/>
      <c r="O103" s="229"/>
      <c r="P103" s="229"/>
      <c r="Q103" s="229"/>
      <c r="R103" s="229"/>
      <c r="S103" s="229"/>
      <c r="T103" s="230"/>
      <c r="U103" s="230"/>
      <c r="V103" s="230"/>
      <c r="W103" s="229"/>
      <c r="X103" s="229"/>
      <c r="Y103" s="229"/>
      <c r="Z103" s="229"/>
      <c r="AA103" s="229"/>
      <c r="AB103" s="229"/>
      <c r="AC103" s="387"/>
      <c r="AD103" s="387"/>
      <c r="AE103" s="387"/>
      <c r="AF103" s="229"/>
      <c r="AG103" s="229"/>
      <c r="AH103" s="229"/>
      <c r="AI103" s="239"/>
      <c r="AJ103" s="239"/>
      <c r="AK103" s="384"/>
      <c r="AL103" s="384"/>
      <c r="AM103" s="384"/>
      <c r="AN103" s="384"/>
      <c r="AO103" s="386"/>
      <c r="AP103" s="383"/>
      <c r="AQ103" s="364"/>
      <c r="AR103" s="364"/>
      <c r="AS103" s="364"/>
      <c r="AT103" s="364"/>
      <c r="AU103" s="229" t="s">
        <v>252</v>
      </c>
      <c r="AV103" s="227"/>
      <c r="AW103" s="227"/>
    </row>
    <row r="104" spans="1:49" ht="15.75" thickBot="1" x14ac:dyDescent="0.3">
      <c r="A104" s="234">
        <f t="shared" si="38"/>
        <v>98</v>
      </c>
      <c r="AP104" s="383"/>
    </row>
    <row r="105" spans="1:49" ht="15.75" thickBot="1" x14ac:dyDescent="0.3">
      <c r="A105" s="234">
        <f t="shared" si="38"/>
        <v>99</v>
      </c>
      <c r="B105" s="385" t="s">
        <v>253</v>
      </c>
      <c r="C105" s="241"/>
      <c r="D105" s="227"/>
      <c r="E105" s="384"/>
      <c r="F105" s="384"/>
      <c r="G105" s="384"/>
      <c r="H105" s="384"/>
      <c r="I105" s="384"/>
      <c r="J105" s="227"/>
      <c r="K105" s="227"/>
      <c r="L105" s="229" t="s">
        <v>254</v>
      </c>
      <c r="M105" s="227"/>
      <c r="N105" s="227"/>
      <c r="O105" s="227"/>
      <c r="P105" s="227"/>
      <c r="Q105" s="227"/>
      <c r="R105" s="227"/>
      <c r="S105" s="227"/>
      <c r="T105" s="231"/>
      <c r="U105" s="231"/>
      <c r="V105" s="231"/>
      <c r="W105" s="227"/>
      <c r="X105" s="227"/>
      <c r="Y105" s="227"/>
      <c r="Z105" s="241"/>
      <c r="AA105" s="241"/>
      <c r="AB105" s="241"/>
      <c r="AC105" s="228"/>
      <c r="AD105" s="228"/>
      <c r="AE105" s="228"/>
      <c r="AF105" s="241"/>
      <c r="AG105" s="241"/>
      <c r="AH105" s="241"/>
      <c r="AI105" s="237"/>
      <c r="AJ105" s="227"/>
      <c r="AK105" s="227"/>
      <c r="AL105" s="227"/>
      <c r="AM105" s="227"/>
      <c r="AN105" s="227"/>
      <c r="AP105" s="383"/>
    </row>
    <row r="106" spans="1:49" x14ac:dyDescent="0.25">
      <c r="A106" s="234"/>
    </row>
    <row r="107" spans="1:49" x14ac:dyDescent="0.25">
      <c r="A107" s="234"/>
    </row>
    <row r="108" spans="1:49" x14ac:dyDescent="0.25">
      <c r="B108" s="646"/>
      <c r="C108" s="646"/>
      <c r="D108" s="646"/>
      <c r="E108" s="646"/>
      <c r="F108" s="646"/>
      <c r="G108" s="646"/>
      <c r="H108" s="646"/>
      <c r="I108" s="646"/>
      <c r="J108" s="646"/>
      <c r="K108" s="646"/>
      <c r="L108" s="646"/>
      <c r="M108" s="646"/>
      <c r="N108" s="646"/>
      <c r="O108" s="646"/>
      <c r="P108" s="646"/>
    </row>
  </sheetData>
  <mergeCells count="4">
    <mergeCell ref="B99:P101"/>
    <mergeCell ref="B96:P97"/>
    <mergeCell ref="B108:P108"/>
    <mergeCell ref="B98:P98"/>
  </mergeCells>
  <conditionalFormatting sqref="AN3">
    <cfRule type="cellIs" dxfId="29" priority="1" operator="lessThan">
      <formula>0.001</formula>
    </cfRule>
    <cfRule type="cellIs" dxfId="28" priority="2" operator="notEqual">
      <formula>0</formula>
    </cfRule>
  </conditionalFormatting>
  <pageMargins left="0.7" right="0.7" top="0.75" bottom="0.75" header="0.3" footer="0.3"/>
  <pageSetup scale="28" orientation="portrait" r:id="rId1"/>
  <headerFooter alignWithMargins="0">
    <oddHeader>&amp;R&amp;"Arial,Regular"NWN WUTC Advice 25-08
Exhibit A - Supporting Materials
Page &amp;P of &amp;N</oddHeader>
  </headerFooter>
  <colBreaks count="4" manualBreakCount="4">
    <brk id="16" max="1048575" man="1"/>
    <brk id="34" max="1048575" man="1"/>
    <brk id="37" max="104" man="1"/>
    <brk id="4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6782-75D4-48F2-9FFF-74B9A7057D16}">
  <sheetPr>
    <tabColor theme="0" tint="-0.14999847407452621"/>
    <pageSetUpPr fitToPage="1"/>
  </sheetPr>
  <dimension ref="A1:U88"/>
  <sheetViews>
    <sheetView zoomScale="80" zoomScaleNormal="80" workbookViewId="0">
      <pane xSplit="2" ySplit="9" topLeftCell="C10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1640625" defaultRowHeight="12.75" x14ac:dyDescent="0.2"/>
  <cols>
    <col min="1" max="1" width="3.6640625" style="4" customWidth="1"/>
    <col min="2" max="2" width="63.83203125" style="4" customWidth="1"/>
    <col min="3" max="3" width="19.83203125" style="3" customWidth="1"/>
    <col min="4" max="4" width="19.5" style="4" customWidth="1"/>
    <col min="5" max="12" width="16.83203125" style="4" customWidth="1"/>
    <col min="13" max="13" width="54.5" style="4" bestFit="1" customWidth="1"/>
    <col min="14" max="15" width="17.83203125" style="4" customWidth="1"/>
    <col min="16" max="16" width="26.5" style="4" customWidth="1"/>
    <col min="17" max="22" width="14.5" style="4" customWidth="1"/>
    <col min="23" max="27" width="9.1640625" style="4" customWidth="1"/>
    <col min="28" max="249" width="9.1640625" style="4"/>
    <col min="250" max="255" width="9.1640625" style="4" customWidth="1"/>
    <col min="256" max="16384" width="9.1640625" style="4"/>
  </cols>
  <sheetData>
    <row r="1" spans="1:18" ht="14.25" x14ac:dyDescent="0.2">
      <c r="A1" s="2" t="s">
        <v>255</v>
      </c>
      <c r="B1" s="3"/>
    </row>
    <row r="2" spans="1:18" ht="14.25" x14ac:dyDescent="0.2">
      <c r="A2" s="2" t="s">
        <v>256</v>
      </c>
      <c r="B2" s="3"/>
    </row>
    <row r="3" spans="1:18" ht="14.25" x14ac:dyDescent="0.2">
      <c r="A3" s="2" t="s">
        <v>257</v>
      </c>
      <c r="B3" s="3"/>
    </row>
    <row r="4" spans="1:18" ht="14.25" x14ac:dyDescent="0.2">
      <c r="A4" s="2" t="s">
        <v>258</v>
      </c>
      <c r="B4" s="3"/>
    </row>
    <row r="5" spans="1:18" x14ac:dyDescent="0.2">
      <c r="B5" s="5"/>
      <c r="G5" s="6"/>
      <c r="H5" s="7" t="s">
        <v>145</v>
      </c>
      <c r="I5" s="7"/>
      <c r="J5" s="7"/>
      <c r="K5" s="7" t="s">
        <v>259</v>
      </c>
      <c r="L5" s="7" t="s">
        <v>259</v>
      </c>
    </row>
    <row r="6" spans="1:18" x14ac:dyDescent="0.2">
      <c r="B6" s="8"/>
      <c r="D6" s="7"/>
      <c r="G6" s="7" t="s">
        <v>260</v>
      </c>
      <c r="H6" s="7" t="s">
        <v>260</v>
      </c>
      <c r="I6" s="7"/>
      <c r="J6" s="7"/>
      <c r="K6" s="7" t="s">
        <v>261</v>
      </c>
      <c r="L6" s="7" t="s">
        <v>261</v>
      </c>
    </row>
    <row r="7" spans="1:18" x14ac:dyDescent="0.2">
      <c r="B7" s="8"/>
      <c r="D7" s="9" t="s">
        <v>262</v>
      </c>
      <c r="E7" s="9"/>
      <c r="F7" s="7" t="s">
        <v>260</v>
      </c>
      <c r="G7" s="7" t="s">
        <v>263</v>
      </c>
      <c r="H7" s="7" t="s">
        <v>264</v>
      </c>
      <c r="I7" s="7" t="s">
        <v>265</v>
      </c>
      <c r="J7" s="7" t="s">
        <v>265</v>
      </c>
      <c r="K7" s="7" t="s">
        <v>266</v>
      </c>
      <c r="L7" s="7" t="s">
        <v>266</v>
      </c>
      <c r="M7" s="7"/>
      <c r="N7" s="7"/>
    </row>
    <row r="8" spans="1:18" x14ac:dyDescent="0.2">
      <c r="B8" s="3"/>
      <c r="C8" s="7" t="s">
        <v>267</v>
      </c>
      <c r="D8" s="7" t="s">
        <v>260</v>
      </c>
      <c r="E8" s="9" t="s">
        <v>262</v>
      </c>
      <c r="F8" s="7" t="s">
        <v>267</v>
      </c>
      <c r="G8" s="7" t="s">
        <v>268</v>
      </c>
      <c r="H8" s="7" t="s">
        <v>269</v>
      </c>
      <c r="I8" s="7" t="s">
        <v>270</v>
      </c>
      <c r="J8" s="7" t="s">
        <v>271</v>
      </c>
      <c r="K8" s="9" t="s">
        <v>272</v>
      </c>
      <c r="L8" s="7" t="s">
        <v>273</v>
      </c>
      <c r="M8" s="7"/>
      <c r="N8" s="7"/>
    </row>
    <row r="9" spans="1:18" x14ac:dyDescent="0.2">
      <c r="B9" s="10" t="s">
        <v>274</v>
      </c>
      <c r="C9" s="11">
        <v>45900</v>
      </c>
      <c r="D9" s="10" t="s">
        <v>275</v>
      </c>
      <c r="E9" s="10" t="s">
        <v>263</v>
      </c>
      <c r="F9" s="12">
        <v>45596</v>
      </c>
      <c r="G9" s="10" t="s">
        <v>276</v>
      </c>
      <c r="H9" s="10" t="s">
        <v>277</v>
      </c>
      <c r="I9" s="10" t="s">
        <v>278</v>
      </c>
      <c r="J9" s="10" t="s">
        <v>278</v>
      </c>
      <c r="K9" s="10" t="s">
        <v>279</v>
      </c>
      <c r="L9" s="10" t="s">
        <v>280</v>
      </c>
      <c r="M9" s="7"/>
      <c r="N9" s="7"/>
      <c r="O9" s="13"/>
      <c r="P9" s="13"/>
    </row>
    <row r="10" spans="1:18" x14ac:dyDescent="0.2">
      <c r="A10" s="14"/>
      <c r="B10" s="7" t="s">
        <v>31</v>
      </c>
      <c r="C10" s="15" t="s">
        <v>32</v>
      </c>
      <c r="D10" s="15" t="s">
        <v>33</v>
      </c>
      <c r="E10" s="15" t="s">
        <v>34</v>
      </c>
      <c r="F10" s="15" t="s">
        <v>35</v>
      </c>
      <c r="G10" s="15" t="s">
        <v>36</v>
      </c>
      <c r="H10" s="15" t="s">
        <v>37</v>
      </c>
      <c r="I10" s="15" t="s">
        <v>38</v>
      </c>
      <c r="J10" s="15" t="s">
        <v>39</v>
      </c>
      <c r="K10" s="15" t="s">
        <v>40</v>
      </c>
      <c r="L10" s="15" t="s">
        <v>41</v>
      </c>
      <c r="M10" s="15"/>
      <c r="N10" s="15"/>
      <c r="O10" s="13"/>
      <c r="P10" s="13"/>
    </row>
    <row r="11" spans="1:18" x14ac:dyDescent="0.2">
      <c r="A11" s="14"/>
      <c r="B11" s="7"/>
      <c r="C11" s="15"/>
      <c r="F11" s="16" t="s">
        <v>281</v>
      </c>
      <c r="G11" s="17">
        <v>7.4999999999999997E-2</v>
      </c>
      <c r="H11" s="16" t="s">
        <v>282</v>
      </c>
      <c r="I11" s="16"/>
      <c r="J11" s="16"/>
      <c r="K11" s="16" t="s">
        <v>283</v>
      </c>
      <c r="L11" s="16" t="s">
        <v>283</v>
      </c>
      <c r="O11" s="13"/>
      <c r="P11" s="13"/>
    </row>
    <row r="12" spans="1:18" hidden="1" x14ac:dyDescent="0.2">
      <c r="A12" s="18">
        <v>1</v>
      </c>
      <c r="B12" s="7"/>
      <c r="C12" s="14"/>
      <c r="D12" s="14"/>
      <c r="E12" s="14"/>
      <c r="F12" s="14"/>
      <c r="G12" s="14"/>
      <c r="H12" s="16" t="s">
        <v>284</v>
      </c>
      <c r="I12" s="16"/>
      <c r="J12" s="16"/>
      <c r="K12" s="16"/>
      <c r="L12" s="14"/>
      <c r="M12" s="14"/>
      <c r="N12" s="19"/>
      <c r="O12" s="20"/>
      <c r="P12" s="14"/>
    </row>
    <row r="13" spans="1:18" hidden="1" x14ac:dyDescent="0.2">
      <c r="A13" s="18">
        <f t="shared" ref="A13:A42" si="0">+A12+1</f>
        <v>2</v>
      </c>
      <c r="B13" s="21" t="s">
        <v>285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"/>
      <c r="O13" s="14"/>
      <c r="P13" s="14"/>
    </row>
    <row r="14" spans="1:18" hidden="1" x14ac:dyDescent="0.2">
      <c r="A14" s="18">
        <f t="shared" si="0"/>
        <v>3</v>
      </c>
      <c r="B14" s="4" t="s">
        <v>286</v>
      </c>
      <c r="C14" s="14">
        <f>'[33]151822 GREAT'!I218</f>
        <v>585080.04999999981</v>
      </c>
      <c r="D14" s="22">
        <v>0</v>
      </c>
      <c r="E14" s="14">
        <f>SUM('[33]151822 GREAT'!G219:G220)</f>
        <v>7336.3600000000006</v>
      </c>
      <c r="F14" s="14">
        <f>SUM(C14:E14)</f>
        <v>592416.4099999998</v>
      </c>
      <c r="G14" s="23"/>
      <c r="H14" s="14"/>
      <c r="I14" s="14"/>
      <c r="J14" s="14"/>
      <c r="K14" s="24"/>
      <c r="L14" s="14"/>
      <c r="M14" s="14"/>
      <c r="N14" s="19"/>
      <c r="O14" s="14"/>
      <c r="P14" s="14"/>
    </row>
    <row r="15" spans="1:18" hidden="1" x14ac:dyDescent="0.2">
      <c r="A15" s="18">
        <f t="shared" si="0"/>
        <v>4</v>
      </c>
      <c r="B15" s="4" t="s">
        <v>287</v>
      </c>
      <c r="C15" s="25">
        <f>'[33]151824 GREAT AMORT'!I219</f>
        <v>159153.54643603571</v>
      </c>
      <c r="D15" s="25">
        <f>SUM('[33]151824 GREAT AMORT'!D220:D221)</f>
        <v>-38222.720000000001</v>
      </c>
      <c r="E15" s="25">
        <f>SUM('[33]151824 GREAT AMORT'!G220:G221)</f>
        <v>1721.81</v>
      </c>
      <c r="F15" s="25">
        <f>SUM(C15:E15)</f>
        <v>122652.63643603571</v>
      </c>
      <c r="G15" s="25"/>
      <c r="H15" s="25"/>
      <c r="I15" s="14"/>
      <c r="J15" s="14"/>
      <c r="K15" s="14"/>
      <c r="L15" s="14"/>
      <c r="M15" s="14"/>
      <c r="N15" s="19"/>
      <c r="O15" s="14"/>
      <c r="P15" s="14"/>
    </row>
    <row r="16" spans="1:18" hidden="1" x14ac:dyDescent="0.2">
      <c r="A16" s="18">
        <f t="shared" si="0"/>
        <v>5</v>
      </c>
      <c r="C16" s="14">
        <f>SUM(C14:C15)</f>
        <v>744233.59643603559</v>
      </c>
      <c r="D16" s="14">
        <f>SUM(D14:D15)</f>
        <v>-38222.720000000001</v>
      </c>
      <c r="E16" s="14">
        <f>SUM(E14:E15)</f>
        <v>9058.17</v>
      </c>
      <c r="F16" s="14">
        <f>SUM(F14:F15)</f>
        <v>715069.04643603554</v>
      </c>
      <c r="G16" s="23">
        <f>IF(F16&lt;0,ROUND(CUMIPMT($G$11/12,12,-F16,1,12,0),0),-ROUND(CUMIPMT($G$11/12,12,F16,1,12,0),0))</f>
        <v>29381</v>
      </c>
      <c r="H16" s="14">
        <f>ROUND(+F16+G16,0)</f>
        <v>744450</v>
      </c>
      <c r="I16" s="14"/>
      <c r="J16" s="14">
        <f>+H16</f>
        <v>744450</v>
      </c>
      <c r="K16" s="24" t="s">
        <v>288</v>
      </c>
      <c r="L16" s="14"/>
      <c r="M16" s="14"/>
      <c r="N16" s="19"/>
      <c r="O16" s="14"/>
      <c r="P16" s="14"/>
      <c r="Q16" s="14"/>
      <c r="R16" s="14"/>
    </row>
    <row r="17" spans="1:19" hidden="1" x14ac:dyDescent="0.2">
      <c r="A17" s="18">
        <f t="shared" si="0"/>
        <v>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9"/>
      <c r="O17" s="14"/>
      <c r="P17" s="14"/>
      <c r="Q17" s="14"/>
      <c r="R17" s="14"/>
    </row>
    <row r="18" spans="1:19" hidden="1" x14ac:dyDescent="0.2">
      <c r="A18" s="18">
        <f t="shared" si="0"/>
        <v>7</v>
      </c>
      <c r="B18" s="4" t="s">
        <v>289</v>
      </c>
      <c r="C18" s="26">
        <f>'[33]151890 WA-LIEE'!X242</f>
        <v>97391.199999999924</v>
      </c>
      <c r="D18" s="22">
        <v>0</v>
      </c>
      <c r="E18" s="14">
        <f>SUM('[33]151890 WA-LIEE'!G243:G244)</f>
        <v>1221.19</v>
      </c>
      <c r="F18" s="14">
        <f>SUM(C18:E18)</f>
        <v>98612.389999999927</v>
      </c>
      <c r="G18" s="23"/>
      <c r="H18" s="14"/>
      <c r="I18" s="14"/>
      <c r="L18" s="14"/>
      <c r="M18" s="14"/>
      <c r="N18" s="19"/>
      <c r="O18" s="14"/>
      <c r="P18" s="14"/>
    </row>
    <row r="19" spans="1:19" hidden="1" x14ac:dyDescent="0.2">
      <c r="A19" s="18">
        <f t="shared" si="0"/>
        <v>8</v>
      </c>
      <c r="B19" s="4" t="s">
        <v>290</v>
      </c>
      <c r="C19" s="25">
        <f>'[33]151892 WA-LIEE  AMORT'!I205</f>
        <v>21490.910100000096</v>
      </c>
      <c r="D19" s="25">
        <f>SUM('[33]151892 WA-LIEE  AMORT'!D206:D207)</f>
        <v>-5093.22</v>
      </c>
      <c r="E19" s="25">
        <f>SUM('[33]151892 WA-LIEE  AMORT'!G206:G207)</f>
        <v>232.98000000000002</v>
      </c>
      <c r="F19" s="25">
        <f>SUM(C19:E19)</f>
        <v>16630.670100000094</v>
      </c>
      <c r="G19" s="27"/>
      <c r="H19" s="25"/>
      <c r="I19" s="14"/>
      <c r="J19" s="14"/>
      <c r="K19" s="24"/>
      <c r="L19" s="14"/>
      <c r="M19" s="14"/>
      <c r="N19" s="19"/>
      <c r="O19" s="14"/>
      <c r="P19" s="14"/>
      <c r="Q19" s="14"/>
      <c r="R19" s="14"/>
    </row>
    <row r="20" spans="1:19" hidden="1" x14ac:dyDescent="0.2">
      <c r="A20" s="18">
        <f t="shared" si="0"/>
        <v>9</v>
      </c>
      <c r="C20" s="14">
        <f>SUM(C18:C19)</f>
        <v>118882.11010000002</v>
      </c>
      <c r="D20" s="14">
        <f>SUM(D18:D19)</f>
        <v>-5093.22</v>
      </c>
      <c r="E20" s="14">
        <f>SUM(E18:E19)</f>
        <v>1454.17</v>
      </c>
      <c r="F20" s="14">
        <f>SUM(F18:F19)</f>
        <v>115243.06010000002</v>
      </c>
      <c r="G20" s="23">
        <f>IF(F20&lt;0,ROUND(CUMIPMT($G$11/12,12,-F20,1,12,0),0),-ROUND(CUMIPMT($G$11/12,12,F20,1,12,0),0))</f>
        <v>4735</v>
      </c>
      <c r="H20" s="14">
        <f>ROUND(+F20+G20,0)</f>
        <v>119978</v>
      </c>
      <c r="I20" s="14"/>
      <c r="J20" s="14">
        <f>+H20-I20</f>
        <v>119978</v>
      </c>
      <c r="K20" s="24" t="s">
        <v>291</v>
      </c>
      <c r="L20" s="14"/>
      <c r="M20" s="14"/>
      <c r="N20" s="19"/>
      <c r="O20" s="14"/>
      <c r="P20" s="14"/>
      <c r="Q20" s="14"/>
      <c r="R20" s="14"/>
    </row>
    <row r="21" spans="1:19" hidden="1" x14ac:dyDescent="0.2">
      <c r="A21" s="18">
        <f t="shared" si="0"/>
        <v>10</v>
      </c>
      <c r="C21" s="14"/>
      <c r="D21" s="14"/>
      <c r="E21" s="14"/>
      <c r="F21" s="14"/>
      <c r="G21" s="23"/>
      <c r="H21" s="14"/>
      <c r="I21" s="14"/>
      <c r="J21" s="14"/>
      <c r="K21" s="24"/>
      <c r="L21" s="14"/>
      <c r="M21" s="14"/>
      <c r="N21" s="19"/>
      <c r="O21" s="14"/>
      <c r="P21" s="14"/>
      <c r="Q21" s="14"/>
      <c r="R21" s="14"/>
    </row>
    <row r="22" spans="1:19" hidden="1" x14ac:dyDescent="0.2">
      <c r="A22" s="18">
        <f t="shared" si="0"/>
        <v>11</v>
      </c>
      <c r="B22" s="4" t="s">
        <v>292</v>
      </c>
      <c r="C22" s="14">
        <f>'[33]151894 Historical DSM Amort'!I259</f>
        <v>59658.208188029967</v>
      </c>
      <c r="D22" s="26">
        <f>SUM('[33]151894 Historical DSM Amort'!D260:D261)</f>
        <v>-17439.189999999999</v>
      </c>
      <c r="E22" s="26">
        <f>SUM('[33]151894 Historical DSM Amort'!G260:G261)</f>
        <v>623.49</v>
      </c>
      <c r="F22" s="14">
        <f>SUM(C22:E22)</f>
        <v>42842.508188029962</v>
      </c>
      <c r="G22" s="23"/>
      <c r="H22" s="14"/>
      <c r="I22" s="14"/>
      <c r="J22" s="14"/>
      <c r="K22" s="14"/>
      <c r="L22" s="24"/>
      <c r="M22" s="28"/>
      <c r="N22" s="19"/>
      <c r="O22" s="14"/>
      <c r="P22" s="14"/>
      <c r="Q22" s="14"/>
      <c r="R22" s="14"/>
    </row>
    <row r="23" spans="1:19" hidden="1" x14ac:dyDescent="0.2">
      <c r="A23" s="18">
        <f t="shared" si="0"/>
        <v>12</v>
      </c>
      <c r="B23" s="4" t="s">
        <v>293</v>
      </c>
      <c r="C23" s="14">
        <f>'[33]151898 WA EE True-Up'!G87</f>
        <v>108574.00305196176</v>
      </c>
      <c r="D23" s="26">
        <f>SUM('[33]151898 WA EE True-Up'!D88:D89)</f>
        <v>-213924.30000000002</v>
      </c>
      <c r="E23" s="22">
        <v>0</v>
      </c>
      <c r="F23" s="14">
        <f>SUM(C23:E23)</f>
        <v>-105350.29694803826</v>
      </c>
      <c r="G23" s="23"/>
      <c r="H23" s="14"/>
      <c r="I23" s="14"/>
      <c r="J23" s="14"/>
      <c r="K23" s="14"/>
      <c r="L23" s="24"/>
      <c r="M23" s="28"/>
      <c r="N23" s="14"/>
      <c r="O23" s="14"/>
      <c r="P23" s="14"/>
      <c r="Q23" s="14"/>
      <c r="R23" s="14"/>
    </row>
    <row r="24" spans="1:19" ht="12.95" hidden="1" customHeight="1" x14ac:dyDescent="0.2">
      <c r="A24" s="18">
        <f t="shared" si="0"/>
        <v>13</v>
      </c>
      <c r="C24" s="29">
        <f>SUM(C22:C23)</f>
        <v>168232.21123999171</v>
      </c>
      <c r="D24" s="29">
        <f>SUM(D22:D23)</f>
        <v>-231363.49000000002</v>
      </c>
      <c r="E24" s="29">
        <f>SUM(E22:E23)</f>
        <v>623.49</v>
      </c>
      <c r="F24" s="29">
        <f>SUM(F22:F23)</f>
        <v>-62507.788760008298</v>
      </c>
      <c r="G24" s="30">
        <f>IF(F24&lt;0,ROUND(CUMIPMT($G$11/12,12,-F24,1,12,0),0),-ROUND(CUMIPMT($G$11/12,12,F24,1,12,0),0))</f>
        <v>-2568</v>
      </c>
      <c r="H24" s="29">
        <f>ROUND(+F24+G24,0)</f>
        <v>-65076</v>
      </c>
      <c r="I24" s="14"/>
      <c r="J24" s="14">
        <f>+H24</f>
        <v>-65076</v>
      </c>
      <c r="K24" s="24" t="s">
        <v>294</v>
      </c>
      <c r="L24" s="24"/>
      <c r="M24" s="31"/>
      <c r="O24" s="14"/>
      <c r="P24" s="14"/>
      <c r="Q24" s="14"/>
      <c r="R24" s="14"/>
    </row>
    <row r="25" spans="1:19" hidden="1" x14ac:dyDescent="0.2">
      <c r="A25" s="18">
        <f t="shared" si="0"/>
        <v>14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1"/>
      <c r="N25" s="14"/>
      <c r="O25" s="14"/>
      <c r="P25" s="14"/>
      <c r="Q25" s="14"/>
      <c r="R25" s="14"/>
    </row>
    <row r="26" spans="1:19" x14ac:dyDescent="0.2">
      <c r="A26" s="18">
        <f t="shared" si="0"/>
        <v>15</v>
      </c>
      <c r="B26" s="21" t="s">
        <v>295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1"/>
      <c r="N26" s="14"/>
      <c r="O26" s="14"/>
      <c r="P26" s="14"/>
      <c r="Q26" s="14"/>
      <c r="R26" s="14"/>
    </row>
    <row r="27" spans="1:19" x14ac:dyDescent="0.2">
      <c r="A27" s="18">
        <f t="shared" si="0"/>
        <v>16</v>
      </c>
      <c r="B27" s="4" t="s">
        <v>296</v>
      </c>
      <c r="C27" s="14">
        <f>'151540 WACOG Deferral'!I242</f>
        <v>-10533163.483584771</v>
      </c>
      <c r="D27" s="22">
        <v>0</v>
      </c>
      <c r="E27" s="26">
        <f>SUM('151540 WACOG Deferral'!G242:G243)</f>
        <v>-129444.9</v>
      </c>
      <c r="F27" s="14">
        <f>SUM(C27:E27)</f>
        <v>-10662608.383584771</v>
      </c>
      <c r="G27" s="14"/>
      <c r="H27" s="14"/>
      <c r="I27" s="14"/>
      <c r="J27" s="14"/>
      <c r="K27" s="14"/>
      <c r="L27" s="14"/>
      <c r="M27" s="32" t="s">
        <v>297</v>
      </c>
      <c r="N27" s="14"/>
      <c r="O27" s="14"/>
      <c r="P27" s="14"/>
      <c r="Q27" s="14"/>
      <c r="R27" s="14"/>
    </row>
    <row r="28" spans="1:19" x14ac:dyDescent="0.2">
      <c r="A28" s="18">
        <f t="shared" si="0"/>
        <v>17</v>
      </c>
      <c r="B28" s="4" t="s">
        <v>298</v>
      </c>
      <c r="C28" s="25">
        <f>'151545 WACOG Amortization '!I259</f>
        <v>-1854493.9615735998</v>
      </c>
      <c r="D28" s="33">
        <f>SUM('151545 WACOG Amortization '!D260:D261)</f>
        <v>444513.23</v>
      </c>
      <c r="E28" s="33">
        <f>SUM('151545 WACOG Amortization '!G260:G261)</f>
        <v>-20045.169999999998</v>
      </c>
      <c r="F28" s="25">
        <f>SUM(C28:E28)</f>
        <v>-1430025.9015735998</v>
      </c>
      <c r="G28" s="25"/>
      <c r="H28" s="25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9" ht="13.5" thickBot="1" x14ac:dyDescent="0.25">
      <c r="A29" s="18">
        <f t="shared" si="0"/>
        <v>18</v>
      </c>
      <c r="B29" s="34"/>
      <c r="C29" s="14">
        <f>SUM(C27:C28)</f>
        <v>-12387657.44515837</v>
      </c>
      <c r="D29" s="14">
        <f>SUM(D27:D28)</f>
        <v>444513.23</v>
      </c>
      <c r="E29" s="14">
        <f>SUM(E27:E28)</f>
        <v>-149490.07</v>
      </c>
      <c r="F29" s="14">
        <f>SUM(F27:F28)</f>
        <v>-12092634.285158372</v>
      </c>
      <c r="G29" s="23">
        <f>IF(F29&lt;0,ROUND(CUMIPMT($G$11/12,12,-F29,1,12,0),0),-ROUND(CUMIPMT($G$11/12,12,F29,1,12,0),0))</f>
        <v>-496874</v>
      </c>
      <c r="H29" s="14">
        <f>ROUND(+F29+G29,0)</f>
        <v>-12589508</v>
      </c>
      <c r="I29" s="14"/>
      <c r="J29" s="14">
        <f>+H29</f>
        <v>-12589508</v>
      </c>
      <c r="K29" s="14"/>
      <c r="L29" s="24" t="s">
        <v>204</v>
      </c>
      <c r="M29" s="24"/>
      <c r="N29" s="14"/>
      <c r="O29" s="14"/>
      <c r="P29" s="14"/>
      <c r="Q29" s="14"/>
      <c r="R29" s="14"/>
    </row>
    <row r="30" spans="1:19" x14ac:dyDescent="0.2">
      <c r="A30" s="18">
        <f t="shared" si="0"/>
        <v>19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5" t="s">
        <v>299</v>
      </c>
      <c r="P30" s="36"/>
      <c r="Q30" s="37" t="s">
        <v>300</v>
      </c>
      <c r="R30" s="14"/>
      <c r="S30" s="14"/>
    </row>
    <row r="31" spans="1:19" ht="15" x14ac:dyDescent="0.25">
      <c r="A31" s="18">
        <f t="shared" si="0"/>
        <v>20</v>
      </c>
      <c r="B31" s="4" t="s">
        <v>301</v>
      </c>
      <c r="C31" s="14">
        <f>'151550 Demand Accrual'!I242</f>
        <v>669608.69159762096</v>
      </c>
      <c r="D31" s="22">
        <v>0</v>
      </c>
      <c r="E31" s="26">
        <f>SUM('151550 Demand Accrual'!G243:G244)</f>
        <v>8396.26</v>
      </c>
      <c r="F31" s="14">
        <f>SUM(C31:E31)</f>
        <v>678004.95159762097</v>
      </c>
      <c r="G31" s="38"/>
      <c r="H31" s="14"/>
      <c r="I31" s="14"/>
      <c r="J31" s="14"/>
      <c r="K31" s="14"/>
      <c r="L31" s="24"/>
      <c r="M31" s="39">
        <f>ROUND((+(Q31*O31)/((Q31*O31)+(Q32*O32)))*J34,0)</f>
        <v>-2284960</v>
      </c>
      <c r="N31" s="40" t="s">
        <v>302</v>
      </c>
      <c r="O31" s="41">
        <f>'[34]Washington volumes'!$M$85</f>
        <v>90908754.476871997</v>
      </c>
      <c r="P31" s="42"/>
      <c r="Q31" s="43">
        <f>'[14]General Inputs'!$E$77</f>
        <v>0.10337</v>
      </c>
      <c r="R31" s="14"/>
      <c r="S31" s="14"/>
    </row>
    <row r="32" spans="1:19" ht="15.75" thickBot="1" x14ac:dyDescent="0.3">
      <c r="A32" s="18">
        <f t="shared" si="0"/>
        <v>21</v>
      </c>
      <c r="B32" s="4" t="s">
        <v>303</v>
      </c>
      <c r="C32" s="14">
        <f>'151555 Demand Amortization'!I259</f>
        <v>-1113718.0518584608</v>
      </c>
      <c r="D32" s="26">
        <f>SUM('151555 Demand Amortization'!D260:D261)</f>
        <v>72466.73000000001</v>
      </c>
      <c r="E32" s="26">
        <f>SUM('151555 Demand Amortization'!G260:G261)</f>
        <v>-13439.369999999999</v>
      </c>
      <c r="F32" s="14">
        <f>SUM(C32:E32)</f>
        <v>-1054690.6918584609</v>
      </c>
      <c r="G32" s="14"/>
      <c r="H32" s="14"/>
      <c r="I32" s="14"/>
      <c r="J32" s="14"/>
      <c r="K32" s="14"/>
      <c r="L32" s="14"/>
      <c r="M32" s="39">
        <f>+J34-M31</f>
        <v>-98713</v>
      </c>
      <c r="N32" s="40" t="s">
        <v>304</v>
      </c>
      <c r="O32" s="44">
        <f>'[34]Washington volumes'!$M$86</f>
        <v>11239544.658402635</v>
      </c>
      <c r="P32" s="45"/>
      <c r="Q32" s="46">
        <f>'[14]General Inputs'!$E$78</f>
        <v>3.6119999999999999E-2</v>
      </c>
      <c r="R32" s="14"/>
      <c r="S32" s="14"/>
    </row>
    <row r="33" spans="1:21" x14ac:dyDescent="0.2">
      <c r="A33" s="18">
        <f t="shared" si="0"/>
        <v>22</v>
      </c>
      <c r="B33" s="4" t="s">
        <v>305</v>
      </c>
      <c r="C33" s="25">
        <f>'232035 Storage Sharing'!G241</f>
        <v>-1912909.8400000003</v>
      </c>
      <c r="D33" s="47">
        <v>0</v>
      </c>
      <c r="E33" s="47">
        <v>0</v>
      </c>
      <c r="F33" s="25">
        <f>SUM(C33:E33)</f>
        <v>-1912909.8400000003</v>
      </c>
      <c r="G33" s="25"/>
      <c r="H33" s="25"/>
      <c r="I33" s="14"/>
      <c r="J33" s="14"/>
      <c r="K33" s="14"/>
      <c r="L33" s="14"/>
      <c r="M33" s="14"/>
      <c r="N33" s="14"/>
      <c r="O33" s="14"/>
      <c r="P33" s="32"/>
      <c r="Q33" s="14"/>
      <c r="R33" s="14"/>
      <c r="S33" s="14"/>
    </row>
    <row r="34" spans="1:21" x14ac:dyDescent="0.2">
      <c r="A34" s="18">
        <f t="shared" si="0"/>
        <v>23</v>
      </c>
      <c r="B34" s="34"/>
      <c r="C34" s="14">
        <f>SUM(C31:C33)</f>
        <v>-2357019.2002608404</v>
      </c>
      <c r="D34" s="14">
        <f>SUM(D31:D33)</f>
        <v>72466.73000000001</v>
      </c>
      <c r="E34" s="14">
        <f>SUM(E31:E33)</f>
        <v>-5043.1099999999988</v>
      </c>
      <c r="F34" s="14">
        <f>SUM(F31:F33)</f>
        <v>-2289595.5802608402</v>
      </c>
      <c r="G34" s="23">
        <f>IF(F34&lt;0,ROUND(CUMIPMT($G$11/12,12,-F34,1,12,0),0),-ROUND(CUMIPMT($G$11/12,12,F34,1,12,0),0))</f>
        <v>-94077</v>
      </c>
      <c r="H34" s="14">
        <f>ROUND(+F34+G34,0)</f>
        <v>-2383673</v>
      </c>
      <c r="I34" s="14"/>
      <c r="J34" s="14">
        <f>+H34</f>
        <v>-2383673</v>
      </c>
      <c r="K34" s="14"/>
      <c r="L34" s="24" t="s">
        <v>306</v>
      </c>
      <c r="M34" s="31"/>
      <c r="N34" s="31"/>
      <c r="P34" s="42"/>
      <c r="Q34" s="48"/>
      <c r="R34" s="14"/>
      <c r="S34" s="14"/>
      <c r="T34" s="49"/>
      <c r="U34" s="50"/>
    </row>
    <row r="35" spans="1:21" x14ac:dyDescent="0.2">
      <c r="A35" s="18">
        <f t="shared" si="0"/>
        <v>24</v>
      </c>
      <c r="B35" s="51"/>
      <c r="C35" s="14"/>
      <c r="D35" s="14"/>
      <c r="E35" s="14"/>
      <c r="F35" s="14"/>
      <c r="G35" s="32"/>
      <c r="H35" s="32"/>
      <c r="I35" s="32"/>
      <c r="J35" s="32"/>
      <c r="K35" s="32"/>
      <c r="L35" s="24"/>
      <c r="M35" s="31"/>
      <c r="N35" s="31"/>
      <c r="P35" s="42"/>
      <c r="Q35" s="48"/>
      <c r="R35" s="32"/>
      <c r="S35" s="32"/>
    </row>
    <row r="36" spans="1:21" hidden="1" x14ac:dyDescent="0.2">
      <c r="A36" s="18">
        <f t="shared" si="0"/>
        <v>25</v>
      </c>
      <c r="B36" s="21" t="s">
        <v>307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1"/>
      <c r="N36" s="14"/>
      <c r="O36" s="14"/>
      <c r="P36" s="14"/>
      <c r="Q36" s="14"/>
      <c r="R36" s="14"/>
    </row>
    <row r="37" spans="1:21" hidden="1" x14ac:dyDescent="0.2">
      <c r="A37" s="18">
        <f t="shared" si="0"/>
        <v>26</v>
      </c>
      <c r="C37" s="14"/>
      <c r="D37" s="14"/>
      <c r="E37" s="14"/>
      <c r="F37" s="14"/>
      <c r="G37" s="32"/>
      <c r="H37" s="32"/>
      <c r="I37" s="32"/>
      <c r="J37" s="32"/>
      <c r="K37" s="32"/>
      <c r="L37" s="14"/>
      <c r="M37" s="31"/>
      <c r="N37" s="14"/>
      <c r="O37" s="23"/>
      <c r="Q37" s="32"/>
      <c r="R37" s="32"/>
      <c r="S37" s="49"/>
    </row>
    <row r="38" spans="1:21" hidden="1" x14ac:dyDescent="0.2">
      <c r="A38" s="18">
        <f t="shared" si="0"/>
        <v>27</v>
      </c>
      <c r="B38" s="4" t="s">
        <v>308</v>
      </c>
      <c r="C38" s="52">
        <v>0</v>
      </c>
      <c r="D38" s="22">
        <v>0</v>
      </c>
      <c r="E38" s="22">
        <v>0</v>
      </c>
      <c r="F38" s="52">
        <f>SUM(C38:E38)</f>
        <v>0</v>
      </c>
      <c r="G38" s="38"/>
      <c r="H38" s="14"/>
      <c r="I38" s="14"/>
      <c r="J38" s="14"/>
      <c r="K38" s="14"/>
      <c r="L38" s="24"/>
      <c r="M38" s="24"/>
      <c r="N38" s="14"/>
      <c r="O38" s="14"/>
      <c r="P38" s="14"/>
      <c r="Q38" s="14"/>
      <c r="R38" s="14"/>
    </row>
    <row r="39" spans="1:21" hidden="1" x14ac:dyDescent="0.2">
      <c r="A39" s="18">
        <f t="shared" si="0"/>
        <v>28</v>
      </c>
      <c r="B39" s="4" t="s">
        <v>309</v>
      </c>
      <c r="C39" s="14">
        <f>'[33]232050 Amort Gain on Prop'!I76</f>
        <v>-11226.409123499925</v>
      </c>
      <c r="D39" s="14">
        <f>SUM('[33]232050 Amort Gain on Prop'!D77:D78)</f>
        <v>2608.8300000000004</v>
      </c>
      <c r="E39" s="14">
        <f>SUM('[33]232050 Amort Gain on Prop'!G77:G78)</f>
        <v>-121.91</v>
      </c>
      <c r="F39" s="14">
        <f>SUM(C39:E39)</f>
        <v>-8739.489123499925</v>
      </c>
      <c r="G39" s="23"/>
      <c r="H39" s="14"/>
      <c r="I39" s="32"/>
      <c r="J39" s="14"/>
      <c r="K39" s="32"/>
      <c r="L39" s="14"/>
      <c r="M39" s="31"/>
      <c r="N39" s="14"/>
      <c r="O39" s="23"/>
      <c r="Q39" s="32"/>
      <c r="R39" s="32"/>
      <c r="S39" s="49"/>
    </row>
    <row r="40" spans="1:21" hidden="1" x14ac:dyDescent="0.2">
      <c r="A40" s="18">
        <f t="shared" si="0"/>
        <v>29</v>
      </c>
      <c r="C40" s="29">
        <f>SUM(C38:C39)</f>
        <v>-11226.409123499925</v>
      </c>
      <c r="D40" s="29">
        <f>SUM(D38:D39)</f>
        <v>2608.8300000000004</v>
      </c>
      <c r="E40" s="29">
        <f>SUM(E38:E39)</f>
        <v>-121.91</v>
      </c>
      <c r="F40" s="29">
        <f>SUM(F38:F39)</f>
        <v>-8739.489123499925</v>
      </c>
      <c r="G40" s="53">
        <f>IF(F40&lt;0,ROUND(CUMIPMT($G$11/12,12,-F40,1,12,0),0),-ROUND(CUMIPMT($G$11/12,12,F40,1,12,0),0))</f>
        <v>-359</v>
      </c>
      <c r="H40" s="29">
        <f>ROUND(+F40+G40,0)</f>
        <v>-9098</v>
      </c>
      <c r="I40" s="32"/>
      <c r="J40" s="14">
        <f>+H40</f>
        <v>-9098</v>
      </c>
      <c r="K40" s="32"/>
      <c r="L40" s="14"/>
      <c r="M40" s="31"/>
      <c r="N40" s="14"/>
      <c r="O40" s="23"/>
      <c r="Q40" s="32"/>
      <c r="R40" s="32"/>
      <c r="S40" s="49"/>
    </row>
    <row r="41" spans="1:21" hidden="1" x14ac:dyDescent="0.2">
      <c r="A41" s="18">
        <f t="shared" si="0"/>
        <v>30</v>
      </c>
      <c r="C41" s="14"/>
      <c r="D41" s="14"/>
      <c r="E41" s="14"/>
      <c r="F41" s="14"/>
      <c r="G41" s="23"/>
      <c r="H41" s="14"/>
      <c r="I41" s="32"/>
      <c r="J41" s="14"/>
      <c r="K41" s="32"/>
      <c r="L41" s="14"/>
      <c r="M41" s="31"/>
      <c r="N41" s="14"/>
      <c r="O41" s="23"/>
      <c r="Q41" s="32"/>
      <c r="R41" s="32"/>
      <c r="S41" s="49"/>
    </row>
    <row r="42" spans="1:21" hidden="1" x14ac:dyDescent="0.2">
      <c r="A42" s="18">
        <f t="shared" si="0"/>
        <v>31</v>
      </c>
      <c r="B42" s="4" t="s">
        <v>310</v>
      </c>
      <c r="C42" s="52">
        <v>0</v>
      </c>
      <c r="D42" s="22">
        <v>0</v>
      </c>
      <c r="E42" s="22">
        <v>0</v>
      </c>
      <c r="F42" s="52">
        <f>SUM(C42:E42)</f>
        <v>0</v>
      </c>
      <c r="G42" s="54"/>
      <c r="H42" s="14"/>
      <c r="I42" s="32"/>
      <c r="J42" s="14"/>
      <c r="K42" s="32"/>
      <c r="L42" s="14"/>
      <c r="M42" s="55"/>
      <c r="N42" s="14"/>
      <c r="O42" s="23"/>
      <c r="Q42" s="32"/>
      <c r="R42" s="32"/>
      <c r="S42" s="49"/>
    </row>
    <row r="43" spans="1:21" hidden="1" x14ac:dyDescent="0.2">
      <c r="A43" s="18">
        <f>+A41+1</f>
        <v>31</v>
      </c>
      <c r="B43" s="4" t="s">
        <v>311</v>
      </c>
      <c r="C43" s="25">
        <f>'[33]151829 WUTC Fee Amort'!J223</f>
        <v>2782.7999999999683</v>
      </c>
      <c r="D43" s="25">
        <f>SUM('[33]151829 WUTC Fee Amort'!D224:D225)</f>
        <v>-1252.6399999999999</v>
      </c>
      <c r="E43" s="25">
        <f>SUM('[33]151829 WUTC Fee Amort'!G224:G225)</f>
        <v>25.86</v>
      </c>
      <c r="F43" s="14">
        <f>SUM(C43:E43)</f>
        <v>1556.0199999999684</v>
      </c>
      <c r="G43" s="27"/>
      <c r="H43" s="25"/>
      <c r="I43" s="32"/>
      <c r="J43" s="14"/>
      <c r="K43" s="32"/>
      <c r="L43" s="14"/>
      <c r="M43" s="55"/>
      <c r="N43" s="14"/>
      <c r="O43" s="23"/>
      <c r="Q43" s="32"/>
      <c r="R43" s="32"/>
      <c r="S43" s="49"/>
    </row>
    <row r="44" spans="1:21" hidden="1" x14ac:dyDescent="0.2">
      <c r="A44" s="18">
        <f t="shared" ref="A44:A63" si="1">+A43+1</f>
        <v>32</v>
      </c>
      <c r="C44" s="29">
        <f>SUM(C42:C43)</f>
        <v>2782.7999999999683</v>
      </c>
      <c r="D44" s="29">
        <f>SUM(D42:D43)</f>
        <v>-1252.6399999999999</v>
      </c>
      <c r="E44" s="29">
        <f>SUM(E42:E43)</f>
        <v>25.86</v>
      </c>
      <c r="F44" s="29">
        <f>SUM(F42:F43)</f>
        <v>1556.0199999999684</v>
      </c>
      <c r="G44" s="23">
        <f>IF(F44&lt;0,ROUND(CUMIPMT($G$11/12,12,-F44,1,12,0),0),-ROUND(CUMIPMT($G$11/12,12,F44,1,12,0),0))</f>
        <v>64</v>
      </c>
      <c r="H44" s="29">
        <f>ROUND(+F44+G44,0)</f>
        <v>1620</v>
      </c>
      <c r="I44" s="32"/>
      <c r="J44" s="14">
        <f>+H44</f>
        <v>1620</v>
      </c>
      <c r="K44" s="32"/>
      <c r="L44" s="14"/>
      <c r="M44" s="31"/>
      <c r="O44" s="23"/>
      <c r="Q44" s="32"/>
      <c r="R44" s="32"/>
      <c r="S44" s="49"/>
    </row>
    <row r="45" spans="1:21" hidden="1" x14ac:dyDescent="0.2">
      <c r="A45" s="18">
        <f t="shared" si="1"/>
        <v>33</v>
      </c>
      <c r="C45" s="14"/>
      <c r="D45" s="14"/>
      <c r="E45" s="14"/>
      <c r="F45" s="14"/>
      <c r="G45" s="23"/>
      <c r="H45" s="14"/>
      <c r="I45" s="32"/>
      <c r="J45" s="14"/>
      <c r="K45" s="32"/>
      <c r="L45" s="14"/>
      <c r="M45" s="31"/>
      <c r="N45" s="14"/>
      <c r="O45" s="23"/>
      <c r="Q45" s="32"/>
      <c r="R45" s="32"/>
      <c r="S45" s="49"/>
    </row>
    <row r="46" spans="1:21" hidden="1" x14ac:dyDescent="0.2">
      <c r="A46" s="18">
        <f t="shared" si="1"/>
        <v>34</v>
      </c>
      <c r="B46" s="4" t="s">
        <v>312</v>
      </c>
      <c r="C46" s="14">
        <f>'[33]151887 WA EE Audit Defer'!I221</f>
        <v>-21556.77</v>
      </c>
      <c r="D46" s="52">
        <v>0</v>
      </c>
      <c r="E46" s="14">
        <f>SUM('[33]151887 WA EE Audit Defer'!G222:G223)</f>
        <v>-270.29999999999995</v>
      </c>
      <c r="F46" s="14">
        <f>SUM(C46:E46)</f>
        <v>-21827.07</v>
      </c>
      <c r="G46" s="23"/>
      <c r="H46" s="14"/>
      <c r="I46" s="32"/>
      <c r="J46" s="14"/>
      <c r="K46" s="32"/>
      <c r="L46" s="14"/>
      <c r="M46" s="55"/>
      <c r="N46" s="14"/>
      <c r="O46" s="23"/>
      <c r="Q46" s="32"/>
      <c r="R46" s="32"/>
      <c r="S46" s="49"/>
    </row>
    <row r="47" spans="1:21" hidden="1" x14ac:dyDescent="0.2">
      <c r="A47" s="18">
        <f t="shared" si="1"/>
        <v>35</v>
      </c>
      <c r="B47" s="4" t="s">
        <v>313</v>
      </c>
      <c r="C47" s="14">
        <f>'[33]151889 WA EE Audit AMORT'!J223</f>
        <v>30741.759999999998</v>
      </c>
      <c r="D47" s="14">
        <f>SUM('[33]151889 WA EE Audit AMORT'!D224:D225)</f>
        <v>-2297.1200000000003</v>
      </c>
      <c r="E47" s="14">
        <f>SUM('[33]151889 WA EE Audit AMORT'!G224:G225)</f>
        <v>367.32</v>
      </c>
      <c r="F47" s="14">
        <f>SUM(C47:E47)</f>
        <v>28811.96</v>
      </c>
      <c r="G47" s="27"/>
      <c r="H47" s="14"/>
      <c r="I47" s="32"/>
      <c r="J47" s="14"/>
      <c r="K47" s="32"/>
      <c r="L47" s="14"/>
      <c r="M47" s="55"/>
      <c r="N47" s="14"/>
      <c r="O47" s="23"/>
      <c r="Q47" s="32"/>
      <c r="R47" s="32"/>
      <c r="S47" s="49"/>
    </row>
    <row r="48" spans="1:21" hidden="1" x14ac:dyDescent="0.2">
      <c r="A48" s="18">
        <f t="shared" si="1"/>
        <v>36</v>
      </c>
      <c r="C48" s="29">
        <f>SUM(C46:C47)</f>
        <v>9184.989999999998</v>
      </c>
      <c r="D48" s="29">
        <f>SUM(D46:D47)</f>
        <v>-2297.1200000000003</v>
      </c>
      <c r="E48" s="29">
        <f>SUM(E46:E47)</f>
        <v>97.020000000000039</v>
      </c>
      <c r="F48" s="29">
        <f>SUM(F46:F47)</f>
        <v>6984.8899999999994</v>
      </c>
      <c r="G48" s="23">
        <f>IF(F48&lt;0,ROUND(CUMIPMT($G$11/12,12,-F48,1,12,0),0),-ROUND(CUMIPMT($G$11/12,12,F48,1,12,0),0))</f>
        <v>287</v>
      </c>
      <c r="H48" s="29">
        <f>ROUND(+F48+G48,0)</f>
        <v>7272</v>
      </c>
      <c r="I48" s="32"/>
      <c r="J48" s="14">
        <f>+H48</f>
        <v>7272</v>
      </c>
      <c r="K48" s="32"/>
      <c r="L48" s="14"/>
      <c r="M48" s="55"/>
      <c r="N48" s="14"/>
      <c r="O48" s="23"/>
      <c r="Q48" s="32"/>
      <c r="R48" s="32"/>
      <c r="S48" s="49"/>
    </row>
    <row r="49" spans="1:19" hidden="1" x14ac:dyDescent="0.2">
      <c r="A49" s="18">
        <f t="shared" si="1"/>
        <v>37</v>
      </c>
      <c r="C49" s="14"/>
      <c r="D49" s="14"/>
      <c r="E49" s="14"/>
      <c r="F49" s="14"/>
      <c r="G49" s="23"/>
      <c r="H49" s="14"/>
      <c r="I49" s="32"/>
      <c r="J49" s="14"/>
      <c r="K49" s="32"/>
      <c r="L49" s="14"/>
      <c r="M49" s="55"/>
      <c r="N49" s="14"/>
      <c r="O49" s="23"/>
      <c r="Q49" s="32"/>
      <c r="R49" s="32"/>
      <c r="S49" s="49"/>
    </row>
    <row r="50" spans="1:19" hidden="1" x14ac:dyDescent="0.2">
      <c r="A50" s="18">
        <f t="shared" si="1"/>
        <v>38</v>
      </c>
      <c r="B50" s="4" t="s">
        <v>314</v>
      </c>
      <c r="C50" s="25">
        <f>'[33]151914 Rate Mitigation Amort'!I223</f>
        <v>5025.4758480155888</v>
      </c>
      <c r="D50" s="25">
        <f>SUM('[33]151914 Rate Mitigation Amort'!D224:D225)</f>
        <v>-926.49</v>
      </c>
      <c r="E50" s="25">
        <f>SUM('[33]151914 Rate Mitigation Amort'!G224:G225)</f>
        <v>34.39</v>
      </c>
      <c r="F50" s="14">
        <f>SUM(C50:E50)</f>
        <v>4133.3758480155893</v>
      </c>
      <c r="G50" s="56">
        <f>'[33]151914 Rate Mitigation Amort'!F223</f>
        <v>4.5699999999999998E-2</v>
      </c>
      <c r="H50" s="25"/>
      <c r="I50" s="32"/>
      <c r="J50" s="14"/>
      <c r="K50" s="32"/>
      <c r="L50" s="14"/>
      <c r="M50" s="55"/>
      <c r="N50" s="14"/>
      <c r="O50" s="23"/>
      <c r="Q50" s="32"/>
      <c r="R50" s="32"/>
      <c r="S50" s="49"/>
    </row>
    <row r="51" spans="1:19" hidden="1" x14ac:dyDescent="0.2">
      <c r="A51" s="18">
        <f t="shared" si="1"/>
        <v>39</v>
      </c>
      <c r="C51" s="29">
        <f>SUM(C46:C50)</f>
        <v>23395.455848015583</v>
      </c>
      <c r="D51" s="29">
        <f>SUM(D50)</f>
        <v>-926.49</v>
      </c>
      <c r="E51" s="29">
        <f>SUM(E46:E50)</f>
        <v>228.43000000000006</v>
      </c>
      <c r="F51" s="29">
        <f>SUM(F46:F50)</f>
        <v>18103.155848015587</v>
      </c>
      <c r="G51" s="23">
        <f>IF(F51&lt;0,ROUND(CUMIPMT($G$50/12,12,-F51,1,12,0),0),-ROUND(CUMIPMT($G$50/12,12,F51,1,12,0),0))</f>
        <v>451</v>
      </c>
      <c r="H51" s="29">
        <f>ROUND(+F51+G51,0)</f>
        <v>18554</v>
      </c>
      <c r="I51" s="32"/>
      <c r="J51" s="14">
        <f>+H51</f>
        <v>18554</v>
      </c>
      <c r="K51" s="32"/>
      <c r="L51" s="14"/>
      <c r="M51" s="31"/>
      <c r="N51" s="14"/>
      <c r="O51" s="23"/>
      <c r="Q51" s="32"/>
      <c r="R51" s="32"/>
      <c r="S51" s="49"/>
    </row>
    <row r="52" spans="1:19" hidden="1" x14ac:dyDescent="0.2">
      <c r="A52" s="18">
        <f t="shared" si="1"/>
        <v>40</v>
      </c>
      <c r="C52" s="14"/>
      <c r="D52" s="14"/>
      <c r="E52" s="14"/>
      <c r="F52" s="14"/>
      <c r="G52" s="23"/>
      <c r="H52" s="14"/>
      <c r="I52" s="32"/>
      <c r="J52" s="14"/>
      <c r="K52" s="32"/>
      <c r="L52" s="14"/>
      <c r="M52" s="31"/>
      <c r="N52" s="14"/>
      <c r="O52" s="23"/>
      <c r="Q52" s="32"/>
      <c r="R52" s="32"/>
      <c r="S52" s="49"/>
    </row>
    <row r="53" spans="1:19" hidden="1" x14ac:dyDescent="0.2">
      <c r="A53" s="18">
        <f t="shared" si="1"/>
        <v>41</v>
      </c>
      <c r="B53" s="4" t="s">
        <v>315</v>
      </c>
      <c r="C53" s="47">
        <f>'[33]151884 Participatory Fund Defer'!J222</f>
        <v>0</v>
      </c>
      <c r="D53" s="47">
        <v>0</v>
      </c>
      <c r="E53" s="47">
        <f>SUM('[33]151884 Participatory Fund Defer'!G223:G224)</f>
        <v>0</v>
      </c>
      <c r="F53" s="52">
        <f>SUM(C53:E53)</f>
        <v>0</v>
      </c>
      <c r="G53" s="27"/>
      <c r="H53" s="25"/>
      <c r="I53" s="32"/>
      <c r="J53" s="14"/>
      <c r="K53" s="32"/>
      <c r="L53" s="14"/>
      <c r="M53" s="55"/>
      <c r="N53" s="14"/>
      <c r="O53" s="23"/>
      <c r="Q53" s="32"/>
      <c r="R53" s="32"/>
      <c r="S53" s="49"/>
    </row>
    <row r="54" spans="1:19" hidden="1" x14ac:dyDescent="0.2">
      <c r="A54" s="18">
        <f t="shared" si="1"/>
        <v>42</v>
      </c>
      <c r="C54" s="57">
        <f>SUM(C53)</f>
        <v>0</v>
      </c>
      <c r="D54" s="57">
        <f>SUM(D53)</f>
        <v>0</v>
      </c>
      <c r="E54" s="57">
        <f>SUM(E53)</f>
        <v>0</v>
      </c>
      <c r="F54" s="57">
        <f>SUM(F53)</f>
        <v>0</v>
      </c>
      <c r="G54" s="58">
        <v>0</v>
      </c>
      <c r="H54" s="57">
        <f>ROUND(+F54+G54,0)</f>
        <v>0</v>
      </c>
      <c r="I54" s="32"/>
      <c r="J54" s="14">
        <f>+H54</f>
        <v>0</v>
      </c>
      <c r="K54" s="32"/>
      <c r="L54" s="14"/>
      <c r="M54" s="31"/>
      <c r="N54" s="14"/>
      <c r="O54" s="23"/>
      <c r="Q54" s="32"/>
      <c r="R54" s="32"/>
      <c r="S54" s="49"/>
    </row>
    <row r="55" spans="1:19" hidden="1" x14ac:dyDescent="0.2">
      <c r="A55" s="18">
        <f t="shared" si="1"/>
        <v>43</v>
      </c>
      <c r="C55" s="14"/>
      <c r="D55" s="14"/>
      <c r="E55" s="14"/>
      <c r="F55" s="14"/>
      <c r="G55" s="23"/>
      <c r="H55" s="14"/>
      <c r="I55" s="32"/>
      <c r="J55" s="14"/>
      <c r="K55" s="32"/>
      <c r="L55" s="14"/>
      <c r="M55" s="31"/>
      <c r="N55" s="14"/>
      <c r="O55" s="23"/>
      <c r="Q55" s="32"/>
      <c r="R55" s="32"/>
      <c r="S55" s="49"/>
    </row>
    <row r="56" spans="1:19" hidden="1" x14ac:dyDescent="0.2">
      <c r="A56" s="18">
        <f t="shared" si="1"/>
        <v>44</v>
      </c>
      <c r="B56" s="4" t="s">
        <v>316</v>
      </c>
      <c r="C56" s="25">
        <f>'[33]151823 Demand Response Defer'!J221</f>
        <v>136996.75999999998</v>
      </c>
      <c r="D56" s="47">
        <v>0</v>
      </c>
      <c r="E56" s="25">
        <f>SUM('[33]151823 Demand Response Defer'!G222:G223)</f>
        <v>1074.56</v>
      </c>
      <c r="F56" s="14">
        <f>SUM(C56:E56)</f>
        <v>138071.31999999998</v>
      </c>
      <c r="G56" s="27"/>
      <c r="H56" s="25"/>
      <c r="I56" s="32"/>
      <c r="J56" s="14"/>
      <c r="K56" s="32"/>
      <c r="L56" s="14"/>
      <c r="M56" s="31"/>
      <c r="N56" s="14"/>
      <c r="O56" s="23"/>
      <c r="Q56" s="32"/>
      <c r="R56" s="32"/>
      <c r="S56" s="49"/>
    </row>
    <row r="57" spans="1:19" hidden="1" x14ac:dyDescent="0.2">
      <c r="A57" s="18">
        <f t="shared" si="1"/>
        <v>45</v>
      </c>
      <c r="C57" s="29">
        <f>SUM(C56)</f>
        <v>136996.75999999998</v>
      </c>
      <c r="D57" s="57">
        <f>SUM(D56)</f>
        <v>0</v>
      </c>
      <c r="E57" s="29">
        <f>SUM(E56)</f>
        <v>1074.56</v>
      </c>
      <c r="F57" s="29">
        <f>SUM(F56)</f>
        <v>138071.31999999998</v>
      </c>
      <c r="G57" s="58">
        <v>0</v>
      </c>
      <c r="H57" s="29">
        <f>ROUND(+F57+G57,0)</f>
        <v>138071</v>
      </c>
      <c r="I57" s="32"/>
      <c r="J57" s="14">
        <f>+H57</f>
        <v>138071</v>
      </c>
      <c r="K57" s="32"/>
      <c r="L57" s="14"/>
      <c r="M57" s="31"/>
      <c r="N57" s="14"/>
      <c r="O57" s="23"/>
      <c r="Q57" s="32"/>
      <c r="R57" s="32"/>
      <c r="S57" s="49"/>
    </row>
    <row r="58" spans="1:19" hidden="1" x14ac:dyDescent="0.2">
      <c r="A58" s="18">
        <f t="shared" si="1"/>
        <v>46</v>
      </c>
      <c r="C58" s="14"/>
      <c r="D58" s="14"/>
      <c r="E58" s="14"/>
      <c r="F58" s="14"/>
      <c r="G58" s="23"/>
      <c r="H58" s="14"/>
      <c r="I58" s="32"/>
      <c r="J58" s="14"/>
      <c r="K58" s="32"/>
      <c r="L58" s="14"/>
      <c r="M58" s="31"/>
      <c r="N58" s="14"/>
      <c r="O58" s="23"/>
      <c r="Q58" s="32"/>
      <c r="R58" s="32"/>
      <c r="S58" s="49"/>
    </row>
    <row r="59" spans="1:19" hidden="1" x14ac:dyDescent="0.2">
      <c r="A59" s="18">
        <f t="shared" si="1"/>
        <v>47</v>
      </c>
      <c r="C59" s="32"/>
      <c r="D59" s="14"/>
      <c r="E59" s="14"/>
      <c r="F59" s="14"/>
      <c r="G59" s="32"/>
      <c r="H59" s="32"/>
      <c r="I59" s="32"/>
      <c r="J59" s="32"/>
      <c r="K59" s="32"/>
      <c r="L59" s="14"/>
      <c r="M59" s="31"/>
      <c r="N59" s="14"/>
      <c r="O59" s="23"/>
      <c r="Q59" s="32"/>
      <c r="R59" s="32"/>
      <c r="S59" s="49"/>
    </row>
    <row r="60" spans="1:19" ht="13.5" hidden="1" thickBot="1" x14ac:dyDescent="0.25">
      <c r="A60" s="18">
        <f t="shared" si="1"/>
        <v>48</v>
      </c>
      <c r="B60" s="3" t="s">
        <v>317</v>
      </c>
      <c r="C60" s="59">
        <f t="shared" ref="C60:H60" si="2">+C34+C29+C24+C16+C20+C40+C44+C48+C51+C54+C57</f>
        <v>-13552195.130918669</v>
      </c>
      <c r="D60" s="59">
        <f t="shared" si="2"/>
        <v>240433.10999999996</v>
      </c>
      <c r="E60" s="59">
        <f t="shared" si="2"/>
        <v>-142093.39000000001</v>
      </c>
      <c r="F60" s="59">
        <f t="shared" si="2"/>
        <v>-13458449.650918668</v>
      </c>
      <c r="G60" s="59">
        <f t="shared" si="2"/>
        <v>-558960</v>
      </c>
      <c r="H60" s="59">
        <f t="shared" si="2"/>
        <v>-14017410</v>
      </c>
      <c r="I60" s="32"/>
      <c r="J60" s="59">
        <f>SUM(J13:J59)</f>
        <v>-14017410</v>
      </c>
      <c r="K60" s="32"/>
      <c r="L60" s="14"/>
      <c r="M60" s="14"/>
      <c r="N60" s="14"/>
      <c r="Q60" s="32"/>
      <c r="R60" s="14"/>
    </row>
    <row r="61" spans="1:19" hidden="1" x14ac:dyDescent="0.2">
      <c r="A61" s="18">
        <f t="shared" si="1"/>
        <v>49</v>
      </c>
      <c r="C61" s="32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9" hidden="1" x14ac:dyDescent="0.2">
      <c r="A62" s="18">
        <f t="shared" si="1"/>
        <v>50</v>
      </c>
      <c r="B62" s="60" t="s">
        <v>318</v>
      </c>
      <c r="C62" s="32"/>
      <c r="D62" s="14"/>
      <c r="E62" s="14"/>
      <c r="F62" s="14"/>
      <c r="G62" s="14"/>
      <c r="H62" s="20"/>
      <c r="I62" s="14"/>
      <c r="J62" s="14"/>
      <c r="K62" s="14"/>
      <c r="L62" s="14"/>
      <c r="M62" s="14"/>
      <c r="N62" s="14"/>
    </row>
    <row r="63" spans="1:19" hidden="1" x14ac:dyDescent="0.2">
      <c r="A63" s="18">
        <f t="shared" si="1"/>
        <v>51</v>
      </c>
      <c r="B63" s="61"/>
      <c r="C63" s="32"/>
      <c r="D63" s="14"/>
      <c r="E63" s="14"/>
      <c r="F63" s="14"/>
      <c r="G63" s="14"/>
      <c r="H63" s="14"/>
      <c r="I63" s="14"/>
      <c r="J63" s="14"/>
      <c r="K63" s="14"/>
      <c r="L63" s="14"/>
      <c r="O63" s="14"/>
      <c r="P63" s="14"/>
    </row>
    <row r="64" spans="1:19" x14ac:dyDescent="0.2">
      <c r="A64" s="18"/>
      <c r="C64" s="62"/>
      <c r="D64" s="14"/>
      <c r="E64" s="14"/>
      <c r="F64" s="14"/>
      <c r="G64" s="14"/>
      <c r="H64" s="14"/>
      <c r="I64" s="14"/>
      <c r="J64" s="14"/>
      <c r="K64" s="14"/>
      <c r="L64" s="14"/>
      <c r="M64" s="14"/>
      <c r="O64" s="14"/>
      <c r="P64" s="14"/>
    </row>
    <row r="65" spans="1:16" x14ac:dyDescent="0.2">
      <c r="A65" s="18"/>
      <c r="C65" s="6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">
      <c r="A66" s="16"/>
      <c r="C66" s="6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">
      <c r="A67" s="16"/>
      <c r="C67" s="6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">
      <c r="C68" s="6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">
      <c r="B69" s="64"/>
      <c r="C69" s="6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">
      <c r="B70" s="64"/>
      <c r="C70" s="6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">
      <c r="B71" s="64"/>
      <c r="C71" s="6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">
      <c r="B72" s="64"/>
      <c r="C72" s="6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">
      <c r="B73" s="64"/>
      <c r="C73" s="6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">
      <c r="B74" s="64"/>
      <c r="C74" s="6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">
      <c r="B75" s="64"/>
      <c r="C75" s="6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">
      <c r="B76" s="6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">
      <c r="B77" s="6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">
      <c r="B78" s="6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">
      <c r="B79" s="6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">
      <c r="B80" s="6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2" x14ac:dyDescent="0.2">
      <c r="B81" s="64"/>
    </row>
    <row r="82" spans="2:2" x14ac:dyDescent="0.2">
      <c r="B82" s="64"/>
    </row>
    <row r="83" spans="2:2" x14ac:dyDescent="0.2">
      <c r="B83" s="65"/>
    </row>
    <row r="84" spans="2:2" x14ac:dyDescent="0.2">
      <c r="B84" s="64"/>
    </row>
    <row r="85" spans="2:2" x14ac:dyDescent="0.2">
      <c r="B85" s="64"/>
    </row>
    <row r="86" spans="2:2" x14ac:dyDescent="0.2">
      <c r="B86" s="64"/>
    </row>
    <row r="87" spans="2:2" x14ac:dyDescent="0.2">
      <c r="B87" s="64"/>
    </row>
    <row r="88" spans="2:2" x14ac:dyDescent="0.2">
      <c r="B88" s="34"/>
    </row>
  </sheetData>
  <printOptions horizontalCentered="1"/>
  <pageMargins left="0.5" right="0.5" top="0.5" bottom="0.5" header="0.25" footer="0.25"/>
  <pageSetup scale="45" orientation="landscape" r:id="rId1"/>
  <headerFooter alignWithMargins="0">
    <oddHeader>&amp;R&amp;"Arial,Regular"NWN WUTC Advice 25-08
Exhibit A - Supporting Materials
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F42A-AF19-42AB-A6D6-E1B7232BD50C}">
  <sheetPr>
    <tabColor theme="0" tint="-0.14999847407452621"/>
    <pageSetUpPr fitToPage="1"/>
  </sheetPr>
  <dimension ref="A1:K250"/>
  <sheetViews>
    <sheetView zoomScaleNormal="100" zoomScaleSheetLayoutView="100" workbookViewId="0">
      <pane xSplit="3" ySplit="12" topLeftCell="D13" activePane="bottomRight" state="frozen"/>
      <selection activeCell="BK11" sqref="BK11"/>
      <selection pane="topRight" activeCell="BK11" sqref="BK11"/>
      <selection pane="bottomLeft" activeCell="BK11" sqref="BK11"/>
      <selection pane="bottomRight" activeCell="G8" sqref="G8"/>
    </sheetView>
  </sheetViews>
  <sheetFormatPr defaultColWidth="9.1640625" defaultRowHeight="12.75" outlineLevelRow="1" x14ac:dyDescent="0.2"/>
  <cols>
    <col min="1" max="1" width="4.6640625" style="68" customWidth="1"/>
    <col min="2" max="2" width="15.6640625" style="66" customWidth="1"/>
    <col min="3" max="3" width="10.5" style="66" customWidth="1"/>
    <col min="4" max="4" width="18.5" style="67" customWidth="1"/>
    <col min="5" max="5" width="17.1640625" style="67" bestFit="1" customWidth="1"/>
    <col min="6" max="7" width="15.6640625" style="67" customWidth="1"/>
    <col min="8" max="9" width="21.83203125" style="67" customWidth="1"/>
    <col min="10" max="10" width="15.6640625" style="67" customWidth="1"/>
    <col min="11" max="20" width="15.6640625" style="66" customWidth="1"/>
    <col min="21" max="16384" width="9.1640625" style="66"/>
  </cols>
  <sheetData>
    <row r="1" spans="1:10" x14ac:dyDescent="0.2">
      <c r="B1" s="66" t="s">
        <v>345</v>
      </c>
      <c r="D1" s="67" t="s">
        <v>344</v>
      </c>
    </row>
    <row r="2" spans="1:10" x14ac:dyDescent="0.2">
      <c r="B2" s="66" t="s">
        <v>343</v>
      </c>
      <c r="D2" s="67" t="s">
        <v>2</v>
      </c>
    </row>
    <row r="3" spans="1:10" x14ac:dyDescent="0.2">
      <c r="B3" s="66" t="s">
        <v>342</v>
      </c>
      <c r="D3" s="97" t="s">
        <v>341</v>
      </c>
    </row>
    <row r="4" spans="1:10" x14ac:dyDescent="0.2">
      <c r="B4" s="66" t="s">
        <v>340</v>
      </c>
      <c r="D4" s="96">
        <v>151540</v>
      </c>
    </row>
    <row r="5" spans="1:10" x14ac:dyDescent="0.2">
      <c r="D5" s="66" t="s">
        <v>339</v>
      </c>
    </row>
    <row r="6" spans="1:10" x14ac:dyDescent="0.2">
      <c r="D6" s="66" t="s">
        <v>338</v>
      </c>
    </row>
    <row r="8" spans="1:10" x14ac:dyDescent="0.2">
      <c r="A8" s="71">
        <v>1</v>
      </c>
      <c r="B8" s="66" t="s">
        <v>337</v>
      </c>
      <c r="G8" s="92"/>
    </row>
    <row r="9" spans="1:10" x14ac:dyDescent="0.2">
      <c r="A9" s="71">
        <f t="shared" ref="A9:A72" si="0">+A8+1</f>
        <v>2</v>
      </c>
      <c r="G9" s="92"/>
    </row>
    <row r="10" spans="1:10" x14ac:dyDescent="0.2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0" x14ac:dyDescent="0.2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x14ac:dyDescent="0.2">
      <c r="A13" s="71">
        <f t="shared" si="0"/>
        <v>6</v>
      </c>
      <c r="G13" s="92"/>
    </row>
    <row r="14" spans="1:10" hidden="1" outlineLevel="1" x14ac:dyDescent="0.2">
      <c r="A14" s="71">
        <f t="shared" si="0"/>
        <v>7</v>
      </c>
      <c r="B14" s="70" t="s">
        <v>323</v>
      </c>
    </row>
    <row r="15" spans="1:10" hidden="1" outlineLevel="1" x14ac:dyDescent="0.2">
      <c r="A15" s="71">
        <f t="shared" si="0"/>
        <v>8</v>
      </c>
      <c r="B15" s="66">
        <v>39021</v>
      </c>
      <c r="G15" s="75"/>
      <c r="I15" s="67">
        <v>-572607</v>
      </c>
    </row>
    <row r="16" spans="1:10" hidden="1" outlineLevel="1" x14ac:dyDescent="0.2">
      <c r="A16" s="71">
        <f t="shared" si="0"/>
        <v>9</v>
      </c>
      <c r="B16" s="66">
        <f>+B15+30</f>
        <v>39051</v>
      </c>
      <c r="D16" s="67">
        <f>-659171+121091</f>
        <v>-538080</v>
      </c>
      <c r="E16" s="67">
        <v>572607</v>
      </c>
      <c r="G16" s="75">
        <f>-2126+391</f>
        <v>-1735</v>
      </c>
      <c r="H16" s="67">
        <f t="shared" ref="H16:H53" si="1">SUM(D16:G16)</f>
        <v>32792</v>
      </c>
      <c r="I16" s="75">
        <f t="shared" ref="I16:I53" si="2">+I15+H16</f>
        <v>-539815</v>
      </c>
    </row>
    <row r="17" spans="1:10" hidden="1" outlineLevel="1" x14ac:dyDescent="0.2">
      <c r="A17" s="71">
        <f t="shared" si="0"/>
        <v>10</v>
      </c>
      <c r="B17" s="66">
        <f>+B16+31</f>
        <v>39082</v>
      </c>
      <c r="D17" s="67">
        <v>-800115</v>
      </c>
      <c r="G17" s="75">
        <v>-6062</v>
      </c>
      <c r="H17" s="67">
        <f t="shared" si="1"/>
        <v>-806177</v>
      </c>
      <c r="I17" s="75">
        <f t="shared" si="2"/>
        <v>-1345992</v>
      </c>
    </row>
    <row r="18" spans="1:10" hidden="1" outlineLevel="1" x14ac:dyDescent="0.2">
      <c r="A18" s="71">
        <f t="shared" si="0"/>
        <v>11</v>
      </c>
      <c r="B18" s="66">
        <f>+B17+31</f>
        <v>39113</v>
      </c>
      <c r="D18" s="67">
        <v>-1224489</v>
      </c>
      <c r="G18" s="75">
        <v>-13332</v>
      </c>
      <c r="H18" s="67">
        <f t="shared" si="1"/>
        <v>-1237821</v>
      </c>
      <c r="I18" s="75">
        <f t="shared" si="2"/>
        <v>-2583813</v>
      </c>
    </row>
    <row r="19" spans="1:10" hidden="1" outlineLevel="1" x14ac:dyDescent="0.2">
      <c r="A19" s="71">
        <f t="shared" si="0"/>
        <v>12</v>
      </c>
      <c r="B19" s="66">
        <f>+B18+28</f>
        <v>39141</v>
      </c>
      <c r="D19" s="67">
        <v>-518677</v>
      </c>
      <c r="G19" s="75">
        <v>-19357</v>
      </c>
      <c r="H19" s="67">
        <f t="shared" si="1"/>
        <v>-538034</v>
      </c>
      <c r="I19" s="75">
        <f t="shared" si="2"/>
        <v>-3121847</v>
      </c>
    </row>
    <row r="20" spans="1:10" hidden="1" outlineLevel="1" x14ac:dyDescent="0.2">
      <c r="A20" s="71">
        <f t="shared" si="0"/>
        <v>13</v>
      </c>
      <c r="B20" s="66">
        <f>+B19+31</f>
        <v>39172</v>
      </c>
      <c r="D20" s="67">
        <v>-456707</v>
      </c>
      <c r="G20" s="75">
        <v>-22809</v>
      </c>
      <c r="H20" s="67">
        <f t="shared" si="1"/>
        <v>-479516</v>
      </c>
      <c r="I20" s="75">
        <f t="shared" si="2"/>
        <v>-3601363</v>
      </c>
    </row>
    <row r="21" spans="1:10" hidden="1" outlineLevel="1" x14ac:dyDescent="0.2">
      <c r="A21" s="71">
        <f t="shared" si="0"/>
        <v>14</v>
      </c>
      <c r="B21" s="66">
        <f>+B20+30</f>
        <v>39202</v>
      </c>
      <c r="D21" s="67">
        <v>-394725</v>
      </c>
      <c r="G21" s="75">
        <v>-25420</v>
      </c>
      <c r="H21" s="67">
        <f t="shared" si="1"/>
        <v>-420145</v>
      </c>
      <c r="I21" s="75">
        <f t="shared" si="2"/>
        <v>-4021508</v>
      </c>
    </row>
    <row r="22" spans="1:10" hidden="1" outlineLevel="1" x14ac:dyDescent="0.2">
      <c r="A22" s="71">
        <f t="shared" si="0"/>
        <v>15</v>
      </c>
      <c r="B22" s="66">
        <f>+B21+31</f>
        <v>39233</v>
      </c>
      <c r="D22" s="67">
        <v>-95593</v>
      </c>
      <c r="G22" s="75">
        <v>-27736</v>
      </c>
      <c r="H22" s="67">
        <f t="shared" si="1"/>
        <v>-123329</v>
      </c>
      <c r="I22" s="75">
        <f t="shared" si="2"/>
        <v>-4144837</v>
      </c>
    </row>
    <row r="23" spans="1:10" hidden="1" outlineLevel="1" x14ac:dyDescent="0.2">
      <c r="A23" s="71">
        <f t="shared" si="0"/>
        <v>16</v>
      </c>
      <c r="B23" s="66">
        <f>+B22+30</f>
        <v>39263</v>
      </c>
      <c r="D23" s="67">
        <f>-173503+19332</f>
        <v>-154171</v>
      </c>
      <c r="G23" s="75">
        <f>-29719+66</f>
        <v>-29653</v>
      </c>
      <c r="H23" s="67">
        <f t="shared" si="1"/>
        <v>-183824</v>
      </c>
      <c r="I23" s="75">
        <f t="shared" si="2"/>
        <v>-4328661</v>
      </c>
      <c r="J23" s="75"/>
    </row>
    <row r="24" spans="1:10" hidden="1" outlineLevel="1" x14ac:dyDescent="0.2">
      <c r="A24" s="71">
        <f t="shared" si="0"/>
        <v>17</v>
      </c>
      <c r="B24" s="66">
        <f>+B23+31</f>
        <v>39294</v>
      </c>
      <c r="D24" s="67">
        <v>-45933</v>
      </c>
      <c r="G24" s="75">
        <v>-29929</v>
      </c>
      <c r="H24" s="67">
        <f t="shared" si="1"/>
        <v>-75862</v>
      </c>
      <c r="I24" s="75">
        <f t="shared" si="2"/>
        <v>-4404523</v>
      </c>
      <c r="J24" s="75"/>
    </row>
    <row r="25" spans="1:10" hidden="1" outlineLevel="1" x14ac:dyDescent="0.2">
      <c r="A25" s="71">
        <f t="shared" si="0"/>
        <v>18</v>
      </c>
      <c r="B25" s="66">
        <f>+B24+30</f>
        <v>39324</v>
      </c>
      <c r="D25" s="67">
        <v>-129781</v>
      </c>
      <c r="G25" s="75">
        <v>-30747</v>
      </c>
      <c r="H25" s="67">
        <f t="shared" si="1"/>
        <v>-160528</v>
      </c>
      <c r="I25" s="75">
        <f t="shared" si="2"/>
        <v>-4565051</v>
      </c>
      <c r="J25" s="75"/>
    </row>
    <row r="26" spans="1:10" hidden="1" outlineLevel="1" x14ac:dyDescent="0.2">
      <c r="A26" s="71">
        <f t="shared" si="0"/>
        <v>19</v>
      </c>
      <c r="B26" s="66">
        <f>+B25+30</f>
        <v>39354</v>
      </c>
      <c r="D26" s="67">
        <v>-124964</v>
      </c>
      <c r="G26" s="75">
        <v>-31796</v>
      </c>
      <c r="H26" s="67">
        <f t="shared" si="1"/>
        <v>-156760</v>
      </c>
      <c r="I26" s="75">
        <f t="shared" si="2"/>
        <v>-4721811</v>
      </c>
    </row>
    <row r="27" spans="1:10" hidden="1" outlineLevel="1" x14ac:dyDescent="0.2">
      <c r="A27" s="71">
        <f t="shared" si="0"/>
        <v>20</v>
      </c>
      <c r="B27" s="66">
        <f>+B26+31</f>
        <v>39385</v>
      </c>
      <c r="D27" s="67">
        <v>-956238</v>
      </c>
      <c r="G27" s="76">
        <v>-35748</v>
      </c>
      <c r="H27" s="67">
        <f t="shared" si="1"/>
        <v>-991986</v>
      </c>
      <c r="I27" s="75">
        <f t="shared" si="2"/>
        <v>-5713797</v>
      </c>
    </row>
    <row r="28" spans="1:10" hidden="1" outlineLevel="1" x14ac:dyDescent="0.2">
      <c r="A28" s="71">
        <f t="shared" si="0"/>
        <v>21</v>
      </c>
      <c r="B28" s="66">
        <f>+B27+30</f>
        <v>39415</v>
      </c>
      <c r="C28" s="66" t="s">
        <v>322</v>
      </c>
      <c r="D28" s="67">
        <v>-251012</v>
      </c>
      <c r="E28" s="67">
        <f>-I27</f>
        <v>5713797</v>
      </c>
      <c r="G28" s="76">
        <v>-863</v>
      </c>
      <c r="H28" s="67">
        <f t="shared" si="1"/>
        <v>5461922</v>
      </c>
      <c r="I28" s="75">
        <f t="shared" si="2"/>
        <v>-251875</v>
      </c>
    </row>
    <row r="29" spans="1:10" hidden="1" outlineLevel="1" x14ac:dyDescent="0.2">
      <c r="A29" s="71">
        <f t="shared" si="0"/>
        <v>22</v>
      </c>
      <c r="B29" s="66">
        <f>+B28+31</f>
        <v>39446</v>
      </c>
      <c r="D29" s="67">
        <v>-94642</v>
      </c>
      <c r="G29" s="76">
        <v>-2063</v>
      </c>
      <c r="H29" s="67">
        <f t="shared" si="1"/>
        <v>-96705</v>
      </c>
      <c r="I29" s="75">
        <f t="shared" si="2"/>
        <v>-348580</v>
      </c>
    </row>
    <row r="30" spans="1:10" hidden="1" outlineLevel="1" x14ac:dyDescent="0.2">
      <c r="A30" s="71">
        <f t="shared" si="0"/>
        <v>23</v>
      </c>
      <c r="B30" s="66">
        <f>+B29+31</f>
        <v>39477</v>
      </c>
      <c r="D30" s="67">
        <v>-417920</v>
      </c>
      <c r="G30" s="76">
        <v>-3836</v>
      </c>
      <c r="H30" s="67">
        <f t="shared" si="1"/>
        <v>-421756</v>
      </c>
      <c r="I30" s="75">
        <f t="shared" si="2"/>
        <v>-770336</v>
      </c>
    </row>
    <row r="31" spans="1:10" hidden="1" outlineLevel="1" x14ac:dyDescent="0.2">
      <c r="A31" s="71">
        <f t="shared" si="0"/>
        <v>24</v>
      </c>
      <c r="B31" s="66">
        <f>+B30+29</f>
        <v>39506</v>
      </c>
      <c r="D31" s="67">
        <f>-150692-20483</f>
        <v>-171175</v>
      </c>
      <c r="G31" s="76">
        <f>-5814-70</f>
        <v>-5884</v>
      </c>
      <c r="H31" s="67">
        <f t="shared" si="1"/>
        <v>-177059</v>
      </c>
      <c r="I31" s="75">
        <f t="shared" si="2"/>
        <v>-947395</v>
      </c>
    </row>
    <row r="32" spans="1:10" hidden="1" outlineLevel="1" x14ac:dyDescent="0.2">
      <c r="A32" s="71">
        <f t="shared" si="0"/>
        <v>25</v>
      </c>
      <c r="B32" s="66">
        <f>+B31+31</f>
        <v>39537</v>
      </c>
      <c r="D32" s="67">
        <v>-30905</v>
      </c>
      <c r="G32" s="76">
        <v>-6678</v>
      </c>
      <c r="H32" s="67">
        <f t="shared" si="1"/>
        <v>-37583</v>
      </c>
      <c r="I32" s="75">
        <f t="shared" si="2"/>
        <v>-984978</v>
      </c>
    </row>
    <row r="33" spans="1:11" hidden="1" outlineLevel="1" x14ac:dyDescent="0.2">
      <c r="A33" s="71">
        <f t="shared" si="0"/>
        <v>26</v>
      </c>
      <c r="B33" s="66">
        <f>+B32+30</f>
        <v>39567</v>
      </c>
      <c r="D33" s="67">
        <v>666668</v>
      </c>
      <c r="G33" s="76">
        <v>-2692</v>
      </c>
      <c r="H33" s="67">
        <f t="shared" si="1"/>
        <v>663976</v>
      </c>
      <c r="I33" s="75">
        <f t="shared" si="2"/>
        <v>-321002</v>
      </c>
    </row>
    <row r="34" spans="1:11" hidden="1" outlineLevel="1" x14ac:dyDescent="0.2">
      <c r="A34" s="71">
        <f t="shared" si="0"/>
        <v>27</v>
      </c>
      <c r="B34" s="66">
        <f>+B33+31</f>
        <v>39598</v>
      </c>
      <c r="D34" s="67">
        <f>798058+25438</f>
        <v>823496</v>
      </c>
      <c r="G34" s="76">
        <f>440+72</f>
        <v>512</v>
      </c>
      <c r="H34" s="67">
        <f t="shared" si="1"/>
        <v>824008</v>
      </c>
      <c r="I34" s="75">
        <f t="shared" si="2"/>
        <v>503006</v>
      </c>
    </row>
    <row r="35" spans="1:11" hidden="1" outlineLevel="1" x14ac:dyDescent="0.2">
      <c r="A35" s="71">
        <f t="shared" si="0"/>
        <v>28</v>
      </c>
      <c r="B35" s="66">
        <f>+B34+30</f>
        <v>39628</v>
      </c>
      <c r="D35" s="67">
        <v>452181</v>
      </c>
      <c r="G35" s="76">
        <v>3231</v>
      </c>
      <c r="H35" s="67">
        <f t="shared" si="1"/>
        <v>455412</v>
      </c>
      <c r="I35" s="75">
        <f t="shared" si="2"/>
        <v>958418</v>
      </c>
    </row>
    <row r="36" spans="1:11" hidden="1" outlineLevel="1" x14ac:dyDescent="0.2">
      <c r="A36" s="71">
        <f t="shared" si="0"/>
        <v>29</v>
      </c>
      <c r="B36" s="66">
        <f>+B35+31</f>
        <v>39659</v>
      </c>
      <c r="D36" s="67">
        <v>763141</v>
      </c>
      <c r="G36" s="76">
        <f>ROUND((+I35+E36+(D36/2))*0.053/12,2)</f>
        <v>5918.28</v>
      </c>
      <c r="H36" s="67">
        <f t="shared" si="1"/>
        <v>769059.28</v>
      </c>
      <c r="I36" s="75">
        <f t="shared" si="2"/>
        <v>1727477.28</v>
      </c>
    </row>
    <row r="37" spans="1:11" hidden="1" outlineLevel="1" x14ac:dyDescent="0.2">
      <c r="A37" s="71">
        <f t="shared" si="0"/>
        <v>30</v>
      </c>
      <c r="B37" s="66">
        <f>+B36+30</f>
        <v>39689</v>
      </c>
      <c r="D37" s="67">
        <v>366677</v>
      </c>
      <c r="G37" s="76">
        <f>ROUND((+I36+E37+(D37/2))*0.053/12,2)</f>
        <v>8439.44</v>
      </c>
      <c r="H37" s="67">
        <f t="shared" si="1"/>
        <v>375116.44</v>
      </c>
      <c r="I37" s="75">
        <f t="shared" si="2"/>
        <v>2102593.7200000002</v>
      </c>
    </row>
    <row r="38" spans="1:11" hidden="1" outlineLevel="1" x14ac:dyDescent="0.2">
      <c r="A38" s="71">
        <f t="shared" si="0"/>
        <v>31</v>
      </c>
      <c r="B38" s="66">
        <f>+B37+30</f>
        <v>39719</v>
      </c>
      <c r="D38" s="67">
        <v>149827</v>
      </c>
      <c r="G38" s="76">
        <f>ROUND((+I37+E38+(D38/2))*0.053/12,2)</f>
        <v>9617.32</v>
      </c>
      <c r="H38" s="67">
        <f t="shared" si="1"/>
        <v>159444.32</v>
      </c>
      <c r="I38" s="75">
        <f t="shared" si="2"/>
        <v>2262038.04</v>
      </c>
    </row>
    <row r="39" spans="1:11" hidden="1" outlineLevel="1" x14ac:dyDescent="0.2">
      <c r="A39" s="71">
        <f t="shared" si="0"/>
        <v>32</v>
      </c>
      <c r="B39" s="66">
        <f>+B38+31</f>
        <v>39750</v>
      </c>
      <c r="D39" s="67">
        <v>-3075.65</v>
      </c>
      <c r="G39" s="76">
        <f>ROUND((+I38+E39+(D39/2))*0.05/12,2)</f>
        <v>9418.75</v>
      </c>
      <c r="H39" s="67">
        <f t="shared" si="1"/>
        <v>6343.1</v>
      </c>
      <c r="I39" s="75">
        <f t="shared" si="2"/>
        <v>2268381.14</v>
      </c>
    </row>
    <row r="40" spans="1:11" hidden="1" outlineLevel="1" x14ac:dyDescent="0.2">
      <c r="A40" s="71">
        <f t="shared" si="0"/>
        <v>33</v>
      </c>
      <c r="B40" s="66">
        <f>+B39+30</f>
        <v>39780</v>
      </c>
      <c r="D40" s="67">
        <v>221507</v>
      </c>
      <c r="E40" s="67">
        <v>-2262733</v>
      </c>
      <c r="G40" s="76">
        <f>ROUND((+I39+E40+(D40/2))*0.05/12,2)</f>
        <v>485.01</v>
      </c>
      <c r="H40" s="67">
        <f t="shared" si="1"/>
        <v>-2040740.99</v>
      </c>
      <c r="I40" s="75">
        <f t="shared" si="2"/>
        <v>227640.15000000014</v>
      </c>
    </row>
    <row r="41" spans="1:11" hidden="1" outlineLevel="1" x14ac:dyDescent="0.2">
      <c r="A41" s="71">
        <f t="shared" si="0"/>
        <v>34</v>
      </c>
      <c r="B41" s="66">
        <f>+B40+31</f>
        <v>39811</v>
      </c>
      <c r="D41" s="67">
        <v>-361614</v>
      </c>
      <c r="G41" s="76">
        <f>ROUND((+I40+E41+(D41/2))*0.05/12,2)</f>
        <v>195.14</v>
      </c>
      <c r="H41" s="67">
        <f t="shared" si="1"/>
        <v>-361418.86</v>
      </c>
      <c r="I41" s="75">
        <f t="shared" si="2"/>
        <v>-133778.70999999985</v>
      </c>
    </row>
    <row r="42" spans="1:11" hidden="1" outlineLevel="1" x14ac:dyDescent="0.2">
      <c r="A42" s="71">
        <f t="shared" si="0"/>
        <v>35</v>
      </c>
      <c r="B42" s="66">
        <f>+B41+31</f>
        <v>39842</v>
      </c>
      <c r="D42" s="67">
        <v>-1259795</v>
      </c>
      <c r="G42" s="76">
        <f>ROUND((+I41+E42+(D42/2))*0.0452/12,2)</f>
        <v>-2876.51</v>
      </c>
      <c r="H42" s="67">
        <f t="shared" si="1"/>
        <v>-1262671.51</v>
      </c>
      <c r="I42" s="75">
        <f t="shared" si="2"/>
        <v>-1396450.2199999997</v>
      </c>
    </row>
    <row r="43" spans="1:11" hidden="1" outlineLevel="1" x14ac:dyDescent="0.2">
      <c r="A43" s="71">
        <f t="shared" si="0"/>
        <v>36</v>
      </c>
      <c r="B43" s="66">
        <f>+B42+28</f>
        <v>39870</v>
      </c>
      <c r="D43" s="67">
        <v>-1429813</v>
      </c>
      <c r="G43" s="76">
        <f>ROUND((+I42+E43+(D43/2))*0.0452/12,2)</f>
        <v>-7952.78</v>
      </c>
      <c r="H43" s="67">
        <f t="shared" si="1"/>
        <v>-1437765.78</v>
      </c>
      <c r="I43" s="75">
        <f t="shared" si="2"/>
        <v>-2834216</v>
      </c>
    </row>
    <row r="44" spans="1:11" hidden="1" outlineLevel="1" x14ac:dyDescent="0.2">
      <c r="A44" s="71">
        <f t="shared" si="0"/>
        <v>37</v>
      </c>
      <c r="B44" s="66">
        <f>+B43+31</f>
        <v>39901</v>
      </c>
      <c r="D44" s="67">
        <v>-1225130</v>
      </c>
      <c r="G44" s="76">
        <f>ROUND((+I43+E44+(D44/2))*0.0452/12,2)</f>
        <v>-12982.88</v>
      </c>
      <c r="H44" s="67">
        <f t="shared" si="1"/>
        <v>-1238112.8799999999</v>
      </c>
      <c r="I44" s="75">
        <f t="shared" si="2"/>
        <v>-4072328.88</v>
      </c>
    </row>
    <row r="45" spans="1:11" hidden="1" outlineLevel="1" x14ac:dyDescent="0.2">
      <c r="A45" s="71">
        <f t="shared" si="0"/>
        <v>38</v>
      </c>
      <c r="B45" s="66">
        <f>+B44+30</f>
        <v>39931</v>
      </c>
      <c r="D45" s="67">
        <v>-933652</v>
      </c>
      <c r="G45" s="76">
        <f>ROUND((+I44+E45+(D45/2))*0.0337/12,2)</f>
        <v>-12747.46</v>
      </c>
      <c r="H45" s="67">
        <f t="shared" si="1"/>
        <v>-946399.46</v>
      </c>
      <c r="I45" s="75">
        <f t="shared" si="2"/>
        <v>-5018728.34</v>
      </c>
    </row>
    <row r="46" spans="1:11" hidden="1" outlineLevel="1" x14ac:dyDescent="0.2">
      <c r="A46" s="71">
        <f t="shared" si="0"/>
        <v>39</v>
      </c>
      <c r="B46" s="66">
        <f>+B45+31</f>
        <v>39962</v>
      </c>
      <c r="D46" s="67">
        <v>-510376</v>
      </c>
      <c r="G46" s="76">
        <f>ROUND((+I45+E46+(D46/2))*0.0337/12,2)</f>
        <v>-14810.92</v>
      </c>
      <c r="H46" s="67">
        <f t="shared" si="1"/>
        <v>-525186.92000000004</v>
      </c>
      <c r="I46" s="75">
        <f t="shared" si="2"/>
        <v>-5543915.2599999998</v>
      </c>
    </row>
    <row r="47" spans="1:11" hidden="1" outlineLevel="1" x14ac:dyDescent="0.2">
      <c r="A47" s="71">
        <f t="shared" si="0"/>
        <v>40</v>
      </c>
      <c r="B47" s="66">
        <f>+B46+30</f>
        <v>39992</v>
      </c>
      <c r="D47" s="67">
        <v>-504170</v>
      </c>
      <c r="E47" s="67">
        <f>-I44</f>
        <v>4072328.88</v>
      </c>
      <c r="G47" s="76">
        <f>ROUND((+I46+E47+(D47/2))*0.0337/12,2)</f>
        <v>-4840.6400000000003</v>
      </c>
      <c r="H47" s="67">
        <f t="shared" si="1"/>
        <v>3563318.2399999998</v>
      </c>
      <c r="I47" s="75">
        <f t="shared" si="2"/>
        <v>-1980597.02</v>
      </c>
    </row>
    <row r="48" spans="1:11" hidden="1" outlineLevel="1" x14ac:dyDescent="0.2">
      <c r="A48" s="71">
        <f t="shared" si="0"/>
        <v>41</v>
      </c>
      <c r="B48" s="66">
        <f>+B47+31</f>
        <v>40023</v>
      </c>
      <c r="D48" s="67">
        <v>-565700</v>
      </c>
      <c r="G48" s="76">
        <f t="shared" ref="G48:G53" si="3">ROUND((+I47+E48+(D48/2))*0.0325/12,2)</f>
        <v>-6130.17</v>
      </c>
      <c r="H48" s="67">
        <f t="shared" si="1"/>
        <v>-571830.17000000004</v>
      </c>
      <c r="I48" s="75">
        <f t="shared" si="2"/>
        <v>-2552427.19</v>
      </c>
      <c r="K48" s="67"/>
    </row>
    <row r="49" spans="1:11" hidden="1" outlineLevel="1" x14ac:dyDescent="0.2">
      <c r="A49" s="71">
        <f t="shared" si="0"/>
        <v>42</v>
      </c>
      <c r="B49" s="66">
        <f>+B48+30</f>
        <v>40053</v>
      </c>
      <c r="D49" s="67">
        <v>-585509</v>
      </c>
      <c r="G49" s="76">
        <f t="shared" si="3"/>
        <v>-7705.7</v>
      </c>
      <c r="H49" s="67">
        <f t="shared" si="1"/>
        <v>-593214.69999999995</v>
      </c>
      <c r="I49" s="75">
        <f t="shared" si="2"/>
        <v>-3145641.8899999997</v>
      </c>
    </row>
    <row r="50" spans="1:11" hidden="1" outlineLevel="1" x14ac:dyDescent="0.2">
      <c r="A50" s="71">
        <f t="shared" si="0"/>
        <v>43</v>
      </c>
      <c r="B50" s="66">
        <f>+B49+30</f>
        <v>40083</v>
      </c>
      <c r="D50" s="67">
        <v>-552800</v>
      </c>
      <c r="G50" s="76">
        <f t="shared" si="3"/>
        <v>-9268.0300000000007</v>
      </c>
      <c r="H50" s="67">
        <f t="shared" si="1"/>
        <v>-562068.03</v>
      </c>
      <c r="I50" s="75">
        <f t="shared" si="2"/>
        <v>-3707709.92</v>
      </c>
      <c r="K50" s="67"/>
    </row>
    <row r="51" spans="1:11" hidden="1" outlineLevel="1" x14ac:dyDescent="0.2">
      <c r="A51" s="71">
        <f t="shared" si="0"/>
        <v>44</v>
      </c>
      <c r="B51" s="66">
        <f>+B50+31</f>
        <v>40114</v>
      </c>
      <c r="D51" s="67">
        <v>-690884</v>
      </c>
      <c r="G51" s="76">
        <f t="shared" si="3"/>
        <v>-10977.29</v>
      </c>
      <c r="H51" s="67">
        <f t="shared" si="1"/>
        <v>-701861.29</v>
      </c>
      <c r="I51" s="75">
        <f t="shared" si="2"/>
        <v>-4409571.21</v>
      </c>
    </row>
    <row r="52" spans="1:11" hidden="1" outlineLevel="1" x14ac:dyDescent="0.2">
      <c r="A52" s="71">
        <f t="shared" si="0"/>
        <v>45</v>
      </c>
      <c r="B52" s="66">
        <f>+B51+30</f>
        <v>40144</v>
      </c>
      <c r="D52" s="67">
        <f>-491232-107125</f>
        <v>-598357</v>
      </c>
      <c r="E52" s="67">
        <f>-I51</f>
        <v>4409571.21</v>
      </c>
      <c r="G52" s="76">
        <f t="shared" si="3"/>
        <v>-810.28</v>
      </c>
      <c r="H52" s="67">
        <f t="shared" si="1"/>
        <v>3810403.93</v>
      </c>
      <c r="I52" s="75">
        <f t="shared" si="2"/>
        <v>-599167.2799999998</v>
      </c>
    </row>
    <row r="53" spans="1:11" hidden="1" outlineLevel="1" x14ac:dyDescent="0.2">
      <c r="A53" s="71">
        <f t="shared" si="0"/>
        <v>46</v>
      </c>
      <c r="B53" s="66">
        <f>+B52+31</f>
        <v>40175</v>
      </c>
      <c r="D53" s="67">
        <v>-63112</v>
      </c>
      <c r="G53" s="76">
        <f t="shared" si="3"/>
        <v>-1708.21</v>
      </c>
      <c r="H53" s="67">
        <f t="shared" si="1"/>
        <v>-64820.21</v>
      </c>
      <c r="I53" s="75">
        <f t="shared" si="2"/>
        <v>-663987.48999999976</v>
      </c>
    </row>
    <row r="54" spans="1:11" hidden="1" outlineLevel="1" x14ac:dyDescent="0.2">
      <c r="A54" s="71">
        <f t="shared" si="0"/>
        <v>47</v>
      </c>
      <c r="B54" s="66">
        <f>+B53+31</f>
        <v>40206</v>
      </c>
      <c r="G54" s="76"/>
      <c r="I54" s="75"/>
    </row>
    <row r="55" spans="1:11" hidden="1" outlineLevel="1" x14ac:dyDescent="0.2">
      <c r="A55" s="71">
        <f t="shared" si="0"/>
        <v>48</v>
      </c>
      <c r="B55" s="66">
        <f>+B53+31</f>
        <v>40206</v>
      </c>
      <c r="D55" s="67">
        <v>20464</v>
      </c>
      <c r="G55" s="76">
        <f>ROUND((+I53+E55+(D55/2))*0.0325/12,2)</f>
        <v>-1770.59</v>
      </c>
      <c r="H55" s="67">
        <f t="shared" ref="H55:H88" si="4">SUM(D55:G55)</f>
        <v>18693.41</v>
      </c>
      <c r="I55" s="75">
        <f>+I53+H55</f>
        <v>-645294.07999999973</v>
      </c>
    </row>
    <row r="56" spans="1:11" hidden="1" outlineLevel="1" x14ac:dyDescent="0.2">
      <c r="A56" s="71">
        <f t="shared" si="0"/>
        <v>49</v>
      </c>
      <c r="B56" s="66">
        <f>+B55+28</f>
        <v>40234</v>
      </c>
      <c r="D56" s="67">
        <v>-94128</v>
      </c>
      <c r="G56" s="76">
        <f>ROUND((+I55+E56+(D56/2))*0.0325/12,2)</f>
        <v>-1875.14</v>
      </c>
      <c r="H56" s="67">
        <f t="shared" si="4"/>
        <v>-96003.14</v>
      </c>
      <c r="I56" s="75">
        <f t="shared" ref="I56:I87" si="5">+I55+H56</f>
        <v>-741297.21999999974</v>
      </c>
    </row>
    <row r="57" spans="1:11" hidden="1" outlineLevel="1" x14ac:dyDescent="0.2">
      <c r="A57" s="71">
        <f t="shared" si="0"/>
        <v>50</v>
      </c>
      <c r="B57" s="66">
        <f>+B56+31</f>
        <v>40265</v>
      </c>
      <c r="D57" s="67">
        <v>-229421</v>
      </c>
      <c r="G57" s="76">
        <f>ROUND((+I56+E57+(D57/2))*0.0325/12,2)</f>
        <v>-2318.35</v>
      </c>
      <c r="H57" s="67">
        <f t="shared" si="4"/>
        <v>-231739.35</v>
      </c>
      <c r="I57" s="75">
        <f t="shared" si="5"/>
        <v>-973036.56999999972</v>
      </c>
    </row>
    <row r="58" spans="1:11" hidden="1" outlineLevel="1" x14ac:dyDescent="0.2">
      <c r="A58" s="71">
        <f t="shared" si="0"/>
        <v>51</v>
      </c>
      <c r="B58" s="66">
        <f>+B57+30</f>
        <v>40295</v>
      </c>
      <c r="D58" s="67">
        <f>-199009-16421</f>
        <v>-215430</v>
      </c>
      <c r="G58" s="76">
        <f>ROUND((+I57+E58+(D58/2))*0.0325/12,2)</f>
        <v>-2927.04</v>
      </c>
      <c r="H58" s="67">
        <f t="shared" si="4"/>
        <v>-218357.04</v>
      </c>
      <c r="I58" s="75">
        <f t="shared" si="5"/>
        <v>-1191393.6099999996</v>
      </c>
    </row>
    <row r="59" spans="1:11" hidden="1" outlineLevel="1" x14ac:dyDescent="0.2">
      <c r="A59" s="71">
        <f t="shared" si="0"/>
        <v>52</v>
      </c>
      <c r="B59" s="66">
        <f>+B58+31</f>
        <v>40326</v>
      </c>
      <c r="D59" s="67">
        <f>-227121-32022</f>
        <v>-259143</v>
      </c>
      <c r="G59" s="67">
        <f>-3534+226</f>
        <v>-3308</v>
      </c>
      <c r="H59" s="67">
        <f t="shared" si="4"/>
        <v>-262451</v>
      </c>
      <c r="I59" s="75">
        <f t="shared" si="5"/>
        <v>-1453844.6099999996</v>
      </c>
    </row>
    <row r="60" spans="1:11" hidden="1" outlineLevel="1" x14ac:dyDescent="0.2">
      <c r="A60" s="71">
        <f t="shared" si="0"/>
        <v>53</v>
      </c>
      <c r="B60" s="66">
        <f>+B59+30</f>
        <v>40356</v>
      </c>
      <c r="D60" s="67">
        <v>-153349</v>
      </c>
      <c r="G60" s="67">
        <v>-4666</v>
      </c>
      <c r="H60" s="67">
        <f t="shared" si="4"/>
        <v>-158015</v>
      </c>
      <c r="I60" s="75">
        <f t="shared" si="5"/>
        <v>-1611859.6099999996</v>
      </c>
    </row>
    <row r="61" spans="1:11" hidden="1" outlineLevel="1" x14ac:dyDescent="0.2">
      <c r="A61" s="71">
        <f t="shared" si="0"/>
        <v>54</v>
      </c>
      <c r="B61" s="66">
        <f>+B60+31</f>
        <v>40387</v>
      </c>
      <c r="D61" s="67">
        <v>-29164</v>
      </c>
      <c r="G61" s="67">
        <v>-4674</v>
      </c>
      <c r="H61" s="67">
        <f t="shared" si="4"/>
        <v>-33838</v>
      </c>
      <c r="I61" s="75">
        <f t="shared" si="5"/>
        <v>-1645697.6099999996</v>
      </c>
    </row>
    <row r="62" spans="1:11" hidden="1" outlineLevel="1" x14ac:dyDescent="0.2">
      <c r="A62" s="71">
        <f t="shared" si="0"/>
        <v>55</v>
      </c>
      <c r="B62" s="66">
        <f>+B61+30</f>
        <v>40417</v>
      </c>
      <c r="D62" s="67">
        <v>-40283</v>
      </c>
      <c r="G62" s="76">
        <f>ROUND((+I61+E62+(D62/2))*0.0325/12,2)</f>
        <v>-4511.6499999999996</v>
      </c>
      <c r="H62" s="67">
        <f t="shared" si="4"/>
        <v>-44794.65</v>
      </c>
      <c r="I62" s="75">
        <f t="shared" si="5"/>
        <v>-1690492.2599999995</v>
      </c>
    </row>
    <row r="63" spans="1:11" hidden="1" outlineLevel="1" x14ac:dyDescent="0.2">
      <c r="A63" s="71">
        <f t="shared" si="0"/>
        <v>56</v>
      </c>
      <c r="B63" s="66">
        <f>+B62+30</f>
        <v>40447</v>
      </c>
      <c r="D63" s="67">
        <v>-151042</v>
      </c>
      <c r="G63" s="76">
        <f>ROUND((+I62+E63+(D63/2))*0.0325/12,2)</f>
        <v>-4782.95</v>
      </c>
      <c r="H63" s="67">
        <f t="shared" si="4"/>
        <v>-155824.95000000001</v>
      </c>
      <c r="I63" s="75">
        <f t="shared" si="5"/>
        <v>-1846317.2099999995</v>
      </c>
    </row>
    <row r="64" spans="1:11" hidden="1" outlineLevel="1" x14ac:dyDescent="0.2">
      <c r="A64" s="71">
        <f t="shared" si="0"/>
        <v>57</v>
      </c>
      <c r="B64" s="66">
        <f>+B63+31</f>
        <v>40478</v>
      </c>
      <c r="D64" s="67">
        <v>-154888</v>
      </c>
      <c r="G64" s="76">
        <f>ROUND((+I63+E64+(D64/2))*0.0325/12,2)+524.4</f>
        <v>-4685.79</v>
      </c>
      <c r="H64" s="67">
        <f t="shared" si="4"/>
        <v>-159573.79</v>
      </c>
      <c r="I64" s="75">
        <f t="shared" si="5"/>
        <v>-2005890.9999999995</v>
      </c>
    </row>
    <row r="65" spans="1:9" hidden="1" outlineLevel="1" x14ac:dyDescent="0.2">
      <c r="A65" s="71">
        <f t="shared" si="0"/>
        <v>58</v>
      </c>
      <c r="B65" s="66">
        <f>+B64+30</f>
        <v>40508</v>
      </c>
      <c r="D65" s="67">
        <v>-193432</v>
      </c>
      <c r="E65" s="67">
        <f>-I64</f>
        <v>2005890.9999999995</v>
      </c>
      <c r="G65" s="76">
        <f>ROUND((+I64+E65+(D65/2))*0.0325/12,0)</f>
        <v>-262</v>
      </c>
      <c r="H65" s="67">
        <f t="shared" si="4"/>
        <v>1812196.9999999995</v>
      </c>
      <c r="I65" s="75">
        <f t="shared" si="5"/>
        <v>-193694</v>
      </c>
    </row>
    <row r="66" spans="1:9" hidden="1" outlineLevel="1" x14ac:dyDescent="0.2">
      <c r="A66" s="71">
        <f t="shared" si="0"/>
        <v>59</v>
      </c>
      <c r="B66" s="66">
        <f>+B65+31</f>
        <v>40539</v>
      </c>
      <c r="D66" s="67">
        <v>-163905</v>
      </c>
      <c r="G66" s="76">
        <f>ROUND((+I65+E66+(D66/2))*0.0325/12,0)</f>
        <v>-747</v>
      </c>
      <c r="H66" s="67">
        <f t="shared" si="4"/>
        <v>-164652</v>
      </c>
      <c r="I66" s="75">
        <f t="shared" si="5"/>
        <v>-358346</v>
      </c>
    </row>
    <row r="67" spans="1:9" hidden="1" outlineLevel="1" x14ac:dyDescent="0.2">
      <c r="A67" s="71">
        <f t="shared" si="0"/>
        <v>60</v>
      </c>
      <c r="B67" s="66">
        <f>+B66+31</f>
        <v>40570</v>
      </c>
      <c r="D67" s="67">
        <v>-121982</v>
      </c>
      <c r="F67" s="77">
        <v>3.2500000000000001E-2</v>
      </c>
      <c r="G67" s="76">
        <f t="shared" ref="G67:G113" si="6">ROUND((+I66+E67+(D67/2))*F67/12,0)</f>
        <v>-1136</v>
      </c>
      <c r="H67" s="67">
        <f t="shared" si="4"/>
        <v>-123117.9675</v>
      </c>
      <c r="I67" s="75">
        <f t="shared" si="5"/>
        <v>-481463.96750000003</v>
      </c>
    </row>
    <row r="68" spans="1:9" hidden="1" outlineLevel="1" x14ac:dyDescent="0.2">
      <c r="A68" s="71">
        <f t="shared" si="0"/>
        <v>61</v>
      </c>
      <c r="B68" s="66">
        <f>+B67+28</f>
        <v>40598</v>
      </c>
      <c r="D68" s="67">
        <v>-395599</v>
      </c>
      <c r="F68" s="77">
        <v>3.2500000000000001E-2</v>
      </c>
      <c r="G68" s="76">
        <f t="shared" si="6"/>
        <v>-1840</v>
      </c>
      <c r="H68" s="67">
        <f t="shared" si="4"/>
        <v>-397438.96750000003</v>
      </c>
      <c r="I68" s="75">
        <f t="shared" si="5"/>
        <v>-878902.93500000006</v>
      </c>
    </row>
    <row r="69" spans="1:9" hidden="1" outlineLevel="1" x14ac:dyDescent="0.2">
      <c r="A69" s="71">
        <f t="shared" si="0"/>
        <v>62</v>
      </c>
      <c r="B69" s="66">
        <f>+B68+31</f>
        <v>40629</v>
      </c>
      <c r="D69" s="67">
        <v>-239077</v>
      </c>
      <c r="F69" s="77">
        <v>3.2500000000000001E-2</v>
      </c>
      <c r="G69" s="76">
        <f t="shared" si="6"/>
        <v>-2704</v>
      </c>
      <c r="H69" s="67">
        <f t="shared" si="4"/>
        <v>-241780.9675</v>
      </c>
      <c r="I69" s="75">
        <f t="shared" si="5"/>
        <v>-1120683.9025000001</v>
      </c>
    </row>
    <row r="70" spans="1:9" hidden="1" outlineLevel="1" x14ac:dyDescent="0.2">
      <c r="A70" s="71">
        <f t="shared" si="0"/>
        <v>63</v>
      </c>
      <c r="B70" s="66">
        <f>+B69+30</f>
        <v>40659</v>
      </c>
      <c r="D70" s="67">
        <v>-424355</v>
      </c>
      <c r="F70" s="77">
        <v>3.2500000000000001E-2</v>
      </c>
      <c r="G70" s="76">
        <f t="shared" si="6"/>
        <v>-3610</v>
      </c>
      <c r="H70" s="67">
        <f t="shared" si="4"/>
        <v>-427964.96750000003</v>
      </c>
      <c r="I70" s="75">
        <f t="shared" si="5"/>
        <v>-1548648.87</v>
      </c>
    </row>
    <row r="71" spans="1:9" hidden="1" outlineLevel="1" x14ac:dyDescent="0.2">
      <c r="A71" s="71">
        <f t="shared" si="0"/>
        <v>64</v>
      </c>
      <c r="B71" s="66">
        <f>+B70+31</f>
        <v>40690</v>
      </c>
      <c r="D71" s="67">
        <v>-98440</v>
      </c>
      <c r="F71" s="77">
        <v>3.2500000000000001E-2</v>
      </c>
      <c r="G71" s="76">
        <f t="shared" si="6"/>
        <v>-4328</v>
      </c>
      <c r="H71" s="67">
        <f t="shared" si="4"/>
        <v>-102767.9675</v>
      </c>
      <c r="I71" s="75">
        <f t="shared" si="5"/>
        <v>-1651416.8375000001</v>
      </c>
    </row>
    <row r="72" spans="1:9" hidden="1" outlineLevel="1" x14ac:dyDescent="0.2">
      <c r="A72" s="71">
        <f t="shared" si="0"/>
        <v>65</v>
      </c>
      <c r="B72" s="66">
        <f>+B71+30</f>
        <v>40720</v>
      </c>
      <c r="D72" s="67">
        <v>-66489</v>
      </c>
      <c r="F72" s="77">
        <v>3.2500000000000001E-2</v>
      </c>
      <c r="G72" s="76">
        <f t="shared" si="6"/>
        <v>-4563</v>
      </c>
      <c r="H72" s="67">
        <f t="shared" si="4"/>
        <v>-71051.967499999999</v>
      </c>
      <c r="I72" s="75">
        <f t="shared" si="5"/>
        <v>-1722468.8050000002</v>
      </c>
    </row>
    <row r="73" spans="1:9" hidden="1" outlineLevel="1" x14ac:dyDescent="0.2">
      <c r="A73" s="71">
        <f t="shared" ref="A73:A136" si="7">+A72+1</f>
        <v>66</v>
      </c>
      <c r="B73" s="66">
        <f>+B72+31</f>
        <v>40751</v>
      </c>
      <c r="D73" s="67">
        <v>-20369</v>
      </c>
      <c r="F73" s="77">
        <v>3.2500000000000001E-2</v>
      </c>
      <c r="G73" s="76">
        <f t="shared" si="6"/>
        <v>-4693</v>
      </c>
      <c r="H73" s="67">
        <f t="shared" si="4"/>
        <v>-25061.967499999999</v>
      </c>
      <c r="I73" s="75">
        <f t="shared" si="5"/>
        <v>-1747530.7725000002</v>
      </c>
    </row>
    <row r="74" spans="1:9" hidden="1" outlineLevel="1" x14ac:dyDescent="0.2">
      <c r="A74" s="71">
        <f t="shared" si="7"/>
        <v>67</v>
      </c>
      <c r="B74" s="66">
        <f>+B73+30</f>
        <v>40781</v>
      </c>
      <c r="D74" s="67">
        <v>-38725</v>
      </c>
      <c r="F74" s="77">
        <v>3.2500000000000001E-2</v>
      </c>
      <c r="G74" s="76">
        <f t="shared" si="6"/>
        <v>-4785</v>
      </c>
      <c r="H74" s="67">
        <f t="shared" si="4"/>
        <v>-43509.967499999999</v>
      </c>
      <c r="I74" s="75">
        <f t="shared" si="5"/>
        <v>-1791040.7400000002</v>
      </c>
    </row>
    <row r="75" spans="1:9" hidden="1" outlineLevel="1" x14ac:dyDescent="0.2">
      <c r="A75" s="71">
        <f t="shared" si="7"/>
        <v>68</v>
      </c>
      <c r="B75" s="66">
        <f>+B74+30</f>
        <v>40811</v>
      </c>
      <c r="D75" s="67">
        <v>-72610</v>
      </c>
      <c r="F75" s="77">
        <v>3.2500000000000001E-2</v>
      </c>
      <c r="G75" s="76">
        <f t="shared" si="6"/>
        <v>-4949</v>
      </c>
      <c r="H75" s="67">
        <f t="shared" si="4"/>
        <v>-77558.967499999999</v>
      </c>
      <c r="I75" s="75">
        <f t="shared" si="5"/>
        <v>-1868599.7075000003</v>
      </c>
    </row>
    <row r="76" spans="1:9" hidden="1" outlineLevel="1" x14ac:dyDescent="0.2">
      <c r="A76" s="71">
        <f t="shared" si="7"/>
        <v>69</v>
      </c>
      <c r="B76" s="66">
        <f>+B75+31</f>
        <v>40842</v>
      </c>
      <c r="C76" s="87">
        <v>1</v>
      </c>
      <c r="D76" s="67">
        <v>-141352</v>
      </c>
      <c r="E76" s="67">
        <v>3</v>
      </c>
      <c r="F76" s="77">
        <v>3.2500000000000001E-2</v>
      </c>
      <c r="G76" s="76">
        <f t="shared" si="6"/>
        <v>-5252</v>
      </c>
      <c r="H76" s="67">
        <f t="shared" si="4"/>
        <v>-146600.9675</v>
      </c>
      <c r="I76" s="75">
        <f t="shared" si="5"/>
        <v>-2015200.6750000003</v>
      </c>
    </row>
    <row r="77" spans="1:9" hidden="1" outlineLevel="1" x14ac:dyDescent="0.2">
      <c r="A77" s="71">
        <f t="shared" si="7"/>
        <v>70</v>
      </c>
      <c r="B77" s="66">
        <f>+B76+30</f>
        <v>40872</v>
      </c>
      <c r="C77" s="87">
        <v>1</v>
      </c>
      <c r="D77" s="67">
        <v>-361900</v>
      </c>
      <c r="E77" s="67">
        <f>-I76</f>
        <v>2015200.6750000003</v>
      </c>
      <c r="F77" s="77">
        <v>3.2500000000000001E-2</v>
      </c>
      <c r="G77" s="76">
        <f t="shared" si="6"/>
        <v>-490</v>
      </c>
      <c r="H77" s="67">
        <f t="shared" si="4"/>
        <v>1652810.7075000003</v>
      </c>
      <c r="I77" s="75">
        <f t="shared" si="5"/>
        <v>-362389.96750000003</v>
      </c>
    </row>
    <row r="78" spans="1:9" hidden="1" outlineLevel="1" x14ac:dyDescent="0.2">
      <c r="A78" s="71">
        <f t="shared" si="7"/>
        <v>71</v>
      </c>
      <c r="B78" s="66">
        <f>+B77+31</f>
        <v>40903</v>
      </c>
      <c r="D78" s="67">
        <v>-703241</v>
      </c>
      <c r="F78" s="77">
        <v>3.2500000000000001E-2</v>
      </c>
      <c r="G78" s="76">
        <f t="shared" si="6"/>
        <v>-1934</v>
      </c>
      <c r="H78" s="67">
        <f t="shared" si="4"/>
        <v>-705174.96750000003</v>
      </c>
      <c r="I78" s="75">
        <f t="shared" si="5"/>
        <v>-1067564.9350000001</v>
      </c>
    </row>
    <row r="79" spans="1:9" hidden="1" outlineLevel="1" x14ac:dyDescent="0.2">
      <c r="A79" s="71">
        <f t="shared" si="7"/>
        <v>72</v>
      </c>
      <c r="B79" s="66">
        <f>+B78+31</f>
        <v>40934</v>
      </c>
      <c r="D79" s="67">
        <v>-958052</v>
      </c>
      <c r="F79" s="77">
        <v>3.2500000000000001E-2</v>
      </c>
      <c r="G79" s="76">
        <f t="shared" si="6"/>
        <v>-4189</v>
      </c>
      <c r="H79" s="67">
        <f t="shared" si="4"/>
        <v>-962240.96750000003</v>
      </c>
      <c r="I79" s="75">
        <f t="shared" si="5"/>
        <v>-2029805.9025000001</v>
      </c>
    </row>
    <row r="80" spans="1:9" hidden="1" outlineLevel="1" x14ac:dyDescent="0.2">
      <c r="A80" s="71">
        <f t="shared" si="7"/>
        <v>73</v>
      </c>
      <c r="B80" s="66">
        <f>+B79+29</f>
        <v>40963</v>
      </c>
      <c r="D80" s="67">
        <v>-1079065</v>
      </c>
      <c r="F80" s="77">
        <v>3.2500000000000001E-2</v>
      </c>
      <c r="G80" s="76">
        <f t="shared" si="6"/>
        <v>-6959</v>
      </c>
      <c r="H80" s="67">
        <f t="shared" si="4"/>
        <v>-1086023.9675</v>
      </c>
      <c r="I80" s="75">
        <f t="shared" si="5"/>
        <v>-3115829.87</v>
      </c>
    </row>
    <row r="81" spans="1:9" hidden="1" outlineLevel="1" x14ac:dyDescent="0.2">
      <c r="A81" s="71">
        <f t="shared" si="7"/>
        <v>74</v>
      </c>
      <c r="B81" s="66">
        <f>+B80+31</f>
        <v>40994</v>
      </c>
      <c r="D81" s="67">
        <v>-930736</v>
      </c>
      <c r="F81" s="77">
        <v>3.2500000000000001E-2</v>
      </c>
      <c r="G81" s="76">
        <f t="shared" si="6"/>
        <v>-9699</v>
      </c>
      <c r="H81" s="67">
        <f t="shared" si="4"/>
        <v>-940434.96750000003</v>
      </c>
      <c r="I81" s="75">
        <f t="shared" si="5"/>
        <v>-4056264.8375000004</v>
      </c>
    </row>
    <row r="82" spans="1:9" hidden="1" outlineLevel="1" x14ac:dyDescent="0.2">
      <c r="A82" s="71">
        <f t="shared" si="7"/>
        <v>75</v>
      </c>
      <c r="B82" s="66">
        <f>+B81+30</f>
        <v>41024</v>
      </c>
      <c r="D82" s="67">
        <v>-85118</v>
      </c>
      <c r="F82" s="77">
        <v>3.2500000000000001E-2</v>
      </c>
      <c r="G82" s="76">
        <f t="shared" si="6"/>
        <v>-11101</v>
      </c>
      <c r="H82" s="67">
        <f t="shared" si="4"/>
        <v>-96218.967499999999</v>
      </c>
      <c r="I82" s="75">
        <f t="shared" si="5"/>
        <v>-4152483.8050000002</v>
      </c>
    </row>
    <row r="83" spans="1:9" hidden="1" outlineLevel="1" x14ac:dyDescent="0.2">
      <c r="A83" s="71">
        <f t="shared" si="7"/>
        <v>76</v>
      </c>
      <c r="B83" s="66">
        <f>+B82+31</f>
        <v>41055</v>
      </c>
      <c r="D83" s="67">
        <v>-315878</v>
      </c>
      <c r="F83" s="77">
        <v>3.2500000000000001E-2</v>
      </c>
      <c r="G83" s="76">
        <f t="shared" si="6"/>
        <v>-11674</v>
      </c>
      <c r="H83" s="67">
        <f t="shared" si="4"/>
        <v>-327551.96750000003</v>
      </c>
      <c r="I83" s="75">
        <f t="shared" si="5"/>
        <v>-4480035.7725</v>
      </c>
    </row>
    <row r="84" spans="1:9" hidden="1" outlineLevel="1" x14ac:dyDescent="0.2">
      <c r="A84" s="71">
        <f t="shared" si="7"/>
        <v>77</v>
      </c>
      <c r="B84" s="66">
        <f>+B83+30</f>
        <v>41085</v>
      </c>
      <c r="C84" s="87">
        <v>2</v>
      </c>
      <c r="D84" s="67">
        <v>718.62</v>
      </c>
      <c r="E84" s="67">
        <v>4061107</v>
      </c>
      <c r="F84" s="77">
        <v>3.2500000000000001E-2</v>
      </c>
      <c r="G84" s="76">
        <f t="shared" si="6"/>
        <v>-1134</v>
      </c>
      <c r="H84" s="67">
        <f t="shared" si="4"/>
        <v>4060691.6525000003</v>
      </c>
      <c r="I84" s="75">
        <f t="shared" si="5"/>
        <v>-419344.11999999965</v>
      </c>
    </row>
    <row r="85" spans="1:9" hidden="1" outlineLevel="1" x14ac:dyDescent="0.2">
      <c r="A85" s="71">
        <f t="shared" si="7"/>
        <v>78</v>
      </c>
      <c r="B85" s="66">
        <f>+B84+31</f>
        <v>41116</v>
      </c>
      <c r="D85" s="67">
        <v>0</v>
      </c>
      <c r="F85" s="77">
        <v>3.2500000000000001E-2</v>
      </c>
      <c r="G85" s="76">
        <f t="shared" si="6"/>
        <v>-1136</v>
      </c>
      <c r="H85" s="67">
        <f t="shared" si="4"/>
        <v>-1135.9675</v>
      </c>
      <c r="I85" s="75">
        <f t="shared" si="5"/>
        <v>-420480.08749999967</v>
      </c>
    </row>
    <row r="86" spans="1:9" hidden="1" outlineLevel="1" x14ac:dyDescent="0.2">
      <c r="A86" s="71">
        <f t="shared" si="7"/>
        <v>79</v>
      </c>
      <c r="B86" s="66">
        <f>+B85+30</f>
        <v>41146</v>
      </c>
      <c r="D86" s="67">
        <v>0</v>
      </c>
      <c r="F86" s="77">
        <v>3.2500000000000001E-2</v>
      </c>
      <c r="G86" s="76">
        <f t="shared" si="6"/>
        <v>-1139</v>
      </c>
      <c r="H86" s="67">
        <f t="shared" si="4"/>
        <v>-1138.9675</v>
      </c>
      <c r="I86" s="75">
        <f t="shared" si="5"/>
        <v>-421619.0549999997</v>
      </c>
    </row>
    <row r="87" spans="1:9" hidden="1" outlineLevel="1" x14ac:dyDescent="0.2">
      <c r="A87" s="71">
        <f t="shared" si="7"/>
        <v>80</v>
      </c>
      <c r="B87" s="66">
        <f>+B86+30</f>
        <v>41176</v>
      </c>
      <c r="D87" s="67">
        <v>0</v>
      </c>
      <c r="F87" s="77">
        <v>3.2500000000000001E-2</v>
      </c>
      <c r="G87" s="76">
        <f t="shared" si="6"/>
        <v>-1142</v>
      </c>
      <c r="H87" s="67">
        <f t="shared" si="4"/>
        <v>-1141.9675</v>
      </c>
      <c r="I87" s="75">
        <f t="shared" si="5"/>
        <v>-422761.02249999973</v>
      </c>
    </row>
    <row r="88" spans="1:9" hidden="1" outlineLevel="1" x14ac:dyDescent="0.2">
      <c r="A88" s="71">
        <f t="shared" si="7"/>
        <v>81</v>
      </c>
      <c r="B88" s="66">
        <f>+B87+31</f>
        <v>41207</v>
      </c>
      <c r="D88" s="67">
        <v>-315011</v>
      </c>
      <c r="F88" s="77">
        <v>3.2500000000000001E-2</v>
      </c>
      <c r="G88" s="76">
        <f t="shared" si="6"/>
        <v>-1572</v>
      </c>
      <c r="H88" s="67">
        <f t="shared" si="4"/>
        <v>-316582.96750000003</v>
      </c>
      <c r="I88" s="75">
        <f t="shared" ref="I88:I119" si="8">+I87+H88</f>
        <v>-739343.98999999976</v>
      </c>
    </row>
    <row r="89" spans="1:9" hidden="1" outlineLevel="1" x14ac:dyDescent="0.2">
      <c r="A89" s="71">
        <f t="shared" si="7"/>
        <v>82</v>
      </c>
      <c r="B89" s="66">
        <f>+B88+30</f>
        <v>41237</v>
      </c>
      <c r="C89" s="87">
        <v>1</v>
      </c>
      <c r="D89" s="67">
        <v>-3131</v>
      </c>
      <c r="E89" s="67">
        <f>-I88</f>
        <v>739343.98999999976</v>
      </c>
      <c r="F89" s="77">
        <v>3.2500000000000001E-2</v>
      </c>
      <c r="G89" s="76">
        <f t="shared" si="6"/>
        <v>-4</v>
      </c>
      <c r="H89" s="67">
        <f t="shared" ref="H89:H120" si="9">SUM(D89:E89,G89)</f>
        <v>736208.98999999976</v>
      </c>
      <c r="I89" s="75">
        <f t="shared" si="8"/>
        <v>-3135</v>
      </c>
    </row>
    <row r="90" spans="1:9" hidden="1" outlineLevel="1" x14ac:dyDescent="0.2">
      <c r="A90" s="71">
        <f t="shared" si="7"/>
        <v>83</v>
      </c>
      <c r="B90" s="66">
        <f>+B89+31</f>
        <v>41268</v>
      </c>
      <c r="D90" s="67">
        <v>-50040</v>
      </c>
      <c r="F90" s="77">
        <v>3.2500000000000001E-2</v>
      </c>
      <c r="G90" s="76">
        <f t="shared" si="6"/>
        <v>-76</v>
      </c>
      <c r="H90" s="67">
        <f t="shared" si="9"/>
        <v>-50116</v>
      </c>
      <c r="I90" s="75">
        <f t="shared" si="8"/>
        <v>-53251</v>
      </c>
    </row>
    <row r="91" spans="1:9" hidden="1" outlineLevel="1" x14ac:dyDescent="0.2">
      <c r="A91" s="71">
        <f t="shared" si="7"/>
        <v>84</v>
      </c>
      <c r="B91" s="66">
        <f>+B90+31</f>
        <v>41299</v>
      </c>
      <c r="D91" s="67">
        <v>-136612</v>
      </c>
      <c r="F91" s="77">
        <v>3.2500000000000001E-2</v>
      </c>
      <c r="G91" s="76">
        <f t="shared" si="6"/>
        <v>-329</v>
      </c>
      <c r="H91" s="67">
        <f t="shared" si="9"/>
        <v>-136941</v>
      </c>
      <c r="I91" s="75">
        <f t="shared" si="8"/>
        <v>-190192</v>
      </c>
    </row>
    <row r="92" spans="1:9" hidden="1" outlineLevel="1" x14ac:dyDescent="0.2">
      <c r="A92" s="71">
        <f t="shared" si="7"/>
        <v>85</v>
      </c>
      <c r="B92" s="66">
        <f>+B91+28</f>
        <v>41327</v>
      </c>
      <c r="D92" s="67">
        <v>-277705</v>
      </c>
      <c r="F92" s="77">
        <v>3.2500000000000001E-2</v>
      </c>
      <c r="G92" s="76">
        <f t="shared" si="6"/>
        <v>-891</v>
      </c>
      <c r="H92" s="67">
        <f t="shared" si="9"/>
        <v>-278596</v>
      </c>
      <c r="I92" s="75">
        <f t="shared" si="8"/>
        <v>-468788</v>
      </c>
    </row>
    <row r="93" spans="1:9" hidden="1" outlineLevel="1" x14ac:dyDescent="0.2">
      <c r="A93" s="71">
        <f t="shared" si="7"/>
        <v>86</v>
      </c>
      <c r="B93" s="66">
        <f>+B92+31</f>
        <v>41358</v>
      </c>
      <c r="D93" s="67">
        <v>127284</v>
      </c>
      <c r="F93" s="77">
        <v>3.2500000000000001E-2</v>
      </c>
      <c r="G93" s="76">
        <f t="shared" si="6"/>
        <v>-1097</v>
      </c>
      <c r="H93" s="67">
        <f t="shared" si="9"/>
        <v>126187</v>
      </c>
      <c r="I93" s="75">
        <f t="shared" si="8"/>
        <v>-342601</v>
      </c>
    </row>
    <row r="94" spans="1:9" hidden="1" outlineLevel="1" x14ac:dyDescent="0.2">
      <c r="A94" s="71">
        <f t="shared" si="7"/>
        <v>87</v>
      </c>
      <c r="B94" s="66">
        <f>+B93+30</f>
        <v>41388</v>
      </c>
      <c r="D94" s="91">
        <v>-118502</v>
      </c>
      <c r="F94" s="77">
        <v>3.2500000000000001E-2</v>
      </c>
      <c r="G94" s="76">
        <f t="shared" si="6"/>
        <v>-1088</v>
      </c>
      <c r="H94" s="67">
        <f t="shared" si="9"/>
        <v>-119590</v>
      </c>
      <c r="I94" s="75">
        <f t="shared" si="8"/>
        <v>-462191</v>
      </c>
    </row>
    <row r="95" spans="1:9" hidden="1" outlineLevel="1" x14ac:dyDescent="0.2">
      <c r="A95" s="71">
        <f t="shared" si="7"/>
        <v>88</v>
      </c>
      <c r="B95" s="66">
        <f>+B94+31</f>
        <v>41419</v>
      </c>
      <c r="D95" s="91">
        <v>-61710</v>
      </c>
      <c r="F95" s="77">
        <v>3.2500000000000001E-2</v>
      </c>
      <c r="G95" s="76">
        <f t="shared" si="6"/>
        <v>-1335</v>
      </c>
      <c r="H95" s="67">
        <f t="shared" si="9"/>
        <v>-63045</v>
      </c>
      <c r="I95" s="75">
        <f t="shared" si="8"/>
        <v>-525236</v>
      </c>
    </row>
    <row r="96" spans="1:9" hidden="1" outlineLevel="1" x14ac:dyDescent="0.2">
      <c r="A96" s="71">
        <f t="shared" si="7"/>
        <v>89</v>
      </c>
      <c r="B96" s="66">
        <f>+B95+30</f>
        <v>41449</v>
      </c>
      <c r="D96" s="67">
        <v>130558</v>
      </c>
      <c r="F96" s="77">
        <v>3.2500000000000001E-2</v>
      </c>
      <c r="G96" s="76">
        <f t="shared" si="6"/>
        <v>-1246</v>
      </c>
      <c r="H96" s="67">
        <f t="shared" si="9"/>
        <v>129312</v>
      </c>
      <c r="I96" s="75">
        <f t="shared" si="8"/>
        <v>-395924</v>
      </c>
    </row>
    <row r="97" spans="1:9" hidden="1" outlineLevel="1" x14ac:dyDescent="0.2">
      <c r="A97" s="71">
        <f t="shared" si="7"/>
        <v>90</v>
      </c>
      <c r="B97" s="66">
        <f>+B96+31</f>
        <v>41480</v>
      </c>
      <c r="D97" s="67">
        <v>30297</v>
      </c>
      <c r="F97" s="77">
        <v>3.2500000000000001E-2</v>
      </c>
      <c r="G97" s="76">
        <f t="shared" si="6"/>
        <v>-1031</v>
      </c>
      <c r="H97" s="67">
        <f t="shared" si="9"/>
        <v>29266</v>
      </c>
      <c r="I97" s="75">
        <f t="shared" si="8"/>
        <v>-366658</v>
      </c>
    </row>
    <row r="98" spans="1:9" hidden="1" outlineLevel="1" x14ac:dyDescent="0.2">
      <c r="A98" s="71">
        <f t="shared" si="7"/>
        <v>91</v>
      </c>
      <c r="B98" s="66">
        <f>+B97+30</f>
        <v>41510</v>
      </c>
      <c r="D98" s="67">
        <v>13514</v>
      </c>
      <c r="F98" s="77">
        <v>3.2500000000000001E-2</v>
      </c>
      <c r="G98" s="76">
        <f t="shared" si="6"/>
        <v>-975</v>
      </c>
      <c r="H98" s="67">
        <f t="shared" si="9"/>
        <v>12539</v>
      </c>
      <c r="I98" s="75">
        <f t="shared" si="8"/>
        <v>-354119</v>
      </c>
    </row>
    <row r="99" spans="1:9" hidden="1" outlineLevel="1" x14ac:dyDescent="0.2">
      <c r="A99" s="71">
        <f t="shared" si="7"/>
        <v>92</v>
      </c>
      <c r="B99" s="66">
        <f>+B98+30</f>
        <v>41540</v>
      </c>
      <c r="D99" s="67">
        <v>-99827</v>
      </c>
      <c r="F99" s="77">
        <v>3.2500000000000001E-2</v>
      </c>
      <c r="G99" s="76">
        <f t="shared" si="6"/>
        <v>-1094</v>
      </c>
      <c r="H99" s="67">
        <f t="shared" si="9"/>
        <v>-100921</v>
      </c>
      <c r="I99" s="75">
        <f t="shared" si="8"/>
        <v>-455040</v>
      </c>
    </row>
    <row r="100" spans="1:9" hidden="1" outlineLevel="1" x14ac:dyDescent="0.2">
      <c r="A100" s="71">
        <f t="shared" si="7"/>
        <v>93</v>
      </c>
      <c r="B100" s="66">
        <f>+B99+31</f>
        <v>41571</v>
      </c>
      <c r="D100" s="67">
        <v>20129</v>
      </c>
      <c r="F100" s="77">
        <v>3.2500000000000001E-2</v>
      </c>
      <c r="G100" s="76">
        <f t="shared" si="6"/>
        <v>-1205</v>
      </c>
      <c r="H100" s="67">
        <f t="shared" si="9"/>
        <v>18924</v>
      </c>
      <c r="I100" s="75">
        <f t="shared" si="8"/>
        <v>-436116</v>
      </c>
    </row>
    <row r="101" spans="1:9" hidden="1" outlineLevel="1" x14ac:dyDescent="0.2">
      <c r="A101" s="71">
        <f t="shared" si="7"/>
        <v>94</v>
      </c>
      <c r="B101" s="66">
        <f>+B100+30</f>
        <v>41601</v>
      </c>
      <c r="C101" s="87">
        <v>1</v>
      </c>
      <c r="D101" s="67">
        <v>-80036</v>
      </c>
      <c r="E101" s="67">
        <f>-I100</f>
        <v>436116</v>
      </c>
      <c r="F101" s="77">
        <v>3.2500000000000001E-2</v>
      </c>
      <c r="G101" s="76">
        <f t="shared" si="6"/>
        <v>-108</v>
      </c>
      <c r="H101" s="67">
        <f t="shared" si="9"/>
        <v>355972</v>
      </c>
      <c r="I101" s="75">
        <f t="shared" si="8"/>
        <v>-80144</v>
      </c>
    </row>
    <row r="102" spans="1:9" hidden="1" outlineLevel="1" x14ac:dyDescent="0.2">
      <c r="A102" s="71">
        <f t="shared" si="7"/>
        <v>95</v>
      </c>
      <c r="B102" s="66">
        <f>+B101+31</f>
        <v>41632</v>
      </c>
      <c r="D102" s="67">
        <v>398581</v>
      </c>
      <c r="F102" s="77">
        <v>3.2500000000000001E-2</v>
      </c>
      <c r="G102" s="76">
        <f t="shared" si="6"/>
        <v>323</v>
      </c>
      <c r="H102" s="67">
        <f t="shared" si="9"/>
        <v>398904</v>
      </c>
      <c r="I102" s="75">
        <f t="shared" si="8"/>
        <v>318760</v>
      </c>
    </row>
    <row r="103" spans="1:9" hidden="1" outlineLevel="1" x14ac:dyDescent="0.2">
      <c r="A103" s="71">
        <f t="shared" si="7"/>
        <v>96</v>
      </c>
      <c r="B103" s="66">
        <f>+B102+31</f>
        <v>41663</v>
      </c>
      <c r="D103" s="67">
        <v>142262</v>
      </c>
      <c r="E103" s="66"/>
      <c r="F103" s="77">
        <v>3.2500000000000001E-2</v>
      </c>
      <c r="G103" s="76">
        <f t="shared" si="6"/>
        <v>1056</v>
      </c>
      <c r="H103" s="67">
        <f t="shared" si="9"/>
        <v>143318</v>
      </c>
      <c r="I103" s="75">
        <f t="shared" si="8"/>
        <v>462078</v>
      </c>
    </row>
    <row r="104" spans="1:9" hidden="1" outlineLevel="1" x14ac:dyDescent="0.2">
      <c r="A104" s="71">
        <f t="shared" si="7"/>
        <v>97</v>
      </c>
      <c r="B104" s="66">
        <f>+B103+28</f>
        <v>41691</v>
      </c>
      <c r="D104" s="67">
        <v>1110875</v>
      </c>
      <c r="E104" s="66"/>
      <c r="F104" s="77">
        <v>3.2500000000000001E-2</v>
      </c>
      <c r="G104" s="76">
        <f t="shared" si="6"/>
        <v>2756</v>
      </c>
      <c r="H104" s="67">
        <f t="shared" si="9"/>
        <v>1113631</v>
      </c>
      <c r="I104" s="75">
        <f t="shared" si="8"/>
        <v>1575709</v>
      </c>
    </row>
    <row r="105" spans="1:9" hidden="1" outlineLevel="1" x14ac:dyDescent="0.2">
      <c r="A105" s="71">
        <f t="shared" si="7"/>
        <v>98</v>
      </c>
      <c r="B105" s="66">
        <f>+B104+31</f>
        <v>41722</v>
      </c>
      <c r="D105" s="67">
        <v>881986</v>
      </c>
      <c r="E105" s="66"/>
      <c r="F105" s="77">
        <v>3.2500000000000001E-2</v>
      </c>
      <c r="G105" s="76">
        <f t="shared" si="6"/>
        <v>5462</v>
      </c>
      <c r="H105" s="67">
        <f t="shared" si="9"/>
        <v>887448</v>
      </c>
      <c r="I105" s="75">
        <f t="shared" si="8"/>
        <v>2463157</v>
      </c>
    </row>
    <row r="106" spans="1:9" hidden="1" outlineLevel="1" x14ac:dyDescent="0.2">
      <c r="A106" s="71">
        <f t="shared" si="7"/>
        <v>99</v>
      </c>
      <c r="B106" s="66">
        <f>+B105+30</f>
        <v>41752</v>
      </c>
      <c r="D106" s="67">
        <v>17442</v>
      </c>
      <c r="E106" s="66"/>
      <c r="F106" s="77">
        <v>3.2500000000000001E-2</v>
      </c>
      <c r="G106" s="76">
        <f t="shared" si="6"/>
        <v>6695</v>
      </c>
      <c r="H106" s="67">
        <f t="shared" si="9"/>
        <v>24137</v>
      </c>
      <c r="I106" s="75">
        <f t="shared" si="8"/>
        <v>2487294</v>
      </c>
    </row>
    <row r="107" spans="1:9" hidden="1" outlineLevel="1" x14ac:dyDescent="0.2">
      <c r="A107" s="71">
        <f t="shared" si="7"/>
        <v>100</v>
      </c>
      <c r="B107" s="66">
        <f>+B106+31</f>
        <v>41783</v>
      </c>
      <c r="D107" s="67">
        <v>147728</v>
      </c>
      <c r="E107" s="66"/>
      <c r="F107" s="77">
        <v>3.2500000000000001E-2</v>
      </c>
      <c r="G107" s="76">
        <f t="shared" si="6"/>
        <v>6936</v>
      </c>
      <c r="H107" s="67">
        <f t="shared" si="9"/>
        <v>154664</v>
      </c>
      <c r="I107" s="75">
        <f t="shared" si="8"/>
        <v>2641958</v>
      </c>
    </row>
    <row r="108" spans="1:9" hidden="1" outlineLevel="1" x14ac:dyDescent="0.2">
      <c r="A108" s="71">
        <f t="shared" si="7"/>
        <v>101</v>
      </c>
      <c r="B108" s="66">
        <f>+B107+30</f>
        <v>41813</v>
      </c>
      <c r="D108" s="67">
        <v>112468</v>
      </c>
      <c r="E108" s="66"/>
      <c r="F108" s="77">
        <v>3.2500000000000001E-2</v>
      </c>
      <c r="G108" s="76">
        <f t="shared" si="6"/>
        <v>7308</v>
      </c>
      <c r="H108" s="67">
        <f t="shared" si="9"/>
        <v>119776</v>
      </c>
      <c r="I108" s="75">
        <f t="shared" si="8"/>
        <v>2761734</v>
      </c>
    </row>
    <row r="109" spans="1:9" hidden="1" outlineLevel="1" x14ac:dyDescent="0.2">
      <c r="A109" s="71">
        <f t="shared" si="7"/>
        <v>102</v>
      </c>
      <c r="B109" s="66">
        <f>+B108+31</f>
        <v>41844</v>
      </c>
      <c r="D109" s="67">
        <v>74068</v>
      </c>
      <c r="E109" s="66"/>
      <c r="F109" s="77">
        <v>3.2500000000000001E-2</v>
      </c>
      <c r="G109" s="76">
        <f t="shared" si="6"/>
        <v>7580</v>
      </c>
      <c r="H109" s="67">
        <f t="shared" si="9"/>
        <v>81648</v>
      </c>
      <c r="I109" s="75">
        <f t="shared" si="8"/>
        <v>2843382</v>
      </c>
    </row>
    <row r="110" spans="1:9" hidden="1" outlineLevel="1" x14ac:dyDescent="0.2">
      <c r="A110" s="71">
        <f t="shared" si="7"/>
        <v>103</v>
      </c>
      <c r="B110" s="66">
        <f>+B109+31</f>
        <v>41875</v>
      </c>
      <c r="D110" s="67">
        <v>49866</v>
      </c>
      <c r="E110" s="66"/>
      <c r="F110" s="77">
        <v>3.2500000000000001E-2</v>
      </c>
      <c r="G110" s="76">
        <f t="shared" si="6"/>
        <v>7768</v>
      </c>
      <c r="H110" s="67">
        <f t="shared" si="9"/>
        <v>57634</v>
      </c>
      <c r="I110" s="75">
        <f t="shared" si="8"/>
        <v>2901016</v>
      </c>
    </row>
    <row r="111" spans="1:9" hidden="1" outlineLevel="1" x14ac:dyDescent="0.2">
      <c r="A111" s="71">
        <f t="shared" si="7"/>
        <v>104</v>
      </c>
      <c r="B111" s="66">
        <f>+B110+30</f>
        <v>41905</v>
      </c>
      <c r="D111" s="67">
        <v>-71842</v>
      </c>
      <c r="E111" s="66"/>
      <c r="F111" s="77">
        <v>3.2500000000000001E-2</v>
      </c>
      <c r="G111" s="76">
        <f t="shared" si="6"/>
        <v>7760</v>
      </c>
      <c r="H111" s="67">
        <f t="shared" si="9"/>
        <v>-64082</v>
      </c>
      <c r="I111" s="75">
        <f t="shared" si="8"/>
        <v>2836934</v>
      </c>
    </row>
    <row r="112" spans="1:9" hidden="1" outlineLevel="1" x14ac:dyDescent="0.2">
      <c r="A112" s="71">
        <f t="shared" si="7"/>
        <v>105</v>
      </c>
      <c r="B112" s="66">
        <f>+B111+31</f>
        <v>41936</v>
      </c>
      <c r="D112" s="67">
        <v>-28417</v>
      </c>
      <c r="E112" s="66"/>
      <c r="F112" s="77">
        <v>3.2500000000000001E-2</v>
      </c>
      <c r="G112" s="76">
        <f t="shared" si="6"/>
        <v>7645</v>
      </c>
      <c r="H112" s="67">
        <f t="shared" si="9"/>
        <v>-20772</v>
      </c>
      <c r="I112" s="75">
        <f t="shared" si="8"/>
        <v>2816162</v>
      </c>
    </row>
    <row r="113" spans="1:11" hidden="1" outlineLevel="1" x14ac:dyDescent="0.2">
      <c r="A113" s="71">
        <f t="shared" si="7"/>
        <v>106</v>
      </c>
      <c r="B113" s="66">
        <f>+B112+30</f>
        <v>41966</v>
      </c>
      <c r="C113" s="87">
        <v>1</v>
      </c>
      <c r="D113" s="67">
        <v>98527</v>
      </c>
      <c r="E113" s="67">
        <v>-2916751</v>
      </c>
      <c r="F113" s="77">
        <v>3.2500000000000001E-2</v>
      </c>
      <c r="G113" s="76">
        <f t="shared" si="6"/>
        <v>-139</v>
      </c>
      <c r="H113" s="67">
        <f t="shared" si="9"/>
        <v>-2818363</v>
      </c>
      <c r="I113" s="75">
        <f t="shared" si="8"/>
        <v>-2201</v>
      </c>
    </row>
    <row r="114" spans="1:11" hidden="1" outlineLevel="1" x14ac:dyDescent="0.2">
      <c r="A114" s="71">
        <f t="shared" si="7"/>
        <v>107</v>
      </c>
      <c r="B114" s="66">
        <f>+B113+31</f>
        <v>41997</v>
      </c>
      <c r="D114" s="67">
        <v>-106827</v>
      </c>
      <c r="E114" s="66"/>
      <c r="F114" s="77">
        <v>3.2500000000000001E-2</v>
      </c>
      <c r="G114" s="76">
        <f>ROUND((+I113+E114+(D114/2))*(F114/12),0)</f>
        <v>-151</v>
      </c>
      <c r="H114" s="67">
        <f t="shared" si="9"/>
        <v>-106978</v>
      </c>
      <c r="I114" s="75">
        <f t="shared" si="8"/>
        <v>-109179</v>
      </c>
    </row>
    <row r="115" spans="1:11" hidden="1" outlineLevel="1" x14ac:dyDescent="0.2">
      <c r="A115" s="71">
        <f t="shared" si="7"/>
        <v>108</v>
      </c>
      <c r="B115" s="66">
        <f>+B114+31</f>
        <v>42028</v>
      </c>
      <c r="D115" s="67">
        <v>-490858</v>
      </c>
      <c r="E115" s="66"/>
      <c r="F115" s="77">
        <v>3.2500000000000001E-2</v>
      </c>
      <c r="G115" s="76">
        <f t="shared" ref="G115:G127" si="10">ROUND((+I114+E115+(D115/2))*F115/12,0)</f>
        <v>-960</v>
      </c>
      <c r="H115" s="67">
        <f t="shared" si="9"/>
        <v>-491818</v>
      </c>
      <c r="I115" s="75">
        <f t="shared" si="8"/>
        <v>-600997</v>
      </c>
    </row>
    <row r="116" spans="1:11" hidden="1" outlineLevel="1" x14ac:dyDescent="0.2">
      <c r="A116" s="71">
        <f t="shared" si="7"/>
        <v>109</v>
      </c>
      <c r="B116" s="66">
        <f>+B115+28</f>
        <v>42056</v>
      </c>
      <c r="D116" s="67">
        <v>-401492</v>
      </c>
      <c r="E116" s="66"/>
      <c r="F116" s="77">
        <v>3.2500000000000001E-2</v>
      </c>
      <c r="G116" s="76">
        <f t="shared" si="10"/>
        <v>-2171</v>
      </c>
      <c r="H116" s="67">
        <f t="shared" si="9"/>
        <v>-403663</v>
      </c>
      <c r="I116" s="75">
        <f t="shared" si="8"/>
        <v>-1004660</v>
      </c>
    </row>
    <row r="117" spans="1:11" hidden="1" outlineLevel="1" x14ac:dyDescent="0.2">
      <c r="A117" s="71">
        <f t="shared" si="7"/>
        <v>110</v>
      </c>
      <c r="B117" s="66">
        <f>+B116+31</f>
        <v>42087</v>
      </c>
      <c r="D117" s="67">
        <v>-490273</v>
      </c>
      <c r="E117" s="66"/>
      <c r="F117" s="77">
        <v>3.2500000000000001E-2</v>
      </c>
      <c r="G117" s="76">
        <f t="shared" si="10"/>
        <v>-3385</v>
      </c>
      <c r="H117" s="67">
        <f t="shared" si="9"/>
        <v>-493658</v>
      </c>
      <c r="I117" s="75">
        <f t="shared" si="8"/>
        <v>-1498318</v>
      </c>
    </row>
    <row r="118" spans="1:11" hidden="1" outlineLevel="1" x14ac:dyDescent="0.2">
      <c r="A118" s="71">
        <f t="shared" si="7"/>
        <v>111</v>
      </c>
      <c r="B118" s="66">
        <f>+B117+30</f>
        <v>42117</v>
      </c>
      <c r="D118" s="67">
        <v>-507617</v>
      </c>
      <c r="E118" s="66"/>
      <c r="F118" s="77">
        <v>3.2500000000000001E-2</v>
      </c>
      <c r="G118" s="76">
        <f t="shared" si="10"/>
        <v>-4745</v>
      </c>
      <c r="H118" s="67">
        <f t="shared" si="9"/>
        <v>-512362</v>
      </c>
      <c r="I118" s="75">
        <f t="shared" si="8"/>
        <v>-2010680</v>
      </c>
    </row>
    <row r="119" spans="1:11" hidden="1" outlineLevel="1" x14ac:dyDescent="0.2">
      <c r="A119" s="71">
        <f t="shared" si="7"/>
        <v>112</v>
      </c>
      <c r="B119" s="66">
        <f>+B118+31</f>
        <v>42148</v>
      </c>
      <c r="D119" s="67">
        <v>-270013</v>
      </c>
      <c r="E119" s="66"/>
      <c r="F119" s="77">
        <v>3.2500000000000001E-2</v>
      </c>
      <c r="G119" s="76">
        <f t="shared" si="10"/>
        <v>-5811</v>
      </c>
      <c r="H119" s="67">
        <f t="shared" si="9"/>
        <v>-275824</v>
      </c>
      <c r="I119" s="75">
        <f t="shared" si="8"/>
        <v>-2286504</v>
      </c>
    </row>
    <row r="120" spans="1:11" hidden="1" outlineLevel="1" x14ac:dyDescent="0.2">
      <c r="A120" s="71">
        <f t="shared" si="7"/>
        <v>113</v>
      </c>
      <c r="B120" s="66">
        <f>+B119+30</f>
        <v>42178</v>
      </c>
      <c r="D120" s="67">
        <v>-283325</v>
      </c>
      <c r="E120" s="66"/>
      <c r="F120" s="77">
        <v>3.2500000000000001E-2</v>
      </c>
      <c r="G120" s="76">
        <f t="shared" si="10"/>
        <v>-6576</v>
      </c>
      <c r="H120" s="67">
        <f t="shared" si="9"/>
        <v>-289901</v>
      </c>
      <c r="I120" s="75">
        <f t="shared" ref="I120:I151" si="11">+I119+H120</f>
        <v>-2576405</v>
      </c>
    </row>
    <row r="121" spans="1:11" hidden="1" outlineLevel="1" x14ac:dyDescent="0.2">
      <c r="A121" s="71">
        <f t="shared" si="7"/>
        <v>114</v>
      </c>
      <c r="B121" s="66">
        <f>+B120+31</f>
        <v>42209</v>
      </c>
      <c r="D121" s="67">
        <v>-264071</v>
      </c>
      <c r="E121" s="66"/>
      <c r="F121" s="77">
        <v>3.2500000000000001E-2</v>
      </c>
      <c r="G121" s="76">
        <f t="shared" si="10"/>
        <v>-7335</v>
      </c>
      <c r="H121" s="67">
        <f t="shared" ref="H121:H152" si="12">SUM(D121:E121,G121)</f>
        <v>-271406</v>
      </c>
      <c r="I121" s="75">
        <f t="shared" si="11"/>
        <v>-2847811</v>
      </c>
      <c r="K121" s="80"/>
    </row>
    <row r="122" spans="1:11" hidden="1" outlineLevel="1" x14ac:dyDescent="0.2">
      <c r="A122" s="71">
        <f t="shared" si="7"/>
        <v>115</v>
      </c>
      <c r="B122" s="66">
        <f>+B121+31</f>
        <v>42240</v>
      </c>
      <c r="D122" s="67">
        <v>-214976</v>
      </c>
      <c r="F122" s="77">
        <v>3.2500000000000001E-2</v>
      </c>
      <c r="G122" s="76">
        <f t="shared" si="10"/>
        <v>-8004</v>
      </c>
      <c r="H122" s="67">
        <f t="shared" si="12"/>
        <v>-222980</v>
      </c>
      <c r="I122" s="75">
        <f t="shared" si="11"/>
        <v>-3070791</v>
      </c>
    </row>
    <row r="123" spans="1:11" hidden="1" outlineLevel="1" x14ac:dyDescent="0.2">
      <c r="A123" s="71">
        <f t="shared" si="7"/>
        <v>116</v>
      </c>
      <c r="B123" s="66">
        <f>+B122+30</f>
        <v>42270</v>
      </c>
      <c r="C123" s="89"/>
      <c r="D123" s="67">
        <v>-308272</v>
      </c>
      <c r="E123" s="66"/>
      <c r="F123" s="77">
        <v>3.2500000000000001E-2</v>
      </c>
      <c r="G123" s="76">
        <f t="shared" si="10"/>
        <v>-8734</v>
      </c>
      <c r="H123" s="67">
        <f t="shared" si="12"/>
        <v>-317006</v>
      </c>
      <c r="I123" s="75">
        <f t="shared" si="11"/>
        <v>-3387797</v>
      </c>
    </row>
    <row r="124" spans="1:11" hidden="1" outlineLevel="1" x14ac:dyDescent="0.2">
      <c r="A124" s="71">
        <f t="shared" si="7"/>
        <v>117</v>
      </c>
      <c r="B124" s="66">
        <f>+B123+31</f>
        <v>42301</v>
      </c>
      <c r="C124" s="87"/>
      <c r="D124" s="67">
        <v>-251408</v>
      </c>
      <c r="E124" s="86"/>
      <c r="F124" s="77">
        <v>3.2500000000000001E-2</v>
      </c>
      <c r="G124" s="76">
        <f t="shared" si="10"/>
        <v>-9516</v>
      </c>
      <c r="H124" s="67">
        <f t="shared" si="12"/>
        <v>-260924</v>
      </c>
      <c r="I124" s="75">
        <f t="shared" si="11"/>
        <v>-3648721</v>
      </c>
    </row>
    <row r="125" spans="1:11" hidden="1" outlineLevel="1" x14ac:dyDescent="0.2">
      <c r="A125" s="71">
        <f t="shared" si="7"/>
        <v>118</v>
      </c>
      <c r="B125" s="66">
        <f>+B124+30</f>
        <v>42331</v>
      </c>
      <c r="C125" s="87">
        <v>1</v>
      </c>
      <c r="D125" s="67">
        <v>-166164.95065709995</v>
      </c>
      <c r="E125" s="86">
        <v>3087447</v>
      </c>
      <c r="F125" s="77">
        <v>3.2500000000000001E-2</v>
      </c>
      <c r="G125" s="76">
        <f t="shared" si="10"/>
        <v>-1745</v>
      </c>
      <c r="H125" s="67">
        <f t="shared" si="12"/>
        <v>2919537.0493429</v>
      </c>
      <c r="I125" s="75">
        <f t="shared" si="11"/>
        <v>-729183.95065709995</v>
      </c>
    </row>
    <row r="126" spans="1:11" hidden="1" outlineLevel="1" x14ac:dyDescent="0.2">
      <c r="A126" s="71">
        <f t="shared" si="7"/>
        <v>119</v>
      </c>
      <c r="B126" s="66">
        <f>+B125+31</f>
        <v>42362</v>
      </c>
      <c r="C126" s="89"/>
      <c r="D126" s="67">
        <v>-404269.03908600006</v>
      </c>
      <c r="E126" s="90"/>
      <c r="F126" s="77">
        <v>3.2500000000000001E-2</v>
      </c>
      <c r="G126" s="76">
        <f t="shared" si="10"/>
        <v>-2522</v>
      </c>
      <c r="H126" s="67">
        <f t="shared" si="12"/>
        <v>-406791.03908600006</v>
      </c>
      <c r="I126" s="75">
        <f t="shared" si="11"/>
        <v>-1135974.9897431</v>
      </c>
    </row>
    <row r="127" spans="1:11" hidden="1" outlineLevel="1" x14ac:dyDescent="0.2">
      <c r="A127" s="71">
        <f t="shared" si="7"/>
        <v>120</v>
      </c>
      <c r="B127" s="66">
        <f>+B126+31</f>
        <v>42393</v>
      </c>
      <c r="C127" s="89"/>
      <c r="D127" s="67">
        <v>-389512.2211529999</v>
      </c>
      <c r="E127" s="66"/>
      <c r="F127" s="77">
        <v>3.2500000000000001E-2</v>
      </c>
      <c r="G127" s="76">
        <f t="shared" si="10"/>
        <v>-3604</v>
      </c>
      <c r="H127" s="67">
        <f t="shared" si="12"/>
        <v>-393116.2211529999</v>
      </c>
      <c r="I127" s="75">
        <f t="shared" si="11"/>
        <v>-1529091.2108960999</v>
      </c>
    </row>
    <row r="128" spans="1:11" hidden="1" outlineLevel="1" x14ac:dyDescent="0.2">
      <c r="A128" s="71">
        <f t="shared" si="7"/>
        <v>121</v>
      </c>
      <c r="B128" s="82">
        <f>+B127+29</f>
        <v>42422</v>
      </c>
      <c r="C128" s="89"/>
      <c r="D128" s="67">
        <v>-435772.88909700001</v>
      </c>
      <c r="E128" s="66"/>
      <c r="F128" s="77">
        <v>3.2500000000000001E-2</v>
      </c>
      <c r="G128" s="76">
        <f t="shared" ref="G128:G159" si="13">ROUND((+I127+E128+(D128/2))*F128/12,2)</f>
        <v>-4731.3999999999996</v>
      </c>
      <c r="H128" s="67">
        <f t="shared" si="12"/>
        <v>-440504.28909700003</v>
      </c>
      <c r="I128" s="75">
        <f t="shared" si="11"/>
        <v>-1969595.4999930998</v>
      </c>
    </row>
    <row r="129" spans="1:9" hidden="1" outlineLevel="1" x14ac:dyDescent="0.2">
      <c r="A129" s="71">
        <f t="shared" si="7"/>
        <v>122</v>
      </c>
      <c r="B129" s="66">
        <f>+B128+31</f>
        <v>42453</v>
      </c>
      <c r="C129" s="87">
        <v>2</v>
      </c>
      <c r="D129" s="67">
        <v>-636092.29787799995</v>
      </c>
      <c r="E129" s="86">
        <v>93.490000000000009</v>
      </c>
      <c r="F129" s="77">
        <v>3.2500000000000001E-2</v>
      </c>
      <c r="G129" s="76">
        <f t="shared" si="13"/>
        <v>-6195.44</v>
      </c>
      <c r="H129" s="67">
        <f t="shared" si="12"/>
        <v>-642194.24787799991</v>
      </c>
      <c r="I129" s="75">
        <f t="shared" si="11"/>
        <v>-2611789.7478711</v>
      </c>
    </row>
    <row r="130" spans="1:9" hidden="1" outlineLevel="1" x14ac:dyDescent="0.2">
      <c r="A130" s="71">
        <f t="shared" si="7"/>
        <v>123</v>
      </c>
      <c r="B130" s="66">
        <f>B129+30</f>
        <v>42483</v>
      </c>
      <c r="C130" s="87"/>
      <c r="D130" s="67">
        <v>-339881.772902</v>
      </c>
      <c r="E130" s="86"/>
      <c r="F130" s="77">
        <v>3.4599999999999999E-2</v>
      </c>
      <c r="G130" s="76">
        <f t="shared" si="13"/>
        <v>-8020.66</v>
      </c>
      <c r="H130" s="67">
        <f t="shared" si="12"/>
        <v>-347902.43290199997</v>
      </c>
      <c r="I130" s="75">
        <f t="shared" si="11"/>
        <v>-2959692.1807730999</v>
      </c>
    </row>
    <row r="131" spans="1:9" hidden="1" outlineLevel="1" x14ac:dyDescent="0.2">
      <c r="A131" s="71">
        <f t="shared" si="7"/>
        <v>124</v>
      </c>
      <c r="B131" s="66">
        <f>B130+31</f>
        <v>42514</v>
      </c>
      <c r="C131" s="87"/>
      <c r="D131" s="67">
        <v>-323178.75623599987</v>
      </c>
      <c r="E131" s="86"/>
      <c r="F131" s="77">
        <v>3.4599999999999999E-2</v>
      </c>
      <c r="G131" s="76">
        <f t="shared" si="13"/>
        <v>-8999.7000000000007</v>
      </c>
      <c r="H131" s="67">
        <f t="shared" si="12"/>
        <v>-332178.45623599988</v>
      </c>
      <c r="I131" s="75">
        <f t="shared" si="11"/>
        <v>-3291870.6370090996</v>
      </c>
    </row>
    <row r="132" spans="1:9" hidden="1" outlineLevel="1" x14ac:dyDescent="0.2">
      <c r="A132" s="71">
        <f t="shared" si="7"/>
        <v>125</v>
      </c>
      <c r="B132" s="66">
        <f>B131+30</f>
        <v>42544</v>
      </c>
      <c r="C132" s="87">
        <v>3</v>
      </c>
      <c r="D132" s="67">
        <v>-205022.84986199997</v>
      </c>
      <c r="E132" s="86">
        <v>2611790</v>
      </c>
      <c r="F132" s="77">
        <v>3.4599999999999999E-2</v>
      </c>
      <c r="G132" s="76">
        <f t="shared" si="13"/>
        <v>-2256.4699999999998</v>
      </c>
      <c r="H132" s="67">
        <f t="shared" si="12"/>
        <v>2404510.6801379998</v>
      </c>
      <c r="I132" s="75">
        <f t="shared" si="11"/>
        <v>-887359.95687109977</v>
      </c>
    </row>
    <row r="133" spans="1:9" hidden="1" outlineLevel="1" x14ac:dyDescent="0.2">
      <c r="A133" s="71">
        <f t="shared" si="7"/>
        <v>126</v>
      </c>
      <c r="B133" s="66">
        <f>B132+31</f>
        <v>42575</v>
      </c>
      <c r="C133" s="87"/>
      <c r="D133" s="67">
        <v>-120736.6912</v>
      </c>
      <c r="E133" s="86"/>
      <c r="F133" s="77">
        <v>3.5000000000000003E-2</v>
      </c>
      <c r="G133" s="76">
        <f t="shared" si="13"/>
        <v>-2764.21</v>
      </c>
      <c r="H133" s="67">
        <f t="shared" si="12"/>
        <v>-123500.90120000001</v>
      </c>
      <c r="I133" s="75">
        <f t="shared" si="11"/>
        <v>-1010860.8580710997</v>
      </c>
    </row>
    <row r="134" spans="1:9" hidden="1" outlineLevel="1" x14ac:dyDescent="0.2">
      <c r="A134" s="71">
        <f t="shared" si="7"/>
        <v>127</v>
      </c>
      <c r="B134" s="66">
        <f>B133+31</f>
        <v>42606</v>
      </c>
      <c r="C134" s="87"/>
      <c r="D134" s="67">
        <v>-140455.13302800001</v>
      </c>
      <c r="E134" s="86"/>
      <c r="F134" s="77">
        <v>3.5000000000000003E-2</v>
      </c>
      <c r="G134" s="76">
        <f t="shared" si="13"/>
        <v>-3153.17</v>
      </c>
      <c r="H134" s="67">
        <f t="shared" si="12"/>
        <v>-143608.30302800002</v>
      </c>
      <c r="I134" s="75">
        <f t="shared" si="11"/>
        <v>-1154469.1610990998</v>
      </c>
    </row>
    <row r="135" spans="1:9" hidden="1" outlineLevel="1" x14ac:dyDescent="0.2">
      <c r="A135" s="71">
        <f t="shared" si="7"/>
        <v>128</v>
      </c>
      <c r="B135" s="66">
        <f>B134+30</f>
        <v>42636</v>
      </c>
      <c r="C135" s="87"/>
      <c r="D135" s="67">
        <v>-132915.83371500007</v>
      </c>
      <c r="E135" s="86"/>
      <c r="F135" s="77">
        <v>3.5000000000000003E-2</v>
      </c>
      <c r="G135" s="76">
        <f t="shared" si="13"/>
        <v>-3561.04</v>
      </c>
      <c r="H135" s="67">
        <f t="shared" si="12"/>
        <v>-136476.87371500008</v>
      </c>
      <c r="I135" s="75">
        <f t="shared" si="11"/>
        <v>-1290946.0348140998</v>
      </c>
    </row>
    <row r="136" spans="1:9" hidden="1" outlineLevel="1" x14ac:dyDescent="0.2">
      <c r="A136" s="71">
        <f t="shared" si="7"/>
        <v>129</v>
      </c>
      <c r="B136" s="66">
        <f>B135+31</f>
        <v>42667</v>
      </c>
      <c r="C136" s="87"/>
      <c r="D136" s="67">
        <v>-169127.98</v>
      </c>
      <c r="E136" s="86"/>
      <c r="F136" s="77">
        <v>3.5000000000000003E-2</v>
      </c>
      <c r="G136" s="76">
        <f t="shared" si="13"/>
        <v>-4011.9</v>
      </c>
      <c r="H136" s="67">
        <f t="shared" si="12"/>
        <v>-173139.88</v>
      </c>
      <c r="I136" s="75">
        <f t="shared" si="11"/>
        <v>-1464085.9148140997</v>
      </c>
    </row>
    <row r="137" spans="1:9" hidden="1" outlineLevel="1" collapsed="1" x14ac:dyDescent="0.2">
      <c r="A137" s="71">
        <f t="shared" ref="A137:A200" si="14">+A136+1</f>
        <v>130</v>
      </c>
      <c r="B137" s="66">
        <f>+B136+30</f>
        <v>42697</v>
      </c>
      <c r="C137" s="87">
        <v>1</v>
      </c>
      <c r="D137" s="67">
        <v>-86960.092357000103</v>
      </c>
      <c r="E137" s="86">
        <v>1161213.3799999999</v>
      </c>
      <c r="F137" s="77">
        <v>3.5000000000000003E-2</v>
      </c>
      <c r="G137" s="76">
        <f t="shared" si="13"/>
        <v>-1010.2</v>
      </c>
      <c r="H137" s="67">
        <f t="shared" si="12"/>
        <v>1073243.0876429998</v>
      </c>
      <c r="I137" s="75">
        <f t="shared" si="11"/>
        <v>-390842.82717109984</v>
      </c>
    </row>
    <row r="138" spans="1:9" hidden="1" outlineLevel="1" x14ac:dyDescent="0.2">
      <c r="A138" s="71">
        <f t="shared" si="14"/>
        <v>131</v>
      </c>
      <c r="B138" s="66">
        <f>+B137+31</f>
        <v>42728</v>
      </c>
      <c r="C138" s="87"/>
      <c r="D138" s="67">
        <v>397271.74515200034</v>
      </c>
      <c r="E138" s="86"/>
      <c r="F138" s="77">
        <v>3.5000000000000003E-2</v>
      </c>
      <c r="G138" s="76">
        <f t="shared" si="13"/>
        <v>-560.6</v>
      </c>
      <c r="H138" s="67">
        <f t="shared" si="12"/>
        <v>396711.14515200036</v>
      </c>
      <c r="I138" s="75">
        <f t="shared" si="11"/>
        <v>5868.3179809005233</v>
      </c>
    </row>
    <row r="139" spans="1:9" hidden="1" outlineLevel="1" x14ac:dyDescent="0.2">
      <c r="A139" s="71">
        <f t="shared" si="14"/>
        <v>132</v>
      </c>
      <c r="B139" s="66">
        <f>+B138+31</f>
        <v>42759</v>
      </c>
      <c r="C139" s="87"/>
      <c r="D139" s="67">
        <v>389591.8774239989</v>
      </c>
      <c r="E139" s="86"/>
      <c r="F139" s="77">
        <v>3.5000000000000003E-2</v>
      </c>
      <c r="G139" s="76">
        <f t="shared" si="13"/>
        <v>585.27</v>
      </c>
      <c r="H139" s="67">
        <f t="shared" si="12"/>
        <v>390177.14742399892</v>
      </c>
      <c r="I139" s="75">
        <f t="shared" si="11"/>
        <v>396045.46540489944</v>
      </c>
    </row>
    <row r="140" spans="1:9" hidden="1" outlineLevel="1" x14ac:dyDescent="0.2">
      <c r="A140" s="71">
        <f t="shared" si="14"/>
        <v>133</v>
      </c>
      <c r="B140" s="66">
        <f>+B139+28</f>
        <v>42787</v>
      </c>
      <c r="C140" s="87"/>
      <c r="D140" s="67">
        <v>-133253.06445800001</v>
      </c>
      <c r="E140" s="86"/>
      <c r="F140" s="77">
        <v>3.5000000000000003E-2</v>
      </c>
      <c r="G140" s="76">
        <f t="shared" si="13"/>
        <v>960.81</v>
      </c>
      <c r="H140" s="67">
        <f t="shared" si="12"/>
        <v>-132292.25445800001</v>
      </c>
      <c r="I140" s="75">
        <f t="shared" si="11"/>
        <v>263753.21094689943</v>
      </c>
    </row>
    <row r="141" spans="1:9" hidden="1" outlineLevel="1" x14ac:dyDescent="0.2">
      <c r="A141" s="71">
        <f t="shared" si="14"/>
        <v>134</v>
      </c>
      <c r="B141" s="66">
        <f t="shared" ref="B141:B150" si="15">+B140+31</f>
        <v>42818</v>
      </c>
      <c r="C141" s="87"/>
      <c r="D141" s="67">
        <v>-303716.84245999996</v>
      </c>
      <c r="E141" s="86"/>
      <c r="F141" s="77">
        <v>3.5000000000000003E-2</v>
      </c>
      <c r="G141" s="76">
        <f t="shared" si="13"/>
        <v>326.36</v>
      </c>
      <c r="H141" s="67">
        <f t="shared" si="12"/>
        <v>-303390.48245999997</v>
      </c>
      <c r="I141" s="75">
        <f t="shared" si="11"/>
        <v>-39637.271513100539</v>
      </c>
    </row>
    <row r="142" spans="1:9" hidden="1" outlineLevel="1" x14ac:dyDescent="0.2">
      <c r="A142" s="71">
        <f t="shared" si="14"/>
        <v>135</v>
      </c>
      <c r="B142" s="66">
        <f t="shared" si="15"/>
        <v>42849</v>
      </c>
      <c r="C142" s="87"/>
      <c r="D142" s="67">
        <v>-192040.20714000007</v>
      </c>
      <c r="E142" s="86"/>
      <c r="F142" s="77">
        <v>3.7100000000000001E-2</v>
      </c>
      <c r="G142" s="76">
        <f t="shared" si="13"/>
        <v>-419.41</v>
      </c>
      <c r="H142" s="67">
        <f t="shared" si="12"/>
        <v>-192459.61714000007</v>
      </c>
      <c r="I142" s="75">
        <f t="shared" si="11"/>
        <v>-232096.88865310061</v>
      </c>
    </row>
    <row r="143" spans="1:9" hidden="1" outlineLevel="1" x14ac:dyDescent="0.2">
      <c r="A143" s="71">
        <f t="shared" si="14"/>
        <v>136</v>
      </c>
      <c r="B143" s="66">
        <f t="shared" si="15"/>
        <v>42880</v>
      </c>
      <c r="C143" s="87"/>
      <c r="D143" s="67">
        <v>-79605.552554000053</v>
      </c>
      <c r="E143" s="86"/>
      <c r="F143" s="77">
        <v>3.7100000000000001E-2</v>
      </c>
      <c r="G143" s="76">
        <f t="shared" si="13"/>
        <v>-840.62</v>
      </c>
      <c r="H143" s="67">
        <f t="shared" si="12"/>
        <v>-80446.172554000048</v>
      </c>
      <c r="I143" s="75">
        <f t="shared" si="11"/>
        <v>-312543.06120710063</v>
      </c>
    </row>
    <row r="144" spans="1:9" hidden="1" outlineLevel="1" x14ac:dyDescent="0.2">
      <c r="A144" s="71">
        <f t="shared" si="14"/>
        <v>137</v>
      </c>
      <c r="B144" s="66">
        <f t="shared" si="15"/>
        <v>42911</v>
      </c>
      <c r="C144" s="87"/>
      <c r="D144" s="67">
        <v>-41501.479491000064</v>
      </c>
      <c r="E144" s="86"/>
      <c r="F144" s="77">
        <v>3.7100000000000001E-2</v>
      </c>
      <c r="G144" s="76">
        <f t="shared" si="13"/>
        <v>-1030.43</v>
      </c>
      <c r="H144" s="67">
        <f t="shared" si="12"/>
        <v>-42531.909491000064</v>
      </c>
      <c r="I144" s="75">
        <f t="shared" si="11"/>
        <v>-355074.97069810069</v>
      </c>
    </row>
    <row r="145" spans="1:9" hidden="1" outlineLevel="1" x14ac:dyDescent="0.2">
      <c r="A145" s="71">
        <f t="shared" si="14"/>
        <v>138</v>
      </c>
      <c r="B145" s="66">
        <f t="shared" si="15"/>
        <v>42942</v>
      </c>
      <c r="C145" s="87"/>
      <c r="D145" s="67">
        <v>-122679.39746800007</v>
      </c>
      <c r="E145" s="86"/>
      <c r="F145" s="77">
        <v>3.9600000000000003E-2</v>
      </c>
      <c r="G145" s="76">
        <f t="shared" si="13"/>
        <v>-1374.17</v>
      </c>
      <c r="H145" s="67">
        <f t="shared" si="12"/>
        <v>-124053.56746800007</v>
      </c>
      <c r="I145" s="75">
        <f t="shared" si="11"/>
        <v>-479128.53816610074</v>
      </c>
    </row>
    <row r="146" spans="1:9" hidden="1" outlineLevel="1" x14ac:dyDescent="0.2">
      <c r="A146" s="71">
        <f t="shared" si="14"/>
        <v>139</v>
      </c>
      <c r="B146" s="66">
        <f t="shared" si="15"/>
        <v>42973</v>
      </c>
      <c r="C146" s="87"/>
      <c r="D146" s="67">
        <v>-18444.442625000025</v>
      </c>
      <c r="E146" s="86"/>
      <c r="F146" s="77">
        <v>3.9600000000000003E-2</v>
      </c>
      <c r="G146" s="76">
        <f t="shared" si="13"/>
        <v>-1611.56</v>
      </c>
      <c r="H146" s="67">
        <f t="shared" si="12"/>
        <v>-20056.002625000026</v>
      </c>
      <c r="I146" s="75">
        <f t="shared" si="11"/>
        <v>-499184.54079110076</v>
      </c>
    </row>
    <row r="147" spans="1:9" hidden="1" outlineLevel="1" x14ac:dyDescent="0.2">
      <c r="A147" s="71">
        <f t="shared" si="14"/>
        <v>140</v>
      </c>
      <c r="B147" s="66">
        <f t="shared" si="15"/>
        <v>43004</v>
      </c>
      <c r="C147" s="87"/>
      <c r="D147" s="67">
        <v>-149595.89859999984</v>
      </c>
      <c r="E147" s="86"/>
      <c r="F147" s="77">
        <v>3.9600000000000003E-2</v>
      </c>
      <c r="G147" s="76">
        <f t="shared" si="13"/>
        <v>-1894.14</v>
      </c>
      <c r="H147" s="67">
        <f t="shared" si="12"/>
        <v>-151490.03859999985</v>
      </c>
      <c r="I147" s="75">
        <f t="shared" si="11"/>
        <v>-650674.57939110068</v>
      </c>
    </row>
    <row r="148" spans="1:9" hidden="1" outlineLevel="1" x14ac:dyDescent="0.2">
      <c r="A148" s="71">
        <f t="shared" si="14"/>
        <v>141</v>
      </c>
      <c r="B148" s="66">
        <f t="shared" si="15"/>
        <v>43035</v>
      </c>
      <c r="C148" s="87"/>
      <c r="D148" s="67">
        <v>-291809.80427799979</v>
      </c>
      <c r="E148" s="86"/>
      <c r="F148" s="77">
        <v>4.2099999999999999E-2</v>
      </c>
      <c r="G148" s="76">
        <f t="shared" si="13"/>
        <v>-2794.67</v>
      </c>
      <c r="H148" s="67">
        <f t="shared" si="12"/>
        <v>-294604.47427799978</v>
      </c>
      <c r="I148" s="75">
        <f t="shared" si="11"/>
        <v>-945279.05366910039</v>
      </c>
    </row>
    <row r="149" spans="1:9" hidden="1" outlineLevel="1" x14ac:dyDescent="0.2">
      <c r="A149" s="71">
        <f t="shared" si="14"/>
        <v>142</v>
      </c>
      <c r="B149" s="66">
        <f t="shared" si="15"/>
        <v>43066</v>
      </c>
      <c r="C149" s="87">
        <v>1</v>
      </c>
      <c r="D149" s="67">
        <v>16913.827920999844</v>
      </c>
      <c r="E149" s="86">
        <v>502484.6</v>
      </c>
      <c r="F149" s="77">
        <v>4.2099999999999999E-2</v>
      </c>
      <c r="G149" s="76">
        <f t="shared" si="13"/>
        <v>-1523.8</v>
      </c>
      <c r="H149" s="67">
        <f t="shared" si="12"/>
        <v>517874.62792099983</v>
      </c>
      <c r="I149" s="75">
        <f t="shared" si="11"/>
        <v>-427404.42574810056</v>
      </c>
    </row>
    <row r="150" spans="1:9" hidden="1" outlineLevel="1" x14ac:dyDescent="0.2">
      <c r="A150" s="71">
        <f t="shared" si="14"/>
        <v>143</v>
      </c>
      <c r="B150" s="66">
        <f t="shared" si="15"/>
        <v>43097</v>
      </c>
      <c r="C150" s="87"/>
      <c r="D150" s="67">
        <v>-17087.423284000251</v>
      </c>
      <c r="E150" s="86"/>
      <c r="F150" s="77">
        <v>4.2099999999999999E-2</v>
      </c>
      <c r="G150" s="76">
        <f t="shared" si="13"/>
        <v>-1529.45</v>
      </c>
      <c r="H150" s="67">
        <f t="shared" si="12"/>
        <v>-18616.873284000252</v>
      </c>
      <c r="I150" s="75">
        <f t="shared" si="11"/>
        <v>-446021.29903210083</v>
      </c>
    </row>
    <row r="151" spans="1:9" hidden="1" outlineLevel="1" x14ac:dyDescent="0.2">
      <c r="A151" s="71">
        <f t="shared" si="14"/>
        <v>144</v>
      </c>
      <c r="B151" s="82">
        <v>43101</v>
      </c>
      <c r="C151" s="87"/>
      <c r="D151" s="67">
        <v>-60473.59</v>
      </c>
      <c r="E151" s="86"/>
      <c r="F151" s="77">
        <v>4.2500000000000003E-2</v>
      </c>
      <c r="G151" s="76">
        <f t="shared" si="13"/>
        <v>-1686.75</v>
      </c>
      <c r="H151" s="67">
        <f t="shared" si="12"/>
        <v>-62160.34</v>
      </c>
      <c r="I151" s="75">
        <f t="shared" si="11"/>
        <v>-508181.63903210079</v>
      </c>
    </row>
    <row r="152" spans="1:9" hidden="1" outlineLevel="1" x14ac:dyDescent="0.2">
      <c r="A152" s="71">
        <f t="shared" si="14"/>
        <v>145</v>
      </c>
      <c r="B152" s="82">
        <v>43132</v>
      </c>
      <c r="C152" s="87"/>
      <c r="D152" s="67">
        <v>-162473.62387200026</v>
      </c>
      <c r="E152" s="86"/>
      <c r="F152" s="77">
        <v>4.2500000000000003E-2</v>
      </c>
      <c r="G152" s="76">
        <f t="shared" si="13"/>
        <v>-2087.52</v>
      </c>
      <c r="H152" s="67">
        <f t="shared" si="12"/>
        <v>-164561.14387200025</v>
      </c>
      <c r="I152" s="75">
        <f t="shared" ref="I152:I183" si="16">+I151+H152</f>
        <v>-672742.78290410107</v>
      </c>
    </row>
    <row r="153" spans="1:9" hidden="1" outlineLevel="1" x14ac:dyDescent="0.2">
      <c r="A153" s="71">
        <f t="shared" si="14"/>
        <v>146</v>
      </c>
      <c r="B153" s="82">
        <v>43160</v>
      </c>
      <c r="C153" s="87"/>
      <c r="D153" s="67">
        <v>-280210.47632000013</v>
      </c>
      <c r="E153" s="86"/>
      <c r="F153" s="77">
        <v>4.2500000000000003E-2</v>
      </c>
      <c r="G153" s="76">
        <f t="shared" si="13"/>
        <v>-2878.84</v>
      </c>
      <c r="H153" s="67">
        <f t="shared" ref="H153:H184" si="17">SUM(D153:E153,G153)</f>
        <v>-283089.31632000016</v>
      </c>
      <c r="I153" s="75">
        <f t="shared" si="16"/>
        <v>-955832.09922410129</v>
      </c>
    </row>
    <row r="154" spans="1:9" hidden="1" outlineLevel="1" x14ac:dyDescent="0.2">
      <c r="A154" s="71">
        <f t="shared" si="14"/>
        <v>147</v>
      </c>
      <c r="B154" s="82">
        <v>43191</v>
      </c>
      <c r="C154" s="87"/>
      <c r="D154" s="67">
        <v>-407923.54092800012</v>
      </c>
      <c r="E154" s="86"/>
      <c r="F154" s="77">
        <v>4.4699999999999997E-2</v>
      </c>
      <c r="G154" s="76">
        <f t="shared" si="13"/>
        <v>-4320.2299999999996</v>
      </c>
      <c r="H154" s="67">
        <f t="shared" si="17"/>
        <v>-412243.7709280001</v>
      </c>
      <c r="I154" s="75">
        <f t="shared" si="16"/>
        <v>-1368075.8701521014</v>
      </c>
    </row>
    <row r="155" spans="1:9" hidden="1" outlineLevel="1" x14ac:dyDescent="0.2">
      <c r="A155" s="71">
        <f t="shared" si="14"/>
        <v>148</v>
      </c>
      <c r="B155" s="82">
        <v>43221</v>
      </c>
      <c r="C155" s="87"/>
      <c r="D155" s="67">
        <v>-197888.21846400003</v>
      </c>
      <c r="E155" s="86"/>
      <c r="F155" s="77">
        <v>4.4699999999999997E-2</v>
      </c>
      <c r="G155" s="76">
        <f t="shared" si="13"/>
        <v>-5464.65</v>
      </c>
      <c r="H155" s="67">
        <f t="shared" si="17"/>
        <v>-203352.86846400003</v>
      </c>
      <c r="I155" s="75">
        <f t="shared" si="16"/>
        <v>-1571428.7386161014</v>
      </c>
    </row>
    <row r="156" spans="1:9" hidden="1" outlineLevel="1" x14ac:dyDescent="0.2">
      <c r="A156" s="71">
        <f t="shared" si="14"/>
        <v>149</v>
      </c>
      <c r="B156" s="82">
        <v>43252</v>
      </c>
      <c r="C156" s="87"/>
      <c r="D156" s="67">
        <v>-181874.12280399998</v>
      </c>
      <c r="E156" s="86"/>
      <c r="F156" s="77">
        <v>4.4699999999999997E-2</v>
      </c>
      <c r="G156" s="76">
        <f t="shared" si="13"/>
        <v>-6192.31</v>
      </c>
      <c r="H156" s="67">
        <f t="shared" si="17"/>
        <v>-188066.43280399998</v>
      </c>
      <c r="I156" s="75">
        <f t="shared" si="16"/>
        <v>-1759495.1714201015</v>
      </c>
    </row>
    <row r="157" spans="1:9" hidden="1" outlineLevel="1" x14ac:dyDescent="0.2">
      <c r="A157" s="71">
        <f t="shared" si="14"/>
        <v>150</v>
      </c>
      <c r="B157" s="82">
        <v>43282</v>
      </c>
      <c r="C157" s="87"/>
      <c r="D157" s="67">
        <v>-138692.90726000001</v>
      </c>
      <c r="E157" s="86"/>
      <c r="F157" s="77">
        <v>4.6899999999999997E-2</v>
      </c>
      <c r="G157" s="76">
        <f t="shared" si="13"/>
        <v>-7147.72</v>
      </c>
      <c r="H157" s="67">
        <f t="shared" si="17"/>
        <v>-145840.62726000001</v>
      </c>
      <c r="I157" s="75">
        <f t="shared" si="16"/>
        <v>-1905335.7986801015</v>
      </c>
    </row>
    <row r="158" spans="1:9" hidden="1" outlineLevel="1" x14ac:dyDescent="0.2">
      <c r="A158" s="71">
        <f t="shared" si="14"/>
        <v>151</v>
      </c>
      <c r="B158" s="82">
        <v>43313</v>
      </c>
      <c r="C158" s="87"/>
      <c r="D158" s="67">
        <v>-62814.382783999958</v>
      </c>
      <c r="E158" s="86"/>
      <c r="F158" s="77">
        <v>4.6899999999999997E-2</v>
      </c>
      <c r="G158" s="76">
        <f t="shared" si="13"/>
        <v>-7569.44</v>
      </c>
      <c r="H158" s="67">
        <f t="shared" si="17"/>
        <v>-70383.82278399996</v>
      </c>
      <c r="I158" s="75">
        <f t="shared" si="16"/>
        <v>-1975719.6214641016</v>
      </c>
    </row>
    <row r="159" spans="1:9" hidden="1" outlineLevel="1" x14ac:dyDescent="0.2">
      <c r="A159" s="71">
        <f t="shared" si="14"/>
        <v>152</v>
      </c>
      <c r="B159" s="82">
        <v>43344</v>
      </c>
      <c r="C159" s="87"/>
      <c r="D159" s="67">
        <v>-136799.79808900016</v>
      </c>
      <c r="E159" s="86"/>
      <c r="F159" s="77">
        <v>4.6899999999999997E-2</v>
      </c>
      <c r="G159" s="76">
        <f t="shared" si="13"/>
        <v>-7989.1</v>
      </c>
      <c r="H159" s="67">
        <f t="shared" si="17"/>
        <v>-144788.89808900017</v>
      </c>
      <c r="I159" s="75">
        <f t="shared" si="16"/>
        <v>-2120508.5195531016</v>
      </c>
    </row>
    <row r="160" spans="1:9" hidden="1" outlineLevel="1" x14ac:dyDescent="0.2">
      <c r="A160" s="71">
        <f t="shared" si="14"/>
        <v>153</v>
      </c>
      <c r="B160" s="82">
        <v>43374</v>
      </c>
      <c r="C160" s="87"/>
      <c r="D160" s="67">
        <v>-171187.56944600004</v>
      </c>
      <c r="E160" s="86"/>
      <c r="F160" s="88">
        <v>4.9599999999999998E-2</v>
      </c>
      <c r="G160" s="76">
        <f t="shared" ref="G160:G191" si="18">ROUND((+I159+E160+(D160/2))*F160/12,2)</f>
        <v>-9118.56</v>
      </c>
      <c r="H160" s="67">
        <f t="shared" si="17"/>
        <v>-180306.12944600004</v>
      </c>
      <c r="I160" s="75">
        <f t="shared" si="16"/>
        <v>-2300814.6489991015</v>
      </c>
    </row>
    <row r="161" spans="1:9" hidden="1" outlineLevel="1" x14ac:dyDescent="0.2">
      <c r="A161" s="71">
        <f t="shared" si="14"/>
        <v>154</v>
      </c>
      <c r="B161" s="82">
        <v>43405</v>
      </c>
      <c r="C161" s="87">
        <v>1</v>
      </c>
      <c r="D161" s="67">
        <v>950778.20533500053</v>
      </c>
      <c r="E161" s="86">
        <v>1991639.6114641016</v>
      </c>
      <c r="F161" s="88">
        <v>4.9599999999999998E-2</v>
      </c>
      <c r="G161" s="76">
        <f t="shared" si="18"/>
        <v>687.02</v>
      </c>
      <c r="H161" s="67">
        <f t="shared" si="17"/>
        <v>2943104.8367991024</v>
      </c>
      <c r="I161" s="75">
        <f t="shared" si="16"/>
        <v>642290.18780000089</v>
      </c>
    </row>
    <row r="162" spans="1:9" hidden="1" outlineLevel="1" x14ac:dyDescent="0.2">
      <c r="A162" s="71">
        <f t="shared" si="14"/>
        <v>155</v>
      </c>
      <c r="B162" s="82">
        <v>43435</v>
      </c>
      <c r="C162" s="87"/>
      <c r="D162" s="67">
        <v>701599.81078328099</v>
      </c>
      <c r="E162" s="86"/>
      <c r="F162" s="88">
        <v>4.9599999999999998E-2</v>
      </c>
      <c r="G162" s="76">
        <f t="shared" si="18"/>
        <v>4104.7700000000004</v>
      </c>
      <c r="H162" s="67">
        <f t="shared" si="17"/>
        <v>705704.58078328101</v>
      </c>
      <c r="I162" s="75">
        <f t="shared" si="16"/>
        <v>1347994.7685832819</v>
      </c>
    </row>
    <row r="163" spans="1:9" hidden="1" outlineLevel="1" x14ac:dyDescent="0.2">
      <c r="A163" s="71">
        <f t="shared" si="14"/>
        <v>156</v>
      </c>
      <c r="B163" s="82">
        <v>43466</v>
      </c>
      <c r="C163" s="87"/>
      <c r="D163" s="67">
        <v>388675.61577244988</v>
      </c>
      <c r="E163" s="86"/>
      <c r="F163" s="88">
        <v>5.1799999999999999E-2</v>
      </c>
      <c r="G163" s="76">
        <f t="shared" si="18"/>
        <v>6657.74</v>
      </c>
      <c r="H163" s="67">
        <f t="shared" si="17"/>
        <v>395333.35577244987</v>
      </c>
      <c r="I163" s="75">
        <f t="shared" si="16"/>
        <v>1743328.1243557318</v>
      </c>
    </row>
    <row r="164" spans="1:9" hidden="1" outlineLevel="1" x14ac:dyDescent="0.2">
      <c r="A164" s="71">
        <f t="shared" si="14"/>
        <v>157</v>
      </c>
      <c r="B164" s="82">
        <v>43497</v>
      </c>
      <c r="C164" s="87"/>
      <c r="D164" s="67">
        <v>1216886.1177600003</v>
      </c>
      <c r="E164" s="86"/>
      <c r="F164" s="88">
        <v>5.1799999999999999E-2</v>
      </c>
      <c r="G164" s="76">
        <f t="shared" si="18"/>
        <v>10151.81</v>
      </c>
      <c r="H164" s="67">
        <f t="shared" si="17"/>
        <v>1227037.9277600003</v>
      </c>
      <c r="I164" s="75">
        <f t="shared" si="16"/>
        <v>2970366.0521157319</v>
      </c>
    </row>
    <row r="165" spans="1:9" hidden="1" outlineLevel="1" x14ac:dyDescent="0.2">
      <c r="A165" s="71">
        <f t="shared" si="14"/>
        <v>158</v>
      </c>
      <c r="B165" s="82">
        <v>43525</v>
      </c>
      <c r="C165" s="87"/>
      <c r="D165" s="67">
        <v>561925.9502249998</v>
      </c>
      <c r="E165" s="86"/>
      <c r="F165" s="88">
        <v>5.1799999999999999E-2</v>
      </c>
      <c r="G165" s="76">
        <f t="shared" si="18"/>
        <v>14034.9</v>
      </c>
      <c r="H165" s="67">
        <f t="shared" si="17"/>
        <v>575960.85022499983</v>
      </c>
      <c r="I165" s="75">
        <f t="shared" si="16"/>
        <v>3546326.9023407316</v>
      </c>
    </row>
    <row r="166" spans="1:9" hidden="1" outlineLevel="1" x14ac:dyDescent="0.2">
      <c r="A166" s="71">
        <f t="shared" si="14"/>
        <v>159</v>
      </c>
      <c r="B166" s="82">
        <v>43556</v>
      </c>
      <c r="C166" s="87"/>
      <c r="D166" s="67">
        <v>-251479.4393180511</v>
      </c>
      <c r="E166" s="86"/>
      <c r="F166" s="88">
        <v>5.45E-2</v>
      </c>
      <c r="G166" s="76">
        <f t="shared" si="18"/>
        <v>15535.17</v>
      </c>
      <c r="H166" s="67">
        <f t="shared" si="17"/>
        <v>-235944.26931805108</v>
      </c>
      <c r="I166" s="75">
        <f t="shared" si="16"/>
        <v>3310382.6330226804</v>
      </c>
    </row>
    <row r="167" spans="1:9" hidden="1" outlineLevel="1" x14ac:dyDescent="0.2">
      <c r="A167" s="71">
        <f t="shared" si="14"/>
        <v>160</v>
      </c>
      <c r="B167" s="82">
        <v>43586</v>
      </c>
      <c r="C167" s="87"/>
      <c r="D167" s="67">
        <v>-240347.44889643404</v>
      </c>
      <c r="E167" s="86"/>
      <c r="F167" s="88">
        <v>5.45E-2</v>
      </c>
      <c r="G167" s="76">
        <f t="shared" si="18"/>
        <v>14488.87</v>
      </c>
      <c r="H167" s="67">
        <f t="shared" si="17"/>
        <v>-225858.57889643405</v>
      </c>
      <c r="I167" s="75">
        <f t="shared" si="16"/>
        <v>3084524.0541262464</v>
      </c>
    </row>
    <row r="168" spans="1:9" hidden="1" outlineLevel="1" x14ac:dyDescent="0.2">
      <c r="A168" s="71">
        <f t="shared" si="14"/>
        <v>161</v>
      </c>
      <c r="B168" s="82">
        <v>43617</v>
      </c>
      <c r="C168" s="87"/>
      <c r="D168" s="67">
        <v>-199222.30125700001</v>
      </c>
      <c r="E168" s="86"/>
      <c r="F168" s="88">
        <v>5.45E-2</v>
      </c>
      <c r="G168" s="76">
        <f t="shared" si="18"/>
        <v>13556.48</v>
      </c>
      <c r="H168" s="67">
        <f t="shared" si="17"/>
        <v>-185665.821257</v>
      </c>
      <c r="I168" s="75">
        <f t="shared" si="16"/>
        <v>2898858.2328692465</v>
      </c>
    </row>
    <row r="169" spans="1:9" hidden="1" outlineLevel="1" x14ac:dyDescent="0.2">
      <c r="A169" s="71">
        <f t="shared" si="14"/>
        <v>162</v>
      </c>
      <c r="B169" s="82">
        <v>43647</v>
      </c>
      <c r="C169" s="87"/>
      <c r="D169" s="67">
        <v>-115634.95162399998</v>
      </c>
      <c r="E169" s="86"/>
      <c r="F169" s="88">
        <v>5.5E-2</v>
      </c>
      <c r="G169" s="76">
        <f t="shared" si="18"/>
        <v>13021.44</v>
      </c>
      <c r="H169" s="67">
        <f t="shared" si="17"/>
        <v>-102613.51162399998</v>
      </c>
      <c r="I169" s="75">
        <f t="shared" si="16"/>
        <v>2796244.7212452465</v>
      </c>
    </row>
    <row r="170" spans="1:9" hidden="1" outlineLevel="1" x14ac:dyDescent="0.2">
      <c r="A170" s="71">
        <f t="shared" si="14"/>
        <v>163</v>
      </c>
      <c r="B170" s="82">
        <v>43678</v>
      </c>
      <c r="C170" s="87"/>
      <c r="D170" s="67">
        <v>-104459.36503015843</v>
      </c>
      <c r="E170" s="86"/>
      <c r="F170" s="88">
        <v>5.5E-2</v>
      </c>
      <c r="G170" s="76">
        <f t="shared" si="18"/>
        <v>12576.74</v>
      </c>
      <c r="H170" s="67">
        <f t="shared" si="17"/>
        <v>-91882.625030158422</v>
      </c>
      <c r="I170" s="75">
        <f t="shared" si="16"/>
        <v>2704362.0962150879</v>
      </c>
    </row>
    <row r="171" spans="1:9" hidden="1" outlineLevel="1" x14ac:dyDescent="0.2">
      <c r="A171" s="71">
        <f t="shared" si="14"/>
        <v>164</v>
      </c>
      <c r="B171" s="82">
        <v>43709</v>
      </c>
      <c r="C171" s="87"/>
      <c r="D171" s="67">
        <v>-228609.43098243204</v>
      </c>
      <c r="E171" s="86"/>
      <c r="F171" s="88">
        <v>5.5E-2</v>
      </c>
      <c r="G171" s="76">
        <f t="shared" si="18"/>
        <v>11871.1</v>
      </c>
      <c r="H171" s="67">
        <f t="shared" si="17"/>
        <v>-216738.33098243203</v>
      </c>
      <c r="I171" s="75">
        <f t="shared" si="16"/>
        <v>2487623.7652326557</v>
      </c>
    </row>
    <row r="172" spans="1:9" hidden="1" outlineLevel="1" x14ac:dyDescent="0.2">
      <c r="A172" s="71">
        <f t="shared" si="14"/>
        <v>165</v>
      </c>
      <c r="B172" s="82">
        <v>43739</v>
      </c>
      <c r="C172" s="87"/>
      <c r="D172" s="67">
        <v>-164080.03691068734</v>
      </c>
      <c r="E172" s="86"/>
      <c r="F172" s="79">
        <v>5.4199999999999998E-2</v>
      </c>
      <c r="G172" s="76">
        <f t="shared" si="18"/>
        <v>10865.22</v>
      </c>
      <c r="H172" s="67">
        <f t="shared" si="17"/>
        <v>-153214.81691068734</v>
      </c>
      <c r="I172" s="75">
        <f t="shared" si="16"/>
        <v>2334408.9483219683</v>
      </c>
    </row>
    <row r="173" spans="1:9" hidden="1" outlineLevel="1" x14ac:dyDescent="0.2">
      <c r="A173" s="71">
        <f t="shared" si="14"/>
        <v>166</v>
      </c>
      <c r="B173" s="82">
        <v>43770</v>
      </c>
      <c r="C173" s="87">
        <v>1</v>
      </c>
      <c r="D173" s="67">
        <v>484578.30990011711</v>
      </c>
      <c r="E173" s="80">
        <v>-2729027.78</v>
      </c>
      <c r="F173" s="79">
        <v>5.4199999999999998E-2</v>
      </c>
      <c r="G173" s="76">
        <f t="shared" si="18"/>
        <v>-688.02</v>
      </c>
      <c r="H173" s="67">
        <f t="shared" si="17"/>
        <v>-2245137.4900998827</v>
      </c>
      <c r="I173" s="75">
        <f t="shared" si="16"/>
        <v>89271.45822208561</v>
      </c>
    </row>
    <row r="174" spans="1:9" hidden="1" outlineLevel="1" x14ac:dyDescent="0.2">
      <c r="A174" s="71">
        <f t="shared" si="14"/>
        <v>167</v>
      </c>
      <c r="B174" s="82">
        <v>43800</v>
      </c>
      <c r="C174" s="87"/>
      <c r="D174" s="67">
        <v>728482.49452461628</v>
      </c>
      <c r="E174" s="86"/>
      <c r="F174" s="79">
        <v>5.4199999999999998E-2</v>
      </c>
      <c r="G174" s="76">
        <f t="shared" si="18"/>
        <v>2048.37</v>
      </c>
      <c r="H174" s="67">
        <f t="shared" si="17"/>
        <v>730530.86452461628</v>
      </c>
      <c r="I174" s="75">
        <f t="shared" si="16"/>
        <v>819802.32274670189</v>
      </c>
    </row>
    <row r="175" spans="1:9" hidden="1" outlineLevel="1" x14ac:dyDescent="0.2">
      <c r="A175" s="71">
        <f t="shared" si="14"/>
        <v>168</v>
      </c>
      <c r="B175" s="82">
        <v>43831</v>
      </c>
      <c r="C175" s="87"/>
      <c r="D175" s="67">
        <v>338852.2272536112</v>
      </c>
      <c r="E175" s="86"/>
      <c r="F175" s="79">
        <v>4.9599999999999998E-2</v>
      </c>
      <c r="G175" s="76">
        <f t="shared" si="18"/>
        <v>4088.81</v>
      </c>
      <c r="H175" s="67">
        <f t="shared" si="17"/>
        <v>342941.0372536112</v>
      </c>
      <c r="I175" s="75">
        <f t="shared" si="16"/>
        <v>1162743.360000313</v>
      </c>
    </row>
    <row r="176" spans="1:9" hidden="1" outlineLevel="1" x14ac:dyDescent="0.2">
      <c r="A176" s="71">
        <f t="shared" si="14"/>
        <v>169</v>
      </c>
      <c r="B176" s="82">
        <v>43862</v>
      </c>
      <c r="D176" s="67">
        <v>-20154.040065271634</v>
      </c>
      <c r="E176" s="66"/>
      <c r="F176" s="79">
        <v>4.9599999999999998E-2</v>
      </c>
      <c r="G176" s="76">
        <f t="shared" si="18"/>
        <v>4764.3500000000004</v>
      </c>
      <c r="H176" s="67">
        <f t="shared" si="17"/>
        <v>-15389.690065271634</v>
      </c>
      <c r="I176" s="75">
        <f t="shared" si="16"/>
        <v>1147353.6699350413</v>
      </c>
    </row>
    <row r="177" spans="1:9" hidden="1" outlineLevel="1" x14ac:dyDescent="0.2">
      <c r="A177" s="71">
        <f t="shared" si="14"/>
        <v>170</v>
      </c>
      <c r="B177" s="82">
        <v>43891</v>
      </c>
      <c r="D177" s="67">
        <v>-188263.82422603262</v>
      </c>
      <c r="E177" s="66"/>
      <c r="F177" s="79">
        <v>4.9599999999999998E-2</v>
      </c>
      <c r="G177" s="76">
        <f t="shared" si="18"/>
        <v>4353.32</v>
      </c>
      <c r="H177" s="67">
        <f t="shared" si="17"/>
        <v>-183910.50422603262</v>
      </c>
      <c r="I177" s="75">
        <f t="shared" si="16"/>
        <v>963443.1657090087</v>
      </c>
    </row>
    <row r="178" spans="1:9" hidden="1" outlineLevel="1" x14ac:dyDescent="0.2">
      <c r="A178" s="71">
        <f t="shared" si="14"/>
        <v>171</v>
      </c>
      <c r="B178" s="82">
        <v>43922</v>
      </c>
      <c r="D178" s="67">
        <v>-293940.53968449484</v>
      </c>
      <c r="E178" s="66"/>
      <c r="F178" s="79">
        <v>4.7500000000000001E-2</v>
      </c>
      <c r="G178" s="76">
        <f t="shared" si="18"/>
        <v>3231.87</v>
      </c>
      <c r="H178" s="67">
        <f t="shared" si="17"/>
        <v>-290708.66968449485</v>
      </c>
      <c r="I178" s="75">
        <f t="shared" si="16"/>
        <v>672734.49602451385</v>
      </c>
    </row>
    <row r="179" spans="1:9" hidden="1" outlineLevel="1" x14ac:dyDescent="0.2">
      <c r="A179" s="71">
        <f t="shared" si="14"/>
        <v>172</v>
      </c>
      <c r="B179" s="82">
        <v>43952</v>
      </c>
      <c r="D179" s="67">
        <v>-109023.61758603796</v>
      </c>
      <c r="E179" s="66"/>
      <c r="F179" s="79">
        <v>4.7500000000000001E-2</v>
      </c>
      <c r="G179" s="76">
        <f t="shared" si="18"/>
        <v>2447.13</v>
      </c>
      <c r="H179" s="67">
        <f t="shared" si="17"/>
        <v>-106576.48758603795</v>
      </c>
      <c r="I179" s="75">
        <f t="shared" si="16"/>
        <v>566158.0084384759</v>
      </c>
    </row>
    <row r="180" spans="1:9" hidden="1" outlineLevel="1" x14ac:dyDescent="0.2">
      <c r="A180" s="71">
        <f t="shared" si="14"/>
        <v>173</v>
      </c>
      <c r="B180" s="82">
        <v>43983</v>
      </c>
      <c r="D180" s="67">
        <v>-141885.02264002588</v>
      </c>
      <c r="E180" s="66"/>
      <c r="F180" s="79">
        <v>4.7500000000000001E-2</v>
      </c>
      <c r="G180" s="76">
        <f t="shared" si="18"/>
        <v>1960.23</v>
      </c>
      <c r="H180" s="67">
        <f t="shared" si="17"/>
        <v>-139924.79264002587</v>
      </c>
      <c r="I180" s="75">
        <f t="shared" si="16"/>
        <v>426233.21579845005</v>
      </c>
    </row>
    <row r="181" spans="1:9" hidden="1" outlineLevel="1" x14ac:dyDescent="0.2">
      <c r="A181" s="71">
        <f t="shared" si="14"/>
        <v>174</v>
      </c>
      <c r="B181" s="82">
        <v>44013</v>
      </c>
      <c r="D181" s="67">
        <v>-99528.150117065248</v>
      </c>
      <c r="E181" s="66"/>
      <c r="F181" s="79">
        <v>3.4299999999999997E-2</v>
      </c>
      <c r="G181" s="76">
        <f t="shared" si="18"/>
        <v>1076.07</v>
      </c>
      <c r="H181" s="67">
        <f t="shared" si="17"/>
        <v>-98452.080117065241</v>
      </c>
      <c r="I181" s="75">
        <f t="shared" si="16"/>
        <v>327781.13568138483</v>
      </c>
    </row>
    <row r="182" spans="1:9" hidden="1" outlineLevel="1" x14ac:dyDescent="0.2">
      <c r="A182" s="71">
        <f t="shared" si="14"/>
        <v>175</v>
      </c>
      <c r="B182" s="82">
        <v>44044</v>
      </c>
      <c r="D182" s="67">
        <v>-58301.158791474169</v>
      </c>
      <c r="E182" s="66"/>
      <c r="F182" s="79">
        <v>3.4299999999999997E-2</v>
      </c>
      <c r="G182" s="76">
        <f t="shared" si="18"/>
        <v>853.59</v>
      </c>
      <c r="H182" s="67">
        <f t="shared" si="17"/>
        <v>-57447.568791474172</v>
      </c>
      <c r="I182" s="75">
        <f t="shared" si="16"/>
        <v>270333.56688991067</v>
      </c>
    </row>
    <row r="183" spans="1:9" hidden="1" outlineLevel="1" x14ac:dyDescent="0.2">
      <c r="A183" s="71">
        <f t="shared" si="14"/>
        <v>176</v>
      </c>
      <c r="B183" s="82">
        <v>44075</v>
      </c>
      <c r="D183" s="67">
        <v>23984.098093772249</v>
      </c>
      <c r="E183" s="66"/>
      <c r="F183" s="79">
        <v>3.4299999999999997E-2</v>
      </c>
      <c r="G183" s="76">
        <f t="shared" si="18"/>
        <v>806.98</v>
      </c>
      <c r="H183" s="67">
        <f t="shared" si="17"/>
        <v>24791.078093772248</v>
      </c>
      <c r="I183" s="75">
        <f t="shared" si="16"/>
        <v>295124.6449836829</v>
      </c>
    </row>
    <row r="184" spans="1:9" hidden="1" outlineLevel="1" x14ac:dyDescent="0.2">
      <c r="A184" s="71">
        <f t="shared" si="14"/>
        <v>177</v>
      </c>
      <c r="B184" s="82">
        <v>44105</v>
      </c>
      <c r="D184" s="67">
        <v>127005.09749636115</v>
      </c>
      <c r="E184" s="66"/>
      <c r="F184" s="79">
        <v>3.2500000000000001E-2</v>
      </c>
      <c r="G184" s="76">
        <f t="shared" si="18"/>
        <v>971.28</v>
      </c>
      <c r="H184" s="67">
        <f t="shared" si="17"/>
        <v>127976.37749636115</v>
      </c>
      <c r="I184" s="75">
        <f t="shared" ref="I184:I215" si="19">+I183+H184</f>
        <v>423101.02248004405</v>
      </c>
    </row>
    <row r="185" spans="1:9" hidden="1" outlineLevel="1" collapsed="1" x14ac:dyDescent="0.2">
      <c r="A185" s="71">
        <f t="shared" si="14"/>
        <v>178</v>
      </c>
      <c r="B185" s="82">
        <v>44136</v>
      </c>
      <c r="C185" s="81" t="s">
        <v>321</v>
      </c>
      <c r="D185" s="67">
        <v>191723.21801759163</v>
      </c>
      <c r="E185" s="80">
        <v>-271881.18</v>
      </c>
      <c r="F185" s="79">
        <v>3.2500000000000001E-2</v>
      </c>
      <c r="G185" s="76">
        <f t="shared" si="18"/>
        <v>669.18</v>
      </c>
      <c r="H185" s="67">
        <f t="shared" ref="H185:H216" si="20">SUM(D185:E185,G185)</f>
        <v>-79488.781982408371</v>
      </c>
      <c r="I185" s="75">
        <f t="shared" si="19"/>
        <v>343612.24049763568</v>
      </c>
    </row>
    <row r="186" spans="1:9" hidden="1" outlineLevel="1" x14ac:dyDescent="0.2">
      <c r="A186" s="71">
        <f t="shared" si="14"/>
        <v>179</v>
      </c>
      <c r="B186" s="82">
        <v>44166</v>
      </c>
      <c r="D186" s="67">
        <v>56623.828687272966</v>
      </c>
      <c r="E186" s="66"/>
      <c r="F186" s="79">
        <v>3.2500000000000001E-2</v>
      </c>
      <c r="G186" s="76">
        <f t="shared" si="18"/>
        <v>1007.29</v>
      </c>
      <c r="H186" s="67">
        <f t="shared" si="20"/>
        <v>57631.118687272967</v>
      </c>
      <c r="I186" s="75">
        <f t="shared" si="19"/>
        <v>401243.35918490862</v>
      </c>
    </row>
    <row r="187" spans="1:9" hidden="1" outlineLevel="1" x14ac:dyDescent="0.2">
      <c r="A187" s="71">
        <f t="shared" si="14"/>
        <v>180</v>
      </c>
      <c r="B187" s="82">
        <v>44197</v>
      </c>
      <c r="D187" s="67">
        <v>47600.121752672458</v>
      </c>
      <c r="E187" s="66"/>
      <c r="F187" s="79">
        <v>3.2500000000000001E-2</v>
      </c>
      <c r="G187" s="76">
        <f t="shared" si="18"/>
        <v>1151.1600000000001</v>
      </c>
      <c r="H187" s="67">
        <f t="shared" si="20"/>
        <v>48751.281752672461</v>
      </c>
      <c r="I187" s="75">
        <f t="shared" si="19"/>
        <v>449994.64093758108</v>
      </c>
    </row>
    <row r="188" spans="1:9" hidden="1" outlineLevel="1" x14ac:dyDescent="0.2">
      <c r="A188" s="71">
        <f t="shared" si="14"/>
        <v>181</v>
      </c>
      <c r="B188" s="82">
        <v>44228</v>
      </c>
      <c r="D188" s="67">
        <v>3152891.7168109696</v>
      </c>
      <c r="E188" s="66"/>
      <c r="F188" s="79">
        <v>3.2500000000000001E-2</v>
      </c>
      <c r="G188" s="76">
        <f t="shared" si="18"/>
        <v>5488.28</v>
      </c>
      <c r="H188" s="67">
        <f t="shared" si="20"/>
        <v>3158379.9968109694</v>
      </c>
      <c r="I188" s="75">
        <f t="shared" si="19"/>
        <v>3608374.6377485506</v>
      </c>
    </row>
    <row r="189" spans="1:9" hidden="1" outlineLevel="1" x14ac:dyDescent="0.2">
      <c r="A189" s="71">
        <f t="shared" si="14"/>
        <v>182</v>
      </c>
      <c r="B189" s="82">
        <v>44256</v>
      </c>
      <c r="D189" s="67">
        <v>173675.69248649309</v>
      </c>
      <c r="E189" s="66"/>
      <c r="F189" s="79">
        <v>3.2500000000000001E-2</v>
      </c>
      <c r="G189" s="76">
        <f t="shared" si="18"/>
        <v>10007.870000000001</v>
      </c>
      <c r="H189" s="67">
        <f t="shared" si="20"/>
        <v>183683.56248649309</v>
      </c>
      <c r="I189" s="75">
        <f t="shared" si="19"/>
        <v>3792058.2002350437</v>
      </c>
    </row>
    <row r="190" spans="1:9" hidden="1" outlineLevel="1" x14ac:dyDescent="0.2">
      <c r="A190" s="71">
        <f t="shared" si="14"/>
        <v>183</v>
      </c>
      <c r="B190" s="82">
        <v>44287</v>
      </c>
      <c r="D190" s="67">
        <v>-117151.50315940171</v>
      </c>
      <c r="E190" s="66"/>
      <c r="F190" s="79">
        <v>3.2500000000000001E-2</v>
      </c>
      <c r="G190" s="76">
        <f t="shared" si="18"/>
        <v>10111.51</v>
      </c>
      <c r="H190" s="67">
        <f t="shared" si="20"/>
        <v>-107039.99315940171</v>
      </c>
      <c r="I190" s="75">
        <f t="shared" si="19"/>
        <v>3685018.207075642</v>
      </c>
    </row>
    <row r="191" spans="1:9" hidden="1" outlineLevel="1" x14ac:dyDescent="0.2">
      <c r="A191" s="71">
        <f t="shared" si="14"/>
        <v>184</v>
      </c>
      <c r="B191" s="82">
        <v>44317</v>
      </c>
      <c r="D191" s="67">
        <v>1767.2309658659869</v>
      </c>
      <c r="E191" s="66"/>
      <c r="F191" s="79">
        <v>3.2500000000000001E-2</v>
      </c>
      <c r="G191" s="76">
        <f t="shared" si="18"/>
        <v>9982.65</v>
      </c>
      <c r="H191" s="67">
        <f t="shared" si="20"/>
        <v>11749.880965865987</v>
      </c>
      <c r="I191" s="75">
        <f t="shared" si="19"/>
        <v>3696768.0880415081</v>
      </c>
    </row>
    <row r="192" spans="1:9" hidden="1" outlineLevel="1" x14ac:dyDescent="0.2">
      <c r="A192" s="71">
        <f t="shared" si="14"/>
        <v>185</v>
      </c>
      <c r="B192" s="82">
        <v>44348</v>
      </c>
      <c r="D192" s="67">
        <v>54300.440563458367</v>
      </c>
      <c r="E192" s="66"/>
      <c r="F192" s="79">
        <v>3.2500000000000001E-2</v>
      </c>
      <c r="G192" s="76">
        <f t="shared" ref="G192:G223" si="21">ROUND((+I191+E192+(D192/2))*F192/12,2)</f>
        <v>10085.61</v>
      </c>
      <c r="H192" s="67">
        <f t="shared" si="20"/>
        <v>64386.050563458368</v>
      </c>
      <c r="I192" s="75">
        <f t="shared" si="19"/>
        <v>3761154.1386049665</v>
      </c>
    </row>
    <row r="193" spans="1:9" hidden="1" outlineLevel="1" x14ac:dyDescent="0.2">
      <c r="A193" s="71">
        <f t="shared" si="14"/>
        <v>186</v>
      </c>
      <c r="B193" s="82">
        <v>44378</v>
      </c>
      <c r="D193" s="67">
        <v>160746.53413712996</v>
      </c>
      <c r="E193" s="66"/>
      <c r="F193" s="79">
        <v>3.2500000000000001E-2</v>
      </c>
      <c r="G193" s="76">
        <f t="shared" si="21"/>
        <v>10404.14</v>
      </c>
      <c r="H193" s="67">
        <f t="shared" si="20"/>
        <v>171150.67413712997</v>
      </c>
      <c r="I193" s="75">
        <f t="shared" si="19"/>
        <v>3932304.8127420964</v>
      </c>
    </row>
    <row r="194" spans="1:9" hidden="1" outlineLevel="1" x14ac:dyDescent="0.2">
      <c r="A194" s="71">
        <f t="shared" si="14"/>
        <v>187</v>
      </c>
      <c r="B194" s="82">
        <v>44409</v>
      </c>
      <c r="D194" s="67">
        <v>197841.65287631607</v>
      </c>
      <c r="E194" s="66"/>
      <c r="F194" s="79">
        <v>3.2500000000000001E-2</v>
      </c>
      <c r="G194" s="76">
        <f t="shared" si="21"/>
        <v>10917.9</v>
      </c>
      <c r="H194" s="67">
        <f t="shared" si="20"/>
        <v>208759.55287631607</v>
      </c>
      <c r="I194" s="75">
        <f t="shared" si="19"/>
        <v>4141064.3656184124</v>
      </c>
    </row>
    <row r="195" spans="1:9" hidden="1" outlineLevel="1" x14ac:dyDescent="0.2">
      <c r="A195" s="71">
        <f t="shared" si="14"/>
        <v>188</v>
      </c>
      <c r="B195" s="82">
        <v>44440</v>
      </c>
      <c r="D195" s="67">
        <v>442685.75143191172</v>
      </c>
      <c r="E195" s="66"/>
      <c r="F195" s="79">
        <v>3.2500000000000001E-2</v>
      </c>
      <c r="G195" s="76">
        <f t="shared" si="21"/>
        <v>11814.85</v>
      </c>
      <c r="H195" s="67">
        <f t="shared" si="20"/>
        <v>454500.60143191169</v>
      </c>
      <c r="I195" s="75">
        <f t="shared" si="19"/>
        <v>4595564.9670503242</v>
      </c>
    </row>
    <row r="196" spans="1:9" hidden="1" outlineLevel="1" x14ac:dyDescent="0.2">
      <c r="A196" s="71">
        <f t="shared" si="14"/>
        <v>189</v>
      </c>
      <c r="B196" s="82">
        <v>44470</v>
      </c>
      <c r="D196" s="67">
        <f>964960.13</f>
        <v>964960.13</v>
      </c>
      <c r="E196" s="66"/>
      <c r="F196" s="79">
        <v>3.2500000000000001E-2</v>
      </c>
      <c r="G196" s="76">
        <f t="shared" si="21"/>
        <v>13753.04</v>
      </c>
      <c r="H196" s="67">
        <f t="shared" si="20"/>
        <v>978713.17</v>
      </c>
      <c r="I196" s="75">
        <f t="shared" si="19"/>
        <v>5574278.1370503241</v>
      </c>
    </row>
    <row r="197" spans="1:9" hidden="1" outlineLevel="1" collapsed="1" x14ac:dyDescent="0.2">
      <c r="A197" s="71">
        <f t="shared" si="14"/>
        <v>190</v>
      </c>
      <c r="B197" s="82">
        <v>44521</v>
      </c>
      <c r="C197" s="81" t="s">
        <v>321</v>
      </c>
      <c r="D197" s="67">
        <v>356574.92</v>
      </c>
      <c r="E197" s="80">
        <v>-4163525.5056184125</v>
      </c>
      <c r="F197" s="79">
        <v>3.2500000000000001E-2</v>
      </c>
      <c r="G197" s="76">
        <f t="shared" si="21"/>
        <v>4303.6499999999996</v>
      </c>
      <c r="H197" s="67">
        <f t="shared" si="20"/>
        <v>-3802646.9356184127</v>
      </c>
      <c r="I197" s="75">
        <f t="shared" si="19"/>
        <v>1771631.2014319114</v>
      </c>
    </row>
    <row r="198" spans="1:9" hidden="1" outlineLevel="1" x14ac:dyDescent="0.2">
      <c r="A198" s="71">
        <f t="shared" si="14"/>
        <v>191</v>
      </c>
      <c r="B198" s="82">
        <v>44561</v>
      </c>
      <c r="C198" s="81"/>
      <c r="D198" s="67">
        <v>1043088.5</v>
      </c>
      <c r="E198" s="80"/>
      <c r="F198" s="79">
        <v>3.2500000000000001E-2</v>
      </c>
      <c r="G198" s="76">
        <f t="shared" si="21"/>
        <v>6210.68</v>
      </c>
      <c r="H198" s="67">
        <f t="shared" si="20"/>
        <v>1049299.18</v>
      </c>
      <c r="I198" s="75">
        <f t="shared" si="19"/>
        <v>2820930.3814319111</v>
      </c>
    </row>
    <row r="199" spans="1:9" hidden="1" outlineLevel="1" x14ac:dyDescent="0.2">
      <c r="A199" s="71">
        <f t="shared" si="14"/>
        <v>192</v>
      </c>
      <c r="B199" s="82">
        <v>44562</v>
      </c>
      <c r="C199" s="81"/>
      <c r="D199" s="67">
        <v>1007957.8629637449</v>
      </c>
      <c r="E199" s="80"/>
      <c r="F199" s="79">
        <v>3.2500000000000001E-2</v>
      </c>
      <c r="G199" s="76">
        <f t="shared" si="21"/>
        <v>9004.9599999999991</v>
      </c>
      <c r="H199" s="67">
        <f t="shared" si="20"/>
        <v>1016962.8229637449</v>
      </c>
      <c r="I199" s="75">
        <f t="shared" si="19"/>
        <v>3837893.204395656</v>
      </c>
    </row>
    <row r="200" spans="1:9" hidden="1" outlineLevel="1" x14ac:dyDescent="0.2">
      <c r="A200" s="71">
        <f t="shared" si="14"/>
        <v>193</v>
      </c>
      <c r="B200" s="82">
        <v>44594</v>
      </c>
      <c r="C200" s="81"/>
      <c r="D200" s="67">
        <v>794853.74706715741</v>
      </c>
      <c r="E200" s="80"/>
      <c r="F200" s="79">
        <v>3.2500000000000001E-2</v>
      </c>
      <c r="G200" s="76">
        <f t="shared" si="21"/>
        <v>11470.66</v>
      </c>
      <c r="H200" s="67">
        <f t="shared" si="20"/>
        <v>806324.40706715744</v>
      </c>
      <c r="I200" s="75">
        <f t="shared" si="19"/>
        <v>4644217.6114628138</v>
      </c>
    </row>
    <row r="201" spans="1:9" hidden="1" outlineLevel="1" x14ac:dyDescent="0.2">
      <c r="A201" s="71">
        <f t="shared" ref="A201:A238" si="22">+A200+1</f>
        <v>194</v>
      </c>
      <c r="B201" s="82">
        <v>44626</v>
      </c>
      <c r="C201" s="81"/>
      <c r="D201" s="67">
        <v>456616.13110740745</v>
      </c>
      <c r="E201" s="80"/>
      <c r="F201" s="79">
        <v>3.2500000000000001E-2</v>
      </c>
      <c r="G201" s="76">
        <f t="shared" si="21"/>
        <v>13196.42</v>
      </c>
      <c r="H201" s="67">
        <f t="shared" si="20"/>
        <v>469812.55110740743</v>
      </c>
      <c r="I201" s="75">
        <f t="shared" si="19"/>
        <v>5114030.1625702213</v>
      </c>
    </row>
    <row r="202" spans="1:9" hidden="1" outlineLevel="1" x14ac:dyDescent="0.2">
      <c r="A202" s="71">
        <f t="shared" si="22"/>
        <v>195</v>
      </c>
      <c r="B202" s="82">
        <v>44658</v>
      </c>
      <c r="C202" s="81"/>
      <c r="D202" s="67">
        <v>1212367.1045766422</v>
      </c>
      <c r="E202" s="80"/>
      <c r="F202" s="79">
        <v>3.2500000000000001E-2</v>
      </c>
      <c r="G202" s="76">
        <f t="shared" si="21"/>
        <v>15492.25</v>
      </c>
      <c r="H202" s="67">
        <f t="shared" si="20"/>
        <v>1227859.3545766422</v>
      </c>
      <c r="I202" s="75">
        <f t="shared" si="19"/>
        <v>6341889.517146863</v>
      </c>
    </row>
    <row r="203" spans="1:9" hidden="1" outlineLevel="1" x14ac:dyDescent="0.2">
      <c r="A203" s="71">
        <f t="shared" si="22"/>
        <v>196</v>
      </c>
      <c r="B203" s="82">
        <v>44690</v>
      </c>
      <c r="C203" s="81"/>
      <c r="D203" s="67">
        <v>1813218.7693729203</v>
      </c>
      <c r="E203" s="80"/>
      <c r="F203" s="79">
        <v>3.2500000000000001E-2</v>
      </c>
      <c r="G203" s="76">
        <f t="shared" si="21"/>
        <v>19631.349999999999</v>
      </c>
      <c r="H203" s="67">
        <f t="shared" si="20"/>
        <v>1832850.1193729204</v>
      </c>
      <c r="I203" s="75">
        <f t="shared" si="19"/>
        <v>8174739.6365197832</v>
      </c>
    </row>
    <row r="204" spans="1:9" hidden="1" outlineLevel="1" x14ac:dyDescent="0.2">
      <c r="A204" s="71">
        <f t="shared" si="22"/>
        <v>197</v>
      </c>
      <c r="B204" s="82">
        <v>44722</v>
      </c>
      <c r="C204" s="81"/>
      <c r="D204" s="67">
        <v>1073287.400191538</v>
      </c>
      <c r="E204" s="80"/>
      <c r="F204" s="79">
        <v>3.2500000000000001E-2</v>
      </c>
      <c r="G204" s="76">
        <f t="shared" si="21"/>
        <v>23593.33</v>
      </c>
      <c r="H204" s="67">
        <f t="shared" si="20"/>
        <v>1096880.7301915381</v>
      </c>
      <c r="I204" s="75">
        <f t="shared" si="19"/>
        <v>9271620.3667113222</v>
      </c>
    </row>
    <row r="205" spans="1:9" hidden="1" outlineLevel="1" x14ac:dyDescent="0.2">
      <c r="A205" s="71">
        <f t="shared" si="22"/>
        <v>198</v>
      </c>
      <c r="B205" s="82">
        <v>44754</v>
      </c>
      <c r="C205" s="81"/>
      <c r="D205" s="67">
        <v>717219.33878711471</v>
      </c>
      <c r="E205" s="80"/>
      <c r="F205" s="79">
        <v>3.5999999999999997E-2</v>
      </c>
      <c r="G205" s="76">
        <f t="shared" si="21"/>
        <v>28890.69</v>
      </c>
      <c r="H205" s="67">
        <f t="shared" si="20"/>
        <v>746110.02878711466</v>
      </c>
      <c r="I205" s="75">
        <f t="shared" si="19"/>
        <v>10017730.395498436</v>
      </c>
    </row>
    <row r="206" spans="1:9" hidden="1" outlineLevel="1" x14ac:dyDescent="0.2">
      <c r="A206" s="71">
        <f t="shared" si="22"/>
        <v>199</v>
      </c>
      <c r="B206" s="82">
        <v>44786</v>
      </c>
      <c r="C206" s="81"/>
      <c r="D206" s="67">
        <v>763569.39693245781</v>
      </c>
      <c r="E206" s="80"/>
      <c r="F206" s="79">
        <v>3.5999999999999997E-2</v>
      </c>
      <c r="G206" s="76">
        <f t="shared" si="21"/>
        <v>31198.55</v>
      </c>
      <c r="H206" s="67">
        <f t="shared" si="20"/>
        <v>794767.94693245785</v>
      </c>
      <c r="I206" s="75">
        <f t="shared" si="19"/>
        <v>10812498.342430893</v>
      </c>
    </row>
    <row r="207" spans="1:9" hidden="1" outlineLevel="1" x14ac:dyDescent="0.2">
      <c r="A207" s="71">
        <f t="shared" si="22"/>
        <v>200</v>
      </c>
      <c r="B207" s="82">
        <v>44818</v>
      </c>
      <c r="C207" s="81"/>
      <c r="D207" s="67">
        <v>268229.69810854271</v>
      </c>
      <c r="E207" s="80"/>
      <c r="F207" s="79">
        <v>3.5999999999999997E-2</v>
      </c>
      <c r="G207" s="76">
        <f t="shared" si="21"/>
        <v>32839.839999999997</v>
      </c>
      <c r="H207" s="67">
        <f t="shared" si="20"/>
        <v>301069.53810854268</v>
      </c>
      <c r="I207" s="75">
        <f t="shared" si="19"/>
        <v>11113567.880539436</v>
      </c>
    </row>
    <row r="208" spans="1:9" hidden="1" outlineLevel="1" x14ac:dyDescent="0.2">
      <c r="A208" s="71">
        <f t="shared" si="22"/>
        <v>201</v>
      </c>
      <c r="B208" s="82">
        <v>44850</v>
      </c>
      <c r="C208" s="81"/>
      <c r="D208" s="67">
        <v>507150.90178022592</v>
      </c>
      <c r="E208" s="80"/>
      <c r="F208" s="79">
        <v>4.9099999999999998E-2</v>
      </c>
      <c r="G208" s="76">
        <f t="shared" si="21"/>
        <v>46510.559999999998</v>
      </c>
      <c r="H208" s="67">
        <f t="shared" si="20"/>
        <v>553661.46178022586</v>
      </c>
      <c r="I208" s="75">
        <f t="shared" si="19"/>
        <v>11667229.342319662</v>
      </c>
    </row>
    <row r="209" spans="1:9" hidden="1" outlineLevel="1" collapsed="1" x14ac:dyDescent="0.2">
      <c r="A209" s="71">
        <f t="shared" si="22"/>
        <v>202</v>
      </c>
      <c r="B209" s="82">
        <v>44882</v>
      </c>
      <c r="C209" s="81" t="s">
        <v>321</v>
      </c>
      <c r="D209" s="67">
        <v>563593.16729187686</v>
      </c>
      <c r="E209" s="85">
        <v>-10877470.65</v>
      </c>
      <c r="F209" s="79">
        <v>4.9099999999999998E-2</v>
      </c>
      <c r="G209" s="76">
        <f t="shared" si="21"/>
        <v>4384.45</v>
      </c>
      <c r="H209" s="67">
        <f t="shared" si="20"/>
        <v>-10309493.032708123</v>
      </c>
      <c r="I209" s="75">
        <f t="shared" si="19"/>
        <v>1357736.3096115384</v>
      </c>
    </row>
    <row r="210" spans="1:9" hidden="1" outlineLevel="1" x14ac:dyDescent="0.2">
      <c r="A210" s="71">
        <f t="shared" si="22"/>
        <v>203</v>
      </c>
      <c r="B210" s="82">
        <v>44914</v>
      </c>
      <c r="C210" s="81"/>
      <c r="D210" s="67">
        <v>2585838.7805864597</v>
      </c>
      <c r="E210" s="80"/>
      <c r="F210" s="79">
        <v>4.9099999999999998E-2</v>
      </c>
      <c r="G210" s="76">
        <f t="shared" si="21"/>
        <v>10845.6</v>
      </c>
      <c r="H210" s="67">
        <f t="shared" si="20"/>
        <v>2596684.3805864598</v>
      </c>
      <c r="I210" s="75">
        <f t="shared" si="19"/>
        <v>3954420.6901979982</v>
      </c>
    </row>
    <row r="211" spans="1:9" hidden="1" outlineLevel="1" x14ac:dyDescent="0.2">
      <c r="A211" s="71">
        <f t="shared" si="22"/>
        <v>204</v>
      </c>
      <c r="B211" s="82">
        <v>44946</v>
      </c>
      <c r="C211" s="81"/>
      <c r="D211" s="67">
        <v>67205.903326556087</v>
      </c>
      <c r="E211" s="80"/>
      <c r="F211" s="79">
        <v>6.3100000000000003E-2</v>
      </c>
      <c r="G211" s="76">
        <f t="shared" si="21"/>
        <v>20970.36</v>
      </c>
      <c r="H211" s="67">
        <f t="shared" si="20"/>
        <v>88176.263326556087</v>
      </c>
      <c r="I211" s="75">
        <f t="shared" si="19"/>
        <v>4042596.9535245541</v>
      </c>
    </row>
    <row r="212" spans="1:9" hidden="1" outlineLevel="1" x14ac:dyDescent="0.2">
      <c r="A212" s="71">
        <f t="shared" si="22"/>
        <v>205</v>
      </c>
      <c r="B212" s="82">
        <v>44978</v>
      </c>
      <c r="C212" s="81"/>
      <c r="D212" s="67">
        <v>-418371.07190227881</v>
      </c>
      <c r="E212" s="80"/>
      <c r="F212" s="79">
        <v>6.3100000000000003E-2</v>
      </c>
      <c r="G212" s="76">
        <f t="shared" si="21"/>
        <v>20157.36</v>
      </c>
      <c r="H212" s="67">
        <f t="shared" si="20"/>
        <v>-398213.71190227882</v>
      </c>
      <c r="I212" s="75">
        <f t="shared" si="19"/>
        <v>3644383.2416222752</v>
      </c>
    </row>
    <row r="213" spans="1:9" hidden="1" outlineLevel="1" x14ac:dyDescent="0.2">
      <c r="A213" s="71">
        <f t="shared" si="22"/>
        <v>206</v>
      </c>
      <c r="B213" s="82">
        <v>45010</v>
      </c>
      <c r="C213" s="81"/>
      <c r="D213" s="67">
        <v>-713533.21110613272</v>
      </c>
      <c r="E213" s="80"/>
      <c r="F213" s="79">
        <v>6.3100000000000003E-2</v>
      </c>
      <c r="G213" s="76">
        <f t="shared" si="21"/>
        <v>17287.38</v>
      </c>
      <c r="H213" s="67">
        <f t="shared" si="20"/>
        <v>-696245.83110613271</v>
      </c>
      <c r="I213" s="75">
        <f t="shared" si="19"/>
        <v>2948137.4105161424</v>
      </c>
    </row>
    <row r="214" spans="1:9" hidden="1" outlineLevel="1" x14ac:dyDescent="0.2">
      <c r="A214" s="71">
        <f t="shared" si="22"/>
        <v>207</v>
      </c>
      <c r="B214" s="82">
        <v>45042</v>
      </c>
      <c r="C214" s="81"/>
      <c r="D214" s="67">
        <v>-673838.54837079626</v>
      </c>
      <c r="E214" s="80"/>
      <c r="F214" s="79">
        <v>7.4999999999999997E-2</v>
      </c>
      <c r="G214" s="76">
        <f t="shared" si="21"/>
        <v>16320.11</v>
      </c>
      <c r="H214" s="67">
        <f t="shared" si="20"/>
        <v>-657518.43837079627</v>
      </c>
      <c r="I214" s="75">
        <f t="shared" si="19"/>
        <v>2290618.972145346</v>
      </c>
    </row>
    <row r="215" spans="1:9" hidden="1" outlineLevel="1" x14ac:dyDescent="0.2">
      <c r="A215" s="71">
        <f t="shared" si="22"/>
        <v>208</v>
      </c>
      <c r="B215" s="82">
        <v>45074</v>
      </c>
      <c r="C215" s="81"/>
      <c r="D215" s="67">
        <v>-454705.92808457301</v>
      </c>
      <c r="E215" s="80"/>
      <c r="F215" s="79">
        <v>7.4999999999999997E-2</v>
      </c>
      <c r="G215" s="76">
        <f t="shared" si="21"/>
        <v>12895.41</v>
      </c>
      <c r="H215" s="67">
        <f t="shared" si="20"/>
        <v>-441810.51808457304</v>
      </c>
      <c r="I215" s="75">
        <f t="shared" si="19"/>
        <v>1848808.4540607729</v>
      </c>
    </row>
    <row r="216" spans="1:9" hidden="1" outlineLevel="1" x14ac:dyDescent="0.2">
      <c r="A216" s="71">
        <f t="shared" si="22"/>
        <v>209</v>
      </c>
      <c r="B216" s="82">
        <v>45106</v>
      </c>
      <c r="C216" s="81"/>
      <c r="D216" s="67">
        <v>-394677.98855997878</v>
      </c>
      <c r="E216" s="80"/>
      <c r="F216" s="79">
        <v>7.4999999999999997E-2</v>
      </c>
      <c r="G216" s="76">
        <f t="shared" si="21"/>
        <v>10321.68</v>
      </c>
      <c r="H216" s="67">
        <f t="shared" si="20"/>
        <v>-384356.30855997879</v>
      </c>
      <c r="I216" s="75">
        <f t="shared" ref="I216:I244" si="23">+I215+H216</f>
        <v>1464452.1455007941</v>
      </c>
    </row>
    <row r="217" spans="1:9" hidden="1" outlineLevel="1" x14ac:dyDescent="0.2">
      <c r="A217" s="71">
        <f t="shared" si="22"/>
        <v>210</v>
      </c>
      <c r="B217" s="82">
        <v>45138</v>
      </c>
      <c r="C217" s="81"/>
      <c r="D217" s="67">
        <v>-364354.5617606559</v>
      </c>
      <c r="E217" s="80"/>
      <c r="F217" s="79">
        <v>8.0199999999999994E-2</v>
      </c>
      <c r="G217" s="76">
        <f t="shared" si="21"/>
        <v>8569.8700000000008</v>
      </c>
      <c r="H217" s="67">
        <f t="shared" ref="H217:H244" si="24">SUM(D217:E217,G217)</f>
        <v>-355784.6917606559</v>
      </c>
      <c r="I217" s="75">
        <f t="shared" si="23"/>
        <v>1108667.4537401381</v>
      </c>
    </row>
    <row r="218" spans="1:9" hidden="1" outlineLevel="1" x14ac:dyDescent="0.2">
      <c r="A218" s="71">
        <f t="shared" si="22"/>
        <v>211</v>
      </c>
      <c r="B218" s="82">
        <v>45139</v>
      </c>
      <c r="C218" s="81"/>
      <c r="D218" s="67">
        <v>-330994.78090858774</v>
      </c>
      <c r="E218" s="80"/>
      <c r="F218" s="79">
        <v>8.0199999999999994E-2</v>
      </c>
      <c r="G218" s="76">
        <f t="shared" si="21"/>
        <v>6303.52</v>
      </c>
      <c r="H218" s="67">
        <f t="shared" si="24"/>
        <v>-324691.26090858772</v>
      </c>
      <c r="I218" s="75">
        <f t="shared" si="23"/>
        <v>783976.19283155038</v>
      </c>
    </row>
    <row r="219" spans="1:9" hidden="1" outlineLevel="1" x14ac:dyDescent="0.2">
      <c r="A219" s="71">
        <f t="shared" si="22"/>
        <v>212</v>
      </c>
      <c r="B219" s="82">
        <v>45170</v>
      </c>
      <c r="C219" s="81"/>
      <c r="D219" s="67">
        <v>-192344.00123117061</v>
      </c>
      <c r="E219" s="80"/>
      <c r="F219" s="79">
        <v>8.0199999999999994E-2</v>
      </c>
      <c r="G219" s="76">
        <f t="shared" si="21"/>
        <v>4596.82</v>
      </c>
      <c r="H219" s="67">
        <f t="shared" si="24"/>
        <v>-187747.1812311706</v>
      </c>
      <c r="I219" s="75">
        <f t="shared" si="23"/>
        <v>596229.01160037983</v>
      </c>
    </row>
    <row r="220" spans="1:9" hidden="1" outlineLevel="1" x14ac:dyDescent="0.2">
      <c r="A220" s="71">
        <f t="shared" si="22"/>
        <v>213</v>
      </c>
      <c r="B220" s="82">
        <v>45202</v>
      </c>
      <c r="C220" s="81"/>
      <c r="D220" s="67">
        <v>-491065.79393307073</v>
      </c>
      <c r="E220" s="80"/>
      <c r="F220" s="79">
        <v>8.3500000000000005E-2</v>
      </c>
      <c r="G220" s="76">
        <f t="shared" si="21"/>
        <v>2440.2600000000002</v>
      </c>
      <c r="H220" s="67">
        <f t="shared" si="24"/>
        <v>-488625.53393307072</v>
      </c>
      <c r="I220" s="75">
        <f t="shared" si="23"/>
        <v>107603.47766730911</v>
      </c>
    </row>
    <row r="221" spans="1:9" hidden="1" outlineLevel="1" collapsed="1" x14ac:dyDescent="0.2">
      <c r="A221" s="71">
        <f t="shared" si="22"/>
        <v>214</v>
      </c>
      <c r="B221" s="82">
        <v>45234</v>
      </c>
      <c r="C221" s="81" t="s">
        <v>321</v>
      </c>
      <c r="D221" s="67">
        <v>-213722.12094200961</v>
      </c>
      <c r="E221" s="80">
        <v>-798844.89</v>
      </c>
      <c r="F221" s="79">
        <v>8.3500000000000005E-2</v>
      </c>
      <c r="G221" s="76">
        <f t="shared" si="21"/>
        <v>-5553.46</v>
      </c>
      <c r="H221" s="67">
        <f t="shared" si="24"/>
        <v>-1018120.4709420096</v>
      </c>
      <c r="I221" s="75">
        <f t="shared" si="23"/>
        <v>-910516.99327470048</v>
      </c>
    </row>
    <row r="222" spans="1:9" hidden="1" outlineLevel="1" x14ac:dyDescent="0.2">
      <c r="A222" s="71">
        <f t="shared" si="22"/>
        <v>215</v>
      </c>
      <c r="B222" s="82">
        <v>45266</v>
      </c>
      <c r="C222" s="81"/>
      <c r="D222" s="67">
        <v>50804.868421745254</v>
      </c>
      <c r="E222" s="80"/>
      <c r="F222" s="79">
        <v>8.3500000000000005E-2</v>
      </c>
      <c r="G222" s="76">
        <f t="shared" si="21"/>
        <v>-6158.92</v>
      </c>
      <c r="H222" s="67">
        <f t="shared" si="24"/>
        <v>44645.948421745255</v>
      </c>
      <c r="I222" s="75">
        <f t="shared" si="23"/>
        <v>-865871.04485295527</v>
      </c>
    </row>
    <row r="223" spans="1:9" hidden="1" outlineLevel="1" x14ac:dyDescent="0.2">
      <c r="A223" s="71">
        <f t="shared" si="22"/>
        <v>216</v>
      </c>
      <c r="B223" s="82">
        <v>45298</v>
      </c>
      <c r="C223" s="81"/>
      <c r="D223" s="67">
        <v>-741865.59342019516</v>
      </c>
      <c r="E223" s="80"/>
      <c r="F223" s="79">
        <v>8.5000000000000006E-2</v>
      </c>
      <c r="G223" s="76">
        <f t="shared" si="21"/>
        <v>-8760.69</v>
      </c>
      <c r="H223" s="67">
        <f t="shared" si="24"/>
        <v>-750626.2834201951</v>
      </c>
      <c r="I223" s="75">
        <f t="shared" si="23"/>
        <v>-1616497.3282731504</v>
      </c>
    </row>
    <row r="224" spans="1:9" hidden="1" outlineLevel="1" x14ac:dyDescent="0.2">
      <c r="A224" s="71">
        <f t="shared" si="22"/>
        <v>217</v>
      </c>
      <c r="B224" s="82">
        <v>45330</v>
      </c>
      <c r="C224" s="81"/>
      <c r="D224" s="67">
        <v>-568311.91790747037</v>
      </c>
      <c r="E224" s="80"/>
      <c r="F224" s="79">
        <v>8.5000000000000006E-2</v>
      </c>
      <c r="G224" s="76">
        <f t="shared" ref="G224:G244" si="25">ROUND((+I223+E224+(D224/2))*F224/12,2)</f>
        <v>-13462.96</v>
      </c>
      <c r="H224" s="67">
        <f t="shared" si="24"/>
        <v>-581774.87790747033</v>
      </c>
      <c r="I224" s="75">
        <f t="shared" si="23"/>
        <v>-2198272.2061806209</v>
      </c>
    </row>
    <row r="225" spans="1:9" hidden="1" outlineLevel="1" x14ac:dyDescent="0.2">
      <c r="A225" s="71">
        <f t="shared" si="22"/>
        <v>218</v>
      </c>
      <c r="B225" s="82">
        <v>45362</v>
      </c>
      <c r="C225" s="81"/>
      <c r="D225" s="67">
        <v>-1857328.0670219939</v>
      </c>
      <c r="E225" s="80"/>
      <c r="F225" s="79">
        <v>8.5000000000000006E-2</v>
      </c>
      <c r="G225" s="76">
        <f t="shared" si="25"/>
        <v>-22149.13</v>
      </c>
      <c r="H225" s="67">
        <f t="shared" si="24"/>
        <v>-1879477.1970219938</v>
      </c>
      <c r="I225" s="75">
        <f t="shared" si="23"/>
        <v>-4077749.4032026147</v>
      </c>
    </row>
    <row r="226" spans="1:9" hidden="1" outlineLevel="1" x14ac:dyDescent="0.2">
      <c r="A226" s="71">
        <f t="shared" si="22"/>
        <v>219</v>
      </c>
      <c r="B226" s="82">
        <v>45394</v>
      </c>
      <c r="C226" s="81"/>
      <c r="D226" s="67">
        <v>-1709387.5565452927</v>
      </c>
      <c r="E226" s="80"/>
      <c r="F226" s="79">
        <v>8.5000000000000006E-2</v>
      </c>
      <c r="G226" s="76">
        <f t="shared" si="25"/>
        <v>-34938.14</v>
      </c>
      <c r="H226" s="67">
        <f t="shared" si="24"/>
        <v>-1744325.6965452926</v>
      </c>
      <c r="I226" s="75">
        <f t="shared" si="23"/>
        <v>-5822075.0997479074</v>
      </c>
    </row>
    <row r="227" spans="1:9" hidden="1" outlineLevel="1" x14ac:dyDescent="0.2">
      <c r="A227" s="71">
        <f t="shared" si="22"/>
        <v>220</v>
      </c>
      <c r="B227" s="82">
        <v>45426</v>
      </c>
      <c r="C227" s="81"/>
      <c r="D227" s="67">
        <v>-1257091.1302310119</v>
      </c>
      <c r="E227" s="80"/>
      <c r="F227" s="79">
        <v>8.5000000000000006E-2</v>
      </c>
      <c r="G227" s="76">
        <f t="shared" si="25"/>
        <v>-45691.9</v>
      </c>
      <c r="H227" s="67">
        <f t="shared" si="24"/>
        <v>-1302783.0302310118</v>
      </c>
      <c r="I227" s="75">
        <f t="shared" si="23"/>
        <v>-7124858.1299789194</v>
      </c>
    </row>
    <row r="228" spans="1:9" hidden="1" outlineLevel="1" x14ac:dyDescent="0.2">
      <c r="A228" s="71">
        <f t="shared" si="22"/>
        <v>221</v>
      </c>
      <c r="B228" s="82">
        <v>45458</v>
      </c>
      <c r="C228" s="81"/>
      <c r="D228" s="67">
        <v>-776627.61995379184</v>
      </c>
      <c r="E228" s="80"/>
      <c r="F228" s="79">
        <v>8.5000000000000006E-2</v>
      </c>
      <c r="G228" s="76">
        <f t="shared" si="25"/>
        <v>-53218.3</v>
      </c>
      <c r="H228" s="67">
        <f t="shared" si="24"/>
        <v>-829845.91995379189</v>
      </c>
      <c r="I228" s="75">
        <f t="shared" si="23"/>
        <v>-7954704.0499327108</v>
      </c>
    </row>
    <row r="229" spans="1:9" hidden="1" outlineLevel="1" x14ac:dyDescent="0.2">
      <c r="A229" s="71">
        <f t="shared" si="22"/>
        <v>222</v>
      </c>
      <c r="B229" s="82">
        <v>45490</v>
      </c>
      <c r="C229" s="81"/>
      <c r="D229" s="67">
        <v>-383019.40023451432</v>
      </c>
      <c r="E229" s="80"/>
      <c r="F229" s="79">
        <v>8.5000000000000006E-2</v>
      </c>
      <c r="G229" s="76">
        <f t="shared" si="25"/>
        <v>-57702.35</v>
      </c>
      <c r="H229" s="67">
        <f t="shared" si="24"/>
        <v>-440721.7502345143</v>
      </c>
      <c r="I229" s="75">
        <f t="shared" si="23"/>
        <v>-8395425.8001672253</v>
      </c>
    </row>
    <row r="230" spans="1:9" hidden="1" outlineLevel="1" x14ac:dyDescent="0.2">
      <c r="A230" s="71">
        <f t="shared" si="22"/>
        <v>223</v>
      </c>
      <c r="B230" s="82">
        <v>45522</v>
      </c>
      <c r="C230" s="81"/>
      <c r="D230" s="67">
        <v>-450825.82942733518</v>
      </c>
      <c r="E230" s="80"/>
      <c r="F230" s="79">
        <v>8.5000000000000006E-2</v>
      </c>
      <c r="G230" s="76">
        <f t="shared" si="25"/>
        <v>-61064.27</v>
      </c>
      <c r="H230" s="67">
        <f t="shared" si="24"/>
        <v>-511890.0994273352</v>
      </c>
      <c r="I230" s="75">
        <f t="shared" si="23"/>
        <v>-8907315.8995945603</v>
      </c>
    </row>
    <row r="231" spans="1:9" hidden="1" outlineLevel="1" x14ac:dyDescent="0.2">
      <c r="A231" s="71">
        <f t="shared" si="22"/>
        <v>224</v>
      </c>
      <c r="B231" s="82">
        <v>45554</v>
      </c>
      <c r="C231" s="81"/>
      <c r="D231" s="67">
        <v>-632387.99208214763</v>
      </c>
      <c r="E231" s="80"/>
      <c r="F231" s="79">
        <v>8.5000000000000006E-2</v>
      </c>
      <c r="G231" s="76">
        <f t="shared" si="25"/>
        <v>-65333.2</v>
      </c>
      <c r="H231" s="67">
        <f t="shared" si="24"/>
        <v>-697721.19208214758</v>
      </c>
      <c r="I231" s="75">
        <f t="shared" si="23"/>
        <v>-9605037.0916767083</v>
      </c>
    </row>
    <row r="232" spans="1:9" hidden="1" outlineLevel="1" x14ac:dyDescent="0.2">
      <c r="A232" s="71">
        <f t="shared" si="22"/>
        <v>225</v>
      </c>
      <c r="B232" s="82">
        <v>45586</v>
      </c>
      <c r="C232" s="81"/>
      <c r="D232" s="67">
        <v>-1485852.2329095327</v>
      </c>
      <c r="E232" s="80"/>
      <c r="F232" s="79">
        <v>8.5000000000000006E-2</v>
      </c>
      <c r="G232" s="76">
        <f t="shared" si="25"/>
        <v>-73298.070000000007</v>
      </c>
      <c r="H232" s="67">
        <f t="shared" si="24"/>
        <v>-1559150.3029095328</v>
      </c>
      <c r="I232" s="75">
        <f t="shared" si="23"/>
        <v>-11164187.394586241</v>
      </c>
    </row>
    <row r="233" spans="1:9" collapsed="1" x14ac:dyDescent="0.2">
      <c r="A233" s="71">
        <f t="shared" si="22"/>
        <v>226</v>
      </c>
      <c r="B233" s="82">
        <v>45618</v>
      </c>
      <c r="C233" s="81"/>
      <c r="D233" s="67">
        <v>-674910.86219373625</v>
      </c>
      <c r="E233" s="80">
        <v>9033949.7895945609</v>
      </c>
      <c r="F233" s="79">
        <v>8.5000000000000006E-2</v>
      </c>
      <c r="G233" s="76">
        <f t="shared" si="25"/>
        <v>-17479.490000000002</v>
      </c>
      <c r="H233" s="67">
        <f t="shared" si="24"/>
        <v>8341559.4374008244</v>
      </c>
      <c r="I233" s="75">
        <f t="shared" si="23"/>
        <v>-2822627.9571854165</v>
      </c>
    </row>
    <row r="234" spans="1:9" x14ac:dyDescent="0.2">
      <c r="A234" s="71">
        <f t="shared" si="22"/>
        <v>227</v>
      </c>
      <c r="B234" s="82">
        <v>45650</v>
      </c>
      <c r="C234" s="81"/>
      <c r="D234" s="67">
        <v>-992156.61057294486</v>
      </c>
      <c r="E234" s="80"/>
      <c r="F234" s="79">
        <v>8.5000000000000006E-2</v>
      </c>
      <c r="G234" s="76">
        <f t="shared" si="25"/>
        <v>-23507.5</v>
      </c>
      <c r="H234" s="67">
        <f t="shared" si="24"/>
        <v>-1015664.1105729449</v>
      </c>
      <c r="I234" s="75">
        <f t="shared" si="23"/>
        <v>-3838292.0677583613</v>
      </c>
    </row>
    <row r="235" spans="1:9" x14ac:dyDescent="0.2">
      <c r="A235" s="71">
        <f t="shared" si="22"/>
        <v>228</v>
      </c>
      <c r="B235" s="82">
        <v>45682</v>
      </c>
      <c r="C235" s="81"/>
      <c r="D235" s="67">
        <v>-1221495.9224265274</v>
      </c>
      <c r="E235" s="80"/>
      <c r="F235" s="79">
        <v>8.0399999999999999E-2</v>
      </c>
      <c r="G235" s="76">
        <f t="shared" si="25"/>
        <v>-29808.57</v>
      </c>
      <c r="H235" s="67">
        <f t="shared" si="24"/>
        <v>-1251304.4924265274</v>
      </c>
      <c r="I235" s="75">
        <f t="shared" si="23"/>
        <v>-5089596.5601848885</v>
      </c>
    </row>
    <row r="236" spans="1:9" x14ac:dyDescent="0.2">
      <c r="A236" s="71">
        <f t="shared" si="22"/>
        <v>229</v>
      </c>
      <c r="B236" s="82">
        <v>45714</v>
      </c>
      <c r="C236" s="81"/>
      <c r="D236" s="67">
        <v>-974071.88373255637</v>
      </c>
      <c r="E236" s="80"/>
      <c r="F236" s="79">
        <v>8.0399999999999999E-2</v>
      </c>
      <c r="G236" s="76">
        <f t="shared" si="25"/>
        <v>-37363.440000000002</v>
      </c>
      <c r="H236" s="67">
        <f t="shared" si="24"/>
        <v>-1011435.3237325563</v>
      </c>
      <c r="I236" s="75">
        <f t="shared" si="23"/>
        <v>-6101031.8839174453</v>
      </c>
    </row>
    <row r="237" spans="1:9" x14ac:dyDescent="0.2">
      <c r="A237" s="71">
        <f t="shared" si="22"/>
        <v>230</v>
      </c>
      <c r="B237" s="82">
        <v>45746</v>
      </c>
      <c r="C237" s="81"/>
      <c r="D237" s="84">
        <f>-403058.447724215+'[33]151941 WA Tariffs'!D56</f>
        <v>-398539.66772421496</v>
      </c>
      <c r="E237" s="80"/>
      <c r="F237" s="79">
        <v>8.0399999999999999E-2</v>
      </c>
      <c r="G237" s="76">
        <f t="shared" si="25"/>
        <v>-42212.02</v>
      </c>
      <c r="H237" s="67">
        <f t="shared" si="24"/>
        <v>-440751.68772421498</v>
      </c>
      <c r="I237" s="75">
        <f t="shared" si="23"/>
        <v>-6541783.5716416603</v>
      </c>
    </row>
    <row r="238" spans="1:9" x14ac:dyDescent="0.2">
      <c r="A238" s="71">
        <f t="shared" si="22"/>
        <v>231</v>
      </c>
      <c r="B238" s="82">
        <v>45748</v>
      </c>
      <c r="C238" s="81"/>
      <c r="D238" s="67">
        <v>-1267967.4974363451</v>
      </c>
      <c r="E238" s="80"/>
      <c r="F238" s="79">
        <v>7.5499999999999998E-2</v>
      </c>
      <c r="G238" s="76">
        <f t="shared" si="25"/>
        <v>-45147.54</v>
      </c>
      <c r="H238" s="67">
        <f t="shared" si="24"/>
        <v>-1313115.0374363451</v>
      </c>
      <c r="I238" s="75">
        <f t="shared" si="23"/>
        <v>-7854898.609078005</v>
      </c>
    </row>
    <row r="239" spans="1:9" x14ac:dyDescent="0.2">
      <c r="A239" s="71">
        <f>+A237+1</f>
        <v>231</v>
      </c>
      <c r="B239" s="82">
        <v>45778</v>
      </c>
      <c r="C239" s="81"/>
      <c r="D239" s="67">
        <v>-839964.837336706</v>
      </c>
      <c r="E239" s="80"/>
      <c r="F239" s="79">
        <v>7.5499999999999998E-2</v>
      </c>
      <c r="G239" s="76">
        <f t="shared" si="25"/>
        <v>-52062.79</v>
      </c>
      <c r="H239" s="67">
        <f t="shared" si="24"/>
        <v>-892027.62733670603</v>
      </c>
      <c r="I239" s="75">
        <f t="shared" si="23"/>
        <v>-8746926.2364147119</v>
      </c>
    </row>
    <row r="240" spans="1:9" x14ac:dyDescent="0.2">
      <c r="A240" s="71">
        <f t="shared" ref="A240:A249" si="26">+A239+1</f>
        <v>232</v>
      </c>
      <c r="B240" s="82">
        <v>45810</v>
      </c>
      <c r="C240" s="81"/>
      <c r="D240" s="67">
        <v>-499968.28093450115</v>
      </c>
      <c r="E240" s="80"/>
      <c r="F240" s="79">
        <v>7.5499999999999998E-2</v>
      </c>
      <c r="G240" s="76">
        <f t="shared" si="25"/>
        <v>-56605.56</v>
      </c>
      <c r="H240" s="67">
        <f t="shared" si="24"/>
        <v>-556573.84093450115</v>
      </c>
      <c r="I240" s="75">
        <f t="shared" si="23"/>
        <v>-9303500.0773492139</v>
      </c>
    </row>
    <row r="241" spans="1:9" x14ac:dyDescent="0.2">
      <c r="A241" s="71">
        <f t="shared" si="26"/>
        <v>233</v>
      </c>
      <c r="B241" s="82">
        <v>45842</v>
      </c>
      <c r="C241" s="81"/>
      <c r="D241" s="67">
        <v>-523208.76892500167</v>
      </c>
      <c r="E241" s="80"/>
      <c r="F241" s="83">
        <v>7.4999999999999997E-2</v>
      </c>
      <c r="G241" s="76">
        <f t="shared" si="25"/>
        <v>-59781.9</v>
      </c>
      <c r="H241" s="67">
        <f t="shared" si="24"/>
        <v>-582990.66892500164</v>
      </c>
      <c r="I241" s="75">
        <f t="shared" si="23"/>
        <v>-9886490.7462742161</v>
      </c>
    </row>
    <row r="242" spans="1:9" x14ac:dyDescent="0.2">
      <c r="A242" s="71">
        <f t="shared" si="26"/>
        <v>234</v>
      </c>
      <c r="B242" s="82">
        <v>45874</v>
      </c>
      <c r="C242" s="81"/>
      <c r="D242" s="67">
        <v>-583060.10731055494</v>
      </c>
      <c r="E242" s="80"/>
      <c r="F242" s="79">
        <v>7.4999999999999997E-2</v>
      </c>
      <c r="G242" s="76">
        <f t="shared" si="25"/>
        <v>-63612.63</v>
      </c>
      <c r="H242" s="67">
        <f t="shared" si="24"/>
        <v>-646672.73731055495</v>
      </c>
      <c r="I242" s="75">
        <f t="shared" si="23"/>
        <v>-10533163.483584771</v>
      </c>
    </row>
    <row r="243" spans="1:9" x14ac:dyDescent="0.2">
      <c r="A243" s="71">
        <f t="shared" si="26"/>
        <v>235</v>
      </c>
      <c r="B243" s="82">
        <v>45906</v>
      </c>
      <c r="C243" s="81"/>
      <c r="E243" s="80"/>
      <c r="F243" s="79">
        <v>7.4999999999999997E-2</v>
      </c>
      <c r="G243" s="76">
        <f t="shared" si="25"/>
        <v>-65832.27</v>
      </c>
      <c r="H243" s="67">
        <f t="shared" si="24"/>
        <v>-65832.27</v>
      </c>
      <c r="I243" s="75">
        <f t="shared" si="23"/>
        <v>-10598995.75358477</v>
      </c>
    </row>
    <row r="244" spans="1:9" x14ac:dyDescent="0.2">
      <c r="A244" s="71">
        <f t="shared" si="26"/>
        <v>236</v>
      </c>
      <c r="B244" s="82">
        <v>45938</v>
      </c>
      <c r="C244" s="81"/>
      <c r="E244" s="80"/>
      <c r="F244" s="79">
        <v>7.4999999999999997E-2</v>
      </c>
      <c r="G244" s="76">
        <f t="shared" si="25"/>
        <v>-66243.72</v>
      </c>
      <c r="H244" s="67">
        <f t="shared" si="24"/>
        <v>-66243.72</v>
      </c>
      <c r="I244" s="75">
        <f t="shared" si="23"/>
        <v>-10665239.473584771</v>
      </c>
    </row>
    <row r="245" spans="1:9" x14ac:dyDescent="0.2">
      <c r="A245" s="71">
        <f t="shared" si="26"/>
        <v>237</v>
      </c>
      <c r="E245" s="78"/>
      <c r="F245" s="77"/>
      <c r="G245" s="76"/>
      <c r="I245" s="75"/>
    </row>
    <row r="246" spans="1:9" x14ac:dyDescent="0.2">
      <c r="A246" s="71">
        <f t="shared" si="26"/>
        <v>238</v>
      </c>
      <c r="B246" s="74" t="s">
        <v>320</v>
      </c>
    </row>
    <row r="247" spans="1:9" x14ac:dyDescent="0.2">
      <c r="A247" s="71">
        <f t="shared" si="26"/>
        <v>239</v>
      </c>
      <c r="B247" s="73"/>
    </row>
    <row r="248" spans="1:9" x14ac:dyDescent="0.2">
      <c r="A248" s="71">
        <f t="shared" si="26"/>
        <v>240</v>
      </c>
      <c r="B248" s="72" t="s">
        <v>318</v>
      </c>
    </row>
    <row r="249" spans="1:9" x14ac:dyDescent="0.2">
      <c r="A249" s="71">
        <f t="shared" si="26"/>
        <v>241</v>
      </c>
      <c r="B249" s="70" t="s">
        <v>319</v>
      </c>
    </row>
    <row r="250" spans="1:9" x14ac:dyDescent="0.2">
      <c r="B250" s="69"/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1441-0049-4228-897A-56D02C1DB918}">
  <sheetPr>
    <tabColor theme="0" tint="-0.14999847407452621"/>
    <pageSetUpPr fitToPage="1"/>
  </sheetPr>
  <dimension ref="A1:L279"/>
  <sheetViews>
    <sheetView view="pageBreakPreview" zoomScaleNormal="100" zoomScaleSheetLayoutView="100" workbookViewId="0">
      <pane xSplit="1" ySplit="11" topLeftCell="B12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1640625" defaultRowHeight="12.75" outlineLevelRow="1" x14ac:dyDescent="0.2"/>
  <cols>
    <col min="1" max="1" width="4.6640625" style="68" customWidth="1"/>
    <col min="2" max="2" width="15.6640625" style="66" customWidth="1"/>
    <col min="3" max="3" width="14.1640625" style="66" customWidth="1"/>
    <col min="4" max="4" width="18.1640625" style="66" customWidth="1"/>
    <col min="5" max="5" width="17.1640625" style="66" bestFit="1" customWidth="1"/>
    <col min="6" max="7" width="15.6640625" style="66" customWidth="1"/>
    <col min="8" max="9" width="20.6640625" style="66" customWidth="1"/>
    <col min="10" max="10" width="15.6640625" style="67" customWidth="1"/>
    <col min="11" max="20" width="15.6640625" style="66" customWidth="1"/>
    <col min="21" max="16384" width="9.1640625" style="66"/>
  </cols>
  <sheetData>
    <row r="1" spans="1:10" x14ac:dyDescent="0.2">
      <c r="B1" s="66" t="s">
        <v>345</v>
      </c>
      <c r="D1" s="66" t="s">
        <v>344</v>
      </c>
    </row>
    <row r="2" spans="1:10" x14ac:dyDescent="0.2">
      <c r="B2" s="66" t="s">
        <v>343</v>
      </c>
      <c r="D2" s="66" t="s">
        <v>2</v>
      </c>
    </row>
    <row r="3" spans="1:10" x14ac:dyDescent="0.2">
      <c r="B3" s="66" t="s">
        <v>342</v>
      </c>
      <c r="D3" s="70" t="s">
        <v>356</v>
      </c>
    </row>
    <row r="4" spans="1:10" x14ac:dyDescent="0.2">
      <c r="B4" s="66" t="s">
        <v>340</v>
      </c>
      <c r="D4" s="114">
        <v>151545</v>
      </c>
      <c r="H4" s="74"/>
    </row>
    <row r="5" spans="1:10" x14ac:dyDescent="0.2">
      <c r="D5" s="66" t="s">
        <v>339</v>
      </c>
    </row>
    <row r="6" spans="1:10" x14ac:dyDescent="0.2">
      <c r="D6" s="66" t="s">
        <v>338</v>
      </c>
    </row>
    <row r="8" spans="1:10" x14ac:dyDescent="0.2">
      <c r="A8" s="71">
        <v>1</v>
      </c>
      <c r="B8" s="66" t="s">
        <v>337</v>
      </c>
      <c r="G8" s="93"/>
    </row>
    <row r="9" spans="1:10" x14ac:dyDescent="0.2">
      <c r="A9" s="71">
        <f t="shared" ref="A9:A72" si="0">+A8+1</f>
        <v>2</v>
      </c>
      <c r="G9" s="93"/>
    </row>
    <row r="10" spans="1:10" x14ac:dyDescent="0.2">
      <c r="A10" s="71">
        <f t="shared" si="0"/>
        <v>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">
      <c r="A11" s="71">
        <f t="shared" si="0"/>
        <v>4</v>
      </c>
      <c r="B11" s="95" t="s">
        <v>336</v>
      </c>
      <c r="C11" s="95" t="s">
        <v>335</v>
      </c>
      <c r="D11" s="95" t="s">
        <v>276</v>
      </c>
      <c r="E11" s="95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">
      <c r="A12" s="71">
        <f t="shared" si="0"/>
        <v>5</v>
      </c>
      <c r="B12" s="93" t="s">
        <v>331</v>
      </c>
      <c r="C12" s="93" t="s">
        <v>330</v>
      </c>
      <c r="D12" s="93" t="s">
        <v>329</v>
      </c>
      <c r="E12" s="93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hidden="1" outlineLevel="1" x14ac:dyDescent="0.2">
      <c r="A13" s="71">
        <f t="shared" si="0"/>
        <v>6</v>
      </c>
      <c r="G13" s="93"/>
    </row>
    <row r="14" spans="1:10" hidden="1" outlineLevel="1" x14ac:dyDescent="0.2">
      <c r="A14" s="71">
        <f t="shared" si="0"/>
        <v>7</v>
      </c>
      <c r="B14" s="70" t="s">
        <v>323</v>
      </c>
      <c r="D14" s="67"/>
      <c r="E14" s="67"/>
      <c r="F14" s="67"/>
      <c r="G14" s="67"/>
      <c r="H14" s="67"/>
      <c r="I14" s="67"/>
    </row>
    <row r="15" spans="1:10" hidden="1" outlineLevel="1" x14ac:dyDescent="0.2">
      <c r="A15" s="71">
        <f t="shared" si="0"/>
        <v>8</v>
      </c>
      <c r="B15" s="66">
        <v>39021</v>
      </c>
      <c r="D15" s="67"/>
      <c r="E15" s="67"/>
      <c r="F15" s="67"/>
      <c r="G15" s="75"/>
      <c r="H15" s="67"/>
      <c r="I15" s="67">
        <v>-108333.09</v>
      </c>
    </row>
    <row r="16" spans="1:10" hidden="1" outlineLevel="1" x14ac:dyDescent="0.2">
      <c r="A16" s="71">
        <f t="shared" si="0"/>
        <v>9</v>
      </c>
      <c r="B16" s="66">
        <f>+B15+30</f>
        <v>39051</v>
      </c>
      <c r="D16" s="67">
        <f>1938.86+13441.19</f>
        <v>15380.050000000001</v>
      </c>
      <c r="E16" s="67">
        <f>-'151540 WACOG Deferral'!E16</f>
        <v>-572607</v>
      </c>
      <c r="F16" s="67"/>
      <c r="G16" s="75">
        <f>-692.5-4340.68</f>
        <v>-5033.18</v>
      </c>
      <c r="H16" s="67">
        <f t="shared" ref="H16:H53" si="1">SUM(D16:G16)</f>
        <v>-562260.13</v>
      </c>
      <c r="I16" s="75">
        <f t="shared" ref="I16:I53" si="2">+I15+H16</f>
        <v>-670593.22</v>
      </c>
    </row>
    <row r="17" spans="1:10" hidden="1" outlineLevel="1" x14ac:dyDescent="0.2">
      <c r="A17" s="71">
        <f t="shared" si="0"/>
        <v>10</v>
      </c>
      <c r="B17" s="66">
        <f>+B16+31</f>
        <v>39082</v>
      </c>
      <c r="D17" s="67">
        <v>35793.33</v>
      </c>
      <c r="E17" s="67"/>
      <c r="F17" s="67"/>
      <c r="G17" s="75">
        <v>-4209.8900000000003</v>
      </c>
      <c r="H17" s="67">
        <f t="shared" si="1"/>
        <v>31583.440000000002</v>
      </c>
      <c r="I17" s="75">
        <f t="shared" si="2"/>
        <v>-639009.78</v>
      </c>
    </row>
    <row r="18" spans="1:10" hidden="1" outlineLevel="1" x14ac:dyDescent="0.2">
      <c r="A18" s="71">
        <f t="shared" si="0"/>
        <v>11</v>
      </c>
      <c r="B18" s="66">
        <f>+B17+31</f>
        <v>39113</v>
      </c>
      <c r="D18" s="67">
        <v>46397.81</v>
      </c>
      <c r="E18" s="67"/>
      <c r="F18" s="67"/>
      <c r="G18" s="75">
        <v>-3971.98</v>
      </c>
      <c r="H18" s="67">
        <f t="shared" si="1"/>
        <v>42425.829999999994</v>
      </c>
      <c r="I18" s="75">
        <f t="shared" si="2"/>
        <v>-596583.95000000007</v>
      </c>
    </row>
    <row r="19" spans="1:10" hidden="1" outlineLevel="1" x14ac:dyDescent="0.2">
      <c r="A19" s="71">
        <f t="shared" si="0"/>
        <v>12</v>
      </c>
      <c r="B19" s="66">
        <f>+B18+28</f>
        <v>39141</v>
      </c>
      <c r="D19" s="67">
        <v>41633.870000000003</v>
      </c>
      <c r="E19" s="67"/>
      <c r="F19" s="67"/>
      <c r="G19" s="75">
        <v>-3920.01</v>
      </c>
      <c r="H19" s="67">
        <f t="shared" si="1"/>
        <v>37713.86</v>
      </c>
      <c r="I19" s="75">
        <f t="shared" si="2"/>
        <v>-558870.09000000008</v>
      </c>
    </row>
    <row r="20" spans="1:10" hidden="1" outlineLevel="1" x14ac:dyDescent="0.2">
      <c r="A20" s="71">
        <f t="shared" si="0"/>
        <v>13</v>
      </c>
      <c r="B20" s="66">
        <f>+B19+31</f>
        <v>39172</v>
      </c>
      <c r="D20" s="67">
        <v>30959.43</v>
      </c>
      <c r="E20" s="67"/>
      <c r="F20" s="67"/>
      <c r="G20" s="75">
        <v>-3699.58</v>
      </c>
      <c r="H20" s="67">
        <f t="shared" si="1"/>
        <v>27259.85</v>
      </c>
      <c r="I20" s="75">
        <f t="shared" si="2"/>
        <v>-531610.24000000011</v>
      </c>
    </row>
    <row r="21" spans="1:10" hidden="1" outlineLevel="1" x14ac:dyDescent="0.2">
      <c r="A21" s="71">
        <f t="shared" si="0"/>
        <v>14</v>
      </c>
      <c r="B21" s="66">
        <f>+B20+30</f>
        <v>39202</v>
      </c>
      <c r="D21" s="67">
        <v>22211.56</v>
      </c>
      <c r="E21" s="67"/>
      <c r="F21" s="67"/>
      <c r="G21" s="75">
        <v>-3543.77</v>
      </c>
      <c r="H21" s="67">
        <f t="shared" si="1"/>
        <v>18667.79</v>
      </c>
      <c r="I21" s="75">
        <f t="shared" si="2"/>
        <v>-512942.45000000013</v>
      </c>
    </row>
    <row r="22" spans="1:10" hidden="1" outlineLevel="1" x14ac:dyDescent="0.2">
      <c r="A22" s="71">
        <f t="shared" si="0"/>
        <v>15</v>
      </c>
      <c r="B22" s="66">
        <f>+B21+31</f>
        <v>39233</v>
      </c>
      <c r="D22" s="67">
        <v>17015.62</v>
      </c>
      <c r="E22" s="67"/>
      <c r="F22" s="67"/>
      <c r="G22" s="75">
        <v>-3434.36</v>
      </c>
      <c r="H22" s="67">
        <f t="shared" si="1"/>
        <v>13581.259999999998</v>
      </c>
      <c r="I22" s="75">
        <f t="shared" si="2"/>
        <v>-499361.19000000012</v>
      </c>
    </row>
    <row r="23" spans="1:10" hidden="1" outlineLevel="1" x14ac:dyDescent="0.2">
      <c r="A23" s="71">
        <f t="shared" si="0"/>
        <v>16</v>
      </c>
      <c r="B23" s="66">
        <f>+B22+30</f>
        <v>39263</v>
      </c>
      <c r="D23" s="67">
        <v>11810.44</v>
      </c>
      <c r="E23" s="67"/>
      <c r="F23" s="67"/>
      <c r="G23" s="75">
        <v>-3460.84</v>
      </c>
      <c r="H23" s="67">
        <f t="shared" si="1"/>
        <v>8349.6</v>
      </c>
      <c r="I23" s="75">
        <f t="shared" si="2"/>
        <v>-491011.59000000014</v>
      </c>
      <c r="J23" s="75"/>
    </row>
    <row r="24" spans="1:10" hidden="1" outlineLevel="1" x14ac:dyDescent="0.2">
      <c r="A24" s="71">
        <f t="shared" si="0"/>
        <v>17</v>
      </c>
      <c r="B24" s="66">
        <f>+B23+31</f>
        <v>39294</v>
      </c>
      <c r="C24" s="93"/>
      <c r="D24" s="67">
        <v>9999.68</v>
      </c>
      <c r="E24" s="67"/>
      <c r="F24" s="67"/>
      <c r="G24" s="75">
        <f>ROUND((+I23+E24+(D24/2))*0.0825/12,2)</f>
        <v>-3341.33</v>
      </c>
      <c r="H24" s="67">
        <f t="shared" si="1"/>
        <v>6658.35</v>
      </c>
      <c r="I24" s="75">
        <f t="shared" si="2"/>
        <v>-484353.24000000017</v>
      </c>
    </row>
    <row r="25" spans="1:10" hidden="1" outlineLevel="1" x14ac:dyDescent="0.2">
      <c r="A25" s="71">
        <f t="shared" si="0"/>
        <v>18</v>
      </c>
      <c r="B25" s="66">
        <f>+B24+30</f>
        <v>39324</v>
      </c>
      <c r="C25" s="93"/>
      <c r="D25" s="67">
        <v>9248.5400000000009</v>
      </c>
      <c r="E25" s="67"/>
      <c r="F25" s="67"/>
      <c r="G25" s="75">
        <f>ROUND((+I24+E25+(D25/2))*0.0825/12,2)</f>
        <v>-3298.14</v>
      </c>
      <c r="H25" s="67">
        <f t="shared" si="1"/>
        <v>5950.4000000000015</v>
      </c>
      <c r="I25" s="75">
        <f t="shared" si="2"/>
        <v>-478402.84000000014</v>
      </c>
    </row>
    <row r="26" spans="1:10" hidden="1" outlineLevel="1" x14ac:dyDescent="0.2">
      <c r="A26" s="71">
        <f t="shared" si="0"/>
        <v>19</v>
      </c>
      <c r="B26" s="66">
        <f>+B25+30</f>
        <v>39354</v>
      </c>
      <c r="C26" s="93"/>
      <c r="D26" s="67">
        <v>10144.530000000001</v>
      </c>
      <c r="E26" s="67"/>
      <c r="F26" s="67"/>
      <c r="G26" s="75">
        <f>ROUND((+I25+E26+(D26/2))*0.0825/12,2)</f>
        <v>-3254.15</v>
      </c>
      <c r="H26" s="67">
        <f t="shared" si="1"/>
        <v>6890.380000000001</v>
      </c>
      <c r="I26" s="75">
        <f t="shared" si="2"/>
        <v>-471512.46000000014</v>
      </c>
    </row>
    <row r="27" spans="1:10" hidden="1" outlineLevel="1" x14ac:dyDescent="0.2">
      <c r="A27" s="71">
        <f t="shared" si="0"/>
        <v>20</v>
      </c>
      <c r="B27" s="66">
        <f>+B26+31</f>
        <v>39385</v>
      </c>
      <c r="C27" s="93"/>
      <c r="D27" s="67">
        <v>15090.36</v>
      </c>
      <c r="E27" s="67"/>
      <c r="F27" s="67"/>
      <c r="G27" s="76">
        <f>ROUND((+I26+E27+(D27/2))*0.0825/12,2)</f>
        <v>-3189.78</v>
      </c>
      <c r="H27" s="67">
        <f t="shared" si="1"/>
        <v>11900.58</v>
      </c>
      <c r="I27" s="75">
        <f t="shared" si="2"/>
        <v>-459611.88000000012</v>
      </c>
    </row>
    <row r="28" spans="1:10" hidden="1" outlineLevel="1" x14ac:dyDescent="0.2">
      <c r="A28" s="71">
        <f t="shared" si="0"/>
        <v>21</v>
      </c>
      <c r="B28" s="66">
        <f>+B27+30</f>
        <v>39415</v>
      </c>
      <c r="C28" s="66" t="s">
        <v>355</v>
      </c>
      <c r="D28" s="67">
        <v>11269.68</v>
      </c>
      <c r="E28" s="67">
        <f>-'151540 WACOG Deferral'!E28</f>
        <v>-5713797</v>
      </c>
      <c r="F28" s="67"/>
      <c r="G28" s="76">
        <f>ROUND((+I27+E28+(D28/2))*0.0825/12,2)</f>
        <v>-42403.45</v>
      </c>
      <c r="H28" s="67">
        <f t="shared" si="1"/>
        <v>-5744930.7700000005</v>
      </c>
      <c r="I28" s="75">
        <f t="shared" si="2"/>
        <v>-6204542.6500000004</v>
      </c>
    </row>
    <row r="29" spans="1:10" hidden="1" outlineLevel="1" x14ac:dyDescent="0.2">
      <c r="A29" s="71">
        <f t="shared" si="0"/>
        <v>22</v>
      </c>
      <c r="B29" s="66">
        <f>+B28</f>
        <v>39415</v>
      </c>
      <c r="C29" s="66" t="s">
        <v>354</v>
      </c>
      <c r="D29" s="67">
        <v>233322.88</v>
      </c>
      <c r="E29" s="67"/>
      <c r="F29" s="67"/>
      <c r="G29" s="76">
        <f>ROUND((+(D29/2))*0.0825/12,2)</f>
        <v>802.05</v>
      </c>
      <c r="H29" s="67">
        <f t="shared" si="1"/>
        <v>234124.93</v>
      </c>
      <c r="I29" s="75">
        <f t="shared" si="2"/>
        <v>-5970417.7200000007</v>
      </c>
    </row>
    <row r="30" spans="1:10" hidden="1" outlineLevel="1" x14ac:dyDescent="0.2">
      <c r="A30" s="71">
        <f t="shared" si="0"/>
        <v>23</v>
      </c>
      <c r="B30" s="66">
        <f>+B28+31</f>
        <v>39446</v>
      </c>
      <c r="D30" s="67">
        <v>691497</v>
      </c>
      <c r="E30" s="67"/>
      <c r="F30" s="67"/>
      <c r="G30" s="76">
        <f>ROUND((+I29+E30+(D30/2))*0.0825/12,2)</f>
        <v>-38669.599999999999</v>
      </c>
      <c r="H30" s="67">
        <f t="shared" si="1"/>
        <v>652827.4</v>
      </c>
      <c r="I30" s="75">
        <f t="shared" si="2"/>
        <v>-5317590.32</v>
      </c>
    </row>
    <row r="31" spans="1:10" hidden="1" outlineLevel="1" x14ac:dyDescent="0.2">
      <c r="A31" s="71">
        <f t="shared" si="0"/>
        <v>24</v>
      </c>
      <c r="B31" s="66">
        <f>+B30+31</f>
        <v>39477</v>
      </c>
      <c r="D31" s="67">
        <v>835033.65</v>
      </c>
      <c r="G31" s="76">
        <f>ROUND((+I30+E31+(D31/2))*0.0776/12,2)</f>
        <v>-31687.14</v>
      </c>
      <c r="H31" s="67">
        <f t="shared" si="1"/>
        <v>803346.51</v>
      </c>
      <c r="I31" s="75">
        <f t="shared" si="2"/>
        <v>-4514243.8100000005</v>
      </c>
    </row>
    <row r="32" spans="1:10" hidden="1" outlineLevel="1" x14ac:dyDescent="0.2">
      <c r="A32" s="71">
        <f t="shared" si="0"/>
        <v>25</v>
      </c>
      <c r="B32" s="66">
        <f>+B31+29</f>
        <v>39506</v>
      </c>
      <c r="D32" s="67">
        <v>790013.29</v>
      </c>
      <c r="G32" s="76">
        <f>ROUND((+I31+E32+(D32/2))*0.0776/12,2)</f>
        <v>-26637.73</v>
      </c>
      <c r="H32" s="67">
        <f t="shared" si="1"/>
        <v>763375.56</v>
      </c>
      <c r="I32" s="75">
        <f t="shared" si="2"/>
        <v>-3750868.2500000005</v>
      </c>
    </row>
    <row r="33" spans="1:9" hidden="1" outlineLevel="1" x14ac:dyDescent="0.2">
      <c r="A33" s="71">
        <f t="shared" si="0"/>
        <v>26</v>
      </c>
      <c r="B33" s="66">
        <f>+B32+31</f>
        <v>39537</v>
      </c>
      <c r="D33" s="67">
        <v>578221.73</v>
      </c>
      <c r="G33" s="76">
        <f>ROUND((+I32+E33+(D33/2))*0.0776/12,2)</f>
        <v>-22386.03</v>
      </c>
      <c r="H33" s="67">
        <f t="shared" si="1"/>
        <v>555835.69999999995</v>
      </c>
      <c r="I33" s="75">
        <f t="shared" si="2"/>
        <v>-3195032.5500000007</v>
      </c>
    </row>
    <row r="34" spans="1:9" hidden="1" outlineLevel="1" x14ac:dyDescent="0.2">
      <c r="A34" s="71">
        <f t="shared" si="0"/>
        <v>27</v>
      </c>
      <c r="B34" s="66">
        <f>+B33+30</f>
        <v>39567</v>
      </c>
      <c r="D34" s="67">
        <v>588237.96</v>
      </c>
      <c r="G34" s="76">
        <f>ROUND((+I33+E34+(D34/2))*0.0677/12,2)</f>
        <v>-16365.99</v>
      </c>
      <c r="H34" s="67">
        <f t="shared" si="1"/>
        <v>571871.97</v>
      </c>
      <c r="I34" s="75">
        <f t="shared" si="2"/>
        <v>-2623160.580000001</v>
      </c>
    </row>
    <row r="35" spans="1:9" hidden="1" outlineLevel="1" x14ac:dyDescent="0.2">
      <c r="A35" s="71">
        <f t="shared" si="0"/>
        <v>28</v>
      </c>
      <c r="B35" s="66">
        <f>+B34+31</f>
        <v>39598</v>
      </c>
      <c r="D35" s="67">
        <v>398285.64</v>
      </c>
      <c r="G35" s="76">
        <f>ROUND((+I34+E35+(D35/2))*0.0677/12,2)</f>
        <v>-13675.5</v>
      </c>
      <c r="H35" s="67">
        <f t="shared" si="1"/>
        <v>384610.14</v>
      </c>
      <c r="I35" s="75">
        <f t="shared" si="2"/>
        <v>-2238550.4400000009</v>
      </c>
    </row>
    <row r="36" spans="1:9" hidden="1" outlineLevel="1" x14ac:dyDescent="0.2">
      <c r="A36" s="71">
        <f t="shared" si="0"/>
        <v>29</v>
      </c>
      <c r="B36" s="66">
        <f>+B35+30</f>
        <v>39628</v>
      </c>
      <c r="D36" s="67">
        <v>269730.38</v>
      </c>
      <c r="G36" s="76">
        <f>ROUND((+I35+E36+(D36/2))*0.0677/12,2)</f>
        <v>-11868.29</v>
      </c>
      <c r="H36" s="67">
        <f t="shared" si="1"/>
        <v>257862.09</v>
      </c>
      <c r="I36" s="75">
        <f t="shared" si="2"/>
        <v>-1980688.3500000008</v>
      </c>
    </row>
    <row r="37" spans="1:9" hidden="1" outlineLevel="1" x14ac:dyDescent="0.2">
      <c r="A37" s="71">
        <f t="shared" si="0"/>
        <v>30</v>
      </c>
      <c r="B37" s="66">
        <f>+B36+31</f>
        <v>39659</v>
      </c>
      <c r="D37" s="67">
        <v>205144.05</v>
      </c>
      <c r="G37" s="76">
        <f>ROUND((+I36+E37+(D37/2))*0.053/12,2)</f>
        <v>-8295.01</v>
      </c>
      <c r="H37" s="67">
        <f t="shared" si="1"/>
        <v>196849.03999999998</v>
      </c>
      <c r="I37" s="75">
        <f t="shared" si="2"/>
        <v>-1783839.3100000008</v>
      </c>
    </row>
    <row r="38" spans="1:9" hidden="1" outlineLevel="1" x14ac:dyDescent="0.2">
      <c r="A38" s="71">
        <f t="shared" si="0"/>
        <v>31</v>
      </c>
      <c r="B38" s="66">
        <f>+B37+30</f>
        <v>39689</v>
      </c>
      <c r="D38" s="67">
        <v>173863.12</v>
      </c>
      <c r="G38" s="76">
        <f>ROUND((+I37+E38+(D38/2))*0.053/12,2)</f>
        <v>-7494.68</v>
      </c>
      <c r="H38" s="67">
        <f t="shared" si="1"/>
        <v>166368.44</v>
      </c>
      <c r="I38" s="75">
        <f t="shared" si="2"/>
        <v>-1617470.8700000008</v>
      </c>
    </row>
    <row r="39" spans="1:9" hidden="1" outlineLevel="1" x14ac:dyDescent="0.2">
      <c r="A39" s="71">
        <f t="shared" si="0"/>
        <v>32</v>
      </c>
      <c r="B39" s="66">
        <f>+B38+30</f>
        <v>39719</v>
      </c>
      <c r="D39" s="67">
        <v>182358.51</v>
      </c>
      <c r="G39" s="76">
        <f>ROUND((+I38+E39+(D39/2))*0.053/12,2)</f>
        <v>-6741.12</v>
      </c>
      <c r="H39" s="67">
        <f t="shared" si="1"/>
        <v>175617.39</v>
      </c>
      <c r="I39" s="75">
        <f t="shared" si="2"/>
        <v>-1441853.4800000009</v>
      </c>
    </row>
    <row r="40" spans="1:9" hidden="1" outlineLevel="1" x14ac:dyDescent="0.2">
      <c r="A40" s="71">
        <f t="shared" si="0"/>
        <v>33</v>
      </c>
      <c r="B40" s="66">
        <f>+B39+31</f>
        <v>39750</v>
      </c>
      <c r="D40" s="67">
        <f>242723-12</f>
        <v>242711</v>
      </c>
      <c r="E40" s="67"/>
      <c r="F40" s="67"/>
      <c r="G40" s="76">
        <f>ROUND((+I39+E40+(D40/2))*0.05/12,2)</f>
        <v>-5502.07</v>
      </c>
      <c r="H40" s="67">
        <f t="shared" si="1"/>
        <v>237208.93</v>
      </c>
      <c r="I40" s="75">
        <f t="shared" si="2"/>
        <v>-1204644.550000001</v>
      </c>
    </row>
    <row r="41" spans="1:9" hidden="1" outlineLevel="1" x14ac:dyDescent="0.2">
      <c r="A41" s="71">
        <f t="shared" si="0"/>
        <v>34</v>
      </c>
      <c r="B41" s="66">
        <f>+B40+30</f>
        <v>39780</v>
      </c>
      <c r="D41" s="67">
        <v>145406.41</v>
      </c>
      <c r="E41" s="67">
        <f>-'151540 WACOG Deferral'!E40</f>
        <v>2262733</v>
      </c>
      <c r="F41" s="67"/>
      <c r="G41" s="76">
        <f>ROUND((+I40+E41+(D41/2))*0.05/12,2)</f>
        <v>4711.63</v>
      </c>
      <c r="H41" s="67">
        <f t="shared" si="1"/>
        <v>2412851.04</v>
      </c>
      <c r="I41" s="75">
        <f t="shared" si="2"/>
        <v>1208206.4899999991</v>
      </c>
    </row>
    <row r="42" spans="1:9" hidden="1" outlineLevel="1" x14ac:dyDescent="0.2">
      <c r="A42" s="71">
        <f t="shared" si="0"/>
        <v>35</v>
      </c>
      <c r="B42" s="66">
        <f>+B41+31</f>
        <v>39811</v>
      </c>
      <c r="D42" s="67">
        <v>-145297</v>
      </c>
      <c r="G42" s="76">
        <f>ROUND((+I41+E42+(D42/2))*0.05/12,2)</f>
        <v>4731.49</v>
      </c>
      <c r="H42" s="67">
        <f t="shared" si="1"/>
        <v>-140565.51</v>
      </c>
      <c r="I42" s="75">
        <f t="shared" si="2"/>
        <v>1067640.9799999991</v>
      </c>
    </row>
    <row r="43" spans="1:9" hidden="1" outlineLevel="1" x14ac:dyDescent="0.2">
      <c r="A43" s="71">
        <f t="shared" si="0"/>
        <v>36</v>
      </c>
      <c r="B43" s="66">
        <f>+B42+31</f>
        <v>39842</v>
      </c>
      <c r="D43" s="67">
        <v>-205495.43</v>
      </c>
      <c r="G43" s="76">
        <f>ROUND((+I42+E43+(D43/2))*0.0452/12,2)</f>
        <v>3634.43</v>
      </c>
      <c r="H43" s="67">
        <f t="shared" si="1"/>
        <v>-201861</v>
      </c>
      <c r="I43" s="75">
        <f t="shared" si="2"/>
        <v>865779.97999999905</v>
      </c>
    </row>
    <row r="44" spans="1:9" hidden="1" outlineLevel="1" x14ac:dyDescent="0.2">
      <c r="A44" s="71">
        <f t="shared" si="0"/>
        <v>37</v>
      </c>
      <c r="B44" s="66">
        <f>+B43+28</f>
        <v>39870</v>
      </c>
      <c r="D44" s="67">
        <v>-180219.15</v>
      </c>
      <c r="G44" s="76">
        <f>ROUND((+I43+E44+(D44/2))*0.0452/12,2)</f>
        <v>2921.69</v>
      </c>
      <c r="H44" s="67">
        <f t="shared" si="1"/>
        <v>-177297.46</v>
      </c>
      <c r="I44" s="75">
        <f t="shared" si="2"/>
        <v>688482.51999999909</v>
      </c>
    </row>
    <row r="45" spans="1:9" hidden="1" outlineLevel="1" x14ac:dyDescent="0.2">
      <c r="A45" s="71">
        <f t="shared" si="0"/>
        <v>38</v>
      </c>
      <c r="B45" s="66">
        <f>+B44+31</f>
        <v>39901</v>
      </c>
      <c r="D45" s="67">
        <v>-161853.42000000001</v>
      </c>
      <c r="G45" s="76">
        <f>ROUND((+I44+E45+(D45/2))*0.0452/12,2)</f>
        <v>2288.46</v>
      </c>
      <c r="H45" s="67">
        <f t="shared" si="1"/>
        <v>-159564.96000000002</v>
      </c>
      <c r="I45" s="75">
        <f t="shared" si="2"/>
        <v>528917.55999999912</v>
      </c>
    </row>
    <row r="46" spans="1:9" hidden="1" outlineLevel="1" x14ac:dyDescent="0.2">
      <c r="A46" s="71">
        <f t="shared" si="0"/>
        <v>39</v>
      </c>
      <c r="B46" s="66">
        <f>+B45+30</f>
        <v>39931</v>
      </c>
      <c r="D46" s="67">
        <v>-121126.76</v>
      </c>
      <c r="G46" s="76">
        <f>ROUND((+I45+E46+(D46/2))*0.0337/12,2)</f>
        <v>1315.29</v>
      </c>
      <c r="H46" s="67">
        <f t="shared" si="1"/>
        <v>-119811.47</v>
      </c>
      <c r="I46" s="75">
        <f t="shared" si="2"/>
        <v>409106.08999999915</v>
      </c>
    </row>
    <row r="47" spans="1:9" hidden="1" outlineLevel="1" x14ac:dyDescent="0.2">
      <c r="A47" s="71">
        <f t="shared" si="0"/>
        <v>40</v>
      </c>
      <c r="B47" s="66">
        <f>+B46+31</f>
        <v>39962</v>
      </c>
      <c r="D47" s="67">
        <v>-77329.429999999993</v>
      </c>
      <c r="G47" s="76">
        <f>ROUND((+I46+E47+(D47/2))*0.0337/12,2)</f>
        <v>1040.32</v>
      </c>
      <c r="H47" s="67">
        <f t="shared" si="1"/>
        <v>-76289.109999999986</v>
      </c>
      <c r="I47" s="75">
        <f t="shared" si="2"/>
        <v>332816.97999999917</v>
      </c>
    </row>
    <row r="48" spans="1:9" hidden="1" outlineLevel="1" x14ac:dyDescent="0.2">
      <c r="A48" s="71">
        <f t="shared" si="0"/>
        <v>41</v>
      </c>
      <c r="B48" s="66">
        <f>+B47+30</f>
        <v>39992</v>
      </c>
      <c r="D48" s="67">
        <v>4092989.09</v>
      </c>
      <c r="E48" s="67">
        <f>-'151540 WACOG Deferral'!E47</f>
        <v>-4072328.88</v>
      </c>
      <c r="F48" s="67"/>
      <c r="G48" s="76">
        <f>ROUND((+I47+E48+(D48/2))*0.0337/12,2)</f>
        <v>-4754.5600000000004</v>
      </c>
      <c r="H48" s="67">
        <f t="shared" si="1"/>
        <v>15905.649999999961</v>
      </c>
      <c r="I48" s="75">
        <f t="shared" si="2"/>
        <v>348722.62999999913</v>
      </c>
    </row>
    <row r="49" spans="1:12" hidden="1" outlineLevel="1" x14ac:dyDescent="0.2">
      <c r="A49" s="71">
        <f t="shared" si="0"/>
        <v>42</v>
      </c>
      <c r="B49" s="66">
        <f>+B48+31</f>
        <v>40023</v>
      </c>
      <c r="D49" s="67">
        <v>-39805.550000000003</v>
      </c>
      <c r="G49" s="76">
        <f>ROUND((+I48+E49+(D49/2))*0.0325/12,2)</f>
        <v>890.55</v>
      </c>
      <c r="H49" s="67">
        <f t="shared" si="1"/>
        <v>-38915</v>
      </c>
      <c r="I49" s="75">
        <f t="shared" si="2"/>
        <v>309807.62999999913</v>
      </c>
    </row>
    <row r="50" spans="1:12" hidden="1" outlineLevel="1" x14ac:dyDescent="0.2">
      <c r="A50" s="71">
        <f t="shared" si="0"/>
        <v>43</v>
      </c>
      <c r="B50" s="66">
        <f>+B49+30</f>
        <v>40053</v>
      </c>
      <c r="D50" s="67">
        <v>-37281.910000000003</v>
      </c>
      <c r="G50" s="76">
        <f>ROUND((+I49+E50+(D50/2))*0.0325/12,2)</f>
        <v>788.58</v>
      </c>
      <c r="H50" s="67">
        <f t="shared" si="1"/>
        <v>-36493.33</v>
      </c>
      <c r="I50" s="75">
        <f t="shared" si="2"/>
        <v>273314.29999999912</v>
      </c>
    </row>
    <row r="51" spans="1:12" hidden="1" outlineLevel="1" x14ac:dyDescent="0.2">
      <c r="A51" s="71">
        <f t="shared" si="0"/>
        <v>44</v>
      </c>
      <c r="B51" s="66">
        <f>+B50+30</f>
        <v>40083</v>
      </c>
      <c r="D51" s="67">
        <v>-40411.11</v>
      </c>
      <c r="G51" s="76">
        <f>ROUND((+I50+E51+(D51/2))*0.0325/12,2)</f>
        <v>685.5</v>
      </c>
      <c r="H51" s="67">
        <f t="shared" si="1"/>
        <v>-39725.61</v>
      </c>
      <c r="I51" s="75">
        <f t="shared" si="2"/>
        <v>233588.68999999913</v>
      </c>
    </row>
    <row r="52" spans="1:12" hidden="1" outlineLevel="1" x14ac:dyDescent="0.2">
      <c r="A52" s="71">
        <f t="shared" si="0"/>
        <v>45</v>
      </c>
      <c r="B52" s="66">
        <f>+B51+31</f>
        <v>40114</v>
      </c>
      <c r="D52" s="67">
        <v>-56417.1</v>
      </c>
      <c r="G52" s="76">
        <f>ROUND((+I51+E52+(D52/2))*0.0325/12,2)</f>
        <v>556.24</v>
      </c>
      <c r="H52" s="67">
        <f t="shared" si="1"/>
        <v>-55860.86</v>
      </c>
      <c r="I52" s="75">
        <f t="shared" si="2"/>
        <v>177727.82999999914</v>
      </c>
    </row>
    <row r="53" spans="1:12" hidden="1" outlineLevel="1" x14ac:dyDescent="0.2">
      <c r="A53" s="71">
        <f t="shared" si="0"/>
        <v>46</v>
      </c>
      <c r="B53" s="66">
        <f>+B52+30</f>
        <v>40144</v>
      </c>
      <c r="D53" s="67">
        <v>-47340.04</v>
      </c>
      <c r="G53" s="76">
        <f>ROUND((+I52+E53+(D53/2))*0.0325/12,2)</f>
        <v>417.24</v>
      </c>
      <c r="H53" s="67">
        <f t="shared" si="1"/>
        <v>-46922.8</v>
      </c>
      <c r="I53" s="75">
        <f t="shared" si="2"/>
        <v>130805.02999999914</v>
      </c>
    </row>
    <row r="54" spans="1:12" hidden="1" outlineLevel="1" x14ac:dyDescent="0.2">
      <c r="A54" s="71">
        <f t="shared" si="0"/>
        <v>47</v>
      </c>
      <c r="B54" s="66">
        <f>+B53+30</f>
        <v>40174</v>
      </c>
      <c r="D54" s="67"/>
      <c r="G54" s="76"/>
      <c r="H54" s="67"/>
      <c r="I54" s="75"/>
    </row>
    <row r="55" spans="1:12" hidden="1" outlineLevel="1" x14ac:dyDescent="0.2">
      <c r="A55" s="71">
        <f t="shared" si="0"/>
        <v>48</v>
      </c>
      <c r="C55" s="66" t="s">
        <v>354</v>
      </c>
      <c r="D55" s="67">
        <f>164696.55-126</f>
        <v>164570.54999999999</v>
      </c>
      <c r="E55" s="67">
        <f>-'151540 WACOG Deferral'!E52</f>
        <v>-4409571.21</v>
      </c>
      <c r="F55" s="67"/>
      <c r="G55" s="76">
        <f>ROUND((+E55+(D55/2))*0.0325/12,2)</f>
        <v>-11719.73</v>
      </c>
      <c r="H55" s="67">
        <f t="shared" ref="H55:H86" si="3">SUM(D55:G55)</f>
        <v>-4256720.3900000006</v>
      </c>
      <c r="I55" s="75">
        <f>+I53+H55</f>
        <v>-4125915.3600000013</v>
      </c>
      <c r="K55" s="67"/>
      <c r="L55" s="67"/>
    </row>
    <row r="56" spans="1:12" hidden="1" outlineLevel="1" x14ac:dyDescent="0.2">
      <c r="A56" s="71">
        <f t="shared" si="0"/>
        <v>49</v>
      </c>
      <c r="B56" s="66">
        <f>+B53+31</f>
        <v>40175</v>
      </c>
      <c r="D56" s="67">
        <v>538177.81000000006</v>
      </c>
      <c r="G56" s="76">
        <f>ROUND((+I55+E56+(D56/2))*0.0325/12,2)</f>
        <v>-10445.57</v>
      </c>
      <c r="H56" s="67">
        <f t="shared" si="3"/>
        <v>527732.24000000011</v>
      </c>
      <c r="I56" s="75">
        <f t="shared" ref="I56:I119" si="4">+I55+H56</f>
        <v>-3598183.120000001</v>
      </c>
    </row>
    <row r="57" spans="1:12" hidden="1" outlineLevel="1" x14ac:dyDescent="0.2">
      <c r="A57" s="71">
        <f t="shared" si="0"/>
        <v>50</v>
      </c>
      <c r="B57" s="66">
        <f>+B56+31</f>
        <v>40206</v>
      </c>
      <c r="D57" s="67">
        <v>609774.49607460003</v>
      </c>
      <c r="G57" s="76">
        <f>ROUND((+I56+E57+(D57/2))*0.0325/12,2)</f>
        <v>-8919.34</v>
      </c>
      <c r="H57" s="67">
        <f t="shared" si="3"/>
        <v>600855.15607460006</v>
      </c>
      <c r="I57" s="75">
        <f t="shared" si="4"/>
        <v>-2997327.9639254007</v>
      </c>
    </row>
    <row r="58" spans="1:12" hidden="1" outlineLevel="1" x14ac:dyDescent="0.2">
      <c r="A58" s="71">
        <f t="shared" si="0"/>
        <v>51</v>
      </c>
      <c r="B58" s="66">
        <f>+B57+28</f>
        <v>40234</v>
      </c>
      <c r="D58" s="67">
        <v>419977.48348609993</v>
      </c>
      <c r="G58" s="76">
        <v>-7549.04</v>
      </c>
      <c r="H58" s="67">
        <f t="shared" si="3"/>
        <v>412428.44348609995</v>
      </c>
      <c r="I58" s="75">
        <f t="shared" si="4"/>
        <v>-2584899.5204393007</v>
      </c>
    </row>
    <row r="59" spans="1:12" hidden="1" outlineLevel="1" x14ac:dyDescent="0.2">
      <c r="A59" s="71">
        <f t="shared" si="0"/>
        <v>52</v>
      </c>
      <c r="B59" s="66">
        <f>+B58+31</f>
        <v>40265</v>
      </c>
      <c r="D59" s="67">
        <v>359134.14</v>
      </c>
      <c r="G59" s="76">
        <f t="shared" ref="G59:G67" si="5">ROUND((+I58+E59+(D59/2))*0.0325/12,2)</f>
        <v>-6514.44</v>
      </c>
      <c r="H59" s="67">
        <f t="shared" si="3"/>
        <v>352619.7</v>
      </c>
      <c r="I59" s="75">
        <f t="shared" si="4"/>
        <v>-2232279.8204393005</v>
      </c>
    </row>
    <row r="60" spans="1:12" hidden="1" outlineLevel="1" x14ac:dyDescent="0.2">
      <c r="A60" s="71">
        <f t="shared" si="0"/>
        <v>53</v>
      </c>
      <c r="B60" s="66">
        <f>+B59+30</f>
        <v>40295</v>
      </c>
      <c r="D60" s="67">
        <v>338444.62</v>
      </c>
      <c r="G60" s="76">
        <f t="shared" si="5"/>
        <v>-5587.45</v>
      </c>
      <c r="H60" s="67">
        <f t="shared" si="3"/>
        <v>332857.17</v>
      </c>
      <c r="I60" s="75">
        <f t="shared" si="4"/>
        <v>-1899422.6504393006</v>
      </c>
    </row>
    <row r="61" spans="1:12" hidden="1" outlineLevel="1" x14ac:dyDescent="0.2">
      <c r="A61" s="71">
        <f t="shared" si="0"/>
        <v>54</v>
      </c>
      <c r="B61" s="66">
        <f>+B60+31</f>
        <v>40326</v>
      </c>
      <c r="D61" s="67">
        <v>260032.1</v>
      </c>
      <c r="G61" s="76">
        <f t="shared" si="5"/>
        <v>-4792.1400000000003</v>
      </c>
      <c r="H61" s="67">
        <f t="shared" si="3"/>
        <v>255239.96</v>
      </c>
      <c r="I61" s="75">
        <f t="shared" si="4"/>
        <v>-1644182.6904393006</v>
      </c>
    </row>
    <row r="62" spans="1:12" hidden="1" outlineLevel="1" x14ac:dyDescent="0.2">
      <c r="A62" s="71">
        <f t="shared" si="0"/>
        <v>55</v>
      </c>
      <c r="B62" s="66">
        <f>+B61+30</f>
        <v>40356</v>
      </c>
      <c r="D62" s="67">
        <v>208054.98</v>
      </c>
      <c r="E62" s="67"/>
      <c r="F62" s="67"/>
      <c r="G62" s="76">
        <f t="shared" si="5"/>
        <v>-4171.25</v>
      </c>
      <c r="H62" s="67">
        <f t="shared" si="3"/>
        <v>203883.73</v>
      </c>
      <c r="I62" s="75">
        <f t="shared" si="4"/>
        <v>-1440298.9604393006</v>
      </c>
    </row>
    <row r="63" spans="1:12" hidden="1" outlineLevel="1" x14ac:dyDescent="0.2">
      <c r="A63" s="71">
        <f t="shared" si="0"/>
        <v>56</v>
      </c>
      <c r="B63" s="66">
        <f>+B62+31</f>
        <v>40387</v>
      </c>
      <c r="D63" s="67">
        <v>147452.81098089999</v>
      </c>
      <c r="E63" s="67"/>
      <c r="F63" s="67"/>
      <c r="G63" s="76">
        <f t="shared" si="5"/>
        <v>-3701.13</v>
      </c>
      <c r="H63" s="67">
        <f t="shared" si="3"/>
        <v>143751.68098089998</v>
      </c>
      <c r="I63" s="75">
        <f t="shared" si="4"/>
        <v>-1296547.2794584006</v>
      </c>
      <c r="K63" s="67"/>
    </row>
    <row r="64" spans="1:12" hidden="1" outlineLevel="1" x14ac:dyDescent="0.2">
      <c r="A64" s="71">
        <f t="shared" si="0"/>
        <v>57</v>
      </c>
      <c r="B64" s="66">
        <f>+B63+30</f>
        <v>40417</v>
      </c>
      <c r="D64" s="67">
        <v>130079.2587949</v>
      </c>
      <c r="E64" s="67"/>
      <c r="F64" s="67"/>
      <c r="G64" s="76">
        <f t="shared" si="5"/>
        <v>-3335.33</v>
      </c>
      <c r="H64" s="67">
        <f t="shared" si="3"/>
        <v>126743.9287949</v>
      </c>
      <c r="I64" s="75">
        <f t="shared" si="4"/>
        <v>-1169803.3506635006</v>
      </c>
    </row>
    <row r="65" spans="1:9" hidden="1" outlineLevel="1" x14ac:dyDescent="0.2">
      <c r="A65" s="71">
        <f t="shared" si="0"/>
        <v>58</v>
      </c>
      <c r="B65" s="66">
        <f>+B64+30</f>
        <v>40447</v>
      </c>
      <c r="D65" s="67">
        <v>132544.51323279997</v>
      </c>
      <c r="E65" s="67"/>
      <c r="F65" s="67"/>
      <c r="G65" s="76">
        <f t="shared" si="5"/>
        <v>-2988.73</v>
      </c>
      <c r="H65" s="67">
        <f t="shared" si="3"/>
        <v>129555.78323279998</v>
      </c>
      <c r="I65" s="75">
        <f t="shared" si="4"/>
        <v>-1040247.5674307006</v>
      </c>
    </row>
    <row r="66" spans="1:9" hidden="1" outlineLevel="1" x14ac:dyDescent="0.2">
      <c r="A66" s="71">
        <f t="shared" si="0"/>
        <v>59</v>
      </c>
      <c r="B66" s="66">
        <f>+B65+31</f>
        <v>40478</v>
      </c>
      <c r="D66" s="67">
        <v>160991.21</v>
      </c>
      <c r="G66" s="76">
        <f t="shared" si="5"/>
        <v>-2599.33</v>
      </c>
      <c r="H66" s="67">
        <f t="shared" si="3"/>
        <v>158391.88</v>
      </c>
      <c r="I66" s="75">
        <f t="shared" si="4"/>
        <v>-881855.68743070064</v>
      </c>
    </row>
    <row r="67" spans="1:9" hidden="1" outlineLevel="1" x14ac:dyDescent="0.2">
      <c r="A67" s="71">
        <f t="shared" si="0"/>
        <v>60</v>
      </c>
      <c r="B67" s="66">
        <f>+B66+30</f>
        <v>40508</v>
      </c>
      <c r="C67" s="66" t="s">
        <v>355</v>
      </c>
      <c r="D67" s="67">
        <v>134323.07</v>
      </c>
      <c r="E67" s="67"/>
      <c r="F67" s="67"/>
      <c r="G67" s="76">
        <f t="shared" si="5"/>
        <v>-2206.46</v>
      </c>
      <c r="H67" s="67">
        <f t="shared" si="3"/>
        <v>132116.61000000002</v>
      </c>
      <c r="I67" s="75">
        <f t="shared" si="4"/>
        <v>-749739.07743070065</v>
      </c>
    </row>
    <row r="68" spans="1:9" hidden="1" outlineLevel="1" x14ac:dyDescent="0.2">
      <c r="A68" s="71">
        <f t="shared" si="0"/>
        <v>61</v>
      </c>
      <c r="C68" s="66" t="s">
        <v>354</v>
      </c>
      <c r="D68" s="67">
        <v>93545.33</v>
      </c>
      <c r="E68" s="67">
        <f>-'151540 WACOG Deferral'!E65</f>
        <v>-2005890.9999999995</v>
      </c>
      <c r="F68" s="67"/>
      <c r="G68" s="76">
        <f>ROUND((+E68+(D68/2))*0.0325/12,2)</f>
        <v>-5305.95</v>
      </c>
      <c r="H68" s="67">
        <f t="shared" si="3"/>
        <v>-1917651.6199999994</v>
      </c>
      <c r="I68" s="75">
        <f t="shared" si="4"/>
        <v>-2667390.6974307001</v>
      </c>
    </row>
    <row r="69" spans="1:9" hidden="1" outlineLevel="1" x14ac:dyDescent="0.2">
      <c r="A69" s="71">
        <f t="shared" si="0"/>
        <v>62</v>
      </c>
      <c r="B69" s="66">
        <f>+B67+31</f>
        <v>40539</v>
      </c>
      <c r="D69" s="67">
        <v>380591.72</v>
      </c>
      <c r="G69" s="76">
        <f>ROUND((+I68+E69+(D69/2))*0.0325/12,2)</f>
        <v>-6708.8</v>
      </c>
      <c r="H69" s="67">
        <f t="shared" si="3"/>
        <v>373882.92</v>
      </c>
      <c r="I69" s="75">
        <f t="shared" si="4"/>
        <v>-2293507.7774307001</v>
      </c>
    </row>
    <row r="70" spans="1:9" hidden="1" outlineLevel="1" x14ac:dyDescent="0.2">
      <c r="A70" s="71">
        <f t="shared" si="0"/>
        <v>63</v>
      </c>
      <c r="B70" s="66">
        <f>+B69+31</f>
        <v>40570</v>
      </c>
      <c r="D70" s="67">
        <v>446885.18</v>
      </c>
      <c r="F70" s="77">
        <v>3.2500000000000001E-2</v>
      </c>
      <c r="G70" s="76">
        <f t="shared" ref="G70:G80" si="6">ROUND((+I69+E70+(D70/2))*F70/12,0)</f>
        <v>-5606</v>
      </c>
      <c r="H70" s="67">
        <f t="shared" si="3"/>
        <v>441279.21249999997</v>
      </c>
      <c r="I70" s="75">
        <f t="shared" si="4"/>
        <v>-1852228.5649307002</v>
      </c>
    </row>
    <row r="71" spans="1:9" hidden="1" outlineLevel="1" x14ac:dyDescent="0.2">
      <c r="A71" s="71">
        <f t="shared" si="0"/>
        <v>64</v>
      </c>
      <c r="B71" s="66">
        <f>+B70+28</f>
        <v>40598</v>
      </c>
      <c r="D71" s="67">
        <v>357784.16</v>
      </c>
      <c r="F71" s="77">
        <v>3.2500000000000001E-2</v>
      </c>
      <c r="G71" s="76">
        <f t="shared" si="6"/>
        <v>-4532</v>
      </c>
      <c r="H71" s="67">
        <f t="shared" si="3"/>
        <v>353252.19249999995</v>
      </c>
      <c r="I71" s="75">
        <f t="shared" si="4"/>
        <v>-1498976.3724307003</v>
      </c>
    </row>
    <row r="72" spans="1:9" hidden="1" outlineLevel="1" x14ac:dyDescent="0.2">
      <c r="A72" s="71">
        <f t="shared" si="0"/>
        <v>65</v>
      </c>
      <c r="B72" s="66">
        <f>+B71+31</f>
        <v>40629</v>
      </c>
      <c r="D72" s="67">
        <v>378695.88</v>
      </c>
      <c r="F72" s="77">
        <v>3.2500000000000001E-2</v>
      </c>
      <c r="G72" s="76">
        <f t="shared" si="6"/>
        <v>-3547</v>
      </c>
      <c r="H72" s="67">
        <f t="shared" si="3"/>
        <v>375148.91249999998</v>
      </c>
      <c r="I72" s="75">
        <f t="shared" si="4"/>
        <v>-1123827.4599307002</v>
      </c>
    </row>
    <row r="73" spans="1:9" hidden="1" outlineLevel="1" x14ac:dyDescent="0.2">
      <c r="A73" s="71">
        <f t="shared" ref="A73:A136" si="7">+A72+1</f>
        <v>66</v>
      </c>
      <c r="B73" s="66">
        <f>+B72+30</f>
        <v>40659</v>
      </c>
      <c r="D73" s="67">
        <v>288040.3</v>
      </c>
      <c r="F73" s="77">
        <v>3.2500000000000001E-2</v>
      </c>
      <c r="G73" s="76">
        <f t="shared" si="6"/>
        <v>-2654</v>
      </c>
      <c r="H73" s="67">
        <f t="shared" si="3"/>
        <v>285386.33249999996</v>
      </c>
      <c r="I73" s="75">
        <f t="shared" si="4"/>
        <v>-838441.12743070023</v>
      </c>
    </row>
    <row r="74" spans="1:9" hidden="1" outlineLevel="1" x14ac:dyDescent="0.2">
      <c r="A74" s="71">
        <f t="shared" si="7"/>
        <v>67</v>
      </c>
      <c r="B74" s="66">
        <f>+B73+31</f>
        <v>40690</v>
      </c>
      <c r="D74" s="67">
        <v>228495.1</v>
      </c>
      <c r="F74" s="77">
        <v>3.2500000000000001E-2</v>
      </c>
      <c r="G74" s="76">
        <f t="shared" si="6"/>
        <v>-1961</v>
      </c>
      <c r="H74" s="67">
        <f t="shared" si="3"/>
        <v>226534.13250000001</v>
      </c>
      <c r="I74" s="75">
        <f t="shared" si="4"/>
        <v>-611906.99493070017</v>
      </c>
    </row>
    <row r="75" spans="1:9" hidden="1" outlineLevel="1" x14ac:dyDescent="0.2">
      <c r="A75" s="71">
        <f t="shared" si="7"/>
        <v>68</v>
      </c>
      <c r="B75" s="66">
        <f>+B74+30</f>
        <v>40720</v>
      </c>
      <c r="D75" s="67">
        <v>145227.70000000001</v>
      </c>
      <c r="F75" s="77">
        <v>3.2500000000000001E-2</v>
      </c>
      <c r="G75" s="76">
        <f t="shared" si="6"/>
        <v>-1461</v>
      </c>
      <c r="H75" s="67">
        <f t="shared" si="3"/>
        <v>143766.73250000001</v>
      </c>
      <c r="I75" s="75">
        <f t="shared" si="4"/>
        <v>-468140.26243070012</v>
      </c>
    </row>
    <row r="76" spans="1:9" hidden="1" outlineLevel="1" x14ac:dyDescent="0.2">
      <c r="A76" s="71">
        <f t="shared" si="7"/>
        <v>69</v>
      </c>
      <c r="B76" s="66">
        <f>+B75+31</f>
        <v>40751</v>
      </c>
      <c r="D76" s="67">
        <v>97521.15</v>
      </c>
      <c r="F76" s="77">
        <v>3.2500000000000001E-2</v>
      </c>
      <c r="G76" s="76">
        <f t="shared" si="6"/>
        <v>-1136</v>
      </c>
      <c r="H76" s="67">
        <f t="shared" si="3"/>
        <v>96385.182499999995</v>
      </c>
      <c r="I76" s="75">
        <f t="shared" si="4"/>
        <v>-371755.07993070013</v>
      </c>
    </row>
    <row r="77" spans="1:9" hidden="1" outlineLevel="1" x14ac:dyDescent="0.2">
      <c r="A77" s="71">
        <f t="shared" si="7"/>
        <v>70</v>
      </c>
      <c r="B77" s="66">
        <f>+B76+30</f>
        <v>40781</v>
      </c>
      <c r="D77" s="67">
        <v>83149.17</v>
      </c>
      <c r="F77" s="77">
        <v>3.2500000000000001E-2</v>
      </c>
      <c r="G77" s="76">
        <f t="shared" si="6"/>
        <v>-894</v>
      </c>
      <c r="H77" s="67">
        <f t="shared" si="3"/>
        <v>82255.202499999999</v>
      </c>
      <c r="I77" s="75">
        <f t="shared" si="4"/>
        <v>-289499.87743070011</v>
      </c>
    </row>
    <row r="78" spans="1:9" hidden="1" outlineLevel="1" x14ac:dyDescent="0.2">
      <c r="A78" s="71">
        <f t="shared" si="7"/>
        <v>71</v>
      </c>
      <c r="B78" s="66">
        <f>+B77+30</f>
        <v>40811</v>
      </c>
      <c r="D78" s="67">
        <v>84846.81</v>
      </c>
      <c r="F78" s="77">
        <v>3.2500000000000001E-2</v>
      </c>
      <c r="G78" s="76">
        <f t="shared" si="6"/>
        <v>-669</v>
      </c>
      <c r="H78" s="67">
        <f t="shared" si="3"/>
        <v>84177.842499999999</v>
      </c>
      <c r="I78" s="75">
        <f t="shared" si="4"/>
        <v>-205322.03493070012</v>
      </c>
    </row>
    <row r="79" spans="1:9" hidden="1" outlineLevel="1" x14ac:dyDescent="0.2">
      <c r="A79" s="71">
        <f t="shared" si="7"/>
        <v>72</v>
      </c>
      <c r="B79" s="66">
        <f>+B78+31</f>
        <v>40842</v>
      </c>
      <c r="D79" s="67">
        <v>111936.22517760002</v>
      </c>
      <c r="F79" s="77">
        <v>3.2500000000000001E-2</v>
      </c>
      <c r="G79" s="76">
        <f t="shared" si="6"/>
        <v>-405</v>
      </c>
      <c r="H79" s="67">
        <f t="shared" si="3"/>
        <v>111531.25767760002</v>
      </c>
      <c r="I79" s="75">
        <f t="shared" si="4"/>
        <v>-93790.777253100096</v>
      </c>
    </row>
    <row r="80" spans="1:9" hidden="1" outlineLevel="1" x14ac:dyDescent="0.2">
      <c r="A80" s="71">
        <f t="shared" si="7"/>
        <v>73</v>
      </c>
      <c r="B80" s="66">
        <f>+B79+30</f>
        <v>40872</v>
      </c>
      <c r="C80" s="66" t="s">
        <v>352</v>
      </c>
      <c r="D80" s="67">
        <v>113666.17</v>
      </c>
      <c r="E80" s="67"/>
      <c r="F80" s="77">
        <v>3.2500000000000001E-2</v>
      </c>
      <c r="G80" s="76">
        <f t="shared" si="6"/>
        <v>-100</v>
      </c>
      <c r="H80" s="67">
        <f t="shared" si="3"/>
        <v>113566.2025</v>
      </c>
      <c r="I80" s="75">
        <f t="shared" si="4"/>
        <v>19775.425246899904</v>
      </c>
    </row>
    <row r="81" spans="1:9" hidden="1" outlineLevel="1" x14ac:dyDescent="0.2">
      <c r="A81" s="71">
        <f t="shared" si="7"/>
        <v>74</v>
      </c>
      <c r="B81" s="66">
        <f>+B80</f>
        <v>40872</v>
      </c>
      <c r="C81" s="66" t="s">
        <v>353</v>
      </c>
      <c r="D81" s="67">
        <v>76583.360000000001</v>
      </c>
      <c r="E81" s="67">
        <f>-'151540 WACOG Deferral'!E77</f>
        <v>-2015200.6750000003</v>
      </c>
      <c r="F81" s="77">
        <v>3.2500000000000001E-2</v>
      </c>
      <c r="G81" s="113">
        <f>ROUND((+E81+(D81/2))*F81/12,2)</f>
        <v>-5354.13</v>
      </c>
      <c r="H81" s="67">
        <f t="shared" si="3"/>
        <v>-1943971.4125000001</v>
      </c>
      <c r="I81" s="75">
        <f t="shared" si="4"/>
        <v>-1924195.9872531001</v>
      </c>
    </row>
    <row r="82" spans="1:9" hidden="1" outlineLevel="1" x14ac:dyDescent="0.2">
      <c r="A82" s="71">
        <f t="shared" si="7"/>
        <v>75</v>
      </c>
      <c r="B82" s="66">
        <f>+B80+31</f>
        <v>40903</v>
      </c>
      <c r="D82" s="67">
        <v>289729.53848920006</v>
      </c>
      <c r="F82" s="77">
        <v>3.2500000000000001E-2</v>
      </c>
      <c r="G82" s="76">
        <f t="shared" ref="G82:G87" si="8">ROUND((+I81+E82+(D82/2))*F82/12,0)</f>
        <v>-4819</v>
      </c>
      <c r="H82" s="67">
        <f t="shared" si="3"/>
        <v>284910.57098920003</v>
      </c>
      <c r="I82" s="75">
        <f t="shared" si="4"/>
        <v>-1639285.4162639002</v>
      </c>
    </row>
    <row r="83" spans="1:9" hidden="1" outlineLevel="1" x14ac:dyDescent="0.2">
      <c r="A83" s="71">
        <f t="shared" si="7"/>
        <v>76</v>
      </c>
      <c r="B83" s="66">
        <f>+B82+31</f>
        <v>40934</v>
      </c>
      <c r="D83" s="67">
        <v>318854.17</v>
      </c>
      <c r="F83" s="77">
        <v>3.2500000000000001E-2</v>
      </c>
      <c r="G83" s="76">
        <f t="shared" si="8"/>
        <v>-4008</v>
      </c>
      <c r="H83" s="67">
        <f t="shared" si="3"/>
        <v>314846.20249999996</v>
      </c>
      <c r="I83" s="75">
        <f t="shared" si="4"/>
        <v>-1324439.2137639003</v>
      </c>
    </row>
    <row r="84" spans="1:9" hidden="1" outlineLevel="1" x14ac:dyDescent="0.2">
      <c r="A84" s="71">
        <f t="shared" si="7"/>
        <v>77</v>
      </c>
      <c r="B84" s="66">
        <f>+B83+29</f>
        <v>40963</v>
      </c>
      <c r="D84" s="67">
        <v>269133.83699159999</v>
      </c>
      <c r="F84" s="77">
        <v>3.2500000000000001E-2</v>
      </c>
      <c r="G84" s="76">
        <f t="shared" si="8"/>
        <v>-3223</v>
      </c>
      <c r="H84" s="67">
        <f t="shared" si="3"/>
        <v>265910.86949159997</v>
      </c>
      <c r="I84" s="75">
        <f t="shared" si="4"/>
        <v>-1058528.3442723004</v>
      </c>
    </row>
    <row r="85" spans="1:9" hidden="1" outlineLevel="1" x14ac:dyDescent="0.2">
      <c r="A85" s="71">
        <f t="shared" si="7"/>
        <v>78</v>
      </c>
      <c r="B85" s="66">
        <f>+B84+31</f>
        <v>40994</v>
      </c>
      <c r="D85" s="67">
        <v>253747.67912040005</v>
      </c>
      <c r="F85" s="77">
        <v>3.2500000000000001E-2</v>
      </c>
      <c r="G85" s="76">
        <f t="shared" si="8"/>
        <v>-2523</v>
      </c>
      <c r="H85" s="67">
        <f t="shared" si="3"/>
        <v>251224.71162040005</v>
      </c>
      <c r="I85" s="75">
        <f t="shared" si="4"/>
        <v>-807303.63265190029</v>
      </c>
    </row>
    <row r="86" spans="1:9" hidden="1" outlineLevel="1" x14ac:dyDescent="0.2">
      <c r="A86" s="71">
        <f t="shared" si="7"/>
        <v>79</v>
      </c>
      <c r="B86" s="66">
        <f>+B85+30</f>
        <v>41024</v>
      </c>
      <c r="D86" s="67">
        <v>196728.53631840003</v>
      </c>
      <c r="F86" s="77">
        <v>3.2500000000000001E-2</v>
      </c>
      <c r="G86" s="76">
        <f t="shared" si="8"/>
        <v>-1920</v>
      </c>
      <c r="H86" s="67">
        <f t="shared" si="3"/>
        <v>194808.56881840003</v>
      </c>
      <c r="I86" s="75">
        <f t="shared" si="4"/>
        <v>-612495.06383350026</v>
      </c>
    </row>
    <row r="87" spans="1:9" hidden="1" outlineLevel="1" x14ac:dyDescent="0.2">
      <c r="A87" s="71">
        <f t="shared" si="7"/>
        <v>80</v>
      </c>
      <c r="B87" s="66">
        <f>+B86+31</f>
        <v>41055</v>
      </c>
      <c r="D87" s="67">
        <v>122082.80527159999</v>
      </c>
      <c r="F87" s="77">
        <v>3.2500000000000001E-2</v>
      </c>
      <c r="G87" s="76">
        <f t="shared" si="8"/>
        <v>-1494</v>
      </c>
      <c r="H87" s="67">
        <f t="shared" ref="H87:H118" si="9">SUM(D87:G87)</f>
        <v>120588.8377716</v>
      </c>
      <c r="I87" s="75">
        <f t="shared" si="4"/>
        <v>-491906.22606190026</v>
      </c>
    </row>
    <row r="88" spans="1:9" hidden="1" outlineLevel="1" x14ac:dyDescent="0.2">
      <c r="A88" s="71">
        <f t="shared" si="7"/>
        <v>81</v>
      </c>
      <c r="B88" s="66">
        <f>+B87+30</f>
        <v>41085</v>
      </c>
      <c r="C88" s="87">
        <v>2</v>
      </c>
      <c r="D88" s="67">
        <v>3883843.0371594001</v>
      </c>
      <c r="E88" s="67">
        <f>-'151540 WACOG Deferral'!E84</f>
        <v>-4061107</v>
      </c>
      <c r="F88" s="77">
        <v>3.2500000000000001E-2</v>
      </c>
      <c r="G88" s="113">
        <f>ROUND((+I87+(E88/2)+(D88/2))*F88/12,2)</f>
        <v>-1572.29</v>
      </c>
      <c r="H88" s="67">
        <f t="shared" si="9"/>
        <v>-178836.22034059995</v>
      </c>
      <c r="I88" s="75">
        <f t="shared" si="4"/>
        <v>-670742.44640250015</v>
      </c>
    </row>
    <row r="89" spans="1:9" hidden="1" outlineLevel="1" x14ac:dyDescent="0.2">
      <c r="A89" s="71">
        <f t="shared" si="7"/>
        <v>82</v>
      </c>
      <c r="B89" s="66">
        <f>+B88+31</f>
        <v>41116</v>
      </c>
      <c r="D89" s="67">
        <v>286214.77607280004</v>
      </c>
      <c r="F89" s="77">
        <v>3.2500000000000001E-2</v>
      </c>
      <c r="G89" s="76">
        <f>ROUND((+I88+E89+(D89/2))*F89/12,0)</f>
        <v>-1429</v>
      </c>
      <c r="H89" s="67">
        <f t="shared" si="9"/>
        <v>284785.80857280002</v>
      </c>
      <c r="I89" s="75">
        <f t="shared" si="4"/>
        <v>-385956.63782970014</v>
      </c>
    </row>
    <row r="90" spans="1:9" hidden="1" outlineLevel="1" x14ac:dyDescent="0.2">
      <c r="A90" s="71">
        <f t="shared" si="7"/>
        <v>83</v>
      </c>
      <c r="B90" s="66">
        <f>+B89+30</f>
        <v>41146</v>
      </c>
      <c r="D90" s="67">
        <v>59109.280897999997</v>
      </c>
      <c r="F90" s="77">
        <v>3.2500000000000001E-2</v>
      </c>
      <c r="G90" s="76">
        <f>ROUND((+I89+E90+(D90/2))*F90/12,0)</f>
        <v>-965</v>
      </c>
      <c r="H90" s="67">
        <f t="shared" si="9"/>
        <v>58144.313397999998</v>
      </c>
      <c r="I90" s="75">
        <f t="shared" si="4"/>
        <v>-327812.32443170017</v>
      </c>
    </row>
    <row r="91" spans="1:9" hidden="1" outlineLevel="1" x14ac:dyDescent="0.2">
      <c r="A91" s="71">
        <f t="shared" si="7"/>
        <v>84</v>
      </c>
      <c r="B91" s="66">
        <f>+B90+30</f>
        <v>41176</v>
      </c>
      <c r="D91" s="67">
        <v>60100.352925600004</v>
      </c>
      <c r="F91" s="77">
        <v>3.2500000000000001E-2</v>
      </c>
      <c r="G91" s="76">
        <f>ROUND((+I90+E91+(D91/2))*F91/12,0)</f>
        <v>-806</v>
      </c>
      <c r="H91" s="67">
        <f t="shared" si="9"/>
        <v>59294.385425600005</v>
      </c>
      <c r="I91" s="75">
        <f t="shared" si="4"/>
        <v>-268517.93900610018</v>
      </c>
    </row>
    <row r="92" spans="1:9" hidden="1" outlineLevel="1" x14ac:dyDescent="0.2">
      <c r="A92" s="71">
        <f t="shared" si="7"/>
        <v>85</v>
      </c>
      <c r="B92" s="66">
        <f>+B91+31</f>
        <v>41207</v>
      </c>
      <c r="D92" s="67">
        <v>77365.781200399972</v>
      </c>
      <c r="F92" s="77">
        <v>3.2500000000000001E-2</v>
      </c>
      <c r="G92" s="76">
        <f>ROUND((+I91+E92+(D92/2))*F92/12,0)</f>
        <v>-622</v>
      </c>
      <c r="H92" s="67">
        <f t="shared" si="9"/>
        <v>76743.813700399973</v>
      </c>
      <c r="I92" s="75">
        <f t="shared" si="4"/>
        <v>-191774.1253057002</v>
      </c>
    </row>
    <row r="93" spans="1:9" hidden="1" outlineLevel="1" x14ac:dyDescent="0.2">
      <c r="A93" s="71">
        <f t="shared" si="7"/>
        <v>86</v>
      </c>
      <c r="B93" s="66">
        <f>+B92+30</f>
        <v>41237</v>
      </c>
      <c r="C93" s="66" t="s">
        <v>352</v>
      </c>
      <c r="D93" s="67">
        <v>73242.398073200005</v>
      </c>
      <c r="E93" s="67"/>
      <c r="F93" s="77">
        <v>3.2500000000000001E-2</v>
      </c>
      <c r="G93" s="76">
        <f>ROUND((+I92+E93+(D93/2))*F93/12,0)</f>
        <v>-420</v>
      </c>
      <c r="H93" s="67">
        <f t="shared" si="9"/>
        <v>72822.430573200007</v>
      </c>
      <c r="I93" s="75">
        <f t="shared" si="4"/>
        <v>-118951.6947325002</v>
      </c>
    </row>
    <row r="94" spans="1:9" hidden="1" outlineLevel="1" x14ac:dyDescent="0.2">
      <c r="A94" s="71">
        <f t="shared" si="7"/>
        <v>87</v>
      </c>
      <c r="B94" s="66">
        <f>+B93</f>
        <v>41237</v>
      </c>
      <c r="C94" s="66" t="s">
        <v>353</v>
      </c>
      <c r="D94" s="67">
        <v>38960.65</v>
      </c>
      <c r="E94" s="67">
        <v>-1361415.61</v>
      </c>
      <c r="F94" s="77">
        <v>3.2500000000000001E-2</v>
      </c>
      <c r="G94" s="113">
        <f>ROUND((+E94+(D94/2))*F94/12,2)</f>
        <v>-3634.41</v>
      </c>
      <c r="H94" s="67">
        <f t="shared" si="9"/>
        <v>-1326089.3375000001</v>
      </c>
      <c r="I94" s="75">
        <f t="shared" si="4"/>
        <v>-1445041.0322325004</v>
      </c>
    </row>
    <row r="95" spans="1:9" hidden="1" outlineLevel="1" x14ac:dyDescent="0.2">
      <c r="A95" s="71">
        <f t="shared" si="7"/>
        <v>88</v>
      </c>
      <c r="B95" s="66">
        <f>+B94+31</f>
        <v>41268</v>
      </c>
      <c r="C95" s="87">
        <v>3</v>
      </c>
      <c r="D95" s="67">
        <v>150738.80923480002</v>
      </c>
      <c r="E95" s="67">
        <v>-1.05</v>
      </c>
      <c r="F95" s="77">
        <v>3.2500000000000001E-2</v>
      </c>
      <c r="G95" s="76">
        <f t="shared" ref="G95:G106" si="10">ROUND((+I94+E95+(D95/2))*F95/12,0)</f>
        <v>-3710</v>
      </c>
      <c r="H95" s="67">
        <f t="shared" si="9"/>
        <v>147027.79173480003</v>
      </c>
      <c r="I95" s="75">
        <f t="shared" si="4"/>
        <v>-1298013.2404977004</v>
      </c>
    </row>
    <row r="96" spans="1:9" hidden="1" outlineLevel="1" x14ac:dyDescent="0.2">
      <c r="A96" s="71">
        <f t="shared" si="7"/>
        <v>89</v>
      </c>
      <c r="B96" s="66">
        <f>+B95+31</f>
        <v>41299</v>
      </c>
      <c r="D96" s="67">
        <v>224213.43333279999</v>
      </c>
      <c r="F96" s="77">
        <v>3.2500000000000001E-2</v>
      </c>
      <c r="G96" s="76">
        <f t="shared" si="10"/>
        <v>-3212</v>
      </c>
      <c r="H96" s="67">
        <f t="shared" si="9"/>
        <v>221001.46583279999</v>
      </c>
      <c r="I96" s="75">
        <f t="shared" si="4"/>
        <v>-1077011.7746649005</v>
      </c>
    </row>
    <row r="97" spans="1:9" hidden="1" outlineLevel="1" x14ac:dyDescent="0.2">
      <c r="A97" s="71">
        <f t="shared" si="7"/>
        <v>90</v>
      </c>
      <c r="B97" s="66">
        <f>+B96+28</f>
        <v>41327</v>
      </c>
      <c r="D97" s="67">
        <v>181427.04</v>
      </c>
      <c r="F97" s="77">
        <v>3.2500000000000001E-2</v>
      </c>
      <c r="G97" s="76">
        <f t="shared" si="10"/>
        <v>-2671</v>
      </c>
      <c r="H97" s="67">
        <f t="shared" si="9"/>
        <v>178756.07250000001</v>
      </c>
      <c r="I97" s="75">
        <f t="shared" si="4"/>
        <v>-898255.70216490049</v>
      </c>
    </row>
    <row r="98" spans="1:9" hidden="1" outlineLevel="1" x14ac:dyDescent="0.2">
      <c r="A98" s="71">
        <f t="shared" si="7"/>
        <v>91</v>
      </c>
      <c r="B98" s="66">
        <f>+B97+31</f>
        <v>41358</v>
      </c>
      <c r="D98" s="112">
        <v>143072.29122360004</v>
      </c>
      <c r="F98" s="77">
        <v>3.2500000000000001E-2</v>
      </c>
      <c r="G98" s="76">
        <f t="shared" si="10"/>
        <v>-2239</v>
      </c>
      <c r="H98" s="67">
        <f t="shared" si="9"/>
        <v>140833.32372360004</v>
      </c>
      <c r="I98" s="75">
        <f t="shared" si="4"/>
        <v>-757422.37844130048</v>
      </c>
    </row>
    <row r="99" spans="1:9" hidden="1" outlineLevel="1" x14ac:dyDescent="0.2">
      <c r="A99" s="71">
        <f t="shared" si="7"/>
        <v>92</v>
      </c>
      <c r="B99" s="66">
        <f>+B98+30</f>
        <v>41388</v>
      </c>
      <c r="D99" s="112">
        <v>103434.2960568</v>
      </c>
      <c r="F99" s="77">
        <v>3.2500000000000001E-2</v>
      </c>
      <c r="G99" s="76">
        <f t="shared" si="10"/>
        <v>-1911</v>
      </c>
      <c r="H99" s="67">
        <f t="shared" si="9"/>
        <v>101523.3285568</v>
      </c>
      <c r="I99" s="75">
        <f t="shared" si="4"/>
        <v>-655899.04988450045</v>
      </c>
    </row>
    <row r="100" spans="1:9" hidden="1" outlineLevel="1" x14ac:dyDescent="0.2">
      <c r="A100" s="71">
        <f t="shared" si="7"/>
        <v>93</v>
      </c>
      <c r="B100" s="66">
        <f>+B99+31</f>
        <v>41419</v>
      </c>
      <c r="D100" s="112">
        <v>71190.199351200004</v>
      </c>
      <c r="F100" s="77">
        <v>3.2500000000000001E-2</v>
      </c>
      <c r="G100" s="76">
        <f t="shared" si="10"/>
        <v>-1680</v>
      </c>
      <c r="H100" s="67">
        <f t="shared" si="9"/>
        <v>69510.231851200006</v>
      </c>
      <c r="I100" s="75">
        <f t="shared" si="4"/>
        <v>-586388.81803330046</v>
      </c>
    </row>
    <row r="101" spans="1:9" hidden="1" outlineLevel="1" x14ac:dyDescent="0.2">
      <c r="A101" s="71">
        <f t="shared" si="7"/>
        <v>94</v>
      </c>
      <c r="B101" s="66">
        <f>+B100+30</f>
        <v>41449</v>
      </c>
      <c r="D101" s="67">
        <v>56321.96</v>
      </c>
      <c r="F101" s="77">
        <v>3.2500000000000001E-2</v>
      </c>
      <c r="G101" s="76">
        <f t="shared" si="10"/>
        <v>-1512</v>
      </c>
      <c r="H101" s="67">
        <f t="shared" si="9"/>
        <v>54809.9925</v>
      </c>
      <c r="I101" s="75">
        <f t="shared" si="4"/>
        <v>-531578.82553330041</v>
      </c>
    </row>
    <row r="102" spans="1:9" hidden="1" outlineLevel="1" x14ac:dyDescent="0.2">
      <c r="A102" s="71">
        <f t="shared" si="7"/>
        <v>95</v>
      </c>
      <c r="B102" s="66">
        <f>+B101+31</f>
        <v>41480</v>
      </c>
      <c r="D102" s="67">
        <v>42132.092561199999</v>
      </c>
      <c r="F102" s="77">
        <v>3.2500000000000001E-2</v>
      </c>
      <c r="G102" s="76">
        <f t="shared" si="10"/>
        <v>-1383</v>
      </c>
      <c r="H102" s="67">
        <f t="shared" si="9"/>
        <v>40749.1250612</v>
      </c>
      <c r="I102" s="75">
        <f t="shared" si="4"/>
        <v>-490829.70047210041</v>
      </c>
    </row>
    <row r="103" spans="1:9" hidden="1" outlineLevel="1" x14ac:dyDescent="0.2">
      <c r="A103" s="71">
        <f t="shared" si="7"/>
        <v>96</v>
      </c>
      <c r="B103" s="66">
        <f>+B102+31</f>
        <v>41511</v>
      </c>
      <c r="D103" s="67">
        <v>37154.909626400011</v>
      </c>
      <c r="F103" s="77">
        <v>3.2500000000000001E-2</v>
      </c>
      <c r="G103" s="76">
        <f t="shared" si="10"/>
        <v>-1279</v>
      </c>
      <c r="H103" s="67">
        <f t="shared" si="9"/>
        <v>35875.942126400012</v>
      </c>
      <c r="I103" s="75">
        <f t="shared" si="4"/>
        <v>-454953.75834570039</v>
      </c>
    </row>
    <row r="104" spans="1:9" hidden="1" outlineLevel="1" x14ac:dyDescent="0.2">
      <c r="A104" s="71">
        <f t="shared" si="7"/>
        <v>97</v>
      </c>
      <c r="B104" s="66">
        <f>+B103+30</f>
        <v>41541</v>
      </c>
      <c r="D104" s="67">
        <v>37764.730000000003</v>
      </c>
      <c r="F104" s="77">
        <v>3.2500000000000001E-2</v>
      </c>
      <c r="G104" s="76">
        <f t="shared" si="10"/>
        <v>-1181</v>
      </c>
      <c r="H104" s="67">
        <f t="shared" si="9"/>
        <v>36583.762500000004</v>
      </c>
      <c r="I104" s="75">
        <f t="shared" si="4"/>
        <v>-418369.99584570038</v>
      </c>
    </row>
    <row r="105" spans="1:9" hidden="1" outlineLevel="1" x14ac:dyDescent="0.2">
      <c r="A105" s="71">
        <f t="shared" si="7"/>
        <v>98</v>
      </c>
      <c r="B105" s="66">
        <f>+B104+31</f>
        <v>41572</v>
      </c>
      <c r="D105" s="67">
        <v>67073</v>
      </c>
      <c r="F105" s="77">
        <v>3.2500000000000001E-2</v>
      </c>
      <c r="G105" s="76">
        <f t="shared" si="10"/>
        <v>-1042</v>
      </c>
      <c r="H105" s="67">
        <f t="shared" si="9"/>
        <v>66031.032500000001</v>
      </c>
      <c r="I105" s="75">
        <f t="shared" si="4"/>
        <v>-352338.96334570041</v>
      </c>
    </row>
    <row r="106" spans="1:9" hidden="1" outlineLevel="1" x14ac:dyDescent="0.2">
      <c r="A106" s="71">
        <f t="shared" si="7"/>
        <v>99</v>
      </c>
      <c r="B106" s="66">
        <f>+B105+30</f>
        <v>41602</v>
      </c>
      <c r="C106" s="66" t="s">
        <v>352</v>
      </c>
      <c r="D106" s="67">
        <v>52276.08758159999</v>
      </c>
      <c r="F106" s="77">
        <v>3.2500000000000001E-2</v>
      </c>
      <c r="G106" s="76">
        <f t="shared" si="10"/>
        <v>-883</v>
      </c>
      <c r="H106" s="67">
        <f t="shared" si="9"/>
        <v>51393.120081599991</v>
      </c>
      <c r="I106" s="75">
        <f t="shared" si="4"/>
        <v>-300945.84326410043</v>
      </c>
    </row>
    <row r="107" spans="1:9" hidden="1" outlineLevel="1" x14ac:dyDescent="0.2">
      <c r="A107" s="71">
        <f t="shared" si="7"/>
        <v>100</v>
      </c>
      <c r="B107" s="66">
        <f>+B106</f>
        <v>41602</v>
      </c>
      <c r="C107" s="66" t="s">
        <v>353</v>
      </c>
      <c r="D107" s="67">
        <v>26749.61</v>
      </c>
      <c r="E107" s="67">
        <f>-'151540 WACOG Deferral'!E101-0.46</f>
        <v>-436116.46</v>
      </c>
      <c r="F107" s="77">
        <v>3.2500000000000001E-2</v>
      </c>
      <c r="G107" s="76">
        <f>ROUND((+E107+(D107/2))*F107/12,2)</f>
        <v>-1144.93</v>
      </c>
      <c r="H107" s="67">
        <f t="shared" si="9"/>
        <v>-410511.74750000006</v>
      </c>
      <c r="I107" s="75">
        <f t="shared" si="4"/>
        <v>-711457.59076410043</v>
      </c>
    </row>
    <row r="108" spans="1:9" hidden="1" outlineLevel="1" x14ac:dyDescent="0.2">
      <c r="A108" s="71">
        <f t="shared" si="7"/>
        <v>101</v>
      </c>
      <c r="B108" s="111">
        <f>+B107+31</f>
        <v>41633</v>
      </c>
      <c r="D108" s="67">
        <f>129579.8684628-0.03</f>
        <v>129579.83846280001</v>
      </c>
      <c r="E108" s="67"/>
      <c r="F108" s="77">
        <v>3.2500000000000001E-2</v>
      </c>
      <c r="G108" s="76">
        <f t="shared" ref="G108:G118" si="11">ROUND((+I107+E108+(D108/2))*F108/12,2)</f>
        <v>-1751.39</v>
      </c>
      <c r="H108" s="67">
        <f t="shared" si="9"/>
        <v>127828.48096280001</v>
      </c>
      <c r="I108" s="75">
        <f t="shared" si="4"/>
        <v>-583629.10980130045</v>
      </c>
    </row>
    <row r="109" spans="1:9" hidden="1" outlineLevel="1" x14ac:dyDescent="0.2">
      <c r="A109" s="71">
        <f t="shared" si="7"/>
        <v>102</v>
      </c>
      <c r="B109" s="111">
        <f>+B108+31</f>
        <v>41664</v>
      </c>
      <c r="D109" s="67">
        <f>142308.5504216-0.03</f>
        <v>142308.5204216</v>
      </c>
      <c r="E109" s="67"/>
      <c r="F109" s="77">
        <v>3.2500000000000001E-2</v>
      </c>
      <c r="G109" s="76">
        <f t="shared" si="11"/>
        <v>-1387.95</v>
      </c>
      <c r="H109" s="67">
        <f t="shared" si="9"/>
        <v>140920.60292159999</v>
      </c>
      <c r="I109" s="75">
        <f t="shared" si="4"/>
        <v>-442708.50687970046</v>
      </c>
    </row>
    <row r="110" spans="1:9" hidden="1" outlineLevel="1" x14ac:dyDescent="0.2">
      <c r="A110" s="71">
        <f t="shared" si="7"/>
        <v>103</v>
      </c>
      <c r="B110" s="110">
        <f>+B109+28</f>
        <v>41692</v>
      </c>
      <c r="D110" s="67">
        <f>130841.9299972-0.04</f>
        <v>130841.88999720001</v>
      </c>
      <c r="E110" s="67"/>
      <c r="F110" s="77">
        <v>3.2500000000000001E-2</v>
      </c>
      <c r="G110" s="76">
        <f t="shared" si="11"/>
        <v>-1021.82</v>
      </c>
      <c r="H110" s="67">
        <f t="shared" si="9"/>
        <v>129820.1024972</v>
      </c>
      <c r="I110" s="75">
        <f t="shared" si="4"/>
        <v>-312888.40438250045</v>
      </c>
    </row>
    <row r="111" spans="1:9" hidden="1" outlineLevel="1" x14ac:dyDescent="0.2">
      <c r="A111" s="71">
        <f t="shared" si="7"/>
        <v>104</v>
      </c>
      <c r="B111" s="110">
        <f>+B110+31</f>
        <v>41723</v>
      </c>
      <c r="D111" s="67">
        <f>94393.3777056-0.03</f>
        <v>94393.347705599997</v>
      </c>
      <c r="E111" s="67"/>
      <c r="F111" s="77">
        <v>3.2500000000000001E-2</v>
      </c>
      <c r="G111" s="76">
        <f t="shared" si="11"/>
        <v>-719.58</v>
      </c>
      <c r="H111" s="67">
        <f t="shared" si="9"/>
        <v>93673.800205599997</v>
      </c>
      <c r="I111" s="75">
        <f t="shared" si="4"/>
        <v>-219214.60417690047</v>
      </c>
    </row>
    <row r="112" spans="1:9" hidden="1" outlineLevel="1" x14ac:dyDescent="0.2">
      <c r="A112" s="71">
        <f t="shared" si="7"/>
        <v>105</v>
      </c>
      <c r="B112" s="110">
        <f>+B111+30</f>
        <v>41753</v>
      </c>
      <c r="D112" s="67">
        <f>66360.8266572-0.02</f>
        <v>66360.806657199995</v>
      </c>
      <c r="E112" s="67"/>
      <c r="F112" s="77">
        <v>3.2500000000000001E-2</v>
      </c>
      <c r="G112" s="76">
        <f t="shared" si="11"/>
        <v>-503.84</v>
      </c>
      <c r="H112" s="67">
        <f t="shared" si="9"/>
        <v>65856.9991572</v>
      </c>
      <c r="I112" s="75">
        <f t="shared" si="4"/>
        <v>-153357.60501970048</v>
      </c>
    </row>
    <row r="113" spans="1:11" hidden="1" outlineLevel="1" x14ac:dyDescent="0.2">
      <c r="A113" s="71">
        <f t="shared" si="7"/>
        <v>106</v>
      </c>
      <c r="B113" s="66">
        <f>+B112+31</f>
        <v>41784</v>
      </c>
      <c r="D113" s="67">
        <f>44584.85-0.04</f>
        <v>44584.81</v>
      </c>
      <c r="E113" s="67"/>
      <c r="F113" s="77">
        <v>3.2500000000000001E-2</v>
      </c>
      <c r="G113" s="76">
        <f t="shared" si="11"/>
        <v>-354.97</v>
      </c>
      <c r="H113" s="67">
        <f t="shared" si="9"/>
        <v>44229.872499999998</v>
      </c>
      <c r="I113" s="75">
        <f t="shared" si="4"/>
        <v>-109127.73251970048</v>
      </c>
    </row>
    <row r="114" spans="1:11" hidden="1" outlineLevel="1" x14ac:dyDescent="0.2">
      <c r="A114" s="71">
        <f t="shared" si="7"/>
        <v>107</v>
      </c>
      <c r="B114" s="66">
        <f>+B113+30</f>
        <v>41814</v>
      </c>
      <c r="D114" s="67">
        <f>30396.74-0.03</f>
        <v>30396.710000000003</v>
      </c>
      <c r="E114" s="67"/>
      <c r="F114" s="77">
        <v>3.2500000000000001E-2</v>
      </c>
      <c r="G114" s="76">
        <f t="shared" si="11"/>
        <v>-254.39</v>
      </c>
      <c r="H114" s="67">
        <f t="shared" si="9"/>
        <v>30142.352500000005</v>
      </c>
      <c r="I114" s="75">
        <f t="shared" si="4"/>
        <v>-78985.380019700475</v>
      </c>
    </row>
    <row r="115" spans="1:11" hidden="1" outlineLevel="1" x14ac:dyDescent="0.2">
      <c r="A115" s="71">
        <f t="shared" si="7"/>
        <v>108</v>
      </c>
      <c r="B115" s="66">
        <f>+B114+31</f>
        <v>41845</v>
      </c>
      <c r="D115" s="67">
        <v>26658.299420000007</v>
      </c>
      <c r="E115" s="67"/>
      <c r="F115" s="77">
        <v>3.2500000000000001E-2</v>
      </c>
      <c r="G115" s="76">
        <f t="shared" si="11"/>
        <v>-177.82</v>
      </c>
      <c r="H115" s="67">
        <f t="shared" si="9"/>
        <v>26480.511920000008</v>
      </c>
      <c r="I115" s="75">
        <f t="shared" si="4"/>
        <v>-52504.86809970047</v>
      </c>
    </row>
    <row r="116" spans="1:11" hidden="1" outlineLevel="1" x14ac:dyDescent="0.2">
      <c r="A116" s="71">
        <f t="shared" si="7"/>
        <v>109</v>
      </c>
      <c r="B116" s="66">
        <f>+B115+31</f>
        <v>41876</v>
      </c>
      <c r="D116" s="67">
        <v>21843.74</v>
      </c>
      <c r="E116" s="67"/>
      <c r="F116" s="77">
        <v>3.2500000000000001E-2</v>
      </c>
      <c r="G116" s="76">
        <f t="shared" si="11"/>
        <v>-112.62</v>
      </c>
      <c r="H116" s="67">
        <f t="shared" si="9"/>
        <v>21731.152500000004</v>
      </c>
      <c r="I116" s="75">
        <f t="shared" si="4"/>
        <v>-30773.715599700467</v>
      </c>
    </row>
    <row r="117" spans="1:11" hidden="1" outlineLevel="1" x14ac:dyDescent="0.2">
      <c r="A117" s="71">
        <f t="shared" si="7"/>
        <v>110</v>
      </c>
      <c r="B117" s="66">
        <f>+B116+30</f>
        <v>41906</v>
      </c>
      <c r="D117" s="67">
        <v>22867.861646400001</v>
      </c>
      <c r="E117" s="67"/>
      <c r="F117" s="77">
        <v>3.2500000000000001E-2</v>
      </c>
      <c r="G117" s="76">
        <f t="shared" si="11"/>
        <v>-52.38</v>
      </c>
      <c r="H117" s="67">
        <f t="shared" si="9"/>
        <v>22815.514146400001</v>
      </c>
      <c r="I117" s="75">
        <f t="shared" si="4"/>
        <v>-7958.2014533004658</v>
      </c>
    </row>
    <row r="118" spans="1:11" hidden="1" outlineLevel="1" x14ac:dyDescent="0.2">
      <c r="A118" s="71">
        <f t="shared" si="7"/>
        <v>111</v>
      </c>
      <c r="B118" s="66">
        <f>+B117+31</f>
        <v>41937</v>
      </c>
      <c r="D118" s="67">
        <v>26894.12</v>
      </c>
      <c r="E118" s="67"/>
      <c r="F118" s="77">
        <v>3.2500000000000001E-2</v>
      </c>
      <c r="G118" s="76">
        <f t="shared" si="11"/>
        <v>14.87</v>
      </c>
      <c r="H118" s="67">
        <f t="shared" si="9"/>
        <v>26909.022499999999</v>
      </c>
      <c r="I118" s="75">
        <f t="shared" si="4"/>
        <v>18950.821046699533</v>
      </c>
    </row>
    <row r="119" spans="1:11" hidden="1" outlineLevel="1" x14ac:dyDescent="0.2">
      <c r="A119" s="71">
        <f t="shared" si="7"/>
        <v>112</v>
      </c>
      <c r="B119" s="66">
        <f>+B118+30</f>
        <v>41967</v>
      </c>
      <c r="C119" s="66" t="s">
        <v>352</v>
      </c>
      <c r="D119" s="67">
        <v>25353.35</v>
      </c>
      <c r="F119" s="77">
        <v>3.2500000000000001E-2</v>
      </c>
      <c r="G119" s="76">
        <f>ROUND((+I118+E119+(D119/2))*F119/12,0)</f>
        <v>86</v>
      </c>
      <c r="H119" s="67">
        <f t="shared" ref="H119:H142" si="12">SUM(D119:G119)</f>
        <v>25439.3825</v>
      </c>
      <c r="I119" s="75">
        <f t="shared" si="4"/>
        <v>44390.203546699529</v>
      </c>
    </row>
    <row r="120" spans="1:11" hidden="1" outlineLevel="1" x14ac:dyDescent="0.2">
      <c r="A120" s="71">
        <f t="shared" si="7"/>
        <v>113</v>
      </c>
      <c r="B120" s="66">
        <f>+B119</f>
        <v>41967</v>
      </c>
      <c r="C120" s="66" t="s">
        <v>353</v>
      </c>
      <c r="D120" s="67">
        <v>-108913.00000000001</v>
      </c>
      <c r="E120" s="67">
        <f>-'151540 WACOG Deferral'!E113</f>
        <v>2916751</v>
      </c>
      <c r="F120" s="77">
        <v>3.2500000000000001E-2</v>
      </c>
      <c r="G120" s="76">
        <f>ROUND((+E120+(D120/2))*F120/12,2)</f>
        <v>7752.05</v>
      </c>
      <c r="H120" s="67">
        <f t="shared" si="12"/>
        <v>2815590.0825</v>
      </c>
      <c r="I120" s="75">
        <f t="shared" ref="I120:I183" si="13">+I119+H120</f>
        <v>2859980.2860466996</v>
      </c>
    </row>
    <row r="121" spans="1:11" hidden="1" outlineLevel="1" x14ac:dyDescent="0.2">
      <c r="A121" s="71">
        <f t="shared" si="7"/>
        <v>114</v>
      </c>
      <c r="B121" s="66">
        <f>+B120+31</f>
        <v>41998</v>
      </c>
      <c r="D121" s="67">
        <v>-414581.94244360004</v>
      </c>
      <c r="E121" s="67"/>
      <c r="F121" s="77">
        <v>3.2500000000000001E-2</v>
      </c>
      <c r="G121" s="76">
        <f t="shared" ref="G121:G129" si="14">ROUND((+I120+E121+(D121/2))*F121/12,0)</f>
        <v>7184</v>
      </c>
      <c r="H121" s="67">
        <f t="shared" si="12"/>
        <v>-407397.90994360007</v>
      </c>
      <c r="I121" s="75">
        <f t="shared" si="13"/>
        <v>2452582.3761030994</v>
      </c>
    </row>
    <row r="122" spans="1:11" hidden="1" outlineLevel="1" x14ac:dyDescent="0.2">
      <c r="A122" s="71">
        <f t="shared" si="7"/>
        <v>115</v>
      </c>
      <c r="B122" s="66">
        <f>+B121+31</f>
        <v>42029</v>
      </c>
      <c r="D122" s="67">
        <v>-452896.97086599993</v>
      </c>
      <c r="E122" s="67"/>
      <c r="F122" s="77">
        <v>3.2500000000000001E-2</v>
      </c>
      <c r="G122" s="76">
        <f t="shared" si="14"/>
        <v>6029</v>
      </c>
      <c r="H122" s="67">
        <f t="shared" si="12"/>
        <v>-446867.93836599996</v>
      </c>
      <c r="I122" s="75">
        <f t="shared" si="13"/>
        <v>2005714.4377370994</v>
      </c>
    </row>
    <row r="123" spans="1:11" hidden="1" outlineLevel="1" x14ac:dyDescent="0.2">
      <c r="A123" s="71">
        <f t="shared" si="7"/>
        <v>116</v>
      </c>
      <c r="B123" s="66">
        <f>+B122+28</f>
        <v>42057</v>
      </c>
      <c r="D123" s="67">
        <v>-336241.31661720015</v>
      </c>
      <c r="E123" s="67"/>
      <c r="F123" s="77">
        <v>3.2500000000000001E-2</v>
      </c>
      <c r="G123" s="101">
        <f t="shared" si="14"/>
        <v>4977</v>
      </c>
      <c r="H123" s="67">
        <f t="shared" si="12"/>
        <v>-331264.28411720018</v>
      </c>
      <c r="I123" s="109">
        <f t="shared" si="13"/>
        <v>1674450.1536198992</v>
      </c>
    </row>
    <row r="124" spans="1:11" hidden="1" outlineLevel="1" x14ac:dyDescent="0.2">
      <c r="A124" s="71">
        <f t="shared" si="7"/>
        <v>117</v>
      </c>
      <c r="B124" s="66">
        <f>+B123+31</f>
        <v>42088</v>
      </c>
      <c r="D124" s="67">
        <v>-268160.42747080006</v>
      </c>
      <c r="E124" s="67"/>
      <c r="F124" s="77">
        <v>3.2500000000000001E-2</v>
      </c>
      <c r="G124" s="101">
        <f t="shared" si="14"/>
        <v>4172</v>
      </c>
      <c r="H124" s="67">
        <f t="shared" si="12"/>
        <v>-263988.39497080009</v>
      </c>
      <c r="I124" s="109">
        <f t="shared" si="13"/>
        <v>1410461.7586490992</v>
      </c>
    </row>
    <row r="125" spans="1:11" hidden="1" outlineLevel="1" x14ac:dyDescent="0.2">
      <c r="A125" s="71">
        <f t="shared" si="7"/>
        <v>118</v>
      </c>
      <c r="B125" s="66">
        <f>+B124+30</f>
        <v>42118</v>
      </c>
      <c r="D125" s="67">
        <v>-219645.01164960003</v>
      </c>
      <c r="E125" s="67"/>
      <c r="F125" s="77">
        <v>3.2500000000000001E-2</v>
      </c>
      <c r="G125" s="101">
        <f t="shared" si="14"/>
        <v>3523</v>
      </c>
      <c r="H125" s="67">
        <f t="shared" si="12"/>
        <v>-216121.97914960003</v>
      </c>
      <c r="I125" s="109">
        <f t="shared" si="13"/>
        <v>1194339.7794994991</v>
      </c>
    </row>
    <row r="126" spans="1:11" hidden="1" outlineLevel="1" x14ac:dyDescent="0.2">
      <c r="A126" s="71">
        <f t="shared" si="7"/>
        <v>119</v>
      </c>
      <c r="B126" s="66">
        <f>+B125+31</f>
        <v>42149</v>
      </c>
      <c r="D126" s="67">
        <v>-164676.90774120003</v>
      </c>
      <c r="E126" s="67"/>
      <c r="F126" s="77">
        <v>3.2500000000000001E-2</v>
      </c>
      <c r="G126" s="101">
        <f t="shared" si="14"/>
        <v>3012</v>
      </c>
      <c r="H126" s="67">
        <f t="shared" si="12"/>
        <v>-161664.87524120003</v>
      </c>
      <c r="I126" s="109">
        <f t="shared" si="13"/>
        <v>1032674.9042582992</v>
      </c>
    </row>
    <row r="127" spans="1:11" hidden="1" outlineLevel="1" x14ac:dyDescent="0.2">
      <c r="A127" s="71">
        <f t="shared" si="7"/>
        <v>120</v>
      </c>
      <c r="B127" s="66">
        <f>+B126+30</f>
        <v>42179</v>
      </c>
      <c r="D127" s="67">
        <v>-113282.45226959998</v>
      </c>
      <c r="E127" s="67"/>
      <c r="F127" s="77">
        <v>3.2500000000000001E-2</v>
      </c>
      <c r="G127" s="101">
        <f t="shared" si="14"/>
        <v>2643</v>
      </c>
      <c r="H127" s="67">
        <f t="shared" si="12"/>
        <v>-110639.41976959998</v>
      </c>
      <c r="I127" s="109">
        <f t="shared" si="13"/>
        <v>922035.48448869912</v>
      </c>
    </row>
    <row r="128" spans="1:11" hidden="1" outlineLevel="1" x14ac:dyDescent="0.2">
      <c r="A128" s="71">
        <f t="shared" si="7"/>
        <v>121</v>
      </c>
      <c r="B128" s="66">
        <f>+B127+31</f>
        <v>42210</v>
      </c>
      <c r="D128" s="67">
        <v>-85339.087638000012</v>
      </c>
      <c r="E128" s="67"/>
      <c r="F128" s="77">
        <v>3.2500000000000001E-2</v>
      </c>
      <c r="G128" s="101">
        <f t="shared" si="14"/>
        <v>2382</v>
      </c>
      <c r="H128" s="67">
        <f t="shared" si="12"/>
        <v>-82957.055138000011</v>
      </c>
      <c r="I128" s="109">
        <f t="shared" si="13"/>
        <v>839078.42935069907</v>
      </c>
      <c r="K128" s="78"/>
    </row>
    <row r="129" spans="1:9" hidden="1" outlineLevel="1" x14ac:dyDescent="0.2">
      <c r="A129" s="71">
        <f t="shared" si="7"/>
        <v>122</v>
      </c>
      <c r="B129" s="66">
        <f>+B128+31</f>
        <v>42241</v>
      </c>
      <c r="D129" s="67">
        <v>-80926.740000000005</v>
      </c>
      <c r="E129" s="67">
        <v>-1.54</v>
      </c>
      <c r="F129" s="77">
        <v>3.2500000000000001E-2</v>
      </c>
      <c r="G129" s="101">
        <f t="shared" si="14"/>
        <v>2163</v>
      </c>
      <c r="H129" s="67">
        <f t="shared" si="12"/>
        <v>-78765.247499999998</v>
      </c>
      <c r="I129" s="109">
        <f t="shared" si="13"/>
        <v>760313.18185069901</v>
      </c>
    </row>
    <row r="130" spans="1:9" hidden="1" outlineLevel="1" x14ac:dyDescent="0.2">
      <c r="A130" s="71">
        <f t="shared" si="7"/>
        <v>123</v>
      </c>
      <c r="B130" s="66">
        <f>+B129+30</f>
        <v>42271</v>
      </c>
      <c r="C130" s="89"/>
      <c r="D130" s="67">
        <v>-93315.46</v>
      </c>
      <c r="E130" s="67"/>
      <c r="F130" s="77">
        <v>3.2500000000000001E-2</v>
      </c>
      <c r="G130" s="101">
        <f>ROUND((+I129+E130+(D130/2))*F130/12,2)</f>
        <v>1932.82</v>
      </c>
      <c r="H130" s="67">
        <f t="shared" si="12"/>
        <v>-91382.607499999998</v>
      </c>
      <c r="I130" s="109">
        <f t="shared" si="13"/>
        <v>668930.57435069897</v>
      </c>
    </row>
    <row r="131" spans="1:9" hidden="1" outlineLevel="1" x14ac:dyDescent="0.2">
      <c r="A131" s="71">
        <f t="shared" si="7"/>
        <v>124</v>
      </c>
      <c r="B131" s="66">
        <f>+B130+31</f>
        <v>42302</v>
      </c>
      <c r="C131" s="89"/>
      <c r="D131" s="67">
        <v>-110871.54</v>
      </c>
      <c r="E131" s="67"/>
      <c r="F131" s="77">
        <v>3.2500000000000001E-2</v>
      </c>
      <c r="G131" s="101">
        <f>ROUND((+I130+E131+(D131/2))*F131/12,2)</f>
        <v>1661.55</v>
      </c>
      <c r="H131" s="67">
        <f t="shared" si="12"/>
        <v>-109209.95749999999</v>
      </c>
      <c r="I131" s="109">
        <f t="shared" si="13"/>
        <v>559720.61685069895</v>
      </c>
    </row>
    <row r="132" spans="1:9" hidden="1" outlineLevel="1" x14ac:dyDescent="0.2">
      <c r="A132" s="71">
        <f t="shared" si="7"/>
        <v>125</v>
      </c>
      <c r="B132" s="66">
        <f>+B131+30</f>
        <v>42332</v>
      </c>
      <c r="C132" s="66" t="s">
        <v>352</v>
      </c>
      <c r="D132" s="67">
        <v>-92886.01</v>
      </c>
      <c r="E132" s="85"/>
      <c r="F132" s="77">
        <v>3.2500000000000001E-2</v>
      </c>
      <c r="G132" s="76">
        <f>ROUND((+I131+E132+(D132/2))*F132/12,0)</f>
        <v>1390</v>
      </c>
      <c r="H132" s="67">
        <f t="shared" si="12"/>
        <v>-91495.977499999994</v>
      </c>
      <c r="I132" s="75">
        <f t="shared" si="13"/>
        <v>468224.63935069897</v>
      </c>
    </row>
    <row r="133" spans="1:9" hidden="1" outlineLevel="1" x14ac:dyDescent="0.2">
      <c r="A133" s="71">
        <f t="shared" si="7"/>
        <v>126</v>
      </c>
      <c r="B133" s="66">
        <f>+B132</f>
        <v>42332</v>
      </c>
      <c r="C133" s="66" t="s">
        <v>350</v>
      </c>
      <c r="D133" s="67">
        <v>86255.75</v>
      </c>
      <c r="E133" s="85">
        <v>-3087447</v>
      </c>
      <c r="F133" s="77">
        <v>3.2500000000000001E-2</v>
      </c>
      <c r="G133" s="76">
        <f>ROUND((+E133+(D133/2))*F133/12,2)</f>
        <v>-8245.0300000000007</v>
      </c>
      <c r="H133" s="67">
        <f t="shared" si="12"/>
        <v>-3009436.2474999996</v>
      </c>
      <c r="I133" s="75">
        <f t="shared" si="13"/>
        <v>-2541211.6081493008</v>
      </c>
    </row>
    <row r="134" spans="1:9" hidden="1" outlineLevel="1" x14ac:dyDescent="0.2">
      <c r="A134" s="71">
        <f t="shared" si="7"/>
        <v>127</v>
      </c>
      <c r="B134" s="66">
        <f>B132+31</f>
        <v>42363</v>
      </c>
      <c r="C134" s="89"/>
      <c r="D134" s="67">
        <v>395126.01</v>
      </c>
      <c r="E134" s="67"/>
      <c r="F134" s="77">
        <v>3.2500000000000001E-2</v>
      </c>
      <c r="G134" s="76">
        <f>ROUND((+I133+E134+(D134/2))*F134/12,0)</f>
        <v>-6347</v>
      </c>
      <c r="H134" s="67">
        <f t="shared" si="12"/>
        <v>388779.04249999998</v>
      </c>
      <c r="I134" s="75">
        <f t="shared" si="13"/>
        <v>-2152432.5656493008</v>
      </c>
    </row>
    <row r="135" spans="1:9" hidden="1" outlineLevel="1" x14ac:dyDescent="0.2">
      <c r="A135" s="71">
        <f t="shared" si="7"/>
        <v>128</v>
      </c>
      <c r="B135" s="66">
        <f>B134+31</f>
        <v>42394</v>
      </c>
      <c r="C135" s="89"/>
      <c r="D135" s="67">
        <v>473725.83</v>
      </c>
      <c r="E135" s="67"/>
      <c r="F135" s="77">
        <v>3.2500000000000001E-2</v>
      </c>
      <c r="G135" s="101">
        <f t="shared" ref="G135:G145" si="15">ROUND((+I134+E135+(D135/2))*F135/12,2)</f>
        <v>-5188</v>
      </c>
      <c r="H135" s="67">
        <f t="shared" si="12"/>
        <v>468537.86249999999</v>
      </c>
      <c r="I135" s="109">
        <f t="shared" si="13"/>
        <v>-1683894.7031493008</v>
      </c>
    </row>
    <row r="136" spans="1:9" hidden="1" outlineLevel="1" x14ac:dyDescent="0.2">
      <c r="A136" s="71">
        <f t="shared" si="7"/>
        <v>129</v>
      </c>
      <c r="B136" s="66">
        <f>B135+29</f>
        <v>42423</v>
      </c>
      <c r="C136" s="89"/>
      <c r="D136" s="67">
        <v>316534.03000000003</v>
      </c>
      <c r="E136" s="67"/>
      <c r="F136" s="77">
        <v>3.2500000000000001E-2</v>
      </c>
      <c r="G136" s="101">
        <f t="shared" si="15"/>
        <v>-4131.91</v>
      </c>
      <c r="H136" s="67">
        <f t="shared" si="12"/>
        <v>312402.15250000003</v>
      </c>
      <c r="I136" s="109">
        <f t="shared" si="13"/>
        <v>-1371492.5506493007</v>
      </c>
    </row>
    <row r="137" spans="1:9" hidden="1" outlineLevel="1" x14ac:dyDescent="0.2">
      <c r="A137" s="71">
        <f t="shared" ref="A137:A200" si="16">+A136+1</f>
        <v>130</v>
      </c>
      <c r="B137" s="66">
        <f>B136+31</f>
        <v>42454</v>
      </c>
      <c r="C137" s="89"/>
      <c r="D137" s="67">
        <v>270616.67</v>
      </c>
      <c r="E137" s="67"/>
      <c r="F137" s="77">
        <v>3.2500000000000001E-2</v>
      </c>
      <c r="G137" s="101">
        <f t="shared" si="15"/>
        <v>-3348</v>
      </c>
      <c r="H137" s="67">
        <f t="shared" si="12"/>
        <v>267268.70249999996</v>
      </c>
      <c r="I137" s="109">
        <f t="shared" si="13"/>
        <v>-1104223.8481493008</v>
      </c>
    </row>
    <row r="138" spans="1:9" hidden="1" outlineLevel="1" x14ac:dyDescent="0.2">
      <c r="A138" s="71">
        <f t="shared" si="16"/>
        <v>131</v>
      </c>
      <c r="B138" s="66">
        <f>B137+30</f>
        <v>42484</v>
      </c>
      <c r="C138" s="89"/>
      <c r="D138" s="67">
        <v>200192.1</v>
      </c>
      <c r="E138" s="67"/>
      <c r="F138" s="77">
        <v>3.4599999999999999E-2</v>
      </c>
      <c r="G138" s="101">
        <f t="shared" si="15"/>
        <v>-2895.24</v>
      </c>
      <c r="H138" s="67">
        <f t="shared" si="12"/>
        <v>197296.89460000003</v>
      </c>
      <c r="I138" s="109">
        <f t="shared" si="13"/>
        <v>-906926.95354930079</v>
      </c>
    </row>
    <row r="139" spans="1:9" hidden="1" outlineLevel="1" x14ac:dyDescent="0.2">
      <c r="A139" s="71">
        <f t="shared" si="16"/>
        <v>132</v>
      </c>
      <c r="B139" s="66">
        <f>B138+31</f>
        <v>42515</v>
      </c>
      <c r="C139" s="89"/>
      <c r="D139" s="67">
        <v>125112</v>
      </c>
      <c r="E139" s="67">
        <v>-0.3</v>
      </c>
      <c r="F139" s="77">
        <v>3.4599999999999999E-2</v>
      </c>
      <c r="G139" s="101">
        <f t="shared" si="15"/>
        <v>-2434.6</v>
      </c>
      <c r="H139" s="67">
        <f t="shared" si="12"/>
        <v>122677.13459999999</v>
      </c>
      <c r="I139" s="109">
        <f t="shared" si="13"/>
        <v>-784249.8189493008</v>
      </c>
    </row>
    <row r="140" spans="1:9" hidden="1" outlineLevel="1" x14ac:dyDescent="0.2">
      <c r="A140" s="71">
        <f t="shared" si="16"/>
        <v>133</v>
      </c>
      <c r="B140" s="66">
        <f>B139+30</f>
        <v>42545</v>
      </c>
      <c r="C140" s="87">
        <v>2</v>
      </c>
      <c r="D140" s="67">
        <v>2644118.4</v>
      </c>
      <c r="E140" s="67">
        <v>-2611790</v>
      </c>
      <c r="F140" s="77">
        <v>3.4599999999999999E-2</v>
      </c>
      <c r="G140" s="101">
        <f t="shared" si="15"/>
        <v>-5979.98</v>
      </c>
      <c r="H140" s="67">
        <f t="shared" si="12"/>
        <v>26348.454599999906</v>
      </c>
      <c r="I140" s="109">
        <f t="shared" si="13"/>
        <v>-757901.36434930086</v>
      </c>
    </row>
    <row r="141" spans="1:9" hidden="1" outlineLevel="1" x14ac:dyDescent="0.2">
      <c r="A141" s="71">
        <f t="shared" si="16"/>
        <v>134</v>
      </c>
      <c r="B141" s="66">
        <f>B140+31</f>
        <v>42576</v>
      </c>
      <c r="C141" s="89"/>
      <c r="D141" s="67">
        <v>143291.51999999999</v>
      </c>
      <c r="E141" s="67"/>
      <c r="F141" s="77">
        <v>3.5000000000000003E-2</v>
      </c>
      <c r="G141" s="101">
        <f t="shared" si="15"/>
        <v>-2001.58</v>
      </c>
      <c r="H141" s="67">
        <f t="shared" si="12"/>
        <v>141289.97500000001</v>
      </c>
      <c r="I141" s="109">
        <f t="shared" si="13"/>
        <v>-616611.38934930088</v>
      </c>
    </row>
    <row r="142" spans="1:9" hidden="1" outlineLevel="1" x14ac:dyDescent="0.2">
      <c r="A142" s="71">
        <f t="shared" si="16"/>
        <v>135</v>
      </c>
      <c r="B142" s="66">
        <f>B141+31</f>
        <v>42607</v>
      </c>
      <c r="C142" s="89"/>
      <c r="D142" s="67">
        <v>76947.12</v>
      </c>
      <c r="E142" s="67"/>
      <c r="F142" s="77">
        <v>3.5000000000000003E-2</v>
      </c>
      <c r="G142" s="101">
        <f t="shared" si="15"/>
        <v>-1686.24</v>
      </c>
      <c r="H142" s="67">
        <f t="shared" si="12"/>
        <v>75260.914999999994</v>
      </c>
      <c r="I142" s="109">
        <f t="shared" si="13"/>
        <v>-541350.47434930084</v>
      </c>
    </row>
    <row r="143" spans="1:9" hidden="1" outlineLevel="1" x14ac:dyDescent="0.2">
      <c r="A143" s="71">
        <f t="shared" si="16"/>
        <v>136</v>
      </c>
      <c r="B143" s="66">
        <f>B142+30</f>
        <v>42637</v>
      </c>
      <c r="C143" s="89"/>
      <c r="D143" s="106">
        <v>83763.6415232</v>
      </c>
      <c r="E143" s="85"/>
      <c r="F143" s="104">
        <v>3.5000000000000003E-2</v>
      </c>
      <c r="G143" s="103">
        <f t="shared" si="15"/>
        <v>-1456.78</v>
      </c>
      <c r="H143" s="102">
        <f t="shared" ref="H143:H174" si="17">D143+E143+G143</f>
        <v>82306.861523200001</v>
      </c>
      <c r="I143" s="99">
        <f t="shared" si="13"/>
        <v>-459043.61282610084</v>
      </c>
    </row>
    <row r="144" spans="1:9" hidden="1" outlineLevel="1" x14ac:dyDescent="0.2">
      <c r="A144" s="71">
        <f t="shared" si="16"/>
        <v>137</v>
      </c>
      <c r="B144" s="66">
        <f>B143+31</f>
        <v>42668</v>
      </c>
      <c r="C144" s="89"/>
      <c r="D144" s="106">
        <v>119384.2138612</v>
      </c>
      <c r="E144" s="85"/>
      <c r="F144" s="104">
        <v>3.5000000000000003E-2</v>
      </c>
      <c r="G144" s="103">
        <f t="shared" si="15"/>
        <v>-1164.78</v>
      </c>
      <c r="H144" s="102">
        <f t="shared" si="17"/>
        <v>118219.4338612</v>
      </c>
      <c r="I144" s="99">
        <f t="shared" si="13"/>
        <v>-340824.17896490084</v>
      </c>
    </row>
    <row r="145" spans="1:9" hidden="1" outlineLevel="1" x14ac:dyDescent="0.2">
      <c r="A145" s="71">
        <f t="shared" si="16"/>
        <v>138</v>
      </c>
      <c r="B145" s="82">
        <f>B144+30</f>
        <v>42698</v>
      </c>
      <c r="C145" s="108" t="s">
        <v>351</v>
      </c>
      <c r="D145" s="106">
        <v>99870.190000000017</v>
      </c>
      <c r="E145" s="108"/>
      <c r="F145" s="104">
        <v>3.5000000000000003E-2</v>
      </c>
      <c r="G145" s="103">
        <f t="shared" si="15"/>
        <v>-848.43</v>
      </c>
      <c r="H145" s="102">
        <f t="shared" si="17"/>
        <v>99021.760000000024</v>
      </c>
      <c r="I145" s="99">
        <f t="shared" si="13"/>
        <v>-241802.41896490083</v>
      </c>
    </row>
    <row r="146" spans="1:9" hidden="1" outlineLevel="1" x14ac:dyDescent="0.2">
      <c r="A146" s="71">
        <f t="shared" si="16"/>
        <v>139</v>
      </c>
      <c r="B146" s="82">
        <f>B145</f>
        <v>42698</v>
      </c>
      <c r="C146" s="66" t="s">
        <v>350</v>
      </c>
      <c r="D146" s="106">
        <v>42457.31</v>
      </c>
      <c r="E146" s="85">
        <v>-1161213.3799999999</v>
      </c>
      <c r="F146" s="104">
        <v>3.5000000000000003E-2</v>
      </c>
      <c r="G146" s="103">
        <f>ROUND((+E146+(D146/2))*F146/12,2)</f>
        <v>-3324.96</v>
      </c>
      <c r="H146" s="102">
        <f t="shared" si="17"/>
        <v>-1122081.0299999998</v>
      </c>
      <c r="I146" s="99">
        <f t="shared" si="13"/>
        <v>-1363883.4489649006</v>
      </c>
    </row>
    <row r="147" spans="1:9" hidden="1" outlineLevel="1" x14ac:dyDescent="0.2">
      <c r="A147" s="71">
        <f t="shared" si="16"/>
        <v>140</v>
      </c>
      <c r="B147" s="82">
        <f t="shared" ref="B147:B157" si="18">B146+31</f>
        <v>42729</v>
      </c>
      <c r="C147" s="108"/>
      <c r="D147" s="106">
        <v>205724.76</v>
      </c>
      <c r="E147" s="85"/>
      <c r="F147" s="104">
        <v>3.5000000000000003E-2</v>
      </c>
      <c r="G147" s="103">
        <f t="shared" ref="G147:G158" si="19">ROUND((+I146+E147+(D147/2))*F147/12,2)</f>
        <v>-3677.98</v>
      </c>
      <c r="H147" s="102">
        <f t="shared" si="17"/>
        <v>202046.78</v>
      </c>
      <c r="I147" s="99">
        <f t="shared" si="13"/>
        <v>-1161836.6689649005</v>
      </c>
    </row>
    <row r="148" spans="1:9" hidden="1" outlineLevel="1" x14ac:dyDescent="0.2">
      <c r="A148" s="71">
        <f t="shared" si="16"/>
        <v>141</v>
      </c>
      <c r="B148" s="82">
        <f t="shared" si="18"/>
        <v>42760</v>
      </c>
      <c r="C148" s="108"/>
      <c r="D148" s="106">
        <v>353480.54999999987</v>
      </c>
      <c r="E148" s="85"/>
      <c r="F148" s="104">
        <v>3.5000000000000003E-2</v>
      </c>
      <c r="G148" s="103">
        <f t="shared" si="19"/>
        <v>-2873.2</v>
      </c>
      <c r="H148" s="102">
        <f t="shared" si="17"/>
        <v>350607.34999999986</v>
      </c>
      <c r="I148" s="99">
        <f t="shared" si="13"/>
        <v>-811229.31896490068</v>
      </c>
    </row>
    <row r="149" spans="1:9" hidden="1" outlineLevel="1" x14ac:dyDescent="0.2">
      <c r="A149" s="71">
        <f t="shared" si="16"/>
        <v>142</v>
      </c>
      <c r="B149" s="82">
        <f t="shared" si="18"/>
        <v>42791</v>
      </c>
      <c r="C149" s="108"/>
      <c r="D149" s="106">
        <v>265746.88000000006</v>
      </c>
      <c r="E149" s="85"/>
      <c r="F149" s="104">
        <v>3.5000000000000003E-2</v>
      </c>
      <c r="G149" s="103">
        <f t="shared" si="19"/>
        <v>-1978.54</v>
      </c>
      <c r="H149" s="102">
        <f t="shared" si="17"/>
        <v>263768.34000000008</v>
      </c>
      <c r="I149" s="99">
        <f t="shared" si="13"/>
        <v>-547460.9789649006</v>
      </c>
    </row>
    <row r="150" spans="1:9" hidden="1" outlineLevel="1" x14ac:dyDescent="0.2">
      <c r="A150" s="71">
        <f t="shared" si="16"/>
        <v>143</v>
      </c>
      <c r="B150" s="82">
        <f t="shared" si="18"/>
        <v>42822</v>
      </c>
      <c r="C150" s="108"/>
      <c r="D150" s="106">
        <v>207355.01</v>
      </c>
      <c r="E150" s="85"/>
      <c r="F150" s="104">
        <v>3.5000000000000003E-2</v>
      </c>
      <c r="G150" s="103">
        <f t="shared" si="19"/>
        <v>-1294.3699999999999</v>
      </c>
      <c r="H150" s="102">
        <f t="shared" si="17"/>
        <v>206060.64</v>
      </c>
      <c r="I150" s="99">
        <f t="shared" si="13"/>
        <v>-341400.33896490058</v>
      </c>
    </row>
    <row r="151" spans="1:9" hidden="1" outlineLevel="1" x14ac:dyDescent="0.2">
      <c r="A151" s="71">
        <f t="shared" si="16"/>
        <v>144</v>
      </c>
      <c r="B151" s="82">
        <f t="shared" si="18"/>
        <v>42853</v>
      </c>
      <c r="C151" s="108"/>
      <c r="D151" s="106">
        <v>149129.61999999997</v>
      </c>
      <c r="E151" s="85"/>
      <c r="F151" s="104">
        <v>3.7100000000000001E-2</v>
      </c>
      <c r="G151" s="103">
        <f t="shared" si="19"/>
        <v>-824.97</v>
      </c>
      <c r="H151" s="102">
        <f t="shared" si="17"/>
        <v>148304.64999999997</v>
      </c>
      <c r="I151" s="99">
        <f t="shared" si="13"/>
        <v>-193095.68896490062</v>
      </c>
    </row>
    <row r="152" spans="1:9" hidden="1" outlineLevel="1" x14ac:dyDescent="0.2">
      <c r="A152" s="71">
        <f t="shared" si="16"/>
        <v>145</v>
      </c>
      <c r="B152" s="82">
        <f t="shared" si="18"/>
        <v>42884</v>
      </c>
      <c r="C152" s="108"/>
      <c r="D152" s="106">
        <v>107467.04000000001</v>
      </c>
      <c r="E152" s="85"/>
      <c r="F152" s="104">
        <v>3.7100000000000001E-2</v>
      </c>
      <c r="G152" s="103">
        <f t="shared" si="19"/>
        <v>-430.86</v>
      </c>
      <c r="H152" s="102">
        <f t="shared" si="17"/>
        <v>107036.18000000001</v>
      </c>
      <c r="I152" s="99">
        <f t="shared" si="13"/>
        <v>-86059.508964900611</v>
      </c>
    </row>
    <row r="153" spans="1:9" hidden="1" outlineLevel="1" x14ac:dyDescent="0.2">
      <c r="A153" s="71">
        <f t="shared" si="16"/>
        <v>146</v>
      </c>
      <c r="B153" s="82">
        <f t="shared" si="18"/>
        <v>42915</v>
      </c>
      <c r="C153" s="108"/>
      <c r="D153" s="106">
        <v>66793.119999999995</v>
      </c>
      <c r="E153" s="85"/>
      <c r="F153" s="104">
        <v>3.7100000000000001E-2</v>
      </c>
      <c r="G153" s="103">
        <f t="shared" si="19"/>
        <v>-162.82</v>
      </c>
      <c r="H153" s="102">
        <f t="shared" si="17"/>
        <v>66630.299999999988</v>
      </c>
      <c r="I153" s="99">
        <f t="shared" si="13"/>
        <v>-19429.208964900623</v>
      </c>
    </row>
    <row r="154" spans="1:9" hidden="1" outlineLevel="1" x14ac:dyDescent="0.2">
      <c r="A154" s="71">
        <f t="shared" si="16"/>
        <v>147</v>
      </c>
      <c r="B154" s="82">
        <f t="shared" si="18"/>
        <v>42946</v>
      </c>
      <c r="C154" s="108"/>
      <c r="D154" s="106">
        <v>50289.820000000014</v>
      </c>
      <c r="E154" s="85"/>
      <c r="F154" s="104">
        <v>3.9600000000000003E-2</v>
      </c>
      <c r="G154" s="103">
        <f t="shared" si="19"/>
        <v>18.86</v>
      </c>
      <c r="H154" s="102">
        <f t="shared" si="17"/>
        <v>50308.680000000015</v>
      </c>
      <c r="I154" s="99">
        <f t="shared" si="13"/>
        <v>30879.471035099392</v>
      </c>
    </row>
    <row r="155" spans="1:9" hidden="1" outlineLevel="1" x14ac:dyDescent="0.2">
      <c r="A155" s="71">
        <f t="shared" si="16"/>
        <v>148</v>
      </c>
      <c r="B155" s="82">
        <f t="shared" si="18"/>
        <v>42977</v>
      </c>
      <c r="C155" s="108"/>
      <c r="D155" s="106">
        <v>42364.98000000001</v>
      </c>
      <c r="E155" s="85"/>
      <c r="F155" s="104">
        <v>3.9600000000000003E-2</v>
      </c>
      <c r="G155" s="103">
        <f t="shared" si="19"/>
        <v>171.8</v>
      </c>
      <c r="H155" s="102">
        <f t="shared" si="17"/>
        <v>42536.780000000013</v>
      </c>
      <c r="I155" s="99">
        <f t="shared" si="13"/>
        <v>73416.251035099413</v>
      </c>
    </row>
    <row r="156" spans="1:9" hidden="1" outlineLevel="1" x14ac:dyDescent="0.2">
      <c r="A156" s="71">
        <f t="shared" si="16"/>
        <v>149</v>
      </c>
      <c r="B156" s="82">
        <f t="shared" si="18"/>
        <v>43008</v>
      </c>
      <c r="C156" s="108"/>
      <c r="D156" s="106">
        <v>45018.709999999992</v>
      </c>
      <c r="E156" s="85"/>
      <c r="F156" s="104">
        <v>3.9600000000000003E-2</v>
      </c>
      <c r="G156" s="103">
        <f t="shared" si="19"/>
        <v>316.55</v>
      </c>
      <c r="H156" s="102">
        <f t="shared" si="17"/>
        <v>45335.259999999995</v>
      </c>
      <c r="I156" s="99">
        <f t="shared" si="13"/>
        <v>118751.51103509941</v>
      </c>
    </row>
    <row r="157" spans="1:9" hidden="1" outlineLevel="1" x14ac:dyDescent="0.2">
      <c r="A157" s="71">
        <f t="shared" si="16"/>
        <v>150</v>
      </c>
      <c r="B157" s="82">
        <f t="shared" si="18"/>
        <v>43039</v>
      </c>
      <c r="C157" s="108"/>
      <c r="D157" s="106">
        <v>72619.959999999977</v>
      </c>
      <c r="E157" s="85"/>
      <c r="F157" s="104">
        <v>4.2099999999999999E-2</v>
      </c>
      <c r="G157" s="103">
        <f t="shared" si="19"/>
        <v>544.01</v>
      </c>
      <c r="H157" s="102">
        <f t="shared" si="17"/>
        <v>73163.969999999972</v>
      </c>
      <c r="I157" s="99">
        <f t="shared" si="13"/>
        <v>191915.48103509936</v>
      </c>
    </row>
    <row r="158" spans="1:9" hidden="1" outlineLevel="1" x14ac:dyDescent="0.2">
      <c r="A158" s="71">
        <f t="shared" si="16"/>
        <v>151</v>
      </c>
      <c r="B158" s="82">
        <f>B157+30</f>
        <v>43069</v>
      </c>
      <c r="C158" s="108" t="s">
        <v>351</v>
      </c>
      <c r="D158" s="106">
        <v>76080.929999999993</v>
      </c>
      <c r="E158" s="85"/>
      <c r="F158" s="104">
        <v>4.2099999999999999E-2</v>
      </c>
      <c r="G158" s="103">
        <f t="shared" si="19"/>
        <v>806.76</v>
      </c>
      <c r="H158" s="102">
        <f t="shared" si="17"/>
        <v>76887.689999999988</v>
      </c>
      <c r="I158" s="99">
        <f t="shared" si="13"/>
        <v>268803.17103509937</v>
      </c>
    </row>
    <row r="159" spans="1:9" hidden="1" outlineLevel="1" x14ac:dyDescent="0.2">
      <c r="A159" s="71">
        <f t="shared" si="16"/>
        <v>152</v>
      </c>
      <c r="B159" s="82">
        <v>43069</v>
      </c>
      <c r="C159" s="66" t="s">
        <v>350</v>
      </c>
      <c r="D159" s="106">
        <v>10226.259999999998</v>
      </c>
      <c r="E159" s="85">
        <v>-502484.6</v>
      </c>
      <c r="F159" s="104">
        <v>4.2099999999999999E-2</v>
      </c>
      <c r="G159" s="103">
        <f>ROUND((+E159+(D159/2))*F159/12,2)</f>
        <v>-1744.94</v>
      </c>
      <c r="H159" s="102">
        <f t="shared" si="17"/>
        <v>-494003.27999999997</v>
      </c>
      <c r="I159" s="99">
        <f t="shared" si="13"/>
        <v>-225200.1089649006</v>
      </c>
    </row>
    <row r="160" spans="1:9" hidden="1" outlineLevel="1" x14ac:dyDescent="0.2">
      <c r="A160" s="71">
        <f t="shared" si="16"/>
        <v>153</v>
      </c>
      <c r="B160" s="82">
        <f>B158+31</f>
        <v>43100</v>
      </c>
      <c r="C160" s="108"/>
      <c r="D160" s="106">
        <v>39613.340000000004</v>
      </c>
      <c r="E160" s="85"/>
      <c r="F160" s="104">
        <v>4.2099999999999999E-2</v>
      </c>
      <c r="G160" s="103">
        <f t="shared" ref="G160:G171" si="20">ROUND((+I159+E160+(D160/2))*F160/12,2)</f>
        <v>-720.59</v>
      </c>
      <c r="H160" s="102">
        <f t="shared" si="17"/>
        <v>38892.750000000007</v>
      </c>
      <c r="I160" s="99">
        <f t="shared" si="13"/>
        <v>-186307.3589649006</v>
      </c>
    </row>
    <row r="161" spans="1:9" hidden="1" outlineLevel="1" x14ac:dyDescent="0.2">
      <c r="A161" s="71">
        <f t="shared" si="16"/>
        <v>154</v>
      </c>
      <c r="B161" s="82">
        <v>43101</v>
      </c>
      <c r="C161" s="108"/>
      <c r="D161" s="106">
        <v>51299.63</v>
      </c>
      <c r="E161" s="85"/>
      <c r="F161" s="104">
        <v>4.2500000000000003E-2</v>
      </c>
      <c r="G161" s="103">
        <f t="shared" si="20"/>
        <v>-569</v>
      </c>
      <c r="H161" s="102">
        <f t="shared" si="17"/>
        <v>50730.63</v>
      </c>
      <c r="I161" s="99">
        <f t="shared" si="13"/>
        <v>-135576.7289649006</v>
      </c>
    </row>
    <row r="162" spans="1:9" hidden="1" outlineLevel="1" x14ac:dyDescent="0.2">
      <c r="A162" s="71">
        <f t="shared" si="16"/>
        <v>155</v>
      </c>
      <c r="B162" s="82">
        <v>43132</v>
      </c>
      <c r="C162" s="108"/>
      <c r="D162" s="106">
        <v>36894.660000000018</v>
      </c>
      <c r="E162" s="85"/>
      <c r="F162" s="104">
        <v>4.2500000000000003E-2</v>
      </c>
      <c r="G162" s="103">
        <f t="shared" si="20"/>
        <v>-414.83</v>
      </c>
      <c r="H162" s="102">
        <f t="shared" si="17"/>
        <v>36479.830000000016</v>
      </c>
      <c r="I162" s="99">
        <f t="shared" si="13"/>
        <v>-99096.898964900582</v>
      </c>
    </row>
    <row r="163" spans="1:9" hidden="1" outlineLevel="1" x14ac:dyDescent="0.2">
      <c r="A163" s="71">
        <f t="shared" si="16"/>
        <v>156</v>
      </c>
      <c r="B163" s="82">
        <v>43160</v>
      </c>
      <c r="C163" s="108"/>
      <c r="D163" s="106">
        <v>40763.21</v>
      </c>
      <c r="E163" s="85"/>
      <c r="F163" s="104">
        <v>4.2500000000000003E-2</v>
      </c>
      <c r="G163" s="103">
        <f t="shared" si="20"/>
        <v>-278.77999999999997</v>
      </c>
      <c r="H163" s="102">
        <f t="shared" si="17"/>
        <v>40484.43</v>
      </c>
      <c r="I163" s="99">
        <f t="shared" si="13"/>
        <v>-58612.468964900581</v>
      </c>
    </row>
    <row r="164" spans="1:9" hidden="1" outlineLevel="1" x14ac:dyDescent="0.2">
      <c r="A164" s="71">
        <f t="shared" si="16"/>
        <v>157</v>
      </c>
      <c r="B164" s="82">
        <v>43191</v>
      </c>
      <c r="C164" s="108"/>
      <c r="D164" s="106">
        <v>29832.390000000003</v>
      </c>
      <c r="E164" s="85"/>
      <c r="F164" s="104">
        <v>4.4699999999999997E-2</v>
      </c>
      <c r="G164" s="103">
        <f t="shared" si="20"/>
        <v>-162.77000000000001</v>
      </c>
      <c r="H164" s="102">
        <f t="shared" si="17"/>
        <v>29669.620000000003</v>
      </c>
      <c r="I164" s="99">
        <f t="shared" si="13"/>
        <v>-28942.848964900579</v>
      </c>
    </row>
    <row r="165" spans="1:9" hidden="1" outlineLevel="1" x14ac:dyDescent="0.2">
      <c r="A165" s="71">
        <f t="shared" si="16"/>
        <v>158</v>
      </c>
      <c r="B165" s="82">
        <v>43221</v>
      </c>
      <c r="C165" s="108"/>
      <c r="D165" s="106">
        <v>16357.3</v>
      </c>
      <c r="E165" s="85"/>
      <c r="F165" s="104">
        <v>4.4699999999999997E-2</v>
      </c>
      <c r="G165" s="103">
        <f t="shared" si="20"/>
        <v>-77.349999999999994</v>
      </c>
      <c r="H165" s="102">
        <f t="shared" si="17"/>
        <v>16279.949999999999</v>
      </c>
      <c r="I165" s="99">
        <f t="shared" si="13"/>
        <v>-12662.89896490058</v>
      </c>
    </row>
    <row r="166" spans="1:9" hidden="1" outlineLevel="1" x14ac:dyDescent="0.2">
      <c r="A166" s="71">
        <f t="shared" si="16"/>
        <v>159</v>
      </c>
      <c r="B166" s="82">
        <v>43252</v>
      </c>
      <c r="C166" s="108"/>
      <c r="D166" s="106">
        <v>11254.5</v>
      </c>
      <c r="E166" s="85"/>
      <c r="F166" s="104">
        <v>4.4699999999999997E-2</v>
      </c>
      <c r="G166" s="103">
        <f t="shared" si="20"/>
        <v>-26.21</v>
      </c>
      <c r="H166" s="102">
        <f t="shared" si="17"/>
        <v>11228.29</v>
      </c>
      <c r="I166" s="99">
        <f t="shared" si="13"/>
        <v>-1434.6089649005789</v>
      </c>
    </row>
    <row r="167" spans="1:9" hidden="1" outlineLevel="1" x14ac:dyDescent="0.2">
      <c r="A167" s="71">
        <f t="shared" si="16"/>
        <v>160</v>
      </c>
      <c r="B167" s="82">
        <v>43282</v>
      </c>
      <c r="C167" s="87">
        <v>2</v>
      </c>
      <c r="D167" s="106">
        <v>9387.34</v>
      </c>
      <c r="E167" s="85">
        <v>-0.39</v>
      </c>
      <c r="F167" s="104">
        <v>4.6899999999999997E-2</v>
      </c>
      <c r="G167" s="103">
        <f t="shared" si="20"/>
        <v>12.74</v>
      </c>
      <c r="H167" s="102">
        <f t="shared" si="17"/>
        <v>9399.69</v>
      </c>
      <c r="I167" s="99">
        <f t="shared" si="13"/>
        <v>7965.0810350994216</v>
      </c>
    </row>
    <row r="168" spans="1:9" hidden="1" outlineLevel="1" x14ac:dyDescent="0.2">
      <c r="A168" s="71">
        <f t="shared" si="16"/>
        <v>161</v>
      </c>
      <c r="B168" s="82">
        <v>43313</v>
      </c>
      <c r="C168" s="108"/>
      <c r="D168" s="106">
        <v>7935.630000000001</v>
      </c>
      <c r="E168" s="85"/>
      <c r="F168" s="104">
        <v>4.6899999999999997E-2</v>
      </c>
      <c r="G168" s="103">
        <f t="shared" si="20"/>
        <v>46.64</v>
      </c>
      <c r="H168" s="102">
        <f t="shared" si="17"/>
        <v>7982.2700000000013</v>
      </c>
      <c r="I168" s="99">
        <f t="shared" si="13"/>
        <v>15947.351035099422</v>
      </c>
    </row>
    <row r="169" spans="1:9" hidden="1" outlineLevel="1" x14ac:dyDescent="0.2">
      <c r="A169" s="71">
        <f t="shared" si="16"/>
        <v>162</v>
      </c>
      <c r="B169" s="82">
        <v>43344</v>
      </c>
      <c r="C169" s="89"/>
      <c r="D169" s="106">
        <v>8827.7999999999993</v>
      </c>
      <c r="E169" s="85"/>
      <c r="F169" s="104">
        <v>4.6899999999999997E-2</v>
      </c>
      <c r="G169" s="103">
        <f t="shared" si="20"/>
        <v>79.58</v>
      </c>
      <c r="H169" s="102">
        <f t="shared" si="17"/>
        <v>8907.3799999999992</v>
      </c>
      <c r="I169" s="99">
        <f t="shared" si="13"/>
        <v>24854.731035099423</v>
      </c>
    </row>
    <row r="170" spans="1:9" hidden="1" outlineLevel="1" x14ac:dyDescent="0.2">
      <c r="A170" s="71">
        <f t="shared" si="16"/>
        <v>163</v>
      </c>
      <c r="B170" s="82">
        <v>43374</v>
      </c>
      <c r="C170" s="89"/>
      <c r="D170" s="106">
        <v>12531.070000000002</v>
      </c>
      <c r="E170" s="85"/>
      <c r="F170" s="88">
        <v>4.9599999999999998E-2</v>
      </c>
      <c r="G170" s="103">
        <f t="shared" si="20"/>
        <v>128.63</v>
      </c>
      <c r="H170" s="102">
        <f t="shared" si="17"/>
        <v>12659.7</v>
      </c>
      <c r="I170" s="99">
        <f t="shared" si="13"/>
        <v>37514.43103509942</v>
      </c>
    </row>
    <row r="171" spans="1:9" hidden="1" outlineLevel="1" x14ac:dyDescent="0.2">
      <c r="A171" s="71">
        <f t="shared" si="16"/>
        <v>164</v>
      </c>
      <c r="B171" s="82">
        <v>43405</v>
      </c>
      <c r="C171" s="108" t="s">
        <v>351</v>
      </c>
      <c r="D171" s="106">
        <v>12465.109999999999</v>
      </c>
      <c r="E171" s="85"/>
      <c r="F171" s="88">
        <v>4.9599999999999998E-2</v>
      </c>
      <c r="G171" s="103">
        <f t="shared" si="20"/>
        <v>180.82</v>
      </c>
      <c r="H171" s="102">
        <f t="shared" si="17"/>
        <v>12645.929999999998</v>
      </c>
      <c r="I171" s="99">
        <f t="shared" si="13"/>
        <v>50160.36103509942</v>
      </c>
    </row>
    <row r="172" spans="1:9" hidden="1" outlineLevel="1" x14ac:dyDescent="0.2">
      <c r="A172" s="71">
        <f t="shared" si="16"/>
        <v>165</v>
      </c>
      <c r="B172" s="82">
        <v>43405</v>
      </c>
      <c r="C172" s="66" t="s">
        <v>350</v>
      </c>
      <c r="D172" s="106">
        <v>61337.17</v>
      </c>
      <c r="E172" s="85">
        <v>-1991639.6114641016</v>
      </c>
      <c r="F172" s="88">
        <v>4.9599999999999998E-2</v>
      </c>
      <c r="G172" s="103">
        <f>ROUND((+E172+(D172/2))*F172/12,2)</f>
        <v>-8105.35</v>
      </c>
      <c r="H172" s="102">
        <f t="shared" si="17"/>
        <v>-1938407.7914641018</v>
      </c>
      <c r="I172" s="99">
        <f t="shared" si="13"/>
        <v>-1888247.4304290023</v>
      </c>
    </row>
    <row r="173" spans="1:9" hidden="1" outlineLevel="1" x14ac:dyDescent="0.2">
      <c r="A173" s="71">
        <f t="shared" si="16"/>
        <v>166</v>
      </c>
      <c r="B173" s="82">
        <v>43435</v>
      </c>
      <c r="C173" s="89"/>
      <c r="D173" s="106">
        <v>271734.82000000007</v>
      </c>
      <c r="E173" s="85"/>
      <c r="F173" s="88">
        <v>4.9599999999999998E-2</v>
      </c>
      <c r="G173" s="103">
        <f t="shared" ref="G173:G184" si="21">ROUND((+I172+E173+(D173/2))*F173/12,2)</f>
        <v>-7243.17</v>
      </c>
      <c r="H173" s="102">
        <f t="shared" si="17"/>
        <v>264491.65000000008</v>
      </c>
      <c r="I173" s="99">
        <f t="shared" si="13"/>
        <v>-1623755.7804290021</v>
      </c>
    </row>
    <row r="174" spans="1:9" hidden="1" outlineLevel="1" x14ac:dyDescent="0.2">
      <c r="A174" s="71">
        <f t="shared" si="16"/>
        <v>167</v>
      </c>
      <c r="B174" s="82">
        <v>43466</v>
      </c>
      <c r="C174" s="89"/>
      <c r="D174" s="106">
        <v>315752.82</v>
      </c>
      <c r="E174" s="85"/>
      <c r="F174" s="88">
        <v>5.1799999999999999E-2</v>
      </c>
      <c r="G174" s="103">
        <f t="shared" si="21"/>
        <v>-6327.71</v>
      </c>
      <c r="H174" s="102">
        <f t="shared" si="17"/>
        <v>309425.11</v>
      </c>
      <c r="I174" s="99">
        <f t="shared" si="13"/>
        <v>-1314330.670429002</v>
      </c>
    </row>
    <row r="175" spans="1:9" hidden="1" outlineLevel="1" x14ac:dyDescent="0.2">
      <c r="A175" s="71">
        <f t="shared" si="16"/>
        <v>168</v>
      </c>
      <c r="B175" s="82">
        <v>43497</v>
      </c>
      <c r="C175" s="89"/>
      <c r="D175" s="106">
        <v>311561.3899999999</v>
      </c>
      <c r="E175" s="85"/>
      <c r="F175" s="88">
        <v>5.1799999999999999E-2</v>
      </c>
      <c r="G175" s="103">
        <f t="shared" si="21"/>
        <v>-5001.07</v>
      </c>
      <c r="H175" s="102">
        <f t="shared" ref="H175:H206" si="22">D175+E175+G175</f>
        <v>306560.31999999989</v>
      </c>
      <c r="I175" s="99">
        <f t="shared" si="13"/>
        <v>-1007770.3504290022</v>
      </c>
    </row>
    <row r="176" spans="1:9" hidden="1" outlineLevel="1" x14ac:dyDescent="0.2">
      <c r="A176" s="71">
        <f t="shared" si="16"/>
        <v>169</v>
      </c>
      <c r="B176" s="82">
        <v>43525</v>
      </c>
      <c r="C176" s="89"/>
      <c r="D176" s="106">
        <v>337027.89999999997</v>
      </c>
      <c r="E176" s="85"/>
      <c r="F176" s="88">
        <v>5.1799999999999999E-2</v>
      </c>
      <c r="G176" s="103">
        <f t="shared" si="21"/>
        <v>-3622.79</v>
      </c>
      <c r="H176" s="102">
        <f t="shared" si="22"/>
        <v>333405.11</v>
      </c>
      <c r="I176" s="99">
        <f t="shared" si="13"/>
        <v>-674365.24042900221</v>
      </c>
    </row>
    <row r="177" spans="1:9" hidden="1" outlineLevel="1" x14ac:dyDescent="0.2">
      <c r="A177" s="71">
        <f t="shared" si="16"/>
        <v>170</v>
      </c>
      <c r="B177" s="82">
        <v>43556</v>
      </c>
      <c r="C177" s="89"/>
      <c r="D177" s="106">
        <v>165956.04999999999</v>
      </c>
      <c r="E177" s="85"/>
      <c r="F177" s="88">
        <v>5.45E-2</v>
      </c>
      <c r="G177" s="103">
        <f t="shared" si="21"/>
        <v>-2685.88</v>
      </c>
      <c r="H177" s="102">
        <f t="shared" si="22"/>
        <v>163270.16999999998</v>
      </c>
      <c r="I177" s="99">
        <f t="shared" si="13"/>
        <v>-511095.07042900223</v>
      </c>
    </row>
    <row r="178" spans="1:9" hidden="1" outlineLevel="1" x14ac:dyDescent="0.2">
      <c r="A178" s="71">
        <f t="shared" si="16"/>
        <v>171</v>
      </c>
      <c r="B178" s="82">
        <v>43586</v>
      </c>
      <c r="C178" s="89"/>
      <c r="D178" s="106">
        <v>114947.73999999998</v>
      </c>
      <c r="E178" s="85"/>
      <c r="F178" s="88">
        <v>5.45E-2</v>
      </c>
      <c r="G178" s="103">
        <f t="shared" si="21"/>
        <v>-2060.1999999999998</v>
      </c>
      <c r="H178" s="102">
        <f t="shared" si="22"/>
        <v>112887.53999999998</v>
      </c>
      <c r="I178" s="99">
        <f t="shared" si="13"/>
        <v>-398207.53042900225</v>
      </c>
    </row>
    <row r="179" spans="1:9" hidden="1" outlineLevel="1" x14ac:dyDescent="0.2">
      <c r="A179" s="71">
        <f t="shared" si="16"/>
        <v>172</v>
      </c>
      <c r="B179" s="82">
        <v>43617</v>
      </c>
      <c r="C179" s="89"/>
      <c r="D179" s="106">
        <v>77541.459999999963</v>
      </c>
      <c r="E179" s="85"/>
      <c r="F179" s="88">
        <v>5.45E-2</v>
      </c>
      <c r="G179" s="103">
        <f t="shared" si="21"/>
        <v>-1632.44</v>
      </c>
      <c r="H179" s="102">
        <f t="shared" si="22"/>
        <v>75909.01999999996</v>
      </c>
      <c r="I179" s="99">
        <f t="shared" si="13"/>
        <v>-322298.51042900229</v>
      </c>
    </row>
    <row r="180" spans="1:9" hidden="1" outlineLevel="1" x14ac:dyDescent="0.2">
      <c r="A180" s="71">
        <f t="shared" si="16"/>
        <v>173</v>
      </c>
      <c r="B180" s="82">
        <v>43647</v>
      </c>
      <c r="C180" s="89"/>
      <c r="D180" s="106">
        <v>67515.929999999993</v>
      </c>
      <c r="E180" s="85"/>
      <c r="F180" s="88">
        <v>5.5E-2</v>
      </c>
      <c r="G180" s="103">
        <f t="shared" si="21"/>
        <v>-1322.48</v>
      </c>
      <c r="H180" s="102">
        <f t="shared" si="22"/>
        <v>66193.45</v>
      </c>
      <c r="I180" s="99">
        <f t="shared" si="13"/>
        <v>-256105.06042900227</v>
      </c>
    </row>
    <row r="181" spans="1:9" hidden="1" outlineLevel="1" x14ac:dyDescent="0.2">
      <c r="A181" s="71">
        <f t="shared" si="16"/>
        <v>174</v>
      </c>
      <c r="B181" s="82">
        <v>43678</v>
      </c>
      <c r="C181" s="89"/>
      <c r="D181" s="106">
        <v>55940.850000000006</v>
      </c>
      <c r="E181" s="85"/>
      <c r="F181" s="88">
        <v>5.5E-2</v>
      </c>
      <c r="G181" s="103">
        <f t="shared" si="21"/>
        <v>-1045.6199999999999</v>
      </c>
      <c r="H181" s="102">
        <f t="shared" si="22"/>
        <v>54895.23</v>
      </c>
      <c r="I181" s="99">
        <f t="shared" si="13"/>
        <v>-201209.83042900226</v>
      </c>
    </row>
    <row r="182" spans="1:9" hidden="1" outlineLevel="1" x14ac:dyDescent="0.2">
      <c r="A182" s="71">
        <f t="shared" si="16"/>
        <v>175</v>
      </c>
      <c r="B182" s="82">
        <v>43709</v>
      </c>
      <c r="C182" s="89"/>
      <c r="D182" s="106">
        <v>57841.020000000004</v>
      </c>
      <c r="E182" s="85"/>
      <c r="F182" s="88">
        <v>5.5E-2</v>
      </c>
      <c r="G182" s="103">
        <f t="shared" si="21"/>
        <v>-789.66</v>
      </c>
      <c r="H182" s="102">
        <f t="shared" si="22"/>
        <v>57051.360000000001</v>
      </c>
      <c r="I182" s="99">
        <f t="shared" si="13"/>
        <v>-144158.47042900225</v>
      </c>
    </row>
    <row r="183" spans="1:9" hidden="1" outlineLevel="1" x14ac:dyDescent="0.2">
      <c r="A183" s="71">
        <f t="shared" si="16"/>
        <v>176</v>
      </c>
      <c r="B183" s="82">
        <v>43739</v>
      </c>
      <c r="C183" s="89"/>
      <c r="D183" s="106">
        <v>111461.31</v>
      </c>
      <c r="E183" s="85"/>
      <c r="F183" s="79">
        <v>5.4199999999999998E-2</v>
      </c>
      <c r="G183" s="103">
        <f t="shared" si="21"/>
        <v>-399.4</v>
      </c>
      <c r="H183" s="102">
        <f t="shared" si="22"/>
        <v>111061.91</v>
      </c>
      <c r="I183" s="99">
        <f t="shared" si="13"/>
        <v>-33096.560429002246</v>
      </c>
    </row>
    <row r="184" spans="1:9" hidden="1" outlineLevel="1" x14ac:dyDescent="0.2">
      <c r="A184" s="71">
        <f t="shared" si="16"/>
        <v>177</v>
      </c>
      <c r="B184" s="82">
        <v>43770</v>
      </c>
      <c r="C184" s="108" t="s">
        <v>351</v>
      </c>
      <c r="D184" s="106">
        <f>+'[35]Journal Page'!$F$95</f>
        <v>118864.15999999999</v>
      </c>
      <c r="E184" s="85"/>
      <c r="F184" s="79">
        <v>5.4199999999999998E-2</v>
      </c>
      <c r="G184" s="103">
        <f t="shared" si="21"/>
        <v>118.95</v>
      </c>
      <c r="H184" s="102">
        <f t="shared" si="22"/>
        <v>118983.10999999999</v>
      </c>
      <c r="I184" s="99">
        <f t="shared" ref="I184:I247" si="23">+I183+H184</f>
        <v>85886.54957099774</v>
      </c>
    </row>
    <row r="185" spans="1:9" hidden="1" outlineLevel="1" x14ac:dyDescent="0.2">
      <c r="A185" s="71">
        <f t="shared" si="16"/>
        <v>178</v>
      </c>
      <c r="B185" s="82">
        <v>43770</v>
      </c>
      <c r="C185" s="66" t="s">
        <v>350</v>
      </c>
      <c r="D185" s="106">
        <v>-107895.15</v>
      </c>
      <c r="E185" s="85">
        <f>-'151540 WACOG Deferral'!E173</f>
        <v>2729027.78</v>
      </c>
      <c r="F185" s="79">
        <v>5.4199999999999998E-2</v>
      </c>
      <c r="G185" s="103">
        <f>ROUND((+E185+(D185/2))*F185/12,2)</f>
        <v>12082.45</v>
      </c>
      <c r="H185" s="102">
        <f t="shared" si="22"/>
        <v>2633215.08</v>
      </c>
      <c r="I185" s="99">
        <f t="shared" si="23"/>
        <v>2719101.6295709978</v>
      </c>
    </row>
    <row r="186" spans="1:9" hidden="1" outlineLevel="1" x14ac:dyDescent="0.2">
      <c r="A186" s="71">
        <f t="shared" si="16"/>
        <v>179</v>
      </c>
      <c r="B186" s="82">
        <v>43800</v>
      </c>
      <c r="C186" s="89"/>
      <c r="D186" s="106">
        <v>-392147.49</v>
      </c>
      <c r="E186" s="85"/>
      <c r="F186" s="79">
        <v>5.4199999999999998E-2</v>
      </c>
      <c r="G186" s="103">
        <f t="shared" ref="G186:G197" si="24">ROUND((+I185+E186+(D186/2))*F186/12,2)</f>
        <v>11395.68</v>
      </c>
      <c r="H186" s="102">
        <f t="shared" si="22"/>
        <v>-380751.81</v>
      </c>
      <c r="I186" s="99">
        <f t="shared" si="23"/>
        <v>2338349.8195709977</v>
      </c>
    </row>
    <row r="187" spans="1:9" hidden="1" outlineLevel="1" x14ac:dyDescent="0.2">
      <c r="A187" s="71">
        <f t="shared" si="16"/>
        <v>180</v>
      </c>
      <c r="B187" s="82">
        <v>43831</v>
      </c>
      <c r="C187" s="89"/>
      <c r="D187" s="106">
        <v>-436907.76000000007</v>
      </c>
      <c r="E187" s="85"/>
      <c r="F187" s="79">
        <v>4.9599999999999998E-2</v>
      </c>
      <c r="G187" s="103">
        <f t="shared" si="24"/>
        <v>8762.24</v>
      </c>
      <c r="H187" s="102">
        <f t="shared" si="22"/>
        <v>-428145.52000000008</v>
      </c>
      <c r="I187" s="99">
        <f t="shared" si="23"/>
        <v>1910204.2995709977</v>
      </c>
    </row>
    <row r="188" spans="1:9" hidden="1" outlineLevel="1" x14ac:dyDescent="0.2">
      <c r="A188" s="71">
        <f t="shared" si="16"/>
        <v>181</v>
      </c>
      <c r="B188" s="82">
        <v>43862</v>
      </c>
      <c r="C188" s="89"/>
      <c r="D188" s="106">
        <v>-364893.65</v>
      </c>
      <c r="E188" s="85"/>
      <c r="F188" s="79">
        <v>4.9599999999999998E-2</v>
      </c>
      <c r="G188" s="103">
        <f t="shared" si="24"/>
        <v>7141.4</v>
      </c>
      <c r="H188" s="102">
        <f t="shared" si="22"/>
        <v>-357752.25</v>
      </c>
      <c r="I188" s="99">
        <f t="shared" si="23"/>
        <v>1552452.0495709977</v>
      </c>
    </row>
    <row r="189" spans="1:9" hidden="1" outlineLevel="1" x14ac:dyDescent="0.2">
      <c r="A189" s="71">
        <f t="shared" si="16"/>
        <v>182</v>
      </c>
      <c r="B189" s="82">
        <v>43891</v>
      </c>
      <c r="C189" s="89"/>
      <c r="D189" s="106">
        <v>-353570.46000000008</v>
      </c>
      <c r="E189" s="85"/>
      <c r="F189" s="88">
        <v>4.9599999999999998E-2</v>
      </c>
      <c r="G189" s="103">
        <f t="shared" si="24"/>
        <v>5686.09</v>
      </c>
      <c r="H189" s="102">
        <f t="shared" si="22"/>
        <v>-347884.37000000005</v>
      </c>
      <c r="I189" s="99">
        <f t="shared" si="23"/>
        <v>1204567.6795709976</v>
      </c>
    </row>
    <row r="190" spans="1:9" hidden="1" outlineLevel="1" x14ac:dyDescent="0.2">
      <c r="A190" s="71">
        <f t="shared" si="16"/>
        <v>183</v>
      </c>
      <c r="B190" s="82">
        <v>43922</v>
      </c>
      <c r="C190" s="108"/>
      <c r="D190" s="106">
        <v>-268926.65000000002</v>
      </c>
      <c r="E190" s="85"/>
      <c r="F190" s="104">
        <v>4.7500000000000001E-2</v>
      </c>
      <c r="G190" s="103">
        <f t="shared" si="24"/>
        <v>4235.83</v>
      </c>
      <c r="H190" s="102">
        <f t="shared" si="22"/>
        <v>-264690.82</v>
      </c>
      <c r="I190" s="99">
        <f t="shared" si="23"/>
        <v>939876.85957099753</v>
      </c>
    </row>
    <row r="191" spans="1:9" hidden="1" outlineLevel="1" x14ac:dyDescent="0.2">
      <c r="A191" s="71">
        <f t="shared" si="16"/>
        <v>184</v>
      </c>
      <c r="B191" s="82">
        <v>43952</v>
      </c>
      <c r="C191" s="108"/>
      <c r="D191" s="106">
        <v>-146897.96</v>
      </c>
      <c r="E191" s="85"/>
      <c r="F191" s="104">
        <v>4.7500000000000001E-2</v>
      </c>
      <c r="G191" s="103">
        <f t="shared" si="24"/>
        <v>3429.61</v>
      </c>
      <c r="H191" s="102">
        <f t="shared" si="22"/>
        <v>-143468.35</v>
      </c>
      <c r="I191" s="99">
        <f t="shared" si="23"/>
        <v>796408.50957099756</v>
      </c>
    </row>
    <row r="192" spans="1:9" hidden="1" outlineLevel="1" x14ac:dyDescent="0.2">
      <c r="A192" s="71">
        <f t="shared" si="16"/>
        <v>185</v>
      </c>
      <c r="B192" s="82">
        <v>43983</v>
      </c>
      <c r="C192" s="108"/>
      <c r="D192" s="106">
        <v>-114272.25999999998</v>
      </c>
      <c r="E192" s="85"/>
      <c r="F192" s="104">
        <v>4.7500000000000001E-2</v>
      </c>
      <c r="G192" s="103">
        <f t="shared" si="24"/>
        <v>2926.29</v>
      </c>
      <c r="H192" s="102">
        <f t="shared" si="22"/>
        <v>-111345.96999999999</v>
      </c>
      <c r="I192" s="99">
        <f t="shared" si="23"/>
        <v>685062.53957099759</v>
      </c>
    </row>
    <row r="193" spans="1:9" hidden="1" outlineLevel="1" x14ac:dyDescent="0.2">
      <c r="A193" s="71">
        <f t="shared" si="16"/>
        <v>186</v>
      </c>
      <c r="B193" s="82">
        <v>44013</v>
      </c>
      <c r="C193" s="108"/>
      <c r="D193" s="106">
        <v>-90958.150000000009</v>
      </c>
      <c r="E193" s="85"/>
      <c r="F193" s="104">
        <v>3.4299999999999997E-2</v>
      </c>
      <c r="G193" s="103">
        <f t="shared" si="24"/>
        <v>1828.14</v>
      </c>
      <c r="H193" s="102">
        <f t="shared" si="22"/>
        <v>-89130.010000000009</v>
      </c>
      <c r="I193" s="99">
        <f t="shared" si="23"/>
        <v>595932.52957099758</v>
      </c>
    </row>
    <row r="194" spans="1:9" hidden="1" outlineLevel="1" x14ac:dyDescent="0.2">
      <c r="A194" s="71">
        <f t="shared" si="16"/>
        <v>187</v>
      </c>
      <c r="B194" s="82">
        <v>44044</v>
      </c>
      <c r="C194" s="108"/>
      <c r="D194" s="106">
        <v>-73317.62</v>
      </c>
      <c r="E194" s="85"/>
      <c r="F194" s="104">
        <v>3.4299999999999997E-2</v>
      </c>
      <c r="G194" s="103">
        <f t="shared" si="24"/>
        <v>1598.59</v>
      </c>
      <c r="H194" s="102">
        <f t="shared" si="22"/>
        <v>-71719.03</v>
      </c>
      <c r="I194" s="99">
        <f t="shared" si="23"/>
        <v>524213.49957099755</v>
      </c>
    </row>
    <row r="195" spans="1:9" hidden="1" outlineLevel="1" x14ac:dyDescent="0.2">
      <c r="A195" s="71">
        <f t="shared" si="16"/>
        <v>188</v>
      </c>
      <c r="B195" s="82">
        <v>44075</v>
      </c>
      <c r="D195" s="106">
        <v>-76912.44</v>
      </c>
      <c r="E195" s="85"/>
      <c r="F195" s="104">
        <v>3.4299999999999997E-2</v>
      </c>
      <c r="G195" s="103">
        <f t="shared" si="24"/>
        <v>1388.46</v>
      </c>
      <c r="H195" s="102">
        <f t="shared" si="22"/>
        <v>-75523.98</v>
      </c>
      <c r="I195" s="99">
        <f t="shared" si="23"/>
        <v>448689.51957099757</v>
      </c>
    </row>
    <row r="196" spans="1:9" hidden="1" outlineLevel="1" x14ac:dyDescent="0.2">
      <c r="A196" s="71">
        <f t="shared" si="16"/>
        <v>189</v>
      </c>
      <c r="B196" s="82">
        <v>44105</v>
      </c>
      <c r="D196" s="106">
        <v>-99078.199999999983</v>
      </c>
      <c r="E196" s="85"/>
      <c r="F196" s="104">
        <v>3.2500000000000001E-2</v>
      </c>
      <c r="G196" s="103">
        <f t="shared" si="24"/>
        <v>1081.03</v>
      </c>
      <c r="H196" s="102">
        <f t="shared" si="22"/>
        <v>-97997.169999999984</v>
      </c>
      <c r="I196" s="99">
        <f t="shared" si="23"/>
        <v>350692.34957099758</v>
      </c>
    </row>
    <row r="197" spans="1:9" hidden="1" outlineLevel="1" x14ac:dyDescent="0.2">
      <c r="A197" s="71">
        <f t="shared" si="16"/>
        <v>190</v>
      </c>
      <c r="B197" s="82">
        <v>44136</v>
      </c>
      <c r="C197" s="108" t="s">
        <v>351</v>
      </c>
      <c r="D197" s="106">
        <v>-139040.84000000003</v>
      </c>
      <c r="E197" s="85"/>
      <c r="F197" s="104">
        <v>3.2500000000000001E-2</v>
      </c>
      <c r="G197" s="103">
        <f t="shared" si="24"/>
        <v>761.51</v>
      </c>
      <c r="H197" s="102">
        <f t="shared" si="22"/>
        <v>-138279.33000000002</v>
      </c>
      <c r="I197" s="99">
        <f t="shared" si="23"/>
        <v>212413.01957099757</v>
      </c>
    </row>
    <row r="198" spans="1:9" hidden="1" outlineLevel="1" collapsed="1" x14ac:dyDescent="0.2">
      <c r="A198" s="71">
        <f t="shared" si="16"/>
        <v>191</v>
      </c>
      <c r="B198" s="82">
        <v>44136</v>
      </c>
      <c r="C198" s="66" t="s">
        <v>350</v>
      </c>
      <c r="D198" s="106">
        <v>-20535.809999999994</v>
      </c>
      <c r="E198" s="85">
        <v>271881.18</v>
      </c>
      <c r="F198" s="104">
        <v>3.2500000000000001E-2</v>
      </c>
      <c r="G198" s="103">
        <f>ROUND((+E198+(D198/2))*F198/12,2)</f>
        <v>708.54</v>
      </c>
      <c r="H198" s="102">
        <f t="shared" si="22"/>
        <v>252053.91</v>
      </c>
      <c r="I198" s="99">
        <f t="shared" si="23"/>
        <v>464466.9295709976</v>
      </c>
    </row>
    <row r="199" spans="1:9" hidden="1" outlineLevel="1" x14ac:dyDescent="0.2">
      <c r="A199" s="71">
        <f t="shared" si="16"/>
        <v>192</v>
      </c>
      <c r="B199" s="82">
        <v>44166</v>
      </c>
      <c r="C199" s="89"/>
      <c r="D199" s="106">
        <v>-78261.58</v>
      </c>
      <c r="E199" s="85"/>
      <c r="F199" s="104">
        <v>3.2500000000000001E-2</v>
      </c>
      <c r="G199" s="103">
        <f t="shared" ref="G199:G210" si="25">ROUND((+I198+E199+(D199/2))*F199/12,2)</f>
        <v>1151.95</v>
      </c>
      <c r="H199" s="102">
        <f t="shared" si="22"/>
        <v>-77109.63</v>
      </c>
      <c r="I199" s="99">
        <f t="shared" si="23"/>
        <v>387357.29957099759</v>
      </c>
    </row>
    <row r="200" spans="1:9" hidden="1" outlineLevel="1" x14ac:dyDescent="0.2">
      <c r="A200" s="71">
        <f t="shared" si="16"/>
        <v>193</v>
      </c>
      <c r="B200" s="82">
        <v>44197</v>
      </c>
      <c r="C200" s="89"/>
      <c r="D200" s="106">
        <v>-79009.59</v>
      </c>
      <c r="E200" s="85"/>
      <c r="F200" s="104">
        <v>3.2500000000000001E-2</v>
      </c>
      <c r="G200" s="103">
        <f t="shared" si="25"/>
        <v>942.1</v>
      </c>
      <c r="H200" s="102">
        <f t="shared" si="22"/>
        <v>-78067.489999999991</v>
      </c>
      <c r="I200" s="99">
        <f t="shared" si="23"/>
        <v>309289.8095709976</v>
      </c>
    </row>
    <row r="201" spans="1:9" hidden="1" outlineLevel="1" x14ac:dyDescent="0.2">
      <c r="A201" s="71">
        <f t="shared" ref="A201:A261" si="26">+A200+1</f>
        <v>194</v>
      </c>
      <c r="B201" s="82">
        <v>44228</v>
      </c>
      <c r="C201" s="89"/>
      <c r="D201" s="106">
        <v>-81582.689999999973</v>
      </c>
      <c r="E201" s="85"/>
      <c r="F201" s="104">
        <v>3.2500000000000001E-2</v>
      </c>
      <c r="G201" s="103">
        <f t="shared" si="25"/>
        <v>727.18</v>
      </c>
      <c r="H201" s="102">
        <f t="shared" si="22"/>
        <v>-80855.50999999998</v>
      </c>
      <c r="I201" s="99">
        <f t="shared" si="23"/>
        <v>228434.29957099762</v>
      </c>
    </row>
    <row r="202" spans="1:9" hidden="1" outlineLevel="1" x14ac:dyDescent="0.2">
      <c r="A202" s="71">
        <f t="shared" si="26"/>
        <v>195</v>
      </c>
      <c r="B202" s="82">
        <v>44256</v>
      </c>
      <c r="C202" s="89"/>
      <c r="D202" s="106">
        <v>-73134.13</v>
      </c>
      <c r="E202" s="85"/>
      <c r="F202" s="104">
        <v>3.2500000000000001E-2</v>
      </c>
      <c r="G202" s="103">
        <f t="shared" si="25"/>
        <v>519.64</v>
      </c>
      <c r="H202" s="102">
        <f t="shared" si="22"/>
        <v>-72614.490000000005</v>
      </c>
      <c r="I202" s="99">
        <f t="shared" si="23"/>
        <v>155819.8095709976</v>
      </c>
    </row>
    <row r="203" spans="1:9" hidden="1" outlineLevel="1" x14ac:dyDescent="0.2">
      <c r="A203" s="71">
        <f t="shared" si="26"/>
        <v>196</v>
      </c>
      <c r="B203" s="82">
        <v>44287</v>
      </c>
      <c r="C203" s="89"/>
      <c r="D203" s="106">
        <v>-53204.790000000015</v>
      </c>
      <c r="E203" s="85"/>
      <c r="F203" s="104">
        <v>3.2500000000000001E-2</v>
      </c>
      <c r="G203" s="103">
        <f t="shared" si="25"/>
        <v>349.96</v>
      </c>
      <c r="H203" s="102">
        <f t="shared" si="22"/>
        <v>-52854.830000000016</v>
      </c>
      <c r="I203" s="99">
        <f t="shared" si="23"/>
        <v>102964.97957099759</v>
      </c>
    </row>
    <row r="204" spans="1:9" hidden="1" outlineLevel="1" x14ac:dyDescent="0.2">
      <c r="A204" s="71">
        <f t="shared" si="26"/>
        <v>197</v>
      </c>
      <c r="B204" s="82">
        <v>44317</v>
      </c>
      <c r="C204" s="89"/>
      <c r="D204" s="106">
        <v>-28852.68</v>
      </c>
      <c r="E204" s="85"/>
      <c r="F204" s="104">
        <v>3.2500000000000001E-2</v>
      </c>
      <c r="G204" s="103">
        <f t="shared" si="25"/>
        <v>239.79</v>
      </c>
      <c r="H204" s="102">
        <f t="shared" si="22"/>
        <v>-28612.89</v>
      </c>
      <c r="I204" s="99">
        <f t="shared" si="23"/>
        <v>74352.089570997588</v>
      </c>
    </row>
    <row r="205" spans="1:9" hidden="1" outlineLevel="1" x14ac:dyDescent="0.2">
      <c r="A205" s="71">
        <f t="shared" si="26"/>
        <v>198</v>
      </c>
      <c r="B205" s="82">
        <v>44348</v>
      </c>
      <c r="C205" s="89"/>
      <c r="D205" s="106">
        <v>-22919.669999999995</v>
      </c>
      <c r="E205" s="85"/>
      <c r="F205" s="104">
        <v>3.2500000000000001E-2</v>
      </c>
      <c r="G205" s="103">
        <f t="shared" si="25"/>
        <v>170.33</v>
      </c>
      <c r="H205" s="102">
        <f t="shared" si="22"/>
        <v>-22749.339999999993</v>
      </c>
      <c r="I205" s="99">
        <f t="shared" si="23"/>
        <v>51602.749570997592</v>
      </c>
    </row>
    <row r="206" spans="1:9" hidden="1" outlineLevel="1" x14ac:dyDescent="0.2">
      <c r="A206" s="71">
        <f t="shared" si="26"/>
        <v>199</v>
      </c>
      <c r="B206" s="82">
        <v>44378</v>
      </c>
      <c r="C206" s="89"/>
      <c r="D206" s="106">
        <v>-15322.35</v>
      </c>
      <c r="E206" s="85"/>
      <c r="F206" s="104">
        <v>3.2500000000000001E-2</v>
      </c>
      <c r="G206" s="103">
        <f t="shared" si="25"/>
        <v>119.01</v>
      </c>
      <c r="H206" s="102">
        <f t="shared" si="22"/>
        <v>-15203.34</v>
      </c>
      <c r="I206" s="99">
        <f t="shared" si="23"/>
        <v>36399.409570997595</v>
      </c>
    </row>
    <row r="207" spans="1:9" hidden="1" outlineLevel="1" x14ac:dyDescent="0.2">
      <c r="A207" s="71">
        <f t="shared" si="26"/>
        <v>200</v>
      </c>
      <c r="B207" s="82">
        <v>44409</v>
      </c>
      <c r="C207" s="89"/>
      <c r="D207" s="106">
        <v>-14211.07</v>
      </c>
      <c r="E207" s="85"/>
      <c r="F207" s="104">
        <v>3.2500000000000001E-2</v>
      </c>
      <c r="G207" s="103">
        <f t="shared" si="25"/>
        <v>79.34</v>
      </c>
      <c r="H207" s="102">
        <f t="shared" ref="H207:H238" si="27">D207+E207+G207</f>
        <v>-14131.73</v>
      </c>
      <c r="I207" s="99">
        <f t="shared" si="23"/>
        <v>22267.679570997596</v>
      </c>
    </row>
    <row r="208" spans="1:9" hidden="1" outlineLevel="1" x14ac:dyDescent="0.2">
      <c r="A208" s="71">
        <f t="shared" si="26"/>
        <v>201</v>
      </c>
      <c r="B208" s="82">
        <v>44440</v>
      </c>
      <c r="C208" s="89"/>
      <c r="D208" s="106">
        <v>-16198.969999999998</v>
      </c>
      <c r="E208" s="85"/>
      <c r="F208" s="104">
        <v>3.2500000000000001E-2</v>
      </c>
      <c r="G208" s="103">
        <f t="shared" si="25"/>
        <v>38.369999999999997</v>
      </c>
      <c r="H208" s="102">
        <f t="shared" si="27"/>
        <v>-16160.599999999997</v>
      </c>
      <c r="I208" s="99">
        <f t="shared" si="23"/>
        <v>6107.0795709975991</v>
      </c>
    </row>
    <row r="209" spans="1:9" hidden="1" outlineLevel="1" x14ac:dyDescent="0.2">
      <c r="A209" s="71">
        <f t="shared" si="26"/>
        <v>202</v>
      </c>
      <c r="B209" s="82">
        <v>44470</v>
      </c>
      <c r="C209" s="89"/>
      <c r="D209" s="106">
        <v>-25604.37</v>
      </c>
      <c r="E209" s="85"/>
      <c r="F209" s="104">
        <v>3.2500000000000001E-2</v>
      </c>
      <c r="G209" s="103">
        <f t="shared" si="25"/>
        <v>-18.13</v>
      </c>
      <c r="H209" s="102">
        <f t="shared" si="27"/>
        <v>-25622.5</v>
      </c>
      <c r="I209" s="99">
        <f t="shared" si="23"/>
        <v>-19515.420429002399</v>
      </c>
    </row>
    <row r="210" spans="1:9" hidden="1" outlineLevel="1" x14ac:dyDescent="0.2">
      <c r="A210" s="71">
        <f t="shared" si="26"/>
        <v>203</v>
      </c>
      <c r="B210" s="82">
        <v>44501</v>
      </c>
      <c r="C210" s="108" t="s">
        <v>351</v>
      </c>
      <c r="D210" s="106">
        <v>-26914.94</v>
      </c>
      <c r="E210" s="85"/>
      <c r="F210" s="104">
        <v>3.2500000000000001E-2</v>
      </c>
      <c r="G210" s="103">
        <f t="shared" si="25"/>
        <v>-89.3</v>
      </c>
      <c r="H210" s="102">
        <f t="shared" si="27"/>
        <v>-27004.239999999998</v>
      </c>
      <c r="I210" s="99">
        <f t="shared" si="23"/>
        <v>-46519.660429002397</v>
      </c>
    </row>
    <row r="211" spans="1:9" hidden="1" outlineLevel="1" collapsed="1" x14ac:dyDescent="0.2">
      <c r="A211" s="71">
        <f t="shared" si="26"/>
        <v>204</v>
      </c>
      <c r="B211" s="82">
        <v>44501</v>
      </c>
      <c r="C211" s="66" t="s">
        <v>350</v>
      </c>
      <c r="D211" s="106">
        <v>-146582.63</v>
      </c>
      <c r="E211" s="85">
        <f>-'151540 WACOG Deferral'!E197</f>
        <v>4163525.5056184125</v>
      </c>
      <c r="F211" s="104">
        <v>3.2500000000000001E-2</v>
      </c>
      <c r="G211" s="103">
        <f>ROUND((+E211+(D211/2))*F211/12,2)</f>
        <v>11077.72</v>
      </c>
      <c r="H211" s="102">
        <f t="shared" si="27"/>
        <v>4028020.5956184128</v>
      </c>
      <c r="I211" s="99">
        <f t="shared" si="23"/>
        <v>3981500.9351894106</v>
      </c>
    </row>
    <row r="212" spans="1:9" hidden="1" outlineLevel="1" x14ac:dyDescent="0.2">
      <c r="A212" s="71">
        <f t="shared" si="26"/>
        <v>205</v>
      </c>
      <c r="B212" s="82">
        <v>44531</v>
      </c>
      <c r="C212" s="89"/>
      <c r="D212" s="106">
        <v>-592612.25</v>
      </c>
      <c r="E212" s="85"/>
      <c r="F212" s="104">
        <v>3.2500000000000001E-2</v>
      </c>
      <c r="G212" s="103">
        <f t="shared" ref="G212:G223" si="28">ROUND((+I211+E212+(D212/2))*F212/12,2)</f>
        <v>9980.74</v>
      </c>
      <c r="H212" s="102">
        <f t="shared" si="27"/>
        <v>-582631.51</v>
      </c>
      <c r="I212" s="99">
        <f t="shared" si="23"/>
        <v>3398869.4251894103</v>
      </c>
    </row>
    <row r="213" spans="1:9" hidden="1" outlineLevel="1" x14ac:dyDescent="0.2">
      <c r="A213" s="71">
        <f t="shared" si="26"/>
        <v>206</v>
      </c>
      <c r="B213" s="82">
        <v>44562</v>
      </c>
      <c r="C213" s="89"/>
      <c r="D213" s="106">
        <v>-869864.25000000023</v>
      </c>
      <c r="E213" s="85"/>
      <c r="F213" s="104">
        <v>3.2500000000000001E-2</v>
      </c>
      <c r="G213" s="103">
        <f t="shared" si="28"/>
        <v>8027.33</v>
      </c>
      <c r="H213" s="102">
        <f t="shared" si="27"/>
        <v>-861836.92000000027</v>
      </c>
      <c r="I213" s="99">
        <f t="shared" si="23"/>
        <v>2537032.5051894099</v>
      </c>
    </row>
    <row r="214" spans="1:9" hidden="1" outlineLevel="1" x14ac:dyDescent="0.2">
      <c r="A214" s="71">
        <f t="shared" si="26"/>
        <v>207</v>
      </c>
      <c r="B214" s="82">
        <v>44593</v>
      </c>
      <c r="C214" s="89"/>
      <c r="D214" s="106">
        <v>-699081.06000000017</v>
      </c>
      <c r="E214" s="85"/>
      <c r="F214" s="104">
        <v>3.2500000000000001E-2</v>
      </c>
      <c r="G214" s="103">
        <f t="shared" si="28"/>
        <v>5924.46</v>
      </c>
      <c r="H214" s="102">
        <f t="shared" si="27"/>
        <v>-693156.60000000021</v>
      </c>
      <c r="I214" s="99">
        <f t="shared" si="23"/>
        <v>1843875.9051894099</v>
      </c>
    </row>
    <row r="215" spans="1:9" hidden="1" outlineLevel="1" x14ac:dyDescent="0.2">
      <c r="A215" s="71">
        <f t="shared" si="26"/>
        <v>208</v>
      </c>
      <c r="B215" s="82">
        <v>44621</v>
      </c>
      <c r="C215" s="89"/>
      <c r="D215" s="106">
        <v>-594672.43999999983</v>
      </c>
      <c r="E215" s="85"/>
      <c r="F215" s="104">
        <v>3.2500000000000001E-2</v>
      </c>
      <c r="G215" s="103">
        <f t="shared" si="28"/>
        <v>4188.54</v>
      </c>
      <c r="H215" s="102">
        <f t="shared" si="27"/>
        <v>-590483.89999999979</v>
      </c>
      <c r="I215" s="99">
        <f t="shared" si="23"/>
        <v>1253392.0051894099</v>
      </c>
    </row>
    <row r="216" spans="1:9" hidden="1" outlineLevel="1" x14ac:dyDescent="0.2">
      <c r="A216" s="71">
        <f t="shared" si="26"/>
        <v>209</v>
      </c>
      <c r="B216" s="82">
        <v>44652</v>
      </c>
      <c r="C216" s="89"/>
      <c r="D216" s="106">
        <v>-443478.61999999994</v>
      </c>
      <c r="E216" s="85"/>
      <c r="F216" s="104">
        <v>3.2500000000000001E-2</v>
      </c>
      <c r="G216" s="103">
        <f t="shared" si="28"/>
        <v>2794.06</v>
      </c>
      <c r="H216" s="102">
        <f t="shared" si="27"/>
        <v>-440684.55999999994</v>
      </c>
      <c r="I216" s="99">
        <f t="shared" si="23"/>
        <v>812707.44518941001</v>
      </c>
    </row>
    <row r="217" spans="1:9" hidden="1" outlineLevel="1" x14ac:dyDescent="0.2">
      <c r="A217" s="71">
        <f t="shared" si="26"/>
        <v>210</v>
      </c>
      <c r="B217" s="82">
        <v>44682</v>
      </c>
      <c r="C217" s="89"/>
      <c r="D217" s="106">
        <v>-385978.38</v>
      </c>
      <c r="E217" s="85"/>
      <c r="F217" s="104">
        <v>3.2500000000000001E-2</v>
      </c>
      <c r="G217" s="103">
        <f t="shared" si="28"/>
        <v>1678.4</v>
      </c>
      <c r="H217" s="102">
        <f t="shared" si="27"/>
        <v>-384299.98</v>
      </c>
      <c r="I217" s="99">
        <f t="shared" si="23"/>
        <v>428407.46518941002</v>
      </c>
    </row>
    <row r="218" spans="1:9" hidden="1" outlineLevel="1" x14ac:dyDescent="0.2">
      <c r="A218" s="71">
        <f t="shared" si="26"/>
        <v>211</v>
      </c>
      <c r="B218" s="82">
        <v>44713</v>
      </c>
      <c r="C218" s="89"/>
      <c r="D218" s="106">
        <v>-234117.16999999995</v>
      </c>
      <c r="E218" s="85"/>
      <c r="F218" s="104">
        <v>3.2500000000000001E-2</v>
      </c>
      <c r="G218" s="103">
        <f t="shared" si="28"/>
        <v>843.24</v>
      </c>
      <c r="H218" s="102">
        <f t="shared" si="27"/>
        <v>-233273.92999999996</v>
      </c>
      <c r="I218" s="99">
        <f t="shared" si="23"/>
        <v>195133.53518941006</v>
      </c>
    </row>
    <row r="219" spans="1:9" hidden="1" outlineLevel="1" x14ac:dyDescent="0.2">
      <c r="A219" s="71">
        <f t="shared" si="26"/>
        <v>212</v>
      </c>
      <c r="B219" s="82">
        <v>44743</v>
      </c>
      <c r="C219" s="89"/>
      <c r="D219" s="106">
        <v>-153033.24999999994</v>
      </c>
      <c r="E219" s="85"/>
      <c r="F219" s="104">
        <v>3.5999999999999997E-2</v>
      </c>
      <c r="G219" s="103">
        <f t="shared" si="28"/>
        <v>355.85</v>
      </c>
      <c r="H219" s="102">
        <f t="shared" si="27"/>
        <v>-152677.39999999994</v>
      </c>
      <c r="I219" s="99">
        <f t="shared" si="23"/>
        <v>42456.135189410124</v>
      </c>
    </row>
    <row r="220" spans="1:9" hidden="1" outlineLevel="1" x14ac:dyDescent="0.2">
      <c r="A220" s="71">
        <f t="shared" si="26"/>
        <v>213</v>
      </c>
      <c r="B220" s="82">
        <v>44774</v>
      </c>
      <c r="C220" s="89"/>
      <c r="D220" s="106">
        <v>-115237.39000000003</v>
      </c>
      <c r="E220" s="85"/>
      <c r="F220" s="104">
        <v>3.5999999999999997E-2</v>
      </c>
      <c r="G220" s="103">
        <f t="shared" si="28"/>
        <v>-45.49</v>
      </c>
      <c r="H220" s="102">
        <f t="shared" si="27"/>
        <v>-115282.88000000003</v>
      </c>
      <c r="I220" s="99">
        <f t="shared" si="23"/>
        <v>-72826.744810589909</v>
      </c>
    </row>
    <row r="221" spans="1:9" hidden="1" outlineLevel="1" x14ac:dyDescent="0.2">
      <c r="A221" s="71">
        <f t="shared" si="26"/>
        <v>214</v>
      </c>
      <c r="B221" s="82">
        <v>44805</v>
      </c>
      <c r="C221" s="108"/>
      <c r="D221" s="106">
        <v>-125639.49999999999</v>
      </c>
      <c r="E221" s="85"/>
      <c r="F221" s="104">
        <v>3.5999999999999997E-2</v>
      </c>
      <c r="G221" s="103">
        <f t="shared" si="28"/>
        <v>-406.94</v>
      </c>
      <c r="H221" s="102">
        <f t="shared" si="27"/>
        <v>-126046.43999999999</v>
      </c>
      <c r="I221" s="99">
        <f t="shared" si="23"/>
        <v>-198873.18481058988</v>
      </c>
    </row>
    <row r="222" spans="1:9" hidden="1" outlineLevel="1" x14ac:dyDescent="0.2">
      <c r="A222" s="71">
        <f t="shared" si="26"/>
        <v>215</v>
      </c>
      <c r="B222" s="82">
        <v>44835</v>
      </c>
      <c r="C222" s="108"/>
      <c r="D222" s="106">
        <v>-142306.81999999998</v>
      </c>
      <c r="E222" s="85"/>
      <c r="F222" s="104">
        <v>4.9099999999999998E-2</v>
      </c>
      <c r="G222" s="103">
        <f t="shared" si="28"/>
        <v>-1104.8599999999999</v>
      </c>
      <c r="H222" s="102">
        <f t="shared" si="27"/>
        <v>-143411.67999999996</v>
      </c>
      <c r="I222" s="99">
        <f t="shared" si="23"/>
        <v>-342284.86481058982</v>
      </c>
    </row>
    <row r="223" spans="1:9" hidden="1" outlineLevel="1" x14ac:dyDescent="0.2">
      <c r="A223" s="71">
        <f t="shared" si="26"/>
        <v>216</v>
      </c>
      <c r="B223" s="82">
        <v>44866</v>
      </c>
      <c r="C223" s="108" t="s">
        <v>348</v>
      </c>
      <c r="D223" s="106">
        <v>-186018.56999999998</v>
      </c>
      <c r="E223" s="85"/>
      <c r="F223" s="104">
        <v>4.9099999999999998E-2</v>
      </c>
      <c r="G223" s="103">
        <f t="shared" si="28"/>
        <v>-1781.08</v>
      </c>
      <c r="H223" s="102">
        <f t="shared" si="27"/>
        <v>-187799.64999999997</v>
      </c>
      <c r="I223" s="99">
        <f t="shared" si="23"/>
        <v>-530084.51481058984</v>
      </c>
    </row>
    <row r="224" spans="1:9" hidden="1" outlineLevel="1" collapsed="1" x14ac:dyDescent="0.2">
      <c r="A224" s="71">
        <f t="shared" si="26"/>
        <v>217</v>
      </c>
      <c r="B224" s="82">
        <v>44866</v>
      </c>
      <c r="C224" s="108" t="s">
        <v>349</v>
      </c>
      <c r="D224" s="106">
        <v>-479527.20000000007</v>
      </c>
      <c r="E224" s="85">
        <v>10877470.65</v>
      </c>
      <c r="F224" s="104">
        <v>4.9099999999999998E-2</v>
      </c>
      <c r="G224" s="103">
        <f>ROUND((+E224+(D224/2))*F224/12,2)</f>
        <v>43525.95</v>
      </c>
      <c r="H224" s="102">
        <f t="shared" si="27"/>
        <v>10441469.4</v>
      </c>
      <c r="I224" s="99">
        <f t="shared" si="23"/>
        <v>9911384.8851894103</v>
      </c>
    </row>
    <row r="225" spans="1:9" hidden="1" outlineLevel="1" x14ac:dyDescent="0.2">
      <c r="A225" s="71">
        <f t="shared" si="26"/>
        <v>218</v>
      </c>
      <c r="B225" s="82">
        <v>44896</v>
      </c>
      <c r="C225" s="108"/>
      <c r="D225" s="106">
        <v>-1752529</v>
      </c>
      <c r="E225" s="85"/>
      <c r="F225" s="104">
        <v>4.9099999999999998E-2</v>
      </c>
      <c r="G225" s="103">
        <f t="shared" ref="G225:G236" si="29">ROUND((+I224+E225+(D225/2))*F225/12,2)</f>
        <v>36968.699999999997</v>
      </c>
      <c r="H225" s="102">
        <f t="shared" si="27"/>
        <v>-1715560.3</v>
      </c>
      <c r="I225" s="99">
        <f t="shared" si="23"/>
        <v>8195824.5851894105</v>
      </c>
    </row>
    <row r="226" spans="1:9" hidden="1" outlineLevel="1" x14ac:dyDescent="0.2">
      <c r="A226" s="71">
        <f t="shared" si="26"/>
        <v>219</v>
      </c>
      <c r="B226" s="82">
        <v>44927</v>
      </c>
      <c r="C226" s="108"/>
      <c r="D226" s="106">
        <v>-1784679.2099999997</v>
      </c>
      <c r="E226" s="85"/>
      <c r="F226" s="104">
        <v>6.3100000000000003E-2</v>
      </c>
      <c r="G226" s="103">
        <f t="shared" si="29"/>
        <v>38404.160000000003</v>
      </c>
      <c r="H226" s="102">
        <f t="shared" si="27"/>
        <v>-1746275.0499999998</v>
      </c>
      <c r="I226" s="99">
        <f t="shared" si="23"/>
        <v>6449549.5351894107</v>
      </c>
    </row>
    <row r="227" spans="1:9" hidden="1" outlineLevel="1" x14ac:dyDescent="0.2">
      <c r="A227" s="71">
        <f t="shared" si="26"/>
        <v>220</v>
      </c>
      <c r="B227" s="82">
        <v>44958</v>
      </c>
      <c r="C227" s="108"/>
      <c r="D227" s="106">
        <v>-1561125.17</v>
      </c>
      <c r="E227" s="85"/>
      <c r="F227" s="104">
        <v>6.3100000000000003E-2</v>
      </c>
      <c r="G227" s="103">
        <f t="shared" si="29"/>
        <v>29809.42</v>
      </c>
      <c r="H227" s="102">
        <f t="shared" si="27"/>
        <v>-1531315.75</v>
      </c>
      <c r="I227" s="99">
        <f t="shared" si="23"/>
        <v>4918233.7851894107</v>
      </c>
    </row>
    <row r="228" spans="1:9" hidden="1" outlineLevel="1" x14ac:dyDescent="0.2">
      <c r="A228" s="71">
        <f t="shared" si="26"/>
        <v>221</v>
      </c>
      <c r="B228" s="82">
        <v>44986</v>
      </c>
      <c r="C228" s="108"/>
      <c r="D228" s="106">
        <v>-1564839.54</v>
      </c>
      <c r="E228" s="85"/>
      <c r="F228" s="104">
        <v>6.3100000000000003E-2</v>
      </c>
      <c r="G228" s="103">
        <f t="shared" si="29"/>
        <v>21747.49</v>
      </c>
      <c r="H228" s="102">
        <f t="shared" si="27"/>
        <v>-1543092.05</v>
      </c>
      <c r="I228" s="99">
        <f t="shared" si="23"/>
        <v>3375141.7351894109</v>
      </c>
    </row>
    <row r="229" spans="1:9" hidden="1" outlineLevel="1" x14ac:dyDescent="0.2">
      <c r="A229" s="71">
        <f t="shared" si="26"/>
        <v>222</v>
      </c>
      <c r="B229" s="82">
        <v>45017</v>
      </c>
      <c r="C229" s="108"/>
      <c r="D229" s="106">
        <v>-1148662.6199999999</v>
      </c>
      <c r="E229" s="85"/>
      <c r="F229" s="104">
        <v>7.4999999999999997E-2</v>
      </c>
      <c r="G229" s="103">
        <f t="shared" si="29"/>
        <v>17505.07</v>
      </c>
      <c r="H229" s="102">
        <f t="shared" si="27"/>
        <v>-1131157.5499999998</v>
      </c>
      <c r="I229" s="99">
        <f t="shared" si="23"/>
        <v>2243984.185189411</v>
      </c>
    </row>
    <row r="230" spans="1:9" hidden="1" outlineLevel="1" x14ac:dyDescent="0.2">
      <c r="A230" s="71">
        <f t="shared" si="26"/>
        <v>223</v>
      </c>
      <c r="B230" s="82">
        <v>45047</v>
      </c>
      <c r="C230" s="108"/>
      <c r="D230" s="106">
        <v>-653569.74</v>
      </c>
      <c r="E230" s="85"/>
      <c r="F230" s="104">
        <v>7.4999999999999997E-2</v>
      </c>
      <c r="G230" s="103">
        <f t="shared" si="29"/>
        <v>11982.5</v>
      </c>
      <c r="H230" s="102">
        <f t="shared" si="27"/>
        <v>-641587.24</v>
      </c>
      <c r="I230" s="99">
        <f t="shared" si="23"/>
        <v>1602396.9451894111</v>
      </c>
    </row>
    <row r="231" spans="1:9" hidden="1" outlineLevel="1" x14ac:dyDescent="0.2">
      <c r="A231" s="71">
        <f t="shared" si="26"/>
        <v>224</v>
      </c>
      <c r="B231" s="82">
        <v>45078</v>
      </c>
      <c r="C231" s="108"/>
      <c r="D231" s="106">
        <v>-375984.87000000017</v>
      </c>
      <c r="E231" s="85"/>
      <c r="F231" s="104">
        <v>7.4999999999999997E-2</v>
      </c>
      <c r="G231" s="103">
        <f t="shared" si="29"/>
        <v>8840.0300000000007</v>
      </c>
      <c r="H231" s="102">
        <f t="shared" si="27"/>
        <v>-367144.84000000014</v>
      </c>
      <c r="I231" s="99">
        <f t="shared" si="23"/>
        <v>1235252.105189411</v>
      </c>
    </row>
    <row r="232" spans="1:9" hidden="1" outlineLevel="1" x14ac:dyDescent="0.2">
      <c r="A232" s="71">
        <f t="shared" si="26"/>
        <v>225</v>
      </c>
      <c r="B232" s="82">
        <v>45108</v>
      </c>
      <c r="C232" s="108"/>
      <c r="D232" s="106">
        <v>-305543.11000000004</v>
      </c>
      <c r="E232" s="85"/>
      <c r="F232" s="104">
        <v>8.0199999999999994E-2</v>
      </c>
      <c r="G232" s="103">
        <f t="shared" si="29"/>
        <v>7234.58</v>
      </c>
      <c r="H232" s="102">
        <f t="shared" si="27"/>
        <v>-298308.53000000003</v>
      </c>
      <c r="I232" s="99">
        <f t="shared" si="23"/>
        <v>936943.57518941094</v>
      </c>
    </row>
    <row r="233" spans="1:9" hidden="1" outlineLevel="1" x14ac:dyDescent="0.2">
      <c r="A233" s="71">
        <f t="shared" si="26"/>
        <v>226</v>
      </c>
      <c r="B233" s="82">
        <v>45139</v>
      </c>
      <c r="C233" s="89"/>
      <c r="D233" s="106">
        <v>-261480.33999999994</v>
      </c>
      <c r="E233" s="85"/>
      <c r="F233" s="104">
        <v>8.0199999999999994E-2</v>
      </c>
      <c r="G233" s="103">
        <f t="shared" si="29"/>
        <v>5388.13</v>
      </c>
      <c r="H233" s="102">
        <f t="shared" si="27"/>
        <v>-256092.20999999993</v>
      </c>
      <c r="I233" s="99">
        <f t="shared" si="23"/>
        <v>680851.36518941098</v>
      </c>
    </row>
    <row r="234" spans="1:9" hidden="1" outlineLevel="1" x14ac:dyDescent="0.2">
      <c r="A234" s="71">
        <f t="shared" si="26"/>
        <v>227</v>
      </c>
      <c r="B234" s="82">
        <v>45170</v>
      </c>
      <c r="C234" s="89"/>
      <c r="D234" s="106">
        <v>-278365.40000000008</v>
      </c>
      <c r="E234" s="85"/>
      <c r="F234" s="104">
        <v>8.0199999999999994E-2</v>
      </c>
      <c r="G234" s="103">
        <f t="shared" si="29"/>
        <v>3620.15</v>
      </c>
      <c r="H234" s="102">
        <f t="shared" si="27"/>
        <v>-274745.25000000006</v>
      </c>
      <c r="I234" s="99">
        <f t="shared" si="23"/>
        <v>406106.11518941092</v>
      </c>
    </row>
    <row r="235" spans="1:9" hidden="1" outlineLevel="1" x14ac:dyDescent="0.2">
      <c r="A235" s="71">
        <f t="shared" si="26"/>
        <v>228</v>
      </c>
      <c r="B235" s="82">
        <v>45200</v>
      </c>
      <c r="C235" s="89"/>
      <c r="D235" s="106">
        <v>-366005.8</v>
      </c>
      <c r="E235" s="85"/>
      <c r="F235" s="104">
        <v>8.3500000000000005E-2</v>
      </c>
      <c r="G235" s="103">
        <f t="shared" si="29"/>
        <v>1552.43</v>
      </c>
      <c r="H235" s="102">
        <f t="shared" si="27"/>
        <v>-364453.37</v>
      </c>
      <c r="I235" s="99">
        <f t="shared" si="23"/>
        <v>41652.745189410925</v>
      </c>
    </row>
    <row r="236" spans="1:9" hidden="1" outlineLevel="1" x14ac:dyDescent="0.2">
      <c r="A236" s="71">
        <f t="shared" si="26"/>
        <v>229</v>
      </c>
      <c r="B236" s="82">
        <v>45231</v>
      </c>
      <c r="C236" s="108" t="s">
        <v>348</v>
      </c>
      <c r="D236" s="106">
        <v>-477838.86999999982</v>
      </c>
      <c r="E236" s="85"/>
      <c r="F236" s="104">
        <v>8.3500000000000005E-2</v>
      </c>
      <c r="G236" s="103">
        <f t="shared" si="29"/>
        <v>-1372.65</v>
      </c>
      <c r="H236" s="102">
        <f t="shared" si="27"/>
        <v>-479211.51999999984</v>
      </c>
      <c r="I236" s="99">
        <f t="shared" si="23"/>
        <v>-437558.77481058892</v>
      </c>
    </row>
    <row r="237" spans="1:9" hidden="1" outlineLevel="1" collapsed="1" x14ac:dyDescent="0.2">
      <c r="A237" s="71">
        <f t="shared" si="26"/>
        <v>230</v>
      </c>
      <c r="B237" s="82">
        <v>45231</v>
      </c>
      <c r="C237" s="108" t="s">
        <v>349</v>
      </c>
      <c r="D237" s="106">
        <v>-15112.369999999999</v>
      </c>
      <c r="E237" s="85">
        <v>798844.89283155033</v>
      </c>
      <c r="F237" s="104">
        <v>8.3500000000000005E-2</v>
      </c>
      <c r="G237" s="103">
        <f>ROUND((+E237+(D237/2))*F237/12,2)</f>
        <v>5506.05</v>
      </c>
      <c r="H237" s="102">
        <f t="shared" si="27"/>
        <v>789238.57283155038</v>
      </c>
      <c r="I237" s="99">
        <f t="shared" si="23"/>
        <v>351679.79802096146</v>
      </c>
    </row>
    <row r="238" spans="1:9" hidden="1" outlineLevel="1" x14ac:dyDescent="0.2">
      <c r="A238" s="71">
        <f t="shared" si="26"/>
        <v>231</v>
      </c>
      <c r="B238" s="82">
        <v>45261</v>
      </c>
      <c r="C238" s="89"/>
      <c r="D238" s="106">
        <v>-64265.109999999993</v>
      </c>
      <c r="E238" s="85"/>
      <c r="F238" s="104">
        <v>8.3500000000000005E-2</v>
      </c>
      <c r="G238" s="103">
        <f t="shared" ref="G238:G249" si="30">ROUND((+I237+E238+(D238/2))*F238/12,2)</f>
        <v>2223.52</v>
      </c>
      <c r="H238" s="102">
        <f t="shared" si="27"/>
        <v>-62041.59</v>
      </c>
      <c r="I238" s="99">
        <f t="shared" si="23"/>
        <v>289638.20802096149</v>
      </c>
    </row>
    <row r="239" spans="1:9" hidden="1" outlineLevel="1" x14ac:dyDescent="0.2">
      <c r="A239" s="71">
        <f t="shared" si="26"/>
        <v>232</v>
      </c>
      <c r="B239" s="82">
        <v>45292</v>
      </c>
      <c r="C239" s="89"/>
      <c r="D239" s="106">
        <v>-79457.53</v>
      </c>
      <c r="E239" s="85"/>
      <c r="F239" s="104">
        <v>8.5000000000000006E-2</v>
      </c>
      <c r="G239" s="103">
        <f t="shared" si="30"/>
        <v>1770.19</v>
      </c>
      <c r="H239" s="102">
        <f t="shared" ref="H239:H261" si="31">D239+E239+G239</f>
        <v>-77687.34</v>
      </c>
      <c r="I239" s="99">
        <f t="shared" si="23"/>
        <v>211950.8680209615</v>
      </c>
    </row>
    <row r="240" spans="1:9" hidden="1" outlineLevel="1" x14ac:dyDescent="0.2">
      <c r="A240" s="71">
        <f t="shared" si="26"/>
        <v>233</v>
      </c>
      <c r="B240" s="82">
        <v>45323</v>
      </c>
      <c r="C240" s="89"/>
      <c r="D240" s="106">
        <v>-70097.260000000024</v>
      </c>
      <c r="E240" s="85"/>
      <c r="F240" s="104">
        <v>8.5000000000000006E-2</v>
      </c>
      <c r="G240" s="103">
        <f t="shared" si="30"/>
        <v>1253.06</v>
      </c>
      <c r="H240" s="102">
        <f t="shared" si="31"/>
        <v>-68844.200000000026</v>
      </c>
      <c r="I240" s="99">
        <f t="shared" si="23"/>
        <v>143106.66802096146</v>
      </c>
    </row>
    <row r="241" spans="1:9" hidden="1" outlineLevel="1" x14ac:dyDescent="0.2">
      <c r="A241" s="71">
        <f t="shared" si="26"/>
        <v>234</v>
      </c>
      <c r="B241" s="82">
        <v>45352</v>
      </c>
      <c r="C241" s="89"/>
      <c r="D241" s="106">
        <v>-59878.330000000009</v>
      </c>
      <c r="E241" s="85"/>
      <c r="F241" s="104">
        <v>8.5000000000000006E-2</v>
      </c>
      <c r="G241" s="103">
        <f t="shared" si="30"/>
        <v>801.6</v>
      </c>
      <c r="H241" s="102">
        <f t="shared" si="31"/>
        <v>-59076.73000000001</v>
      </c>
      <c r="I241" s="99">
        <f t="shared" si="23"/>
        <v>84029.938020961446</v>
      </c>
    </row>
    <row r="242" spans="1:9" hidden="1" outlineLevel="1" x14ac:dyDescent="0.2">
      <c r="A242" s="71">
        <f t="shared" si="26"/>
        <v>235</v>
      </c>
      <c r="B242" s="82">
        <v>45383</v>
      </c>
      <c r="C242" s="89"/>
      <c r="D242" s="106">
        <v>-39823.359999999993</v>
      </c>
      <c r="E242" s="85"/>
      <c r="F242" s="104">
        <v>8.5000000000000006E-2</v>
      </c>
      <c r="G242" s="103">
        <f t="shared" si="30"/>
        <v>454.17</v>
      </c>
      <c r="H242" s="102">
        <f t="shared" si="31"/>
        <v>-39369.189999999995</v>
      </c>
      <c r="I242" s="99">
        <f t="shared" si="23"/>
        <v>44660.748020961451</v>
      </c>
    </row>
    <row r="243" spans="1:9" hidden="1" outlineLevel="1" x14ac:dyDescent="0.2">
      <c r="A243" s="71">
        <f t="shared" si="26"/>
        <v>236</v>
      </c>
      <c r="B243" s="82">
        <v>45413</v>
      </c>
      <c r="C243" s="89"/>
      <c r="D243" s="106">
        <v>-30867.22</v>
      </c>
      <c r="E243" s="85"/>
      <c r="F243" s="104">
        <v>8.5000000000000006E-2</v>
      </c>
      <c r="G243" s="103">
        <f t="shared" si="30"/>
        <v>207.03</v>
      </c>
      <c r="H243" s="102">
        <f t="shared" si="31"/>
        <v>-30660.190000000002</v>
      </c>
      <c r="I243" s="99">
        <f t="shared" si="23"/>
        <v>14000.558020961449</v>
      </c>
    </row>
    <row r="244" spans="1:9" hidden="1" outlineLevel="1" x14ac:dyDescent="0.2">
      <c r="A244" s="71">
        <f t="shared" si="26"/>
        <v>237</v>
      </c>
      <c r="B244" s="82">
        <v>45444</v>
      </c>
      <c r="C244" s="89"/>
      <c r="D244" s="106">
        <v>-21281.739999999998</v>
      </c>
      <c r="E244" s="85"/>
      <c r="F244" s="104">
        <v>8.5000000000000006E-2</v>
      </c>
      <c r="G244" s="103">
        <f t="shared" si="30"/>
        <v>23.8</v>
      </c>
      <c r="H244" s="102">
        <f t="shared" si="31"/>
        <v>-21257.94</v>
      </c>
      <c r="I244" s="99">
        <f t="shared" si="23"/>
        <v>-7257.3819790385496</v>
      </c>
    </row>
    <row r="245" spans="1:9" hidden="1" outlineLevel="1" x14ac:dyDescent="0.2">
      <c r="A245" s="71">
        <f t="shared" si="26"/>
        <v>238</v>
      </c>
      <c r="B245" s="82">
        <v>45474</v>
      </c>
      <c r="C245" s="89"/>
      <c r="D245" s="106">
        <v>-14352.369999999999</v>
      </c>
      <c r="E245" s="85"/>
      <c r="F245" s="104">
        <v>8.5000000000000006E-2</v>
      </c>
      <c r="G245" s="103">
        <f t="shared" si="30"/>
        <v>-102.24</v>
      </c>
      <c r="H245" s="102">
        <f t="shared" si="31"/>
        <v>-14454.609999999999</v>
      </c>
      <c r="I245" s="99">
        <f t="shared" si="23"/>
        <v>-21711.991979038547</v>
      </c>
    </row>
    <row r="246" spans="1:9" hidden="1" outlineLevel="1" x14ac:dyDescent="0.2">
      <c r="A246" s="71">
        <f t="shared" si="26"/>
        <v>239</v>
      </c>
      <c r="B246" s="82">
        <v>45505</v>
      </c>
      <c r="C246" s="89"/>
      <c r="D246" s="106">
        <v>-12372.8</v>
      </c>
      <c r="E246" s="85"/>
      <c r="F246" s="104">
        <v>8.5000000000000006E-2</v>
      </c>
      <c r="G246" s="103">
        <f t="shared" si="30"/>
        <v>-197.61</v>
      </c>
      <c r="H246" s="102">
        <f t="shared" si="31"/>
        <v>-12570.41</v>
      </c>
      <c r="I246" s="99">
        <f t="shared" si="23"/>
        <v>-34282.40197903855</v>
      </c>
    </row>
    <row r="247" spans="1:9" hidden="1" outlineLevel="1" x14ac:dyDescent="0.2">
      <c r="A247" s="71">
        <f t="shared" si="26"/>
        <v>240</v>
      </c>
      <c r="B247" s="82">
        <v>45536</v>
      </c>
      <c r="C247" s="108"/>
      <c r="D247" s="106">
        <v>-13501.470000000001</v>
      </c>
      <c r="E247" s="85"/>
      <c r="F247" s="104">
        <v>8.5000000000000006E-2</v>
      </c>
      <c r="G247" s="103">
        <f t="shared" si="30"/>
        <v>-290.64999999999998</v>
      </c>
      <c r="H247" s="102">
        <f t="shared" si="31"/>
        <v>-13792.12</v>
      </c>
      <c r="I247" s="99">
        <f t="shared" si="23"/>
        <v>-48074.521979038553</v>
      </c>
    </row>
    <row r="248" spans="1:9" hidden="1" outlineLevel="1" x14ac:dyDescent="0.2">
      <c r="A248" s="71">
        <f t="shared" si="26"/>
        <v>241</v>
      </c>
      <c r="B248" s="82">
        <v>45566</v>
      </c>
      <c r="C248" s="108"/>
      <c r="D248" s="106">
        <v>-17430.799999999992</v>
      </c>
      <c r="E248" s="85"/>
      <c r="F248" s="104">
        <v>8.5000000000000006E-2</v>
      </c>
      <c r="G248" s="103">
        <f t="shared" si="30"/>
        <v>-402.26</v>
      </c>
      <c r="H248" s="102">
        <f t="shared" si="31"/>
        <v>-17833.05999999999</v>
      </c>
      <c r="I248" s="99">
        <f t="shared" ref="I248:I261" si="32">+I247+H248</f>
        <v>-65907.581979038543</v>
      </c>
    </row>
    <row r="249" spans="1:9" hidden="1" outlineLevel="1" x14ac:dyDescent="0.2">
      <c r="A249" s="71">
        <f t="shared" si="26"/>
        <v>242</v>
      </c>
      <c r="B249" s="82">
        <v>45597</v>
      </c>
      <c r="C249" s="108" t="s">
        <v>348</v>
      </c>
      <c r="D249" s="106">
        <v>-21396.760000000002</v>
      </c>
      <c r="E249" s="85"/>
      <c r="F249" s="104">
        <v>8.5000000000000006E-2</v>
      </c>
      <c r="G249" s="103">
        <f t="shared" si="30"/>
        <v>-542.63</v>
      </c>
      <c r="H249" s="102">
        <f t="shared" si="31"/>
        <v>-21939.390000000003</v>
      </c>
      <c r="I249" s="99">
        <f t="shared" si="32"/>
        <v>-87846.971979038542</v>
      </c>
    </row>
    <row r="250" spans="1:9" collapsed="1" x14ac:dyDescent="0.2">
      <c r="A250" s="71">
        <f t="shared" si="26"/>
        <v>243</v>
      </c>
      <c r="B250" s="82">
        <v>45597</v>
      </c>
      <c r="C250" s="108" t="s">
        <v>115</v>
      </c>
      <c r="D250" s="106">
        <v>268950.99</v>
      </c>
      <c r="E250" s="85">
        <v>-9033949.7895945609</v>
      </c>
      <c r="F250" s="104">
        <v>8.5000000000000006E-2</v>
      </c>
      <c r="G250" s="103">
        <f>ROUND((+E250+(D250/2))*F250/12,2)</f>
        <v>-63037.94</v>
      </c>
      <c r="H250" s="102">
        <f t="shared" si="31"/>
        <v>-8828036.7395945601</v>
      </c>
      <c r="I250" s="99">
        <f t="shared" si="32"/>
        <v>-8915883.7115735989</v>
      </c>
    </row>
    <row r="251" spans="1:9" x14ac:dyDescent="0.2">
      <c r="A251" s="71">
        <f t="shared" si="26"/>
        <v>244</v>
      </c>
      <c r="B251" s="82">
        <v>45627</v>
      </c>
      <c r="C251" s="108"/>
      <c r="D251" s="106">
        <v>1291604.1799999995</v>
      </c>
      <c r="E251" s="85"/>
      <c r="F251" s="104">
        <v>8.5000000000000006E-2</v>
      </c>
      <c r="G251" s="103">
        <f t="shared" ref="G251:G261" si="33">ROUND((+I250+E251+(D251/2))*F251/12,2)</f>
        <v>-58579.74</v>
      </c>
      <c r="H251" s="102">
        <f t="shared" si="31"/>
        <v>1233024.4399999995</v>
      </c>
      <c r="I251" s="99">
        <f t="shared" si="32"/>
        <v>-7682859.2715735994</v>
      </c>
    </row>
    <row r="252" spans="1:9" x14ac:dyDescent="0.2">
      <c r="A252" s="71">
        <f t="shared" si="26"/>
        <v>245</v>
      </c>
      <c r="B252" s="82">
        <v>45658</v>
      </c>
      <c r="C252" s="108"/>
      <c r="D252" s="106">
        <v>1394483.05</v>
      </c>
      <c r="E252" s="85"/>
      <c r="F252" s="104">
        <v>8.0399999999999999E-2</v>
      </c>
      <c r="G252" s="103">
        <f t="shared" si="33"/>
        <v>-46803.64</v>
      </c>
      <c r="H252" s="102">
        <f t="shared" si="31"/>
        <v>1347679.4100000001</v>
      </c>
      <c r="I252" s="99">
        <f t="shared" si="32"/>
        <v>-6335179.8615735993</v>
      </c>
    </row>
    <row r="253" spans="1:9" x14ac:dyDescent="0.2">
      <c r="A253" s="71">
        <f t="shared" si="26"/>
        <v>246</v>
      </c>
      <c r="B253" s="82">
        <v>45689</v>
      </c>
      <c r="C253" s="108"/>
      <c r="D253" s="106">
        <v>1539363.8699999999</v>
      </c>
      <c r="E253" s="85"/>
      <c r="F253" s="104">
        <v>8.0399999999999999E-2</v>
      </c>
      <c r="G253" s="103">
        <f t="shared" si="33"/>
        <v>-37288.839999999997</v>
      </c>
      <c r="H253" s="102">
        <f t="shared" si="31"/>
        <v>1502075.0299999998</v>
      </c>
      <c r="I253" s="99">
        <f t="shared" si="32"/>
        <v>-4833104.8315735999</v>
      </c>
    </row>
    <row r="254" spans="1:9" x14ac:dyDescent="0.2">
      <c r="A254" s="71">
        <f t="shared" si="26"/>
        <v>247</v>
      </c>
      <c r="B254" s="82">
        <v>45717</v>
      </c>
      <c r="C254" s="108"/>
      <c r="D254" s="106">
        <v>1059212.47</v>
      </c>
      <c r="E254" s="85"/>
      <c r="F254" s="104">
        <v>8.0399999999999999E-2</v>
      </c>
      <c r="G254" s="103">
        <f t="shared" si="33"/>
        <v>-28833.439999999999</v>
      </c>
      <c r="H254" s="102">
        <f t="shared" si="31"/>
        <v>1030379.03</v>
      </c>
      <c r="I254" s="99">
        <f t="shared" si="32"/>
        <v>-3802725.8015735997</v>
      </c>
    </row>
    <row r="255" spans="1:9" x14ac:dyDescent="0.2">
      <c r="A255" s="71">
        <f t="shared" si="26"/>
        <v>248</v>
      </c>
      <c r="B255" s="82">
        <v>45748</v>
      </c>
      <c r="C255" s="108"/>
      <c r="D255" s="106">
        <v>732640.32999999984</v>
      </c>
      <c r="E255" s="85"/>
      <c r="F255" s="104">
        <v>7.5499999999999998E-2</v>
      </c>
      <c r="G255" s="103">
        <f t="shared" si="33"/>
        <v>-21620.720000000001</v>
      </c>
      <c r="H255" s="102">
        <f t="shared" si="31"/>
        <v>711019.60999999987</v>
      </c>
      <c r="I255" s="99">
        <f t="shared" si="32"/>
        <v>-3091706.1915735998</v>
      </c>
    </row>
    <row r="256" spans="1:9" x14ac:dyDescent="0.2">
      <c r="A256" s="71">
        <f t="shared" si="26"/>
        <v>249</v>
      </c>
      <c r="B256" s="82">
        <v>45778</v>
      </c>
      <c r="C256" s="89"/>
      <c r="D256" s="106">
        <v>454332.21</v>
      </c>
      <c r="E256" s="85"/>
      <c r="F256" s="104">
        <v>7.5499999999999998E-2</v>
      </c>
      <c r="G256" s="103">
        <f t="shared" si="33"/>
        <v>-18022.73</v>
      </c>
      <c r="H256" s="102">
        <f t="shared" si="31"/>
        <v>436309.48000000004</v>
      </c>
      <c r="I256" s="99">
        <f t="shared" si="32"/>
        <v>-2655396.7115735998</v>
      </c>
    </row>
    <row r="257" spans="1:9" x14ac:dyDescent="0.2">
      <c r="A257" s="71">
        <f t="shared" si="26"/>
        <v>250</v>
      </c>
      <c r="B257" s="82">
        <v>45809</v>
      </c>
      <c r="C257" s="89"/>
      <c r="D257" s="106">
        <v>344093.43000000011</v>
      </c>
      <c r="E257" s="85"/>
      <c r="F257" s="104">
        <v>7.5499999999999998E-2</v>
      </c>
      <c r="G257" s="103">
        <f t="shared" si="33"/>
        <v>-15624.41</v>
      </c>
      <c r="H257" s="102">
        <f t="shared" si="31"/>
        <v>328469.02000000014</v>
      </c>
      <c r="I257" s="99">
        <f t="shared" si="32"/>
        <v>-2326927.6915735998</v>
      </c>
    </row>
    <row r="258" spans="1:9" x14ac:dyDescent="0.2">
      <c r="A258" s="71">
        <f t="shared" si="26"/>
        <v>251</v>
      </c>
      <c r="B258" s="82">
        <v>45839</v>
      </c>
      <c r="C258" s="89"/>
      <c r="D258" s="106">
        <v>270891.57000000007</v>
      </c>
      <c r="E258" s="85"/>
      <c r="F258" s="107">
        <v>7.4999999999999997E-2</v>
      </c>
      <c r="G258" s="103">
        <f t="shared" si="33"/>
        <v>-13696.76</v>
      </c>
      <c r="H258" s="102">
        <f t="shared" si="31"/>
        <v>257194.81000000006</v>
      </c>
      <c r="I258" s="99">
        <f t="shared" si="32"/>
        <v>-2069732.8815735998</v>
      </c>
    </row>
    <row r="259" spans="1:9" x14ac:dyDescent="0.2">
      <c r="A259" s="71">
        <f t="shared" si="26"/>
        <v>252</v>
      </c>
      <c r="B259" s="82">
        <v>45870</v>
      </c>
      <c r="C259" s="89"/>
      <c r="D259" s="106">
        <v>227463.93000000005</v>
      </c>
      <c r="E259" s="85"/>
      <c r="F259" s="104">
        <v>7.4999999999999997E-2</v>
      </c>
      <c r="G259" s="103">
        <f t="shared" si="33"/>
        <v>-12225.01</v>
      </c>
      <c r="H259" s="102">
        <f t="shared" si="31"/>
        <v>215238.92000000004</v>
      </c>
      <c r="I259" s="99">
        <f t="shared" si="32"/>
        <v>-1854493.9615735998</v>
      </c>
    </row>
    <row r="260" spans="1:9" x14ac:dyDescent="0.2">
      <c r="A260" s="71">
        <f t="shared" si="26"/>
        <v>253</v>
      </c>
      <c r="B260" s="82">
        <v>45901</v>
      </c>
      <c r="C260" s="89" t="s">
        <v>347</v>
      </c>
      <c r="D260" s="105">
        <f>'[33]WA AMORT 2024-25'!X82</f>
        <v>290187.96999999997</v>
      </c>
      <c r="E260" s="85"/>
      <c r="F260" s="104">
        <v>7.4999999999999997E-2</v>
      </c>
      <c r="G260" s="103">
        <f t="shared" si="33"/>
        <v>-10683.75</v>
      </c>
      <c r="H260" s="102">
        <f t="shared" si="31"/>
        <v>279504.21999999997</v>
      </c>
      <c r="I260" s="99">
        <f t="shared" si="32"/>
        <v>-1574989.7415735999</v>
      </c>
    </row>
    <row r="261" spans="1:9" x14ac:dyDescent="0.2">
      <c r="A261" s="71">
        <f t="shared" si="26"/>
        <v>254</v>
      </c>
      <c r="B261" s="82">
        <v>45931</v>
      </c>
      <c r="C261" s="89" t="s">
        <v>347</v>
      </c>
      <c r="D261" s="105">
        <f>'[33]WA AMORT 2024-25'!AJ82</f>
        <v>154325.26</v>
      </c>
      <c r="E261" s="85"/>
      <c r="F261" s="104">
        <v>7.4999999999999997E-2</v>
      </c>
      <c r="G261" s="103">
        <f t="shared" si="33"/>
        <v>-9361.42</v>
      </c>
      <c r="H261" s="102">
        <f t="shared" si="31"/>
        <v>144963.84</v>
      </c>
      <c r="I261" s="99">
        <f t="shared" si="32"/>
        <v>-1430025.9015735998</v>
      </c>
    </row>
    <row r="262" spans="1:9" x14ac:dyDescent="0.2">
      <c r="A262" s="71"/>
      <c r="B262" s="82"/>
      <c r="C262" s="89"/>
      <c r="D262" s="105"/>
      <c r="E262" s="85"/>
      <c r="F262" s="104"/>
      <c r="G262" s="103"/>
      <c r="H262" s="102"/>
      <c r="I262" s="99"/>
    </row>
    <row r="263" spans="1:9" x14ac:dyDescent="0.2">
      <c r="A263" s="71"/>
      <c r="B263" s="82"/>
      <c r="C263" s="89"/>
      <c r="D263" s="105"/>
      <c r="E263" s="85"/>
      <c r="F263" s="104"/>
      <c r="G263" s="103"/>
      <c r="H263" s="102"/>
      <c r="I263" s="99"/>
    </row>
    <row r="264" spans="1:9" x14ac:dyDescent="0.2">
      <c r="A264" s="71"/>
      <c r="B264" s="82"/>
      <c r="C264" s="89"/>
      <c r="D264" s="105"/>
      <c r="E264" s="85"/>
      <c r="F264" s="104"/>
      <c r="G264" s="103"/>
      <c r="H264" s="102"/>
      <c r="I264" s="99"/>
    </row>
    <row r="265" spans="1:9" x14ac:dyDescent="0.2">
      <c r="A265" s="71"/>
      <c r="B265" s="82"/>
      <c r="C265" s="89"/>
      <c r="D265" s="105"/>
      <c r="E265" s="85"/>
      <c r="F265" s="104"/>
      <c r="G265" s="103"/>
      <c r="H265" s="102"/>
      <c r="I265" s="99"/>
    </row>
    <row r="266" spans="1:9" x14ac:dyDescent="0.2">
      <c r="A266" s="71"/>
      <c r="B266" s="82"/>
      <c r="C266" s="89"/>
      <c r="D266" s="105"/>
      <c r="E266" s="85"/>
      <c r="F266" s="104"/>
      <c r="G266" s="103"/>
      <c r="H266" s="102"/>
      <c r="I266" s="99"/>
    </row>
    <row r="267" spans="1:9" x14ac:dyDescent="0.2">
      <c r="A267" s="71"/>
      <c r="B267" s="82"/>
      <c r="C267" s="89"/>
      <c r="D267" s="105"/>
      <c r="E267" s="85"/>
      <c r="F267" s="104"/>
      <c r="G267" s="103"/>
      <c r="H267" s="102"/>
      <c r="I267" s="99"/>
    </row>
    <row r="268" spans="1:9" x14ac:dyDescent="0.2">
      <c r="A268" s="71"/>
      <c r="B268" s="82"/>
      <c r="C268" s="89"/>
      <c r="D268" s="105"/>
      <c r="E268" s="85"/>
      <c r="F268" s="104"/>
      <c r="G268" s="103"/>
      <c r="H268" s="102"/>
      <c r="I268" s="99"/>
    </row>
    <row r="269" spans="1:9" x14ac:dyDescent="0.2">
      <c r="A269" s="71"/>
      <c r="B269" s="82"/>
      <c r="C269" s="89"/>
      <c r="D269" s="105"/>
      <c r="E269" s="85"/>
      <c r="F269" s="104"/>
      <c r="G269" s="103"/>
      <c r="H269" s="102"/>
      <c r="I269" s="99"/>
    </row>
    <row r="270" spans="1:9" x14ac:dyDescent="0.2">
      <c r="A270" s="71"/>
      <c r="B270" s="82"/>
      <c r="C270" s="89"/>
      <c r="D270" s="105"/>
      <c r="E270" s="85"/>
      <c r="F270" s="104"/>
      <c r="G270" s="103"/>
      <c r="H270" s="102"/>
      <c r="I270" s="99"/>
    </row>
    <row r="271" spans="1:9" x14ac:dyDescent="0.2">
      <c r="A271" s="71"/>
      <c r="B271" s="82"/>
      <c r="C271" s="89"/>
      <c r="D271" s="105"/>
      <c r="E271" s="85"/>
      <c r="F271" s="104"/>
      <c r="G271" s="103"/>
      <c r="H271" s="102"/>
      <c r="I271" s="99"/>
    </row>
    <row r="272" spans="1:9" x14ac:dyDescent="0.2">
      <c r="A272" s="71"/>
      <c r="B272" s="82"/>
      <c r="C272" s="89"/>
      <c r="D272" s="105"/>
      <c r="E272" s="85"/>
      <c r="F272" s="104"/>
      <c r="G272" s="103"/>
      <c r="H272" s="102"/>
      <c r="I272" s="99"/>
    </row>
    <row r="273" spans="1:9" x14ac:dyDescent="0.2">
      <c r="A273" s="71"/>
      <c r="B273" s="82"/>
      <c r="C273" s="89"/>
      <c r="D273" s="105"/>
      <c r="E273" s="85"/>
      <c r="F273" s="104"/>
      <c r="G273" s="103"/>
      <c r="H273" s="102"/>
      <c r="I273" s="99"/>
    </row>
    <row r="274" spans="1:9" x14ac:dyDescent="0.2">
      <c r="A274" s="71"/>
      <c r="B274" s="82"/>
      <c r="C274" s="89"/>
      <c r="D274" s="105"/>
      <c r="E274" s="85"/>
      <c r="F274" s="104"/>
      <c r="G274" s="103"/>
      <c r="H274" s="102"/>
      <c r="I274" s="99"/>
    </row>
    <row r="275" spans="1:9" x14ac:dyDescent="0.2">
      <c r="A275" s="71">
        <f>+A261+1</f>
        <v>255</v>
      </c>
      <c r="D275" s="67"/>
      <c r="E275" s="67"/>
      <c r="F275" s="77"/>
      <c r="G275" s="101"/>
      <c r="H275" s="67"/>
      <c r="I275" s="75"/>
    </row>
    <row r="276" spans="1:9" x14ac:dyDescent="0.2">
      <c r="A276" s="71">
        <f>+A275+1</f>
        <v>256</v>
      </c>
      <c r="B276" s="100" t="s">
        <v>320</v>
      </c>
      <c r="D276" s="67"/>
      <c r="E276" s="98"/>
      <c r="F276" s="67"/>
      <c r="G276" s="98"/>
      <c r="I276" s="99"/>
    </row>
    <row r="277" spans="1:9" x14ac:dyDescent="0.2">
      <c r="A277" s="71">
        <f>+A276+1</f>
        <v>257</v>
      </c>
      <c r="B277" s="73"/>
      <c r="D277" s="67"/>
      <c r="E277" s="67"/>
      <c r="F277" s="67"/>
      <c r="G277" s="77"/>
      <c r="I277" s="86"/>
    </row>
    <row r="278" spans="1:9" x14ac:dyDescent="0.2">
      <c r="A278" s="71">
        <f>+A277+1</f>
        <v>258</v>
      </c>
      <c r="B278" s="72" t="s">
        <v>318</v>
      </c>
      <c r="E278" s="98"/>
      <c r="F278" s="67"/>
      <c r="G278" s="98"/>
    </row>
    <row r="279" spans="1:9" x14ac:dyDescent="0.2">
      <c r="A279" s="71">
        <f>+A278+1</f>
        <v>259</v>
      </c>
      <c r="B279" s="66" t="s">
        <v>346</v>
      </c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9907-110D-403F-BCD0-B7F6C1EC06CE}">
  <sheetPr>
    <tabColor theme="0" tint="-0.14999847407452621"/>
    <pageSetUpPr fitToPage="1"/>
  </sheetPr>
  <dimension ref="A1:M252"/>
  <sheetViews>
    <sheetView view="pageBreakPreview" zoomScaleNormal="100" zoomScaleSheetLayoutView="100" workbookViewId="0">
      <pane xSplit="1" ySplit="11" topLeftCell="B12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1640625" defaultRowHeight="12.75" outlineLevelRow="1" x14ac:dyDescent="0.2"/>
  <cols>
    <col min="1" max="1" width="4.6640625" style="68" customWidth="1"/>
    <col min="2" max="2" width="15.6640625" style="66" customWidth="1"/>
    <col min="3" max="3" width="10.5" style="66" customWidth="1"/>
    <col min="4" max="4" width="17.1640625" style="67" customWidth="1"/>
    <col min="5" max="5" width="17.5" style="67" customWidth="1"/>
    <col min="6" max="7" width="15.6640625" style="67" customWidth="1"/>
    <col min="8" max="9" width="19.5" style="67" customWidth="1"/>
    <col min="10" max="11" width="15.6640625" style="67" hidden="1" customWidth="1"/>
    <col min="12" max="12" width="16.6640625" style="66" customWidth="1"/>
    <col min="13" max="20" width="15.6640625" style="66" customWidth="1"/>
    <col min="21" max="16384" width="9.1640625" style="66"/>
  </cols>
  <sheetData>
    <row r="1" spans="1:10" x14ac:dyDescent="0.2">
      <c r="B1" s="66" t="s">
        <v>345</v>
      </c>
      <c r="D1" s="67" t="s">
        <v>344</v>
      </c>
    </row>
    <row r="2" spans="1:10" x14ac:dyDescent="0.2">
      <c r="B2" s="66" t="s">
        <v>343</v>
      </c>
      <c r="D2" s="67" t="s">
        <v>2</v>
      </c>
    </row>
    <row r="3" spans="1:10" x14ac:dyDescent="0.2">
      <c r="B3" s="66" t="s">
        <v>342</v>
      </c>
      <c r="D3" s="97" t="s">
        <v>360</v>
      </c>
    </row>
    <row r="4" spans="1:10" x14ac:dyDescent="0.2">
      <c r="B4" s="66" t="s">
        <v>340</v>
      </c>
      <c r="D4" s="96">
        <v>151550</v>
      </c>
    </row>
    <row r="5" spans="1:10" x14ac:dyDescent="0.2">
      <c r="D5" s="66" t="s">
        <v>339</v>
      </c>
    </row>
    <row r="6" spans="1:10" x14ac:dyDescent="0.2">
      <c r="D6" s="66" t="s">
        <v>338</v>
      </c>
    </row>
    <row r="8" spans="1:10" x14ac:dyDescent="0.2">
      <c r="A8" s="71">
        <v>1</v>
      </c>
      <c r="B8" s="66" t="s">
        <v>337</v>
      </c>
      <c r="G8" s="92"/>
    </row>
    <row r="9" spans="1:10" x14ac:dyDescent="0.2">
      <c r="A9" s="71">
        <f t="shared" ref="A9:A72" si="0">+A8+1</f>
        <v>2</v>
      </c>
      <c r="G9" s="92"/>
    </row>
    <row r="10" spans="1:10" x14ac:dyDescent="0.2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0" x14ac:dyDescent="0.2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0" x14ac:dyDescent="0.2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327</v>
      </c>
      <c r="G12" s="92" t="s">
        <v>326</v>
      </c>
      <c r="H12" s="92" t="s">
        <v>325</v>
      </c>
      <c r="I12" s="92" t="s">
        <v>324</v>
      </c>
      <c r="J12" s="92"/>
    </row>
    <row r="13" spans="1:10" x14ac:dyDescent="0.2">
      <c r="A13" s="71">
        <f t="shared" si="0"/>
        <v>6</v>
      </c>
      <c r="G13" s="92"/>
    </row>
    <row r="14" spans="1:10" x14ac:dyDescent="0.2">
      <c r="A14" s="71">
        <f t="shared" si="0"/>
        <v>7</v>
      </c>
      <c r="B14" s="70" t="s">
        <v>323</v>
      </c>
    </row>
    <row r="15" spans="1:10" hidden="1" outlineLevel="1" x14ac:dyDescent="0.2">
      <c r="A15" s="71">
        <f t="shared" si="0"/>
        <v>8</v>
      </c>
      <c r="B15" s="66">
        <v>39021</v>
      </c>
      <c r="G15" s="75"/>
      <c r="I15" s="67">
        <v>6815.73</v>
      </c>
    </row>
    <row r="16" spans="1:10" hidden="1" outlineLevel="1" x14ac:dyDescent="0.2">
      <c r="A16" s="71">
        <f t="shared" si="0"/>
        <v>9</v>
      </c>
      <c r="B16" s="66">
        <f>+B15+30</f>
        <v>39051</v>
      </c>
      <c r="D16" s="67">
        <v>-155570.91</v>
      </c>
      <c r="E16" s="67">
        <v>-6815.73</v>
      </c>
      <c r="G16" s="75">
        <v>-502</v>
      </c>
      <c r="H16" s="67">
        <f t="shared" ref="H16:H53" si="1">SUM(D16:G16)</f>
        <v>-162888.64000000001</v>
      </c>
      <c r="I16" s="75">
        <f t="shared" ref="I16:I53" si="2">+I15+H16</f>
        <v>-156072.91</v>
      </c>
    </row>
    <row r="17" spans="1:10" hidden="1" outlineLevel="1" x14ac:dyDescent="0.2">
      <c r="A17" s="71">
        <f t="shared" si="0"/>
        <v>10</v>
      </c>
      <c r="B17" s="66">
        <f>+B16+31</f>
        <v>39082</v>
      </c>
      <c r="D17" s="67">
        <f>-35318.87+98863.99</f>
        <v>63545.120000000003</v>
      </c>
      <c r="G17" s="75">
        <f>-1121+319</f>
        <v>-802</v>
      </c>
      <c r="H17" s="67">
        <f t="shared" si="1"/>
        <v>62743.12</v>
      </c>
      <c r="I17" s="75">
        <f t="shared" si="2"/>
        <v>-93329.790000000008</v>
      </c>
    </row>
    <row r="18" spans="1:10" hidden="1" outlineLevel="1" x14ac:dyDescent="0.2">
      <c r="A18" s="71">
        <f t="shared" si="0"/>
        <v>11</v>
      </c>
      <c r="B18" s="66">
        <f>+B17+31</f>
        <v>39113</v>
      </c>
      <c r="D18" s="67">
        <v>108095.83</v>
      </c>
      <c r="G18" s="75">
        <v>-267</v>
      </c>
      <c r="H18" s="67">
        <f t="shared" si="1"/>
        <v>107828.83</v>
      </c>
      <c r="I18" s="75">
        <f t="shared" si="2"/>
        <v>14499.039999999994</v>
      </c>
    </row>
    <row r="19" spans="1:10" hidden="1" outlineLevel="1" x14ac:dyDescent="0.2">
      <c r="A19" s="71">
        <f t="shared" si="0"/>
        <v>12</v>
      </c>
      <c r="B19" s="66">
        <f>+B18+28</f>
        <v>39141</v>
      </c>
      <c r="D19" s="67">
        <v>117337.56</v>
      </c>
      <c r="G19" s="75">
        <v>498</v>
      </c>
      <c r="H19" s="67">
        <f t="shared" si="1"/>
        <v>117835.56</v>
      </c>
      <c r="I19" s="75">
        <f t="shared" si="2"/>
        <v>132334.59999999998</v>
      </c>
    </row>
    <row r="20" spans="1:10" hidden="1" outlineLevel="1" x14ac:dyDescent="0.2">
      <c r="A20" s="71">
        <f t="shared" si="0"/>
        <v>13</v>
      </c>
      <c r="B20" s="66">
        <f>+B19+31</f>
        <v>39172</v>
      </c>
      <c r="D20" s="67">
        <v>116842.97</v>
      </c>
      <c r="G20" s="75">
        <v>1299</v>
      </c>
      <c r="H20" s="67">
        <f t="shared" si="1"/>
        <v>118141.97</v>
      </c>
      <c r="I20" s="75">
        <f t="shared" si="2"/>
        <v>250476.56999999998</v>
      </c>
    </row>
    <row r="21" spans="1:10" hidden="1" outlineLevel="1" x14ac:dyDescent="0.2">
      <c r="A21" s="71">
        <f t="shared" si="0"/>
        <v>14</v>
      </c>
      <c r="B21" s="66">
        <f>+B20+30</f>
        <v>39202</v>
      </c>
      <c r="D21" s="67">
        <v>71590.210000000006</v>
      </c>
      <c r="G21" s="75">
        <v>2202</v>
      </c>
      <c r="H21" s="67">
        <f t="shared" si="1"/>
        <v>73792.210000000006</v>
      </c>
      <c r="I21" s="75">
        <f t="shared" si="2"/>
        <v>324268.77999999997</v>
      </c>
    </row>
    <row r="22" spans="1:10" hidden="1" outlineLevel="1" x14ac:dyDescent="0.2">
      <c r="A22" s="71">
        <f t="shared" si="0"/>
        <v>15</v>
      </c>
      <c r="B22" s="66">
        <f>+B21+31</f>
        <v>39233</v>
      </c>
      <c r="D22" s="67">
        <v>77426.73</v>
      </c>
      <c r="G22" s="75">
        <v>2477</v>
      </c>
      <c r="H22" s="67">
        <f t="shared" si="1"/>
        <v>79903.73</v>
      </c>
      <c r="I22" s="75">
        <f t="shared" si="2"/>
        <v>404172.50999999995</v>
      </c>
    </row>
    <row r="23" spans="1:10" hidden="1" outlineLevel="1" x14ac:dyDescent="0.2">
      <c r="A23" s="71">
        <f t="shared" si="0"/>
        <v>16</v>
      </c>
      <c r="B23" s="66">
        <f>+B22+30</f>
        <v>39263</v>
      </c>
      <c r="D23" s="67">
        <v>67461.16</v>
      </c>
      <c r="G23" s="75">
        <f>3002</f>
        <v>3002</v>
      </c>
      <c r="H23" s="67">
        <f t="shared" si="1"/>
        <v>70463.16</v>
      </c>
      <c r="I23" s="75">
        <f t="shared" si="2"/>
        <v>474635.66999999993</v>
      </c>
      <c r="J23" s="75"/>
    </row>
    <row r="24" spans="1:10" hidden="1" outlineLevel="1" x14ac:dyDescent="0.2">
      <c r="A24" s="71">
        <f t="shared" si="0"/>
        <v>17</v>
      </c>
      <c r="B24" s="66">
        <f>+B23+31</f>
        <v>39294</v>
      </c>
      <c r="C24" s="66" t="s">
        <v>359</v>
      </c>
      <c r="D24" s="67">
        <v>63572.3</v>
      </c>
      <c r="E24" s="67">
        <v>-158792.81</v>
      </c>
      <c r="G24" s="75">
        <f>3368-6064.04</f>
        <v>-2696.04</v>
      </c>
      <c r="H24" s="67">
        <f t="shared" si="1"/>
        <v>-97916.549999999988</v>
      </c>
      <c r="I24" s="75">
        <f t="shared" si="2"/>
        <v>376719.11999999994</v>
      </c>
    </row>
    <row r="25" spans="1:10" hidden="1" outlineLevel="1" x14ac:dyDescent="0.2">
      <c r="A25" s="71">
        <f t="shared" si="0"/>
        <v>18</v>
      </c>
      <c r="B25" s="66">
        <f>+B24+30</f>
        <v>39324</v>
      </c>
      <c r="D25" s="67">
        <v>63578.17</v>
      </c>
      <c r="G25" s="75">
        <v>3839</v>
      </c>
      <c r="H25" s="67">
        <f t="shared" si="1"/>
        <v>67417.17</v>
      </c>
      <c r="I25" s="75">
        <f t="shared" si="2"/>
        <v>444136.28999999992</v>
      </c>
    </row>
    <row r="26" spans="1:10" hidden="1" outlineLevel="1" x14ac:dyDescent="0.2">
      <c r="A26" s="71">
        <f t="shared" si="0"/>
        <v>19</v>
      </c>
      <c r="B26" s="66">
        <f>+B25+30</f>
        <v>39354</v>
      </c>
      <c r="D26" s="67">
        <v>65055.92</v>
      </c>
      <c r="G26" s="75">
        <v>1441</v>
      </c>
      <c r="H26" s="67">
        <f t="shared" si="1"/>
        <v>66496.92</v>
      </c>
      <c r="I26" s="75">
        <f t="shared" si="2"/>
        <v>510633.2099999999</v>
      </c>
    </row>
    <row r="27" spans="1:10" hidden="1" outlineLevel="1" x14ac:dyDescent="0.2">
      <c r="A27" s="71">
        <f t="shared" si="0"/>
        <v>20</v>
      </c>
      <c r="B27" s="66">
        <f>+B26+31</f>
        <v>39385</v>
      </c>
      <c r="D27" s="67">
        <v>116135.34</v>
      </c>
      <c r="G27" s="76">
        <v>4027</v>
      </c>
      <c r="H27" s="67">
        <f t="shared" si="1"/>
        <v>120162.34</v>
      </c>
      <c r="I27" s="75">
        <f t="shared" si="2"/>
        <v>630795.54999999993</v>
      </c>
    </row>
    <row r="28" spans="1:10" hidden="1" outlineLevel="1" x14ac:dyDescent="0.2">
      <c r="A28" s="71">
        <f t="shared" si="0"/>
        <v>21</v>
      </c>
      <c r="B28" s="66">
        <f>+B27+30</f>
        <v>39415</v>
      </c>
      <c r="C28" s="66" t="s">
        <v>358</v>
      </c>
      <c r="D28" s="67">
        <v>-20724.490000000002</v>
      </c>
      <c r="E28" s="67">
        <f>-I27</f>
        <v>-630795.54999999993</v>
      </c>
      <c r="G28" s="76">
        <f>ROUND((+I27+E28+(D28/2))*0.0825/12,2)</f>
        <v>-71.239999999999995</v>
      </c>
      <c r="H28" s="67">
        <f t="shared" si="1"/>
        <v>-651591.27999999991</v>
      </c>
      <c r="I28" s="75">
        <f t="shared" si="2"/>
        <v>-20795.729999999981</v>
      </c>
    </row>
    <row r="29" spans="1:10" hidden="1" outlineLevel="1" x14ac:dyDescent="0.2">
      <c r="A29" s="71">
        <f t="shared" si="0"/>
        <v>22</v>
      </c>
      <c r="B29" s="66">
        <f>+B28+31</f>
        <v>39446</v>
      </c>
      <c r="D29" s="67">
        <v>-3123.86</v>
      </c>
      <c r="G29" s="76">
        <f>ROUND((+I28+E29+(D29/2))*0.0825/12,2)</f>
        <v>-153.71</v>
      </c>
      <c r="H29" s="67">
        <f t="shared" si="1"/>
        <v>-3277.57</v>
      </c>
      <c r="I29" s="75">
        <f t="shared" si="2"/>
        <v>-24073.299999999981</v>
      </c>
    </row>
    <row r="30" spans="1:10" hidden="1" outlineLevel="1" x14ac:dyDescent="0.2">
      <c r="A30" s="71">
        <f t="shared" si="0"/>
        <v>23</v>
      </c>
      <c r="B30" s="66">
        <f>+B29+31</f>
        <v>39477</v>
      </c>
      <c r="D30" s="67">
        <v>15496.29</v>
      </c>
      <c r="G30" s="76">
        <v>-26</v>
      </c>
      <c r="H30" s="67">
        <f t="shared" si="1"/>
        <v>15470.29</v>
      </c>
      <c r="I30" s="75">
        <f t="shared" si="2"/>
        <v>-8603.0099999999802</v>
      </c>
    </row>
    <row r="31" spans="1:10" hidden="1" outlineLevel="1" x14ac:dyDescent="0.2">
      <c r="A31" s="71">
        <f t="shared" si="0"/>
        <v>24</v>
      </c>
      <c r="B31" s="66">
        <f>+B30+29</f>
        <v>39506</v>
      </c>
      <c r="D31" s="67">
        <v>42494.54</v>
      </c>
      <c r="G31" s="76">
        <v>87</v>
      </c>
      <c r="H31" s="67">
        <f t="shared" si="1"/>
        <v>42581.54</v>
      </c>
      <c r="I31" s="75">
        <f t="shared" si="2"/>
        <v>33978.530000000021</v>
      </c>
    </row>
    <row r="32" spans="1:10" hidden="1" outlineLevel="1" x14ac:dyDescent="0.2">
      <c r="A32" s="71">
        <f t="shared" si="0"/>
        <v>25</v>
      </c>
      <c r="B32" s="66">
        <f>+B31+31</f>
        <v>39537</v>
      </c>
      <c r="D32" s="67">
        <f>21145.77-159191.79</f>
        <v>-138046.02000000002</v>
      </c>
      <c r="E32" s="75"/>
      <c r="F32" s="75"/>
      <c r="G32" s="76">
        <f>367-548</f>
        <v>-181</v>
      </c>
      <c r="H32" s="67">
        <f t="shared" si="1"/>
        <v>-138227.02000000002</v>
      </c>
      <c r="I32" s="75">
        <f t="shared" si="2"/>
        <v>-104248.48999999999</v>
      </c>
    </row>
    <row r="33" spans="1:11" hidden="1" outlineLevel="1" x14ac:dyDescent="0.2">
      <c r="A33" s="71">
        <f t="shared" si="0"/>
        <v>26</v>
      </c>
      <c r="B33" s="66">
        <f>+B32+30</f>
        <v>39567</v>
      </c>
      <c r="D33" s="67">
        <v>-3281.7</v>
      </c>
      <c r="G33" s="76">
        <v>-584</v>
      </c>
      <c r="H33" s="67">
        <f t="shared" si="1"/>
        <v>-3865.7</v>
      </c>
      <c r="I33" s="75">
        <f t="shared" si="2"/>
        <v>-108114.18999999999</v>
      </c>
    </row>
    <row r="34" spans="1:11" hidden="1" outlineLevel="1" x14ac:dyDescent="0.2">
      <c r="A34" s="71">
        <f t="shared" si="0"/>
        <v>27</v>
      </c>
      <c r="B34" s="66">
        <f>+B33+31</f>
        <v>39598</v>
      </c>
      <c r="D34" s="67">
        <v>4581.09</v>
      </c>
      <c r="G34" s="76">
        <f>ROUND((+I33+E34+(D34/2))*0.0677/12,2)</f>
        <v>-597.02</v>
      </c>
      <c r="H34" s="67">
        <f t="shared" si="1"/>
        <v>3984.07</v>
      </c>
      <c r="I34" s="75">
        <f t="shared" si="2"/>
        <v>-104130.11999999998</v>
      </c>
    </row>
    <row r="35" spans="1:11" hidden="1" outlineLevel="1" x14ac:dyDescent="0.2">
      <c r="A35" s="71">
        <f t="shared" si="0"/>
        <v>28</v>
      </c>
      <c r="B35" s="66">
        <f>+B34+30</f>
        <v>39628</v>
      </c>
      <c r="D35" s="67">
        <v>-9432.5</v>
      </c>
      <c r="G35" s="76">
        <v>-588</v>
      </c>
      <c r="H35" s="67">
        <f t="shared" si="1"/>
        <v>-10020.5</v>
      </c>
      <c r="I35" s="75">
        <f t="shared" si="2"/>
        <v>-114150.61999999998</v>
      </c>
    </row>
    <row r="36" spans="1:11" hidden="1" outlineLevel="1" x14ac:dyDescent="0.2">
      <c r="A36" s="71">
        <f t="shared" si="0"/>
        <v>29</v>
      </c>
      <c r="B36" s="66">
        <f>+B35+31</f>
        <v>39659</v>
      </c>
      <c r="D36" s="67">
        <v>-6430.84</v>
      </c>
      <c r="G36" s="76">
        <f>ROUND((+I35+E36+(D36/2))*0.053/12,2)</f>
        <v>-518.37</v>
      </c>
      <c r="H36" s="67">
        <f t="shared" si="1"/>
        <v>-6949.21</v>
      </c>
      <c r="I36" s="75">
        <f t="shared" si="2"/>
        <v>-121099.82999999999</v>
      </c>
    </row>
    <row r="37" spans="1:11" hidden="1" outlineLevel="1" x14ac:dyDescent="0.2">
      <c r="A37" s="71">
        <f t="shared" si="0"/>
        <v>30</v>
      </c>
      <c r="B37" s="66">
        <f>+B36+30</f>
        <v>39689</v>
      </c>
      <c r="D37" s="67">
        <v>-16761.12</v>
      </c>
      <c r="G37" s="76">
        <f>ROUND((+I36+E37+(D37/2))*0.053/12,2)</f>
        <v>-571.87</v>
      </c>
      <c r="H37" s="67">
        <f t="shared" si="1"/>
        <v>-17332.989999999998</v>
      </c>
      <c r="I37" s="75">
        <f t="shared" si="2"/>
        <v>-138432.81999999998</v>
      </c>
    </row>
    <row r="38" spans="1:11" hidden="1" outlineLevel="1" x14ac:dyDescent="0.2">
      <c r="A38" s="71">
        <f t="shared" si="0"/>
        <v>31</v>
      </c>
      <c r="B38" s="66">
        <f>+B37+30</f>
        <v>39719</v>
      </c>
      <c r="D38" s="67">
        <v>-6251.87</v>
      </c>
      <c r="E38" s="98"/>
      <c r="F38" s="98"/>
      <c r="G38" s="76">
        <f>ROUND((+I37+E38+(D38/2))*0.053/12,2)</f>
        <v>-625.22</v>
      </c>
      <c r="H38" s="67">
        <f t="shared" si="1"/>
        <v>-6877.09</v>
      </c>
      <c r="I38" s="75">
        <f t="shared" si="2"/>
        <v>-145309.90999999997</v>
      </c>
    </row>
    <row r="39" spans="1:11" hidden="1" outlineLevel="1" x14ac:dyDescent="0.2">
      <c r="A39" s="71">
        <f t="shared" si="0"/>
        <v>32</v>
      </c>
      <c r="B39" s="66">
        <f>+B38+31</f>
        <v>39750</v>
      </c>
      <c r="D39" s="67">
        <f>-34213.41+101</f>
        <v>-34112.410000000003</v>
      </c>
      <c r="G39" s="76">
        <f>ROUND((+I38+E39+(D39/2))*0.05/12,2)</f>
        <v>-676.53</v>
      </c>
      <c r="H39" s="67">
        <f t="shared" si="1"/>
        <v>-34788.94</v>
      </c>
      <c r="I39" s="75">
        <f t="shared" si="2"/>
        <v>-180098.84999999998</v>
      </c>
    </row>
    <row r="40" spans="1:11" hidden="1" outlineLevel="1" x14ac:dyDescent="0.2">
      <c r="A40" s="71">
        <f t="shared" si="0"/>
        <v>33</v>
      </c>
      <c r="B40" s="66">
        <f>+B39+30</f>
        <v>39780</v>
      </c>
      <c r="D40" s="67">
        <v>22655.35</v>
      </c>
      <c r="E40" s="67">
        <v>155793</v>
      </c>
      <c r="G40" s="76">
        <f>ROUND((+I39+E40+(D40/2))*0.05/12,2)</f>
        <v>-54.08</v>
      </c>
      <c r="H40" s="67">
        <f t="shared" si="1"/>
        <v>178394.27000000002</v>
      </c>
      <c r="I40" s="75">
        <f t="shared" si="2"/>
        <v>-1704.5799999999581</v>
      </c>
    </row>
    <row r="41" spans="1:11" hidden="1" outlineLevel="1" x14ac:dyDescent="0.2">
      <c r="A41" s="71">
        <f t="shared" si="0"/>
        <v>34</v>
      </c>
      <c r="B41" s="66">
        <f>+B40+31</f>
        <v>39811</v>
      </c>
      <c r="D41" s="67">
        <v>-59981.33</v>
      </c>
      <c r="G41" s="76">
        <f>ROUND((+I40+E41+(D41/2))*0.05/12,2)</f>
        <v>-132.06</v>
      </c>
      <c r="H41" s="67">
        <f t="shared" si="1"/>
        <v>-60113.39</v>
      </c>
      <c r="I41" s="75">
        <f t="shared" si="2"/>
        <v>-61817.969999999958</v>
      </c>
    </row>
    <row r="42" spans="1:11" hidden="1" outlineLevel="1" x14ac:dyDescent="0.2">
      <c r="A42" s="71">
        <f t="shared" si="0"/>
        <v>35</v>
      </c>
      <c r="B42" s="66">
        <f>+B41+31</f>
        <v>39842</v>
      </c>
      <c r="D42" s="67">
        <v>-54704</v>
      </c>
      <c r="G42" s="76">
        <f>ROUND((+I41+E42+(D42/2))*0.0452/12,2)</f>
        <v>-335.87</v>
      </c>
      <c r="H42" s="67">
        <f t="shared" si="1"/>
        <v>-55039.87</v>
      </c>
      <c r="I42" s="75">
        <f t="shared" si="2"/>
        <v>-116857.83999999997</v>
      </c>
    </row>
    <row r="43" spans="1:11" hidden="1" outlineLevel="1" x14ac:dyDescent="0.2">
      <c r="A43" s="71">
        <f t="shared" si="0"/>
        <v>36</v>
      </c>
      <c r="B43" s="66">
        <f>+B42+28</f>
        <v>39870</v>
      </c>
      <c r="D43" s="67">
        <v>-25572.3</v>
      </c>
      <c r="G43" s="76">
        <f>ROUND((+I42+E43+(D43/2))*0.0452/12,2)</f>
        <v>-488.33</v>
      </c>
      <c r="H43" s="67">
        <f t="shared" si="1"/>
        <v>-26060.63</v>
      </c>
      <c r="I43" s="75">
        <f t="shared" si="2"/>
        <v>-142918.46999999997</v>
      </c>
    </row>
    <row r="44" spans="1:11" hidden="1" outlineLevel="1" x14ac:dyDescent="0.2">
      <c r="A44" s="71">
        <f t="shared" si="0"/>
        <v>37</v>
      </c>
      <c r="B44" s="66">
        <f>+B43+31</f>
        <v>39901</v>
      </c>
      <c r="D44" s="67">
        <v>-30417.45</v>
      </c>
      <c r="E44" s="98"/>
      <c r="F44" s="98"/>
      <c r="G44" s="76">
        <f>ROUND((+I43+E44+(D44/2))*0.0452/12,2)</f>
        <v>-595.61</v>
      </c>
      <c r="H44" s="67">
        <f t="shared" si="1"/>
        <v>-31013.06</v>
      </c>
      <c r="I44" s="75">
        <f t="shared" si="2"/>
        <v>-173931.52999999997</v>
      </c>
    </row>
    <row r="45" spans="1:11" hidden="1" outlineLevel="1" x14ac:dyDescent="0.2">
      <c r="A45" s="71">
        <f t="shared" si="0"/>
        <v>38</v>
      </c>
      <c r="B45" s="66">
        <f>+B44+30</f>
        <v>39931</v>
      </c>
      <c r="D45" s="67">
        <v>63779.29</v>
      </c>
      <c r="E45" s="98">
        <f>-'[33]191432'!E45</f>
        <v>-2012245.2499999998</v>
      </c>
      <c r="F45" s="98"/>
      <c r="G45" s="76">
        <v>-3224</v>
      </c>
      <c r="H45" s="67">
        <f t="shared" si="1"/>
        <v>-1951689.9599999997</v>
      </c>
      <c r="I45" s="75">
        <f t="shared" si="2"/>
        <v>-2125621.4899999998</v>
      </c>
    </row>
    <row r="46" spans="1:11" hidden="1" outlineLevel="1" x14ac:dyDescent="0.2">
      <c r="A46" s="71">
        <f t="shared" si="0"/>
        <v>39</v>
      </c>
      <c r="B46" s="66">
        <f>+B45+31</f>
        <v>39962</v>
      </c>
      <c r="D46" s="67">
        <v>256227.69</v>
      </c>
      <c r="E46" s="98"/>
      <c r="F46" s="98"/>
      <c r="G46" s="76">
        <f>ROUND((+I45+E46+(D46/2))*0.0337/12,2)</f>
        <v>-5609.67</v>
      </c>
      <c r="H46" s="67">
        <f t="shared" si="1"/>
        <v>250618.02</v>
      </c>
      <c r="I46" s="75">
        <f t="shared" si="2"/>
        <v>-1875003.4699999997</v>
      </c>
    </row>
    <row r="47" spans="1:11" hidden="1" outlineLevel="1" x14ac:dyDescent="0.2">
      <c r="A47" s="71">
        <f t="shared" si="0"/>
        <v>40</v>
      </c>
      <c r="B47" s="66">
        <f>+B46+30</f>
        <v>39992</v>
      </c>
      <c r="D47" s="67">
        <v>392566.01</v>
      </c>
      <c r="E47" s="98"/>
      <c r="F47" s="98"/>
      <c r="G47" s="76">
        <f>ROUND((+I46+E47+(D47/2))*0.0337/12,2)</f>
        <v>-4714.41</v>
      </c>
      <c r="H47" s="67">
        <f t="shared" si="1"/>
        <v>387851.60000000003</v>
      </c>
      <c r="I47" s="75">
        <f t="shared" si="2"/>
        <v>-1487151.8699999996</v>
      </c>
      <c r="J47" s="67">
        <v>-1487151.46</v>
      </c>
      <c r="K47" s="67">
        <f t="shared" ref="K47:K53" si="3">+I47-J47</f>
        <v>-0.40999999968335032</v>
      </c>
    </row>
    <row r="48" spans="1:11" hidden="1" outlineLevel="1" x14ac:dyDescent="0.2">
      <c r="A48" s="71">
        <f t="shared" si="0"/>
        <v>41</v>
      </c>
      <c r="B48" s="66">
        <f>+B47+31</f>
        <v>40023</v>
      </c>
      <c r="D48" s="67">
        <v>404074.44</v>
      </c>
      <c r="E48" s="98"/>
      <c r="F48" s="98"/>
      <c r="G48" s="76">
        <v>-6312</v>
      </c>
      <c r="H48" s="67">
        <f t="shared" si="1"/>
        <v>397762.44</v>
      </c>
      <c r="I48" s="75">
        <f t="shared" si="2"/>
        <v>-1089389.4299999997</v>
      </c>
      <c r="J48" s="67">
        <v>-1089389.02</v>
      </c>
      <c r="K48" s="67">
        <f t="shared" si="3"/>
        <v>-0.40999999968335032</v>
      </c>
    </row>
    <row r="49" spans="1:11" hidden="1" outlineLevel="1" x14ac:dyDescent="0.2">
      <c r="A49" s="71">
        <f t="shared" si="0"/>
        <v>42</v>
      </c>
      <c r="B49" s="66">
        <f>+B48+30</f>
        <v>40053</v>
      </c>
      <c r="D49" s="67">
        <v>407122.28</v>
      </c>
      <c r="E49" s="98"/>
      <c r="F49" s="98"/>
      <c r="G49" s="76">
        <f>ROUND((+I48+E49+(D49/2))*0.0325/12,2)</f>
        <v>-2399.12</v>
      </c>
      <c r="H49" s="67">
        <f t="shared" si="1"/>
        <v>404723.16000000003</v>
      </c>
      <c r="I49" s="75">
        <f t="shared" si="2"/>
        <v>-684666.26999999967</v>
      </c>
      <c r="J49" s="67">
        <v>-684667.74</v>
      </c>
      <c r="K49" s="67">
        <f t="shared" si="3"/>
        <v>1.4700000003213063</v>
      </c>
    </row>
    <row r="50" spans="1:11" hidden="1" outlineLevel="1" x14ac:dyDescent="0.2">
      <c r="A50" s="71">
        <f t="shared" si="0"/>
        <v>43</v>
      </c>
      <c r="B50" s="66">
        <f>+B49+30</f>
        <v>40083</v>
      </c>
      <c r="D50" s="67">
        <v>371696.76</v>
      </c>
      <c r="E50" s="98"/>
      <c r="F50" s="98"/>
      <c r="G50" s="76">
        <f>ROUND((+I49+E50+(D50/2))*0.0325/12,2)</f>
        <v>-1350.97</v>
      </c>
      <c r="H50" s="67">
        <f t="shared" si="1"/>
        <v>370345.79000000004</v>
      </c>
      <c r="I50" s="75">
        <f t="shared" si="2"/>
        <v>-314320.47999999963</v>
      </c>
      <c r="J50" s="67">
        <v>-314323.98</v>
      </c>
      <c r="K50" s="67">
        <f t="shared" si="3"/>
        <v>3.500000000349246</v>
      </c>
    </row>
    <row r="51" spans="1:11" hidden="1" outlineLevel="1" x14ac:dyDescent="0.2">
      <c r="A51" s="71">
        <f t="shared" si="0"/>
        <v>44</v>
      </c>
      <c r="B51" s="66">
        <f>+B50+31</f>
        <v>40114</v>
      </c>
      <c r="D51" s="67">
        <v>149766.32999999999</v>
      </c>
      <c r="E51" s="98"/>
      <c r="F51" s="98"/>
      <c r="G51" s="76">
        <f>ROUND((+I50+E51+(D51/2))*0.0325/12,2)</f>
        <v>-648.48</v>
      </c>
      <c r="H51" s="67">
        <f t="shared" si="1"/>
        <v>149117.84999999998</v>
      </c>
      <c r="I51" s="75">
        <f t="shared" si="2"/>
        <v>-165202.62999999966</v>
      </c>
      <c r="J51" s="67">
        <f>-165613.65</f>
        <v>-165613.65</v>
      </c>
      <c r="K51" s="67">
        <f t="shared" si="3"/>
        <v>411.02000000033877</v>
      </c>
    </row>
    <row r="52" spans="1:11" hidden="1" outlineLevel="1" x14ac:dyDescent="0.2">
      <c r="A52" s="71">
        <f t="shared" si="0"/>
        <v>45</v>
      </c>
      <c r="B52" s="66">
        <f>+B51+30</f>
        <v>40144</v>
      </c>
      <c r="D52" s="67">
        <f>-204385.94+12551.78-16.99</f>
        <v>-191851.15</v>
      </c>
      <c r="E52" s="98">
        <f>-I51</f>
        <v>165202.62999999966</v>
      </c>
      <c r="F52" s="98"/>
      <c r="G52" s="76">
        <f>ROUND((+I51+E52+(D52/2))*0.0325/12,2)</f>
        <v>-259.8</v>
      </c>
      <c r="H52" s="67">
        <f t="shared" si="1"/>
        <v>-26908.320000000338</v>
      </c>
      <c r="I52" s="75">
        <f t="shared" si="2"/>
        <v>-192110.94999999998</v>
      </c>
      <c r="J52" s="67">
        <v>-192110.93</v>
      </c>
      <c r="K52" s="67">
        <f t="shared" si="3"/>
        <v>-1.9999999989522621E-2</v>
      </c>
    </row>
    <row r="53" spans="1:11" hidden="1" outlineLevel="1" x14ac:dyDescent="0.2">
      <c r="A53" s="71">
        <f t="shared" si="0"/>
        <v>46</v>
      </c>
      <c r="B53" s="66">
        <f>+B52+31</f>
        <v>40175</v>
      </c>
      <c r="D53" s="67">
        <f>-801400.2-18663.45+25</f>
        <v>-820038.64999999991</v>
      </c>
      <c r="E53" s="98"/>
      <c r="F53" s="98"/>
      <c r="G53" s="76">
        <f>ROUND((+I52+E53+(D53/2))*0.0325/12,2)</f>
        <v>-1630.77</v>
      </c>
      <c r="H53" s="67">
        <f t="shared" si="1"/>
        <v>-821669.41999999993</v>
      </c>
      <c r="I53" s="75">
        <f t="shared" si="2"/>
        <v>-1013780.3699999999</v>
      </c>
      <c r="J53" s="67">
        <v>-1013780.13</v>
      </c>
      <c r="K53" s="67">
        <f t="shared" si="3"/>
        <v>-0.23999999987427145</v>
      </c>
    </row>
    <row r="54" spans="1:11" hidden="1" outlineLevel="1" x14ac:dyDescent="0.2">
      <c r="A54" s="71">
        <f t="shared" si="0"/>
        <v>47</v>
      </c>
      <c r="B54" s="66">
        <f>+B53+31</f>
        <v>40206</v>
      </c>
      <c r="E54" s="98"/>
      <c r="F54" s="98"/>
      <c r="G54" s="76"/>
      <c r="I54" s="75"/>
    </row>
    <row r="55" spans="1:11" hidden="1" outlineLevel="1" x14ac:dyDescent="0.2">
      <c r="A55" s="71">
        <f t="shared" si="0"/>
        <v>48</v>
      </c>
      <c r="B55" s="66">
        <f>+B53+31</f>
        <v>40206</v>
      </c>
      <c r="D55" s="67">
        <v>-287671.32</v>
      </c>
      <c r="E55" s="98"/>
      <c r="F55" s="98"/>
      <c r="G55" s="76">
        <f>ROUND((+I53+E55+(D55/2))*0.0325/12,2)</f>
        <v>-3135.21</v>
      </c>
      <c r="H55" s="67">
        <f t="shared" ref="H55:H76" si="4">SUM(D55:G55)</f>
        <v>-290806.53000000003</v>
      </c>
      <c r="I55" s="75">
        <f>+I53+H55</f>
        <v>-1304586.8999999999</v>
      </c>
      <c r="J55" s="67">
        <v>-1304586.45</v>
      </c>
      <c r="K55" s="67">
        <f t="shared" ref="K55:K61" si="5">+I55-J55</f>
        <v>-0.44999999995343387</v>
      </c>
    </row>
    <row r="56" spans="1:11" hidden="1" outlineLevel="1" x14ac:dyDescent="0.2">
      <c r="A56" s="71">
        <f t="shared" si="0"/>
        <v>49</v>
      </c>
      <c r="B56" s="66">
        <f>+B55+28</f>
        <v>40234</v>
      </c>
      <c r="D56" s="67">
        <v>-157461.89000000001</v>
      </c>
      <c r="E56" s="98"/>
      <c r="F56" s="98"/>
      <c r="G56" s="76">
        <f t="shared" ref="G56:G64" si="6">ROUND((+I55+E56+(D56/2))*0.0325/12,2)</f>
        <v>-3746.49</v>
      </c>
      <c r="H56" s="67">
        <f t="shared" si="4"/>
        <v>-161208.38</v>
      </c>
      <c r="I56" s="75">
        <f t="shared" ref="I56:I87" si="7">+I55+H56</f>
        <v>-1465795.2799999998</v>
      </c>
      <c r="J56" s="67">
        <v>-1465794.34</v>
      </c>
      <c r="K56" s="67">
        <f t="shared" si="5"/>
        <v>-0.93999999971129</v>
      </c>
    </row>
    <row r="57" spans="1:11" hidden="1" outlineLevel="1" x14ac:dyDescent="0.2">
      <c r="A57" s="71">
        <f t="shared" si="0"/>
        <v>50</v>
      </c>
      <c r="B57" s="66">
        <f>+B56+31</f>
        <v>40265</v>
      </c>
      <c r="D57" s="67">
        <v>-61789.33</v>
      </c>
      <c r="E57" s="98"/>
      <c r="F57" s="98"/>
      <c r="G57" s="76">
        <f t="shared" si="6"/>
        <v>-4053.54</v>
      </c>
      <c r="H57" s="67">
        <f t="shared" si="4"/>
        <v>-65842.87</v>
      </c>
      <c r="I57" s="75">
        <f t="shared" si="7"/>
        <v>-1531638.15</v>
      </c>
      <c r="J57" s="67">
        <v>-1531637.67</v>
      </c>
      <c r="K57" s="67">
        <f t="shared" si="5"/>
        <v>-0.47999999998137355</v>
      </c>
    </row>
    <row r="58" spans="1:11" hidden="1" outlineLevel="1" x14ac:dyDescent="0.2">
      <c r="A58" s="71">
        <f t="shared" si="0"/>
        <v>51</v>
      </c>
      <c r="B58" s="66">
        <f>+B57+30</f>
        <v>40295</v>
      </c>
      <c r="D58" s="67">
        <v>60781.95</v>
      </c>
      <c r="E58" s="98"/>
      <c r="F58" s="98"/>
      <c r="G58" s="76">
        <f t="shared" si="6"/>
        <v>-4065.88</v>
      </c>
      <c r="H58" s="67">
        <f t="shared" si="4"/>
        <v>56716.07</v>
      </c>
      <c r="I58" s="75">
        <f t="shared" si="7"/>
        <v>-1474922.0799999998</v>
      </c>
      <c r="J58" s="67">
        <v>-1474921.72</v>
      </c>
      <c r="K58" s="67">
        <f t="shared" si="5"/>
        <v>-0.35999999986961484</v>
      </c>
    </row>
    <row r="59" spans="1:11" hidden="1" outlineLevel="1" x14ac:dyDescent="0.2">
      <c r="A59" s="71">
        <f t="shared" si="0"/>
        <v>52</v>
      </c>
      <c r="B59" s="66">
        <f>+B58+31</f>
        <v>40326</v>
      </c>
      <c r="D59" s="67">
        <v>239346.47</v>
      </c>
      <c r="E59" s="98"/>
      <c r="F59" s="98"/>
      <c r="G59" s="76">
        <f t="shared" si="6"/>
        <v>-3670.47</v>
      </c>
      <c r="H59" s="67">
        <f t="shared" si="4"/>
        <v>235676</v>
      </c>
      <c r="I59" s="75">
        <f t="shared" si="7"/>
        <v>-1239246.0799999998</v>
      </c>
      <c r="J59" s="67">
        <v>-1239245.25</v>
      </c>
      <c r="K59" s="67">
        <f t="shared" si="5"/>
        <v>-0.82999999984167516</v>
      </c>
    </row>
    <row r="60" spans="1:11" hidden="1" outlineLevel="1" x14ac:dyDescent="0.2">
      <c r="A60" s="71">
        <f t="shared" si="0"/>
        <v>53</v>
      </c>
      <c r="B60" s="66">
        <f>+B59+30</f>
        <v>40356</v>
      </c>
      <c r="D60" s="67">
        <v>370248.84</v>
      </c>
      <c r="E60" s="98"/>
      <c r="F60" s="98"/>
      <c r="G60" s="76">
        <f t="shared" si="6"/>
        <v>-2854.91</v>
      </c>
      <c r="H60" s="67">
        <f t="shared" si="4"/>
        <v>367393.93000000005</v>
      </c>
      <c r="I60" s="75">
        <f t="shared" si="7"/>
        <v>-871852.14999999979</v>
      </c>
      <c r="J60" s="67">
        <v>-872666.41</v>
      </c>
      <c r="K60" s="67">
        <f t="shared" si="5"/>
        <v>814.26000000024214</v>
      </c>
    </row>
    <row r="61" spans="1:11" hidden="1" outlineLevel="1" x14ac:dyDescent="0.2">
      <c r="A61" s="71">
        <f t="shared" si="0"/>
        <v>54</v>
      </c>
      <c r="B61" s="66">
        <f>+B60+31</f>
        <v>40387</v>
      </c>
      <c r="D61" s="67">
        <v>450657.63</v>
      </c>
      <c r="E61" s="98"/>
      <c r="F61" s="98"/>
      <c r="G61" s="76">
        <f t="shared" si="6"/>
        <v>-1751</v>
      </c>
      <c r="H61" s="67">
        <f t="shared" si="4"/>
        <v>448906.63</v>
      </c>
      <c r="I61" s="75">
        <f t="shared" si="7"/>
        <v>-422945.51999999979</v>
      </c>
      <c r="J61" s="67">
        <v>-425678.78</v>
      </c>
      <c r="K61" s="67">
        <f t="shared" si="5"/>
        <v>2733.2600000002421</v>
      </c>
    </row>
    <row r="62" spans="1:11" hidden="1" outlineLevel="1" x14ac:dyDescent="0.2">
      <c r="A62" s="71">
        <f t="shared" si="0"/>
        <v>55</v>
      </c>
      <c r="B62" s="66">
        <f>+B61+30</f>
        <v>40417</v>
      </c>
      <c r="D62" s="67">
        <v>446640.73</v>
      </c>
      <c r="E62" s="98"/>
      <c r="F62" s="98"/>
      <c r="G62" s="76">
        <f t="shared" si="6"/>
        <v>-540.65</v>
      </c>
      <c r="H62" s="67">
        <f t="shared" si="4"/>
        <v>446100.07999999996</v>
      </c>
      <c r="I62" s="75">
        <f t="shared" si="7"/>
        <v>23154.560000000172</v>
      </c>
    </row>
    <row r="63" spans="1:11" hidden="1" outlineLevel="1" x14ac:dyDescent="0.2">
      <c r="A63" s="71">
        <f t="shared" si="0"/>
        <v>56</v>
      </c>
      <c r="B63" s="66">
        <f>+B62+30</f>
        <v>40447</v>
      </c>
      <c r="D63" s="67">
        <v>430486.8</v>
      </c>
      <c r="E63" s="98"/>
      <c r="F63" s="98"/>
      <c r="G63" s="76">
        <f t="shared" si="6"/>
        <v>645.66</v>
      </c>
      <c r="H63" s="67">
        <f t="shared" si="4"/>
        <v>431132.45999999996</v>
      </c>
      <c r="I63" s="75">
        <f t="shared" si="7"/>
        <v>454287.02000000014</v>
      </c>
    </row>
    <row r="64" spans="1:11" hidden="1" outlineLevel="1" x14ac:dyDescent="0.2">
      <c r="A64" s="71">
        <f t="shared" si="0"/>
        <v>57</v>
      </c>
      <c r="B64" s="66">
        <f>+B63+31</f>
        <v>40478</v>
      </c>
      <c r="D64" s="67">
        <v>223797.3</v>
      </c>
      <c r="E64" s="98"/>
      <c r="F64" s="98"/>
      <c r="G64" s="76">
        <f t="shared" si="6"/>
        <v>1533.42</v>
      </c>
      <c r="H64" s="67">
        <f t="shared" si="4"/>
        <v>225330.72</v>
      </c>
      <c r="I64" s="75">
        <f t="shared" si="7"/>
        <v>679617.74000000011</v>
      </c>
    </row>
    <row r="65" spans="1:12" hidden="1" outlineLevel="1" x14ac:dyDescent="0.2">
      <c r="A65" s="71">
        <f t="shared" si="0"/>
        <v>58</v>
      </c>
      <c r="B65" s="66">
        <f>+B64+30</f>
        <v>40508</v>
      </c>
      <c r="D65" s="67">
        <v>-217305.37</v>
      </c>
      <c r="E65" s="98">
        <f>-I64</f>
        <v>-679617.74000000011</v>
      </c>
      <c r="F65" s="98"/>
      <c r="G65" s="76">
        <f>ROUND((+I64+E65+(D65/2))*0.0325/12,0)</f>
        <v>-294</v>
      </c>
      <c r="H65" s="67">
        <f t="shared" si="4"/>
        <v>-897217.1100000001</v>
      </c>
      <c r="I65" s="75">
        <f t="shared" si="7"/>
        <v>-217599.37</v>
      </c>
    </row>
    <row r="66" spans="1:12" hidden="1" outlineLevel="1" x14ac:dyDescent="0.2">
      <c r="A66" s="71">
        <f t="shared" si="0"/>
        <v>59</v>
      </c>
      <c r="B66" s="66">
        <f>+B65+31</f>
        <v>40539</v>
      </c>
      <c r="D66" s="67">
        <v>-474846.71</v>
      </c>
      <c r="E66" s="98"/>
      <c r="F66" s="98"/>
      <c r="G66" s="76">
        <f>ROUND((+I65+E66+(D66/2))*0.0325/12,0)</f>
        <v>-1232</v>
      </c>
      <c r="H66" s="67">
        <f t="shared" si="4"/>
        <v>-476078.71</v>
      </c>
      <c r="I66" s="75">
        <f t="shared" si="7"/>
        <v>-693678.08000000007</v>
      </c>
    </row>
    <row r="67" spans="1:12" hidden="1" outlineLevel="1" x14ac:dyDescent="0.2">
      <c r="A67" s="71">
        <f t="shared" si="0"/>
        <v>60</v>
      </c>
      <c r="B67" s="66">
        <f>+B66+31</f>
        <v>40570</v>
      </c>
      <c r="D67" s="67">
        <v>-521327.98</v>
      </c>
      <c r="E67" s="98"/>
      <c r="F67" s="77">
        <v>3.2500000000000001E-2</v>
      </c>
      <c r="G67" s="76">
        <f t="shared" ref="G67:G98" si="8">ROUND((+I66+E67+(D67/2))*F67/12,0)</f>
        <v>-2585</v>
      </c>
      <c r="H67" s="67">
        <f t="shared" si="4"/>
        <v>-523912.94750000001</v>
      </c>
      <c r="I67" s="75">
        <f t="shared" si="7"/>
        <v>-1217591.0275000001</v>
      </c>
    </row>
    <row r="68" spans="1:12" hidden="1" outlineLevel="1" x14ac:dyDescent="0.2">
      <c r="A68" s="71">
        <f t="shared" si="0"/>
        <v>61</v>
      </c>
      <c r="B68" s="66">
        <f>+B67+28</f>
        <v>40598</v>
      </c>
      <c r="D68" s="67">
        <v>-460274.33</v>
      </c>
      <c r="E68" s="98"/>
      <c r="F68" s="77">
        <v>3.2500000000000001E-2</v>
      </c>
      <c r="G68" s="76">
        <f t="shared" si="8"/>
        <v>-3921</v>
      </c>
      <c r="H68" s="67">
        <f t="shared" si="4"/>
        <v>-464195.29750000004</v>
      </c>
      <c r="I68" s="75">
        <f t="shared" si="7"/>
        <v>-1681786.3250000002</v>
      </c>
      <c r="J68" s="67">
        <v>-1465794.34</v>
      </c>
      <c r="K68" s="67">
        <f>+I68-J68</f>
        <v>-215991.9850000001</v>
      </c>
    </row>
    <row r="69" spans="1:12" hidden="1" outlineLevel="1" x14ac:dyDescent="0.2">
      <c r="A69" s="71">
        <f t="shared" si="0"/>
        <v>62</v>
      </c>
      <c r="B69" s="66">
        <f>+B68+31</f>
        <v>40629</v>
      </c>
      <c r="D69" s="67">
        <v>-261705.06</v>
      </c>
      <c r="E69" s="98"/>
      <c r="F69" s="77">
        <v>3.2500000000000001E-2</v>
      </c>
      <c r="G69" s="76">
        <f t="shared" si="8"/>
        <v>-4909</v>
      </c>
      <c r="H69" s="67">
        <f t="shared" si="4"/>
        <v>-266614.02749999997</v>
      </c>
      <c r="I69" s="75">
        <f t="shared" si="7"/>
        <v>-1948400.3525</v>
      </c>
      <c r="J69" s="67">
        <v>-1531637.67</v>
      </c>
      <c r="K69" s="67">
        <f>+I69-J69</f>
        <v>-416762.68250000011</v>
      </c>
    </row>
    <row r="70" spans="1:12" hidden="1" outlineLevel="1" x14ac:dyDescent="0.2">
      <c r="A70" s="71">
        <f t="shared" si="0"/>
        <v>63</v>
      </c>
      <c r="B70" s="66">
        <f>+B69+30</f>
        <v>40659</v>
      </c>
      <c r="D70" s="67">
        <v>-62256.26</v>
      </c>
      <c r="E70" s="98"/>
      <c r="F70" s="77">
        <v>3.2500000000000001E-2</v>
      </c>
      <c r="G70" s="76">
        <f t="shared" si="8"/>
        <v>-5361</v>
      </c>
      <c r="H70" s="67">
        <f t="shared" si="4"/>
        <v>-67617.227500000008</v>
      </c>
      <c r="I70" s="75">
        <f t="shared" si="7"/>
        <v>-2016017.58</v>
      </c>
    </row>
    <row r="71" spans="1:12" hidden="1" outlineLevel="1" x14ac:dyDescent="0.2">
      <c r="A71" s="71">
        <f t="shared" si="0"/>
        <v>64</v>
      </c>
      <c r="B71" s="66">
        <f>+B70+31</f>
        <v>40690</v>
      </c>
      <c r="D71" s="67">
        <v>212614.84</v>
      </c>
      <c r="E71" s="98"/>
      <c r="F71" s="77">
        <v>3.2500000000000001E-2</v>
      </c>
      <c r="G71" s="76">
        <f t="shared" si="8"/>
        <v>-5172</v>
      </c>
      <c r="H71" s="67">
        <f t="shared" si="4"/>
        <v>207442.8725</v>
      </c>
      <c r="I71" s="75">
        <f t="shared" si="7"/>
        <v>-1808574.7075</v>
      </c>
    </row>
    <row r="72" spans="1:12" hidden="1" outlineLevel="1" x14ac:dyDescent="0.2">
      <c r="A72" s="71">
        <f t="shared" si="0"/>
        <v>65</v>
      </c>
      <c r="B72" s="66">
        <f>+B71+30</f>
        <v>40720</v>
      </c>
      <c r="D72" s="67">
        <v>450414.03</v>
      </c>
      <c r="E72" s="98"/>
      <c r="F72" s="77">
        <v>3.2500000000000001E-2</v>
      </c>
      <c r="G72" s="76">
        <f t="shared" si="8"/>
        <v>-4288</v>
      </c>
      <c r="H72" s="67">
        <f t="shared" si="4"/>
        <v>446126.0625</v>
      </c>
      <c r="I72" s="75">
        <f t="shared" si="7"/>
        <v>-1362448.645</v>
      </c>
    </row>
    <row r="73" spans="1:12" hidden="1" outlineLevel="1" x14ac:dyDescent="0.2">
      <c r="A73" s="71">
        <f t="shared" ref="A73:A136" si="9">+A72+1</f>
        <v>66</v>
      </c>
      <c r="B73" s="66">
        <f>+B72+31</f>
        <v>40751</v>
      </c>
      <c r="D73" s="67">
        <v>491780.98</v>
      </c>
      <c r="E73" s="98"/>
      <c r="F73" s="77">
        <v>3.2500000000000001E-2</v>
      </c>
      <c r="G73" s="76">
        <f t="shared" si="8"/>
        <v>-3024</v>
      </c>
      <c r="H73" s="67">
        <f t="shared" si="4"/>
        <v>488757.01249999995</v>
      </c>
      <c r="I73" s="75">
        <f t="shared" si="7"/>
        <v>-873691.63250000007</v>
      </c>
    </row>
    <row r="74" spans="1:12" hidden="1" outlineLevel="1" x14ac:dyDescent="0.2">
      <c r="A74" s="71">
        <f t="shared" si="9"/>
        <v>67</v>
      </c>
      <c r="B74" s="66">
        <f>+B73+30</f>
        <v>40781</v>
      </c>
      <c r="D74" s="67">
        <v>510265.26</v>
      </c>
      <c r="E74" s="98"/>
      <c r="F74" s="77">
        <v>3.2500000000000001E-2</v>
      </c>
      <c r="G74" s="76">
        <f t="shared" si="8"/>
        <v>-1675</v>
      </c>
      <c r="H74" s="67">
        <f t="shared" si="4"/>
        <v>508590.29249999998</v>
      </c>
      <c r="I74" s="75">
        <f t="shared" si="7"/>
        <v>-365101.34000000008</v>
      </c>
    </row>
    <row r="75" spans="1:12" hidden="1" outlineLevel="1" x14ac:dyDescent="0.2">
      <c r="A75" s="71">
        <f t="shared" si="9"/>
        <v>68</v>
      </c>
      <c r="B75" s="66">
        <f>+B74+30</f>
        <v>40811</v>
      </c>
      <c r="D75" s="67">
        <v>479605.52</v>
      </c>
      <c r="E75" s="98"/>
      <c r="F75" s="77">
        <v>3.2500000000000001E-2</v>
      </c>
      <c r="G75" s="76">
        <f t="shared" si="8"/>
        <v>-339</v>
      </c>
      <c r="H75" s="67">
        <f t="shared" si="4"/>
        <v>479266.55249999999</v>
      </c>
      <c r="I75" s="75">
        <f t="shared" si="7"/>
        <v>114165.21249999991</v>
      </c>
    </row>
    <row r="76" spans="1:12" hidden="1" outlineLevel="1" x14ac:dyDescent="0.2">
      <c r="A76" s="71">
        <f t="shared" si="9"/>
        <v>69</v>
      </c>
      <c r="B76" s="66">
        <f>+B75+31</f>
        <v>40842</v>
      </c>
      <c r="C76" s="87">
        <v>1</v>
      </c>
      <c r="D76" s="67">
        <v>259700.63960599992</v>
      </c>
      <c r="E76" s="98">
        <v>23.68</v>
      </c>
      <c r="F76" s="77">
        <v>3.2500000000000001E-2</v>
      </c>
      <c r="G76" s="76">
        <f t="shared" si="8"/>
        <v>661</v>
      </c>
      <c r="H76" s="67">
        <f t="shared" si="4"/>
        <v>260385.35210599992</v>
      </c>
      <c r="I76" s="75">
        <f t="shared" si="7"/>
        <v>374550.56460599985</v>
      </c>
    </row>
    <row r="77" spans="1:12" hidden="1" outlineLevel="1" x14ac:dyDescent="0.2">
      <c r="A77" s="71">
        <f t="shared" si="9"/>
        <v>70</v>
      </c>
      <c r="B77" s="66">
        <f>+B76+30</f>
        <v>40872</v>
      </c>
      <c r="C77" s="87">
        <v>1</v>
      </c>
      <c r="D77" s="67">
        <v>-289411.29994799965</v>
      </c>
      <c r="E77" s="98">
        <v>-374550.56</v>
      </c>
      <c r="F77" s="77">
        <v>3.2500000000000001E-2</v>
      </c>
      <c r="G77" s="76">
        <f t="shared" si="8"/>
        <v>-392</v>
      </c>
      <c r="H77" s="67">
        <f t="shared" ref="H77:H108" si="10">SUM(D77:E77,G77)</f>
        <v>-664353.85994799971</v>
      </c>
      <c r="I77" s="75">
        <f t="shared" si="7"/>
        <v>-289803.29534199985</v>
      </c>
      <c r="L77" s="86"/>
    </row>
    <row r="78" spans="1:12" hidden="1" outlineLevel="1" x14ac:dyDescent="0.2">
      <c r="A78" s="71">
        <f t="shared" si="9"/>
        <v>71</v>
      </c>
      <c r="B78" s="66">
        <f>+B77+31</f>
        <v>40903</v>
      </c>
      <c r="D78" s="67">
        <v>-622541.16724699957</v>
      </c>
      <c r="E78" s="98"/>
      <c r="F78" s="77">
        <v>3.2500000000000001E-2</v>
      </c>
      <c r="G78" s="76">
        <f t="shared" si="8"/>
        <v>-1628</v>
      </c>
      <c r="H78" s="67">
        <f t="shared" si="10"/>
        <v>-624169.16724699957</v>
      </c>
      <c r="I78" s="75">
        <f t="shared" si="7"/>
        <v>-913972.46258899942</v>
      </c>
    </row>
    <row r="79" spans="1:12" hidden="1" outlineLevel="1" x14ac:dyDescent="0.2">
      <c r="A79" s="71">
        <f t="shared" si="9"/>
        <v>72</v>
      </c>
      <c r="B79" s="66">
        <f>+B78+31</f>
        <v>40934</v>
      </c>
      <c r="D79" s="67">
        <v>-661196.99291699962</v>
      </c>
      <c r="E79" s="98"/>
      <c r="F79" s="77">
        <v>3.2500000000000001E-2</v>
      </c>
      <c r="G79" s="76">
        <f t="shared" si="8"/>
        <v>-3371</v>
      </c>
      <c r="H79" s="67">
        <f t="shared" si="10"/>
        <v>-664567.99291699962</v>
      </c>
      <c r="I79" s="75">
        <f t="shared" si="7"/>
        <v>-1578540.455505999</v>
      </c>
    </row>
    <row r="80" spans="1:12" hidden="1" outlineLevel="1" x14ac:dyDescent="0.2">
      <c r="A80" s="71">
        <f t="shared" si="9"/>
        <v>73</v>
      </c>
      <c r="B80" s="66">
        <f>+B79+29</f>
        <v>40963</v>
      </c>
      <c r="D80" s="67">
        <v>-396922.53456699965</v>
      </c>
      <c r="E80" s="98"/>
      <c r="F80" s="77">
        <v>3.2500000000000001E-2</v>
      </c>
      <c r="G80" s="76">
        <f t="shared" si="8"/>
        <v>-4813</v>
      </c>
      <c r="H80" s="67">
        <f t="shared" si="10"/>
        <v>-401735.53456699965</v>
      </c>
      <c r="I80" s="75">
        <f t="shared" si="7"/>
        <v>-1980275.9900729987</v>
      </c>
    </row>
    <row r="81" spans="1:13" hidden="1" outlineLevel="1" x14ac:dyDescent="0.2">
      <c r="A81" s="71">
        <f t="shared" si="9"/>
        <v>74</v>
      </c>
      <c r="B81" s="66">
        <f>+B80+31</f>
        <v>40994</v>
      </c>
      <c r="D81" s="67">
        <v>-356952.82534799946</v>
      </c>
      <c r="E81" s="98"/>
      <c r="F81" s="77">
        <v>3.2500000000000001E-2</v>
      </c>
      <c r="G81" s="76">
        <f t="shared" si="8"/>
        <v>-5847</v>
      </c>
      <c r="H81" s="67">
        <f t="shared" si="10"/>
        <v>-362799.82534799946</v>
      </c>
      <c r="I81" s="75">
        <f t="shared" si="7"/>
        <v>-2343075.8154209983</v>
      </c>
    </row>
    <row r="82" spans="1:13" hidden="1" outlineLevel="1" x14ac:dyDescent="0.2">
      <c r="A82" s="71">
        <f t="shared" si="9"/>
        <v>75</v>
      </c>
      <c r="B82" s="66">
        <f>+B81+30</f>
        <v>41024</v>
      </c>
      <c r="D82" s="67">
        <v>65071.220000000438</v>
      </c>
      <c r="E82" s="98"/>
      <c r="F82" s="77">
        <v>3.2500000000000001E-2</v>
      </c>
      <c r="G82" s="76">
        <f t="shared" si="8"/>
        <v>-6258</v>
      </c>
      <c r="H82" s="67">
        <f t="shared" si="10"/>
        <v>58813.220000000438</v>
      </c>
      <c r="I82" s="75">
        <f t="shared" si="7"/>
        <v>-2284262.5954209976</v>
      </c>
    </row>
    <row r="83" spans="1:13" hidden="1" outlineLevel="1" x14ac:dyDescent="0.2">
      <c r="A83" s="71">
        <f t="shared" si="9"/>
        <v>76</v>
      </c>
      <c r="B83" s="66">
        <f>+B82+31</f>
        <v>41055</v>
      </c>
      <c r="D83" s="67">
        <v>331092.04165300052</v>
      </c>
      <c r="E83" s="98"/>
      <c r="F83" s="77">
        <v>3.2500000000000001E-2</v>
      </c>
      <c r="G83" s="76">
        <f t="shared" si="8"/>
        <v>-5738</v>
      </c>
      <c r="H83" s="67">
        <f t="shared" si="10"/>
        <v>325354.04165300052</v>
      </c>
      <c r="I83" s="75">
        <f t="shared" si="7"/>
        <v>-1958908.5537679971</v>
      </c>
      <c r="L83" s="67"/>
    </row>
    <row r="84" spans="1:13" hidden="1" outlineLevel="1" x14ac:dyDescent="0.2">
      <c r="A84" s="71">
        <f t="shared" si="9"/>
        <v>77</v>
      </c>
      <c r="B84" s="66">
        <f>+B83+30</f>
        <v>41085</v>
      </c>
      <c r="D84" s="67">
        <v>718.62</v>
      </c>
      <c r="E84" s="98"/>
      <c r="F84" s="77">
        <v>3.2500000000000001E-2</v>
      </c>
      <c r="G84" s="76">
        <f t="shared" si="8"/>
        <v>-5304</v>
      </c>
      <c r="H84" s="67">
        <f t="shared" si="10"/>
        <v>-4585.38</v>
      </c>
      <c r="I84" s="75">
        <f t="shared" si="7"/>
        <v>-1963493.933767997</v>
      </c>
    </row>
    <row r="85" spans="1:13" hidden="1" outlineLevel="1" x14ac:dyDescent="0.2">
      <c r="A85" s="71">
        <f t="shared" si="9"/>
        <v>78</v>
      </c>
      <c r="B85" s="66">
        <f>+B84+31</f>
        <v>41116</v>
      </c>
      <c r="D85" s="67">
        <v>0</v>
      </c>
      <c r="E85" s="98"/>
      <c r="F85" s="77">
        <v>3.2500000000000001E-2</v>
      </c>
      <c r="G85" s="76">
        <f t="shared" si="8"/>
        <v>-5318</v>
      </c>
      <c r="H85" s="67">
        <f t="shared" si="10"/>
        <v>-5318</v>
      </c>
      <c r="I85" s="75">
        <f t="shared" si="7"/>
        <v>-1968811.933767997</v>
      </c>
    </row>
    <row r="86" spans="1:13" hidden="1" outlineLevel="1" x14ac:dyDescent="0.2">
      <c r="A86" s="71">
        <f t="shared" si="9"/>
        <v>79</v>
      </c>
      <c r="B86" s="66">
        <f>+B85+30</f>
        <v>41146</v>
      </c>
      <c r="D86" s="67">
        <v>0</v>
      </c>
      <c r="E86" s="98"/>
      <c r="F86" s="77">
        <v>3.2500000000000001E-2</v>
      </c>
      <c r="G86" s="76">
        <f t="shared" si="8"/>
        <v>-5332</v>
      </c>
      <c r="H86" s="67">
        <f t="shared" si="10"/>
        <v>-5332</v>
      </c>
      <c r="I86" s="75">
        <f t="shared" si="7"/>
        <v>-1974143.933767997</v>
      </c>
      <c r="L86" s="86"/>
    </row>
    <row r="87" spans="1:13" hidden="1" outlineLevel="1" x14ac:dyDescent="0.2">
      <c r="A87" s="71">
        <f t="shared" si="9"/>
        <v>80</v>
      </c>
      <c r="B87" s="66">
        <f>+B86+30</f>
        <v>41176</v>
      </c>
      <c r="D87" s="67">
        <v>0</v>
      </c>
      <c r="E87" s="98"/>
      <c r="F87" s="77">
        <v>3.2500000000000001E-2</v>
      </c>
      <c r="G87" s="76">
        <f t="shared" si="8"/>
        <v>-5347</v>
      </c>
      <c r="H87" s="67">
        <f t="shared" si="10"/>
        <v>-5347</v>
      </c>
      <c r="I87" s="75">
        <f t="shared" si="7"/>
        <v>-1979490.933767997</v>
      </c>
      <c r="L87" s="86"/>
      <c r="M87" s="86"/>
    </row>
    <row r="88" spans="1:13" hidden="1" outlineLevel="1" x14ac:dyDescent="0.2">
      <c r="A88" s="71">
        <f t="shared" si="9"/>
        <v>81</v>
      </c>
      <c r="B88" s="66">
        <f>+B87+31</f>
        <v>41207</v>
      </c>
      <c r="D88" s="67">
        <f>222438.721117+2121</f>
        <v>224559.72111700001</v>
      </c>
      <c r="E88" s="98"/>
      <c r="F88" s="77">
        <v>3.2500000000000001E-2</v>
      </c>
      <c r="G88" s="76">
        <f t="shared" si="8"/>
        <v>-5057</v>
      </c>
      <c r="H88" s="67">
        <f t="shared" si="10"/>
        <v>219502.72111700001</v>
      </c>
      <c r="I88" s="75">
        <f t="shared" ref="I88:I119" si="11">+I87+H88</f>
        <v>-1759988.2126509969</v>
      </c>
      <c r="L88" s="67"/>
    </row>
    <row r="89" spans="1:13" hidden="1" outlineLevel="1" x14ac:dyDescent="0.2">
      <c r="A89" s="71">
        <f t="shared" si="9"/>
        <v>82</v>
      </c>
      <c r="B89" s="66">
        <f>+B88+30</f>
        <v>41237</v>
      </c>
      <c r="C89" s="87">
        <v>1</v>
      </c>
      <c r="D89" s="67">
        <v>-208501.35</v>
      </c>
      <c r="E89" s="98">
        <f>-I88</f>
        <v>1759988.2126509969</v>
      </c>
      <c r="F89" s="77">
        <v>3.2500000000000001E-2</v>
      </c>
      <c r="G89" s="76">
        <f t="shared" si="8"/>
        <v>-282</v>
      </c>
      <c r="H89" s="67">
        <f t="shared" si="10"/>
        <v>1551204.8626509968</v>
      </c>
      <c r="I89" s="75">
        <f t="shared" si="11"/>
        <v>-208783.35000000009</v>
      </c>
      <c r="L89" s="67"/>
    </row>
    <row r="90" spans="1:13" hidden="1" outlineLevel="1" x14ac:dyDescent="0.2">
      <c r="A90" s="71">
        <f t="shared" si="9"/>
        <v>83</v>
      </c>
      <c r="B90" s="66">
        <f>+B89+31</f>
        <v>41268</v>
      </c>
      <c r="C90" s="87"/>
      <c r="D90" s="67">
        <v>-568700.35164799995</v>
      </c>
      <c r="E90" s="98"/>
      <c r="F90" s="77">
        <v>3.2500000000000001E-2</v>
      </c>
      <c r="G90" s="76">
        <f t="shared" si="8"/>
        <v>-1336</v>
      </c>
      <c r="H90" s="67">
        <f t="shared" si="10"/>
        <v>-570036.35164799995</v>
      </c>
      <c r="I90" s="75">
        <f t="shared" si="11"/>
        <v>-778819.70164800005</v>
      </c>
      <c r="L90" s="67"/>
    </row>
    <row r="91" spans="1:13" hidden="1" outlineLevel="1" x14ac:dyDescent="0.2">
      <c r="A91" s="71">
        <f t="shared" si="9"/>
        <v>84</v>
      </c>
      <c r="B91" s="66">
        <f>+B90+31</f>
        <v>41299</v>
      </c>
      <c r="D91" s="67">
        <v>-928536.91629199998</v>
      </c>
      <c r="E91" s="116"/>
      <c r="F91" s="77">
        <v>3.2500000000000001E-2</v>
      </c>
      <c r="G91" s="76">
        <f t="shared" si="8"/>
        <v>-3367</v>
      </c>
      <c r="H91" s="67">
        <f t="shared" si="10"/>
        <v>-931903.91629199998</v>
      </c>
      <c r="I91" s="75">
        <f t="shared" si="11"/>
        <v>-1710723.61794</v>
      </c>
    </row>
    <row r="92" spans="1:13" hidden="1" outlineLevel="1" x14ac:dyDescent="0.2">
      <c r="A92" s="71">
        <f t="shared" si="9"/>
        <v>85</v>
      </c>
      <c r="B92" s="66">
        <f>+B91+28</f>
        <v>41327</v>
      </c>
      <c r="D92" s="67">
        <v>-475888.03248400002</v>
      </c>
      <c r="E92" s="98"/>
      <c r="F92" s="77">
        <v>3.2500000000000001E-2</v>
      </c>
      <c r="G92" s="76">
        <f t="shared" si="8"/>
        <v>-5278</v>
      </c>
      <c r="H92" s="67">
        <f t="shared" si="10"/>
        <v>-481166.03248400002</v>
      </c>
      <c r="I92" s="75">
        <f t="shared" si="11"/>
        <v>-2191889.6504239999</v>
      </c>
    </row>
    <row r="93" spans="1:13" hidden="1" outlineLevel="1" x14ac:dyDescent="0.2">
      <c r="A93" s="71">
        <f t="shared" si="9"/>
        <v>86</v>
      </c>
      <c r="B93" s="66">
        <f>+B92+31</f>
        <v>41358</v>
      </c>
      <c r="D93" s="67">
        <v>-63277.87</v>
      </c>
      <c r="E93" s="98"/>
      <c r="F93" s="77">
        <v>3.2500000000000001E-2</v>
      </c>
      <c r="G93" s="76">
        <f t="shared" si="8"/>
        <v>-6022</v>
      </c>
      <c r="H93" s="67">
        <f t="shared" si="10"/>
        <v>-69299.87</v>
      </c>
      <c r="I93" s="75">
        <f t="shared" si="11"/>
        <v>-2261189.520424</v>
      </c>
    </row>
    <row r="94" spans="1:13" hidden="1" outlineLevel="1" x14ac:dyDescent="0.2">
      <c r="A94" s="71">
        <f t="shared" si="9"/>
        <v>87</v>
      </c>
      <c r="B94" s="66">
        <f>+B93+30</f>
        <v>41388</v>
      </c>
      <c r="D94" s="91">
        <v>5291.12</v>
      </c>
      <c r="E94" s="98"/>
      <c r="F94" s="77">
        <v>3.2500000000000001E-2</v>
      </c>
      <c r="G94" s="76">
        <f t="shared" si="8"/>
        <v>-6117</v>
      </c>
      <c r="H94" s="67">
        <f t="shared" si="10"/>
        <v>-825.88000000000011</v>
      </c>
      <c r="I94" s="75">
        <f t="shared" si="11"/>
        <v>-2262015.4004239999</v>
      </c>
    </row>
    <row r="95" spans="1:13" hidden="1" outlineLevel="1" x14ac:dyDescent="0.2">
      <c r="A95" s="71">
        <f t="shared" si="9"/>
        <v>88</v>
      </c>
      <c r="B95" s="66">
        <f>+B94+31</f>
        <v>41419</v>
      </c>
      <c r="D95" s="91">
        <v>253408.74</v>
      </c>
      <c r="E95" s="98"/>
      <c r="F95" s="77">
        <v>3.2500000000000001E-2</v>
      </c>
      <c r="G95" s="76">
        <f t="shared" si="8"/>
        <v>-5783</v>
      </c>
      <c r="H95" s="67">
        <f t="shared" si="10"/>
        <v>247625.74</v>
      </c>
      <c r="I95" s="75">
        <f t="shared" si="11"/>
        <v>-2014389.6604239999</v>
      </c>
    </row>
    <row r="96" spans="1:13" hidden="1" outlineLevel="1" x14ac:dyDescent="0.2">
      <c r="A96" s="71">
        <f t="shared" si="9"/>
        <v>89</v>
      </c>
      <c r="B96" s="66">
        <f>+B95+30</f>
        <v>41449</v>
      </c>
      <c r="D96" s="67">
        <v>472132.78</v>
      </c>
      <c r="E96" s="98"/>
      <c r="F96" s="77">
        <v>3.2500000000000001E-2</v>
      </c>
      <c r="G96" s="76">
        <f t="shared" si="8"/>
        <v>-4816</v>
      </c>
      <c r="H96" s="67">
        <f t="shared" si="10"/>
        <v>467316.78</v>
      </c>
      <c r="I96" s="75">
        <f t="shared" si="11"/>
        <v>-1547072.8804239999</v>
      </c>
    </row>
    <row r="97" spans="1:9" hidden="1" outlineLevel="1" x14ac:dyDescent="0.2">
      <c r="A97" s="71">
        <f t="shared" si="9"/>
        <v>90</v>
      </c>
      <c r="B97" s="66">
        <f>+B96+31</f>
        <v>41480</v>
      </c>
      <c r="D97" s="67">
        <v>508583.406624</v>
      </c>
      <c r="E97" s="98"/>
      <c r="F97" s="77">
        <v>3.2500000000000001E-2</v>
      </c>
      <c r="G97" s="76">
        <f t="shared" si="8"/>
        <v>-3501</v>
      </c>
      <c r="H97" s="67">
        <f t="shared" si="10"/>
        <v>505082.406624</v>
      </c>
      <c r="I97" s="75">
        <f t="shared" si="11"/>
        <v>-1041990.4737999998</v>
      </c>
    </row>
    <row r="98" spans="1:9" hidden="1" outlineLevel="1" x14ac:dyDescent="0.2">
      <c r="A98" s="71">
        <f t="shared" si="9"/>
        <v>91</v>
      </c>
      <c r="B98" s="66">
        <f>+B97+30</f>
        <v>41510</v>
      </c>
      <c r="D98" s="67">
        <v>516617.24526400003</v>
      </c>
      <c r="E98" s="98"/>
      <c r="F98" s="77">
        <v>3.2500000000000001E-2</v>
      </c>
      <c r="G98" s="76">
        <f t="shared" si="8"/>
        <v>-2122</v>
      </c>
      <c r="H98" s="67">
        <f t="shared" si="10"/>
        <v>514495.24526400003</v>
      </c>
      <c r="I98" s="75">
        <f t="shared" si="11"/>
        <v>-527495.22853599978</v>
      </c>
    </row>
    <row r="99" spans="1:9" hidden="1" outlineLevel="1" x14ac:dyDescent="0.2">
      <c r="A99" s="71">
        <f t="shared" si="9"/>
        <v>92</v>
      </c>
      <c r="B99" s="66">
        <f>+B98+30</f>
        <v>41540</v>
      </c>
      <c r="D99" s="67">
        <v>404245.25205200003</v>
      </c>
      <c r="E99" s="98"/>
      <c r="F99" s="77">
        <v>3.2500000000000001E-2</v>
      </c>
      <c r="G99" s="76">
        <f t="shared" ref="G99:G121" si="12">ROUND((+I98+E99+(D99/2))*F99/12,0)</f>
        <v>-881</v>
      </c>
      <c r="H99" s="67">
        <f t="shared" si="10"/>
        <v>403364.25205200003</v>
      </c>
      <c r="I99" s="75">
        <f t="shared" si="11"/>
        <v>-124130.97648399975</v>
      </c>
    </row>
    <row r="100" spans="1:9" hidden="1" outlineLevel="1" x14ac:dyDescent="0.2">
      <c r="A100" s="71">
        <f t="shared" si="9"/>
        <v>93</v>
      </c>
      <c r="B100" s="66">
        <f>+B99+31</f>
        <v>41571</v>
      </c>
      <c r="D100" s="67">
        <v>120371.06131999999</v>
      </c>
      <c r="E100" s="98"/>
      <c r="F100" s="77">
        <v>3.2500000000000001E-2</v>
      </c>
      <c r="G100" s="76">
        <f t="shared" si="12"/>
        <v>-173</v>
      </c>
      <c r="H100" s="67">
        <f t="shared" si="10"/>
        <v>120198.06131999999</v>
      </c>
      <c r="I100" s="75">
        <f t="shared" si="11"/>
        <v>-3932.9151639997581</v>
      </c>
    </row>
    <row r="101" spans="1:9" hidden="1" outlineLevel="1" x14ac:dyDescent="0.2">
      <c r="A101" s="71">
        <f t="shared" si="9"/>
        <v>94</v>
      </c>
      <c r="B101" s="66">
        <f>+B100+30</f>
        <v>41601</v>
      </c>
      <c r="D101" s="67">
        <v>-341364.11522500002</v>
      </c>
      <c r="E101" s="98">
        <f>-I100</f>
        <v>3932.9151639997581</v>
      </c>
      <c r="F101" s="77">
        <v>3.2500000000000001E-2</v>
      </c>
      <c r="G101" s="76">
        <f t="shared" si="12"/>
        <v>-462</v>
      </c>
      <c r="H101" s="67">
        <f t="shared" si="10"/>
        <v>-337893.20006100024</v>
      </c>
      <c r="I101" s="75">
        <f t="shared" si="11"/>
        <v>-341826.11522500002</v>
      </c>
    </row>
    <row r="102" spans="1:9" hidden="1" outlineLevel="1" x14ac:dyDescent="0.2">
      <c r="A102" s="71">
        <f t="shared" si="9"/>
        <v>95</v>
      </c>
      <c r="B102" s="66">
        <f>+B101+31</f>
        <v>41632</v>
      </c>
      <c r="D102" s="67">
        <v>-846875.43919399998</v>
      </c>
      <c r="E102" s="98"/>
      <c r="F102" s="77">
        <v>3.2500000000000001E-2</v>
      </c>
      <c r="G102" s="76">
        <f t="shared" si="12"/>
        <v>-2073</v>
      </c>
      <c r="H102" s="67">
        <f t="shared" si="10"/>
        <v>-848948.43919399998</v>
      </c>
      <c r="I102" s="75">
        <f t="shared" si="11"/>
        <v>-1190774.5544189999</v>
      </c>
    </row>
    <row r="103" spans="1:9" hidden="1" outlineLevel="1" x14ac:dyDescent="0.2">
      <c r="A103" s="71">
        <f t="shared" si="9"/>
        <v>96</v>
      </c>
      <c r="B103" s="66">
        <f>+B102+31</f>
        <v>41663</v>
      </c>
      <c r="D103" s="67">
        <v>-756184.22901300003</v>
      </c>
      <c r="E103" s="98"/>
      <c r="F103" s="77">
        <v>3.2500000000000001E-2</v>
      </c>
      <c r="G103" s="76">
        <f t="shared" si="12"/>
        <v>-4249</v>
      </c>
      <c r="H103" s="67">
        <f t="shared" si="10"/>
        <v>-760433.22901300003</v>
      </c>
      <c r="I103" s="75">
        <f t="shared" si="11"/>
        <v>-1951207.7834319999</v>
      </c>
    </row>
    <row r="104" spans="1:9" hidden="1" outlineLevel="1" x14ac:dyDescent="0.2">
      <c r="A104" s="71">
        <f t="shared" si="9"/>
        <v>97</v>
      </c>
      <c r="B104" s="66">
        <f>+B103+28</f>
        <v>41691</v>
      </c>
      <c r="D104" s="67">
        <v>-683962.21309099998</v>
      </c>
      <c r="E104" s="98"/>
      <c r="F104" s="77">
        <v>3.2500000000000001E-2</v>
      </c>
      <c r="G104" s="76">
        <f t="shared" si="12"/>
        <v>-6211</v>
      </c>
      <c r="H104" s="67">
        <f t="shared" si="10"/>
        <v>-690173.21309099998</v>
      </c>
      <c r="I104" s="75">
        <f t="shared" si="11"/>
        <v>-2641380.9965229998</v>
      </c>
    </row>
    <row r="105" spans="1:9" hidden="1" outlineLevel="1" x14ac:dyDescent="0.2">
      <c r="A105" s="71">
        <f t="shared" si="9"/>
        <v>98</v>
      </c>
      <c r="B105" s="66">
        <f>+B104+31</f>
        <v>41722</v>
      </c>
      <c r="D105" s="67">
        <v>-91887.302140000407</v>
      </c>
      <c r="E105" s="98"/>
      <c r="F105" s="77">
        <v>3.2500000000000001E-2</v>
      </c>
      <c r="G105" s="76">
        <f t="shared" si="12"/>
        <v>-7278</v>
      </c>
      <c r="H105" s="67">
        <f t="shared" si="10"/>
        <v>-99165.302140000407</v>
      </c>
      <c r="I105" s="75">
        <f t="shared" si="11"/>
        <v>-2740546.2986630001</v>
      </c>
    </row>
    <row r="106" spans="1:9" hidden="1" outlineLevel="1" x14ac:dyDescent="0.2">
      <c r="A106" s="71">
        <f t="shared" si="9"/>
        <v>99</v>
      </c>
      <c r="B106" s="66">
        <f>+B105+30</f>
        <v>41752</v>
      </c>
      <c r="D106" s="67">
        <v>49849.159867999697</v>
      </c>
      <c r="E106" s="98"/>
      <c r="F106" s="77">
        <v>3.2500000000000001E-2</v>
      </c>
      <c r="G106" s="76">
        <f t="shared" si="12"/>
        <v>-7355</v>
      </c>
      <c r="H106" s="67">
        <f t="shared" si="10"/>
        <v>42494.159867999697</v>
      </c>
      <c r="I106" s="75">
        <f t="shared" si="11"/>
        <v>-2698052.1387950005</v>
      </c>
    </row>
    <row r="107" spans="1:9" hidden="1" outlineLevel="1" x14ac:dyDescent="0.2">
      <c r="A107" s="71">
        <f t="shared" si="9"/>
        <v>100</v>
      </c>
      <c r="B107" s="66">
        <f>+B106+31</f>
        <v>41783</v>
      </c>
      <c r="D107" s="67">
        <v>408132.25133999903</v>
      </c>
      <c r="E107" s="98"/>
      <c r="F107" s="77">
        <v>3.2500000000000001E-2</v>
      </c>
      <c r="G107" s="76">
        <f t="shared" si="12"/>
        <v>-6755</v>
      </c>
      <c r="H107" s="67">
        <f t="shared" si="10"/>
        <v>401377.25133999903</v>
      </c>
      <c r="I107" s="75">
        <f t="shared" si="11"/>
        <v>-2296674.8874550015</v>
      </c>
    </row>
    <row r="108" spans="1:9" hidden="1" outlineLevel="1" x14ac:dyDescent="0.2">
      <c r="A108" s="71">
        <f t="shared" si="9"/>
        <v>101</v>
      </c>
      <c r="B108" s="66">
        <f>+B107+30</f>
        <v>41813</v>
      </c>
      <c r="D108" s="67">
        <v>389577.89226499997</v>
      </c>
      <c r="E108" s="98"/>
      <c r="F108" s="77">
        <v>3.2500000000000001E-2</v>
      </c>
      <c r="G108" s="76">
        <f t="shared" si="12"/>
        <v>-5693</v>
      </c>
      <c r="H108" s="67">
        <f t="shared" si="10"/>
        <v>383884.89226499997</v>
      </c>
      <c r="I108" s="75">
        <f t="shared" si="11"/>
        <v>-1912789.9951900016</v>
      </c>
    </row>
    <row r="109" spans="1:9" hidden="1" outlineLevel="1" x14ac:dyDescent="0.2">
      <c r="A109" s="71">
        <f t="shared" si="9"/>
        <v>102</v>
      </c>
      <c r="B109" s="66">
        <f>+B108+31</f>
        <v>41844</v>
      </c>
      <c r="D109" s="67">
        <v>506837.85</v>
      </c>
      <c r="E109" s="98"/>
      <c r="F109" s="77">
        <v>3.2500000000000001E-2</v>
      </c>
      <c r="G109" s="76">
        <f t="shared" si="12"/>
        <v>-4494</v>
      </c>
      <c r="H109" s="67">
        <f t="shared" ref="H109:H140" si="13">SUM(D109:E109,G109)</f>
        <v>502343.85</v>
      </c>
      <c r="I109" s="75">
        <f t="shared" si="11"/>
        <v>-1410446.1451900015</v>
      </c>
    </row>
    <row r="110" spans="1:9" hidden="1" outlineLevel="1" x14ac:dyDescent="0.2">
      <c r="A110" s="71">
        <f t="shared" si="9"/>
        <v>103</v>
      </c>
      <c r="B110" s="66">
        <f>+B109+31</f>
        <v>41875</v>
      </c>
      <c r="D110" s="67">
        <v>499024.91</v>
      </c>
      <c r="E110" s="98"/>
      <c r="F110" s="77">
        <v>3.2500000000000001E-2</v>
      </c>
      <c r="G110" s="76">
        <f t="shared" si="12"/>
        <v>-3144</v>
      </c>
      <c r="H110" s="67">
        <f t="shared" si="13"/>
        <v>495880.91</v>
      </c>
      <c r="I110" s="75">
        <f t="shared" si="11"/>
        <v>-914565.23519000155</v>
      </c>
    </row>
    <row r="111" spans="1:9" hidden="1" outlineLevel="1" x14ac:dyDescent="0.2">
      <c r="A111" s="71">
        <f t="shared" si="9"/>
        <v>104</v>
      </c>
      <c r="B111" s="66">
        <f>+B110+30</f>
        <v>41905</v>
      </c>
      <c r="D111" s="67">
        <v>460443.67803799955</v>
      </c>
      <c r="E111" s="98"/>
      <c r="F111" s="77">
        <v>3.2500000000000001E-2</v>
      </c>
      <c r="G111" s="76">
        <f t="shared" si="12"/>
        <v>-1853</v>
      </c>
      <c r="H111" s="67">
        <f t="shared" si="13"/>
        <v>458590.67803799955</v>
      </c>
      <c r="I111" s="75">
        <f t="shared" si="11"/>
        <v>-455974.557152002</v>
      </c>
    </row>
    <row r="112" spans="1:9" hidden="1" outlineLevel="1" x14ac:dyDescent="0.2">
      <c r="A112" s="71">
        <f t="shared" si="9"/>
        <v>105</v>
      </c>
      <c r="B112" s="66">
        <f>+B111+31</f>
        <v>41936</v>
      </c>
      <c r="D112" s="67">
        <v>316940.79744399968</v>
      </c>
      <c r="E112" s="98"/>
      <c r="F112" s="77">
        <v>3.2500000000000001E-2</v>
      </c>
      <c r="G112" s="76">
        <f t="shared" si="12"/>
        <v>-806</v>
      </c>
      <c r="H112" s="67">
        <f t="shared" si="13"/>
        <v>316134.79744399968</v>
      </c>
      <c r="I112" s="75">
        <f t="shared" si="11"/>
        <v>-139839.75970800233</v>
      </c>
    </row>
    <row r="113" spans="1:13" hidden="1" outlineLevel="1" x14ac:dyDescent="0.2">
      <c r="A113" s="71">
        <f t="shared" si="9"/>
        <v>106</v>
      </c>
      <c r="B113" s="66">
        <f>+B112+30</f>
        <v>41966</v>
      </c>
      <c r="C113" s="87">
        <v>1</v>
      </c>
      <c r="D113" s="67">
        <v>-278465.84999999998</v>
      </c>
      <c r="E113" s="98">
        <v>919526.23519000201</v>
      </c>
      <c r="F113" s="77">
        <v>3.2500000000000001E-2</v>
      </c>
      <c r="G113" s="76">
        <f t="shared" si="12"/>
        <v>1735</v>
      </c>
      <c r="H113" s="67">
        <f t="shared" si="13"/>
        <v>642795.38519000204</v>
      </c>
      <c r="I113" s="75">
        <f t="shared" si="11"/>
        <v>502955.62548199971</v>
      </c>
    </row>
    <row r="114" spans="1:13" hidden="1" outlineLevel="1" x14ac:dyDescent="0.2">
      <c r="A114" s="71">
        <f t="shared" si="9"/>
        <v>107</v>
      </c>
      <c r="B114" s="66">
        <f>+B113+31</f>
        <v>41997</v>
      </c>
      <c r="D114" s="67">
        <v>-425694.98</v>
      </c>
      <c r="E114" s="98"/>
      <c r="F114" s="77">
        <v>3.2500000000000001E-2</v>
      </c>
      <c r="G114" s="76">
        <f t="shared" si="12"/>
        <v>786</v>
      </c>
      <c r="H114" s="67">
        <f t="shared" si="13"/>
        <v>-424908.98</v>
      </c>
      <c r="I114" s="75">
        <f t="shared" si="11"/>
        <v>78046.645481999731</v>
      </c>
    </row>
    <row r="115" spans="1:13" hidden="1" outlineLevel="1" x14ac:dyDescent="0.2">
      <c r="A115" s="71">
        <f t="shared" si="9"/>
        <v>108</v>
      </c>
      <c r="B115" s="66">
        <f>+B114+31</f>
        <v>42028</v>
      </c>
      <c r="D115" s="67">
        <v>-446439</v>
      </c>
      <c r="E115" s="98"/>
      <c r="F115" s="77">
        <v>3.2500000000000001E-2</v>
      </c>
      <c r="G115" s="76">
        <f t="shared" si="12"/>
        <v>-393</v>
      </c>
      <c r="H115" s="67">
        <f t="shared" si="13"/>
        <v>-446832</v>
      </c>
      <c r="I115" s="75">
        <f t="shared" si="11"/>
        <v>-368785.35451800027</v>
      </c>
    </row>
    <row r="116" spans="1:13" hidden="1" outlineLevel="1" x14ac:dyDescent="0.2">
      <c r="A116" s="71">
        <f t="shared" si="9"/>
        <v>109</v>
      </c>
      <c r="B116" s="66">
        <f>+B115+28</f>
        <v>42056</v>
      </c>
      <c r="D116" s="67">
        <v>-86937</v>
      </c>
      <c r="E116" s="98"/>
      <c r="F116" s="77">
        <v>3.2500000000000001E-2</v>
      </c>
      <c r="G116" s="76">
        <f t="shared" si="12"/>
        <v>-1117</v>
      </c>
      <c r="H116" s="67">
        <f t="shared" si="13"/>
        <v>-88054</v>
      </c>
      <c r="I116" s="75">
        <f t="shared" si="11"/>
        <v>-456839.35451800027</v>
      </c>
    </row>
    <row r="117" spans="1:13" hidden="1" outlineLevel="1" x14ac:dyDescent="0.2">
      <c r="A117" s="71">
        <f t="shared" si="9"/>
        <v>110</v>
      </c>
      <c r="B117" s="66">
        <f>+B116+31</f>
        <v>42087</v>
      </c>
      <c r="D117" s="67">
        <v>78687</v>
      </c>
      <c r="E117" s="98"/>
      <c r="F117" s="77">
        <v>3.2500000000000001E-2</v>
      </c>
      <c r="G117" s="76">
        <f t="shared" si="12"/>
        <v>-1131</v>
      </c>
      <c r="H117" s="67">
        <f t="shared" si="13"/>
        <v>77556</v>
      </c>
      <c r="I117" s="75">
        <f t="shared" si="11"/>
        <v>-379283.35451800027</v>
      </c>
    </row>
    <row r="118" spans="1:13" hidden="1" outlineLevel="1" x14ac:dyDescent="0.2">
      <c r="A118" s="71">
        <f t="shared" si="9"/>
        <v>111</v>
      </c>
      <c r="B118" s="66">
        <f>+B117+30</f>
        <v>42117</v>
      </c>
      <c r="D118" s="67">
        <v>91316</v>
      </c>
      <c r="E118" s="98"/>
      <c r="F118" s="77">
        <v>3.2500000000000001E-2</v>
      </c>
      <c r="G118" s="76">
        <f t="shared" si="12"/>
        <v>-904</v>
      </c>
      <c r="H118" s="67">
        <f t="shared" si="13"/>
        <v>90412</v>
      </c>
      <c r="I118" s="75">
        <f t="shared" si="11"/>
        <v>-288871.35451800027</v>
      </c>
    </row>
    <row r="119" spans="1:13" hidden="1" outlineLevel="1" x14ac:dyDescent="0.2">
      <c r="A119" s="71">
        <f t="shared" si="9"/>
        <v>112</v>
      </c>
      <c r="B119" s="66">
        <f>+B118+31</f>
        <v>42148</v>
      </c>
      <c r="D119" s="67">
        <v>353386.63</v>
      </c>
      <c r="E119" s="98"/>
      <c r="F119" s="77">
        <v>3.2500000000000001E-2</v>
      </c>
      <c r="G119" s="76">
        <f t="shared" si="12"/>
        <v>-304</v>
      </c>
      <c r="H119" s="67">
        <f t="shared" si="13"/>
        <v>353082.63</v>
      </c>
      <c r="I119" s="75">
        <f t="shared" si="11"/>
        <v>64211.275481999735</v>
      </c>
    </row>
    <row r="120" spans="1:13" hidden="1" outlineLevel="1" x14ac:dyDescent="0.2">
      <c r="A120" s="71">
        <f t="shared" si="9"/>
        <v>113</v>
      </c>
      <c r="B120" s="66">
        <f>+B119+30</f>
        <v>42178</v>
      </c>
      <c r="D120" s="67">
        <v>457277.61</v>
      </c>
      <c r="E120" s="98"/>
      <c r="F120" s="77">
        <v>3.2500000000000001E-2</v>
      </c>
      <c r="G120" s="76">
        <f t="shared" si="12"/>
        <v>793</v>
      </c>
      <c r="H120" s="67">
        <f t="shared" si="13"/>
        <v>458070.61</v>
      </c>
      <c r="I120" s="75">
        <f t="shared" ref="I120:I151" si="14">+I119+H120</f>
        <v>522281.88548199972</v>
      </c>
    </row>
    <row r="121" spans="1:13" hidden="1" outlineLevel="1" x14ac:dyDescent="0.2">
      <c r="A121" s="71">
        <f t="shared" si="9"/>
        <v>114</v>
      </c>
      <c r="B121" s="66">
        <f>+B120+31</f>
        <v>42209</v>
      </c>
      <c r="D121" s="67">
        <v>475905</v>
      </c>
      <c r="E121" s="98"/>
      <c r="F121" s="77">
        <v>3.2500000000000001E-2</v>
      </c>
      <c r="G121" s="76">
        <f t="shared" si="12"/>
        <v>2059</v>
      </c>
      <c r="H121" s="67">
        <f t="shared" si="13"/>
        <v>477964</v>
      </c>
      <c r="I121" s="75">
        <f t="shared" si="14"/>
        <v>1000245.8854819997</v>
      </c>
      <c r="L121" s="116"/>
      <c r="M121" s="78"/>
    </row>
    <row r="122" spans="1:13" hidden="1" outlineLevel="1" x14ac:dyDescent="0.2">
      <c r="A122" s="71">
        <f t="shared" si="9"/>
        <v>115</v>
      </c>
      <c r="B122" s="66">
        <f>+B121+31</f>
        <v>42240</v>
      </c>
      <c r="D122" s="67">
        <v>494175.64</v>
      </c>
      <c r="E122" s="98">
        <v>2.11</v>
      </c>
      <c r="F122" s="77">
        <v>3.2500000000000001E-2</v>
      </c>
      <c r="G122" s="76">
        <f t="shared" ref="G122:G153" si="15">ROUND((+I121+E122+(D122/2))*F122/12,2)</f>
        <v>3378.2</v>
      </c>
      <c r="H122" s="67">
        <f t="shared" si="13"/>
        <v>497555.95</v>
      </c>
      <c r="I122" s="75">
        <f t="shared" si="14"/>
        <v>1497801.8354819997</v>
      </c>
      <c r="L122" s="75"/>
    </row>
    <row r="123" spans="1:13" hidden="1" outlineLevel="1" x14ac:dyDescent="0.2">
      <c r="A123" s="71">
        <f t="shared" si="9"/>
        <v>116</v>
      </c>
      <c r="B123" s="66">
        <f>+B122+30</f>
        <v>42270</v>
      </c>
      <c r="C123" s="87">
        <v>2</v>
      </c>
      <c r="D123" s="67">
        <v>360081.47177800012</v>
      </c>
      <c r="E123" s="98">
        <f>-318107-5392.05</f>
        <v>-323499.05</v>
      </c>
      <c r="F123" s="77">
        <v>3.2500000000000001E-2</v>
      </c>
      <c r="G123" s="76">
        <f t="shared" si="15"/>
        <v>3668.01</v>
      </c>
      <c r="H123" s="67">
        <f t="shared" si="13"/>
        <v>40250.431778000137</v>
      </c>
      <c r="I123" s="75">
        <f t="shared" si="14"/>
        <v>1538052.2672599999</v>
      </c>
    </row>
    <row r="124" spans="1:13" hidden="1" outlineLevel="1" x14ac:dyDescent="0.2">
      <c r="A124" s="71">
        <f t="shared" si="9"/>
        <v>117</v>
      </c>
      <c r="B124" s="66">
        <f>+B123+31</f>
        <v>42301</v>
      </c>
      <c r="C124" s="89"/>
      <c r="D124" s="67">
        <v>304876.87122400012</v>
      </c>
      <c r="E124" s="98"/>
      <c r="F124" s="77">
        <v>3.2500000000000001E-2</v>
      </c>
      <c r="G124" s="76">
        <f t="shared" si="15"/>
        <v>4578.41</v>
      </c>
      <c r="H124" s="67">
        <f t="shared" si="13"/>
        <v>309455.28122400009</v>
      </c>
      <c r="I124" s="75">
        <f t="shared" si="14"/>
        <v>1847507.5484839999</v>
      </c>
    </row>
    <row r="125" spans="1:13" hidden="1" outlineLevel="1" x14ac:dyDescent="0.2">
      <c r="A125" s="71">
        <f t="shared" si="9"/>
        <v>118</v>
      </c>
      <c r="B125" s="66">
        <f>B124+30</f>
        <v>42331</v>
      </c>
      <c r="C125" s="87">
        <v>1</v>
      </c>
      <c r="D125" s="67">
        <v>-273627.84000000003</v>
      </c>
      <c r="E125" s="98">
        <f>-1505925.8</f>
        <v>-1505925.8</v>
      </c>
      <c r="F125" s="77">
        <v>3.2500000000000001E-2</v>
      </c>
      <c r="G125" s="76">
        <f t="shared" si="15"/>
        <v>554.58000000000004</v>
      </c>
      <c r="H125" s="67">
        <f t="shared" si="13"/>
        <v>-1778999.06</v>
      </c>
      <c r="I125" s="75">
        <f t="shared" si="14"/>
        <v>68508.488483999856</v>
      </c>
    </row>
    <row r="126" spans="1:13" hidden="1" outlineLevel="1" x14ac:dyDescent="0.2">
      <c r="A126" s="71">
        <f t="shared" si="9"/>
        <v>119</v>
      </c>
      <c r="B126" s="66">
        <f>B125+31</f>
        <v>42362</v>
      </c>
      <c r="C126" s="89"/>
      <c r="D126" s="67">
        <v>-517590</v>
      </c>
      <c r="E126" s="98"/>
      <c r="F126" s="77">
        <v>3.2500000000000001E-2</v>
      </c>
      <c r="G126" s="76">
        <f t="shared" si="15"/>
        <v>-515.36</v>
      </c>
      <c r="H126" s="67">
        <f t="shared" si="13"/>
        <v>-518105.36</v>
      </c>
      <c r="I126" s="75">
        <f t="shared" si="14"/>
        <v>-449596.87151600013</v>
      </c>
    </row>
    <row r="127" spans="1:13" hidden="1" outlineLevel="1" x14ac:dyDescent="0.2">
      <c r="A127" s="71">
        <f t="shared" si="9"/>
        <v>120</v>
      </c>
      <c r="B127" s="66">
        <f>B126+31</f>
        <v>42393</v>
      </c>
      <c r="C127" s="89"/>
      <c r="D127" s="67">
        <v>-573045.11</v>
      </c>
      <c r="E127" s="98"/>
      <c r="F127" s="77">
        <v>3.2500000000000001E-2</v>
      </c>
      <c r="G127" s="76">
        <f t="shared" si="15"/>
        <v>-1993.66</v>
      </c>
      <c r="H127" s="67">
        <f t="shared" si="13"/>
        <v>-575038.77</v>
      </c>
      <c r="I127" s="75">
        <f t="shared" si="14"/>
        <v>-1024635.6415160001</v>
      </c>
    </row>
    <row r="128" spans="1:13" hidden="1" outlineLevel="1" x14ac:dyDescent="0.2">
      <c r="A128" s="71">
        <f t="shared" si="9"/>
        <v>121</v>
      </c>
      <c r="B128" s="66">
        <f>B127+29</f>
        <v>42422</v>
      </c>
      <c r="C128" s="89"/>
      <c r="D128" s="67">
        <v>-218572.97</v>
      </c>
      <c r="E128" s="98"/>
      <c r="F128" s="77">
        <v>3.2500000000000001E-2</v>
      </c>
      <c r="G128" s="76">
        <f t="shared" si="15"/>
        <v>-3071.04</v>
      </c>
      <c r="H128" s="67">
        <f t="shared" si="13"/>
        <v>-221644.01</v>
      </c>
      <c r="I128" s="75">
        <f t="shared" si="14"/>
        <v>-1246279.6515160003</v>
      </c>
    </row>
    <row r="129" spans="1:13" hidden="1" outlineLevel="1" x14ac:dyDescent="0.2">
      <c r="A129" s="71">
        <f t="shared" si="9"/>
        <v>122</v>
      </c>
      <c r="B129" s="66">
        <f>B128+31</f>
        <v>42453</v>
      </c>
      <c r="C129" s="89"/>
      <c r="D129" s="67">
        <v>-103871.33</v>
      </c>
      <c r="E129" s="98"/>
      <c r="F129" s="77">
        <v>3.2500000000000001E-2</v>
      </c>
      <c r="G129" s="76">
        <f t="shared" si="15"/>
        <v>-3516</v>
      </c>
      <c r="H129" s="67">
        <f t="shared" si="13"/>
        <v>-107387.33</v>
      </c>
      <c r="I129" s="75">
        <f t="shared" si="14"/>
        <v>-1353666.9815160003</v>
      </c>
    </row>
    <row r="130" spans="1:13" hidden="1" outlineLevel="1" x14ac:dyDescent="0.2">
      <c r="A130" s="71">
        <f t="shared" si="9"/>
        <v>123</v>
      </c>
      <c r="B130" s="66">
        <f>B129+30</f>
        <v>42483</v>
      </c>
      <c r="C130" s="89"/>
      <c r="D130" s="67">
        <v>212761.91</v>
      </c>
      <c r="E130" s="98"/>
      <c r="F130" s="77">
        <v>3.4599999999999999E-2</v>
      </c>
      <c r="G130" s="76">
        <f t="shared" si="15"/>
        <v>-3596.34</v>
      </c>
      <c r="H130" s="67">
        <f t="shared" si="13"/>
        <v>209165.57</v>
      </c>
      <c r="I130" s="75">
        <f t="shared" si="14"/>
        <v>-1144501.4115160003</v>
      </c>
    </row>
    <row r="131" spans="1:13" hidden="1" outlineLevel="1" x14ac:dyDescent="0.2">
      <c r="A131" s="71">
        <f t="shared" si="9"/>
        <v>124</v>
      </c>
      <c r="B131" s="66">
        <f>B130+31</f>
        <v>42514</v>
      </c>
      <c r="C131" s="89"/>
      <c r="D131" s="67">
        <v>414493.24</v>
      </c>
      <c r="E131" s="98"/>
      <c r="F131" s="77">
        <v>3.4599999999999999E-2</v>
      </c>
      <c r="G131" s="76">
        <f t="shared" si="15"/>
        <v>-2702.42</v>
      </c>
      <c r="H131" s="67">
        <f t="shared" si="13"/>
        <v>411790.82</v>
      </c>
      <c r="I131" s="75">
        <f t="shared" si="14"/>
        <v>-732710.59151600022</v>
      </c>
    </row>
    <row r="132" spans="1:13" hidden="1" outlineLevel="1" x14ac:dyDescent="0.2">
      <c r="A132" s="71">
        <f t="shared" si="9"/>
        <v>125</v>
      </c>
      <c r="B132" s="66">
        <f>B131+30</f>
        <v>42544</v>
      </c>
      <c r="C132" s="89"/>
      <c r="D132" s="67">
        <v>343147.08</v>
      </c>
      <c r="E132" s="98"/>
      <c r="F132" s="77">
        <v>3.4599999999999999E-2</v>
      </c>
      <c r="G132" s="76">
        <f t="shared" si="15"/>
        <v>-1617.95</v>
      </c>
      <c r="H132" s="67">
        <f t="shared" si="13"/>
        <v>341529.13</v>
      </c>
      <c r="I132" s="75">
        <f t="shared" si="14"/>
        <v>-391181.46151600021</v>
      </c>
    </row>
    <row r="133" spans="1:13" hidden="1" outlineLevel="1" x14ac:dyDescent="0.2">
      <c r="A133" s="71">
        <f t="shared" si="9"/>
        <v>126</v>
      </c>
      <c r="B133" s="66">
        <f>B132+31</f>
        <v>42575</v>
      </c>
      <c r="C133" s="89"/>
      <c r="D133" s="67">
        <v>439322.75</v>
      </c>
      <c r="E133" s="98"/>
      <c r="F133" s="77">
        <v>3.5000000000000003E-2</v>
      </c>
      <c r="G133" s="76">
        <f t="shared" si="15"/>
        <v>-500.27</v>
      </c>
      <c r="H133" s="67">
        <f t="shared" si="13"/>
        <v>438822.48</v>
      </c>
      <c r="I133" s="75">
        <f t="shared" si="14"/>
        <v>47641.018483999767</v>
      </c>
    </row>
    <row r="134" spans="1:13" hidden="1" outlineLevel="1" x14ac:dyDescent="0.2">
      <c r="A134" s="71">
        <f t="shared" si="9"/>
        <v>127</v>
      </c>
      <c r="B134" s="66">
        <f>B133+31</f>
        <v>42606</v>
      </c>
      <c r="C134" s="89"/>
      <c r="D134" s="67">
        <v>456951.23739560001</v>
      </c>
      <c r="E134" s="98"/>
      <c r="F134" s="77">
        <v>3.5000000000000003E-2</v>
      </c>
      <c r="G134" s="76">
        <f t="shared" si="15"/>
        <v>805.34</v>
      </c>
      <c r="H134" s="67">
        <f t="shared" si="13"/>
        <v>457756.57739560003</v>
      </c>
      <c r="I134" s="75">
        <f t="shared" si="14"/>
        <v>505397.5958795998</v>
      </c>
      <c r="L134" s="86"/>
      <c r="M134" s="86"/>
    </row>
    <row r="135" spans="1:13" hidden="1" outlineLevel="1" x14ac:dyDescent="0.2">
      <c r="A135" s="71">
        <f t="shared" si="9"/>
        <v>128</v>
      </c>
      <c r="B135" s="66">
        <f>B134+30</f>
        <v>42636</v>
      </c>
      <c r="D135" s="67">
        <v>376258.76</v>
      </c>
      <c r="E135" s="98"/>
      <c r="F135" s="77">
        <v>3.5000000000000003E-2</v>
      </c>
      <c r="G135" s="76">
        <f t="shared" si="15"/>
        <v>2022.79</v>
      </c>
      <c r="H135" s="67">
        <f t="shared" si="13"/>
        <v>378281.55</v>
      </c>
      <c r="I135" s="75">
        <f t="shared" si="14"/>
        <v>883679.14587959973</v>
      </c>
    </row>
    <row r="136" spans="1:13" hidden="1" outlineLevel="1" x14ac:dyDescent="0.2">
      <c r="A136" s="71">
        <f t="shared" si="9"/>
        <v>129</v>
      </c>
      <c r="B136" s="66">
        <f>B135+31</f>
        <v>42667</v>
      </c>
      <c r="D136" s="67">
        <v>173597.52</v>
      </c>
      <c r="E136" s="98"/>
      <c r="F136" s="77">
        <v>3.5000000000000003E-2</v>
      </c>
      <c r="G136" s="76">
        <f t="shared" si="15"/>
        <v>2830.56</v>
      </c>
      <c r="H136" s="67">
        <f t="shared" si="13"/>
        <v>176428.08</v>
      </c>
      <c r="I136" s="75">
        <f t="shared" si="14"/>
        <v>1060107.2258795998</v>
      </c>
    </row>
    <row r="137" spans="1:13" hidden="1" outlineLevel="1" x14ac:dyDescent="0.2">
      <c r="A137" s="71">
        <f t="shared" ref="A137:A200" si="16">+A136+1</f>
        <v>130</v>
      </c>
      <c r="B137" s="82">
        <f>B136+30</f>
        <v>42697</v>
      </c>
      <c r="C137" s="87">
        <v>1</v>
      </c>
      <c r="D137" s="67">
        <v>-34090.792599199689</v>
      </c>
      <c r="E137" s="98">
        <v>-508349.64</v>
      </c>
      <c r="F137" s="77">
        <v>3.5000000000000003E-2</v>
      </c>
      <c r="G137" s="76">
        <f t="shared" si="15"/>
        <v>1559.58</v>
      </c>
      <c r="H137" s="67">
        <f t="shared" si="13"/>
        <v>-540880.85259919974</v>
      </c>
      <c r="I137" s="75">
        <f t="shared" si="14"/>
        <v>519226.37328040006</v>
      </c>
    </row>
    <row r="138" spans="1:13" hidden="1" outlineLevel="1" x14ac:dyDescent="0.2">
      <c r="A138" s="71">
        <f t="shared" si="16"/>
        <v>131</v>
      </c>
      <c r="B138" s="82">
        <f t="shared" ref="B138:B150" si="17">B137+31</f>
        <v>42728</v>
      </c>
      <c r="C138" s="108"/>
      <c r="D138" s="67">
        <v>-902608.8633995998</v>
      </c>
      <c r="E138" s="98"/>
      <c r="F138" s="77">
        <v>3.5000000000000003E-2</v>
      </c>
      <c r="G138" s="76">
        <f t="shared" si="15"/>
        <v>198.11</v>
      </c>
      <c r="H138" s="67">
        <f t="shared" si="13"/>
        <v>-902410.75339959981</v>
      </c>
      <c r="I138" s="75">
        <f t="shared" si="14"/>
        <v>-383184.38011919975</v>
      </c>
    </row>
    <row r="139" spans="1:13" hidden="1" outlineLevel="1" x14ac:dyDescent="0.2">
      <c r="A139" s="71">
        <f t="shared" si="16"/>
        <v>132</v>
      </c>
      <c r="B139" s="82">
        <f t="shared" si="17"/>
        <v>42759</v>
      </c>
      <c r="C139" s="108"/>
      <c r="D139" s="67">
        <v>-1177911.3488843997</v>
      </c>
      <c r="E139" s="98"/>
      <c r="F139" s="77">
        <v>3.5000000000000003E-2</v>
      </c>
      <c r="G139" s="76">
        <f t="shared" si="15"/>
        <v>-2835.41</v>
      </c>
      <c r="H139" s="67">
        <f t="shared" si="13"/>
        <v>-1180746.7588843997</v>
      </c>
      <c r="I139" s="75">
        <f t="shared" si="14"/>
        <v>-1563931.1390035995</v>
      </c>
    </row>
    <row r="140" spans="1:13" hidden="1" outlineLevel="1" x14ac:dyDescent="0.2">
      <c r="A140" s="71">
        <f t="shared" si="16"/>
        <v>133</v>
      </c>
      <c r="B140" s="82">
        <f t="shared" si="17"/>
        <v>42790</v>
      </c>
      <c r="C140" s="108"/>
      <c r="D140" s="67">
        <v>-591296.5696503995</v>
      </c>
      <c r="E140" s="98"/>
      <c r="F140" s="77">
        <v>3.5000000000000003E-2</v>
      </c>
      <c r="G140" s="76">
        <f t="shared" si="15"/>
        <v>-5423.77</v>
      </c>
      <c r="H140" s="67">
        <f t="shared" si="13"/>
        <v>-596720.33965039952</v>
      </c>
      <c r="I140" s="75">
        <f t="shared" si="14"/>
        <v>-2160651.478653999</v>
      </c>
    </row>
    <row r="141" spans="1:13" hidden="1" outlineLevel="1" x14ac:dyDescent="0.2">
      <c r="A141" s="71">
        <f t="shared" si="16"/>
        <v>134</v>
      </c>
      <c r="B141" s="82">
        <f t="shared" si="17"/>
        <v>42821</v>
      </c>
      <c r="C141" s="108"/>
      <c r="D141" s="67">
        <v>-313110.60514879972</v>
      </c>
      <c r="E141" s="98"/>
      <c r="F141" s="77">
        <v>3.5000000000000003E-2</v>
      </c>
      <c r="G141" s="76">
        <f t="shared" si="15"/>
        <v>-6758.52</v>
      </c>
      <c r="H141" s="67">
        <f t="shared" ref="H141:H172" si="18">SUM(D141:E141,G141)</f>
        <v>-319869.12514879974</v>
      </c>
      <c r="I141" s="75">
        <f t="shared" si="14"/>
        <v>-2480520.6038027988</v>
      </c>
    </row>
    <row r="142" spans="1:13" hidden="1" outlineLevel="1" x14ac:dyDescent="0.2">
      <c r="A142" s="71">
        <f t="shared" si="16"/>
        <v>135</v>
      </c>
      <c r="B142" s="82">
        <f t="shared" si="17"/>
        <v>42852</v>
      </c>
      <c r="C142" s="108"/>
      <c r="D142" s="67">
        <v>-38832.131575999781</v>
      </c>
      <c r="E142" s="98"/>
      <c r="F142" s="77">
        <v>3.7100000000000001E-2</v>
      </c>
      <c r="G142" s="76">
        <f t="shared" si="15"/>
        <v>-7728.97</v>
      </c>
      <c r="H142" s="67">
        <f t="shared" si="18"/>
        <v>-46561.101575999783</v>
      </c>
      <c r="I142" s="75">
        <f t="shared" si="14"/>
        <v>-2527081.7053787988</v>
      </c>
    </row>
    <row r="143" spans="1:13" hidden="1" outlineLevel="1" x14ac:dyDescent="0.2">
      <c r="A143" s="71">
        <f t="shared" si="16"/>
        <v>136</v>
      </c>
      <c r="B143" s="82">
        <f t="shared" si="17"/>
        <v>42883</v>
      </c>
      <c r="C143" s="108"/>
      <c r="D143" s="67">
        <v>257065.47580360033</v>
      </c>
      <c r="E143" s="98"/>
      <c r="F143" s="77">
        <v>3.7100000000000001E-2</v>
      </c>
      <c r="G143" s="76">
        <f t="shared" si="15"/>
        <v>-7415.51</v>
      </c>
      <c r="H143" s="67">
        <f t="shared" si="18"/>
        <v>249649.96580360032</v>
      </c>
      <c r="I143" s="75">
        <f t="shared" si="14"/>
        <v>-2277431.7395751984</v>
      </c>
    </row>
    <row r="144" spans="1:13" hidden="1" outlineLevel="1" x14ac:dyDescent="0.2">
      <c r="A144" s="71">
        <f t="shared" si="16"/>
        <v>137</v>
      </c>
      <c r="B144" s="82">
        <f t="shared" si="17"/>
        <v>42914</v>
      </c>
      <c r="C144" s="108"/>
      <c r="D144" s="67">
        <v>355710.73961600038</v>
      </c>
      <c r="E144" s="98"/>
      <c r="F144" s="77">
        <v>3.7100000000000001E-2</v>
      </c>
      <c r="G144" s="76">
        <f t="shared" si="15"/>
        <v>-6491.19</v>
      </c>
      <c r="H144" s="67">
        <f t="shared" si="18"/>
        <v>349219.54961600038</v>
      </c>
      <c r="I144" s="75">
        <f t="shared" si="14"/>
        <v>-1928212.189959198</v>
      </c>
    </row>
    <row r="145" spans="1:9" hidden="1" outlineLevel="1" x14ac:dyDescent="0.2">
      <c r="A145" s="71">
        <f t="shared" si="16"/>
        <v>138</v>
      </c>
      <c r="B145" s="82">
        <f t="shared" si="17"/>
        <v>42945</v>
      </c>
      <c r="C145" s="108"/>
      <c r="D145" s="67">
        <v>419621.6981724003</v>
      </c>
      <c r="E145" s="98"/>
      <c r="F145" s="77">
        <v>3.9600000000000003E-2</v>
      </c>
      <c r="G145" s="76">
        <f t="shared" si="15"/>
        <v>-5670.72</v>
      </c>
      <c r="H145" s="67">
        <f t="shared" si="18"/>
        <v>413950.97817240033</v>
      </c>
      <c r="I145" s="75">
        <f t="shared" si="14"/>
        <v>-1514261.2117867977</v>
      </c>
    </row>
    <row r="146" spans="1:9" hidden="1" outlineLevel="1" x14ac:dyDescent="0.2">
      <c r="A146" s="71">
        <f t="shared" si="16"/>
        <v>139</v>
      </c>
      <c r="B146" s="82">
        <f t="shared" si="17"/>
        <v>42976</v>
      </c>
      <c r="C146" s="108"/>
      <c r="D146" s="67">
        <v>461347.80083680036</v>
      </c>
      <c r="E146" s="98"/>
      <c r="F146" s="77">
        <v>3.9600000000000003E-2</v>
      </c>
      <c r="G146" s="76">
        <f t="shared" si="15"/>
        <v>-4235.84</v>
      </c>
      <c r="H146" s="67">
        <f t="shared" si="18"/>
        <v>457111.96083680034</v>
      </c>
      <c r="I146" s="75">
        <f t="shared" si="14"/>
        <v>-1057149.2509499975</v>
      </c>
    </row>
    <row r="147" spans="1:9" hidden="1" outlineLevel="1" x14ac:dyDescent="0.2">
      <c r="A147" s="71">
        <f t="shared" si="16"/>
        <v>140</v>
      </c>
      <c r="B147" s="82">
        <f t="shared" si="17"/>
        <v>43007</v>
      </c>
      <c r="C147" s="108"/>
      <c r="D147" s="67">
        <v>390949.93206280039</v>
      </c>
      <c r="E147" s="98"/>
      <c r="F147" s="77">
        <v>3.9600000000000003E-2</v>
      </c>
      <c r="G147" s="76">
        <f t="shared" si="15"/>
        <v>-2843.53</v>
      </c>
      <c r="H147" s="67">
        <f t="shared" si="18"/>
        <v>388106.40206280036</v>
      </c>
      <c r="I147" s="75">
        <f t="shared" si="14"/>
        <v>-669042.84888719709</v>
      </c>
    </row>
    <row r="148" spans="1:9" hidden="1" outlineLevel="1" x14ac:dyDescent="0.2">
      <c r="A148" s="71">
        <f t="shared" si="16"/>
        <v>141</v>
      </c>
      <c r="B148" s="82">
        <f t="shared" si="17"/>
        <v>43038</v>
      </c>
      <c r="C148" s="108"/>
      <c r="D148" s="67">
        <v>81093.975094000343</v>
      </c>
      <c r="E148" s="98"/>
      <c r="F148" s="77">
        <v>4.2099999999999999E-2</v>
      </c>
      <c r="G148" s="76">
        <f t="shared" si="15"/>
        <v>-2204.9699999999998</v>
      </c>
      <c r="H148" s="67">
        <f t="shared" si="18"/>
        <v>78889.005094000342</v>
      </c>
      <c r="I148" s="75">
        <f t="shared" si="14"/>
        <v>-590153.84379319672</v>
      </c>
    </row>
    <row r="149" spans="1:9" hidden="1" outlineLevel="1" x14ac:dyDescent="0.2">
      <c r="A149" s="71">
        <f t="shared" si="16"/>
        <v>142</v>
      </c>
      <c r="B149" s="82">
        <f t="shared" si="17"/>
        <v>43069</v>
      </c>
      <c r="C149" s="87">
        <v>1</v>
      </c>
      <c r="D149" s="67">
        <v>-264663.82199020032</v>
      </c>
      <c r="E149" s="98">
        <v>1064137.94</v>
      </c>
      <c r="F149" s="77">
        <v>4.2099999999999999E-2</v>
      </c>
      <c r="G149" s="76">
        <f t="shared" si="15"/>
        <v>1198.6300000000001</v>
      </c>
      <c r="H149" s="67">
        <f t="shared" si="18"/>
        <v>800672.74800979963</v>
      </c>
      <c r="I149" s="75">
        <f t="shared" si="14"/>
        <v>210518.90421660291</v>
      </c>
    </row>
    <row r="150" spans="1:9" hidden="1" outlineLevel="1" x14ac:dyDescent="0.2">
      <c r="A150" s="71">
        <f t="shared" si="16"/>
        <v>143</v>
      </c>
      <c r="B150" s="82">
        <f t="shared" si="17"/>
        <v>43100</v>
      </c>
      <c r="C150" s="108"/>
      <c r="D150" s="67">
        <v>-828194.38106480031</v>
      </c>
      <c r="E150" s="98"/>
      <c r="F150" s="77">
        <v>4.2099999999999999E-2</v>
      </c>
      <c r="G150" s="76">
        <f t="shared" si="15"/>
        <v>-714.22</v>
      </c>
      <c r="H150" s="67">
        <f t="shared" si="18"/>
        <v>-828908.60106480028</v>
      </c>
      <c r="I150" s="75">
        <f t="shared" si="14"/>
        <v>-618389.69684819737</v>
      </c>
    </row>
    <row r="151" spans="1:9" hidden="1" outlineLevel="1" x14ac:dyDescent="0.2">
      <c r="A151" s="71">
        <f t="shared" si="16"/>
        <v>144</v>
      </c>
      <c r="B151" s="82">
        <v>43101</v>
      </c>
      <c r="C151" s="108"/>
      <c r="D151" s="67">
        <v>-526982.84339700022</v>
      </c>
      <c r="E151" s="98"/>
      <c r="F151" s="77">
        <v>4.2500000000000003E-2</v>
      </c>
      <c r="G151" s="76">
        <f t="shared" si="15"/>
        <v>-3123.33</v>
      </c>
      <c r="H151" s="67">
        <f t="shared" si="18"/>
        <v>-530106.17339700018</v>
      </c>
      <c r="I151" s="75">
        <f t="shared" si="14"/>
        <v>-1148495.8702451976</v>
      </c>
    </row>
    <row r="152" spans="1:9" hidden="1" outlineLevel="1" x14ac:dyDescent="0.2">
      <c r="A152" s="71">
        <f t="shared" si="16"/>
        <v>145</v>
      </c>
      <c r="B152" s="82">
        <v>43132</v>
      </c>
      <c r="C152" s="108"/>
      <c r="D152" s="67">
        <v>-568632.19156980002</v>
      </c>
      <c r="E152" s="98"/>
      <c r="F152" s="77">
        <v>4.2500000000000003E-2</v>
      </c>
      <c r="G152" s="76">
        <f t="shared" si="15"/>
        <v>-5074.54</v>
      </c>
      <c r="H152" s="67">
        <f t="shared" si="18"/>
        <v>-573706.73156980006</v>
      </c>
      <c r="I152" s="75">
        <f t="shared" ref="I152:I183" si="19">+I151+H152</f>
        <v>-1722202.6018149976</v>
      </c>
    </row>
    <row r="153" spans="1:9" hidden="1" outlineLevel="1" x14ac:dyDescent="0.2">
      <c r="A153" s="71">
        <f t="shared" si="16"/>
        <v>146</v>
      </c>
      <c r="B153" s="82">
        <v>43160</v>
      </c>
      <c r="C153" s="108"/>
      <c r="D153" s="67">
        <v>-317816.13382440025</v>
      </c>
      <c r="E153" s="98"/>
      <c r="F153" s="77">
        <v>4.2500000000000003E-2</v>
      </c>
      <c r="G153" s="76">
        <f t="shared" si="15"/>
        <v>-6662.27</v>
      </c>
      <c r="H153" s="67">
        <f t="shared" si="18"/>
        <v>-324478.40382440027</v>
      </c>
      <c r="I153" s="75">
        <f t="shared" si="19"/>
        <v>-2046681.005639398</v>
      </c>
    </row>
    <row r="154" spans="1:9" hidden="1" outlineLevel="1" x14ac:dyDescent="0.2">
      <c r="A154" s="71">
        <f t="shared" si="16"/>
        <v>147</v>
      </c>
      <c r="B154" s="82">
        <v>43191</v>
      </c>
      <c r="C154" s="108"/>
      <c r="D154" s="67">
        <v>-40734.026942200144</v>
      </c>
      <c r="E154" s="98"/>
      <c r="F154" s="77">
        <v>4.4699999999999997E-2</v>
      </c>
      <c r="G154" s="76">
        <f t="shared" ref="G154:G185" si="20">ROUND((+I153+E154+(D154/2))*F154/12,2)</f>
        <v>-7699.75</v>
      </c>
      <c r="H154" s="67">
        <f t="shared" si="18"/>
        <v>-48433.776942200144</v>
      </c>
      <c r="I154" s="75">
        <f t="shared" si="19"/>
        <v>-2095114.782581598</v>
      </c>
    </row>
    <row r="155" spans="1:9" hidden="1" outlineLevel="1" x14ac:dyDescent="0.2">
      <c r="A155" s="71">
        <f t="shared" si="16"/>
        <v>148</v>
      </c>
      <c r="B155" s="82">
        <v>43221</v>
      </c>
      <c r="C155" s="108"/>
      <c r="D155" s="67">
        <v>403353.94409119978</v>
      </c>
      <c r="E155" s="98"/>
      <c r="F155" s="77">
        <v>4.4699999999999997E-2</v>
      </c>
      <c r="G155" s="76">
        <f t="shared" si="20"/>
        <v>-7053.06</v>
      </c>
      <c r="H155" s="67">
        <f t="shared" si="18"/>
        <v>396300.88409119978</v>
      </c>
      <c r="I155" s="75">
        <f t="shared" si="19"/>
        <v>-1698813.8984903982</v>
      </c>
    </row>
    <row r="156" spans="1:9" hidden="1" outlineLevel="1" x14ac:dyDescent="0.2">
      <c r="A156" s="71">
        <f t="shared" si="16"/>
        <v>149</v>
      </c>
      <c r="B156" s="82">
        <v>43252</v>
      </c>
      <c r="C156" s="108"/>
      <c r="D156" s="67">
        <v>324736.39855339978</v>
      </c>
      <c r="E156" s="98"/>
      <c r="F156" s="77">
        <v>4.4699999999999997E-2</v>
      </c>
      <c r="G156" s="76">
        <f t="shared" si="20"/>
        <v>-5723.26</v>
      </c>
      <c r="H156" s="67">
        <f t="shared" si="18"/>
        <v>319013.13855339977</v>
      </c>
      <c r="I156" s="75">
        <f t="shared" si="19"/>
        <v>-1379800.7599369984</v>
      </c>
    </row>
    <row r="157" spans="1:9" hidden="1" outlineLevel="1" x14ac:dyDescent="0.2">
      <c r="A157" s="71">
        <f t="shared" si="16"/>
        <v>150</v>
      </c>
      <c r="B157" s="82">
        <v>43282</v>
      </c>
      <c r="C157" s="87">
        <v>2</v>
      </c>
      <c r="D157" s="67">
        <v>416261.51387539983</v>
      </c>
      <c r="E157" s="98">
        <v>-0.43</v>
      </c>
      <c r="F157" s="77">
        <v>4.6899999999999997E-2</v>
      </c>
      <c r="G157" s="76">
        <f t="shared" si="20"/>
        <v>-4579.28</v>
      </c>
      <c r="H157" s="67">
        <f t="shared" si="18"/>
        <v>411681.80387539981</v>
      </c>
      <c r="I157" s="75">
        <f t="shared" si="19"/>
        <v>-968118.95606159861</v>
      </c>
    </row>
    <row r="158" spans="1:9" hidden="1" outlineLevel="1" x14ac:dyDescent="0.2">
      <c r="A158" s="71">
        <f t="shared" si="16"/>
        <v>151</v>
      </c>
      <c r="B158" s="82">
        <v>43313</v>
      </c>
      <c r="C158" s="108"/>
      <c r="D158" s="67">
        <v>452595.47167719976</v>
      </c>
      <c r="E158" s="98"/>
      <c r="F158" s="77">
        <v>4.6899999999999997E-2</v>
      </c>
      <c r="G158" s="76">
        <f t="shared" si="20"/>
        <v>-2899.28</v>
      </c>
      <c r="H158" s="67">
        <f t="shared" si="18"/>
        <v>449696.19167719973</v>
      </c>
      <c r="I158" s="75">
        <f t="shared" si="19"/>
        <v>-518422.76438439888</v>
      </c>
    </row>
    <row r="159" spans="1:9" hidden="1" outlineLevel="1" x14ac:dyDescent="0.2">
      <c r="A159" s="71">
        <f t="shared" si="16"/>
        <v>152</v>
      </c>
      <c r="B159" s="82">
        <v>43344</v>
      </c>
      <c r="C159" s="108"/>
      <c r="D159" s="67">
        <v>356736.70818279992</v>
      </c>
      <c r="E159" s="98"/>
      <c r="F159" s="77">
        <v>4.6899999999999997E-2</v>
      </c>
      <c r="G159" s="76">
        <f t="shared" si="20"/>
        <v>-1329.05</v>
      </c>
      <c r="H159" s="67">
        <f t="shared" si="18"/>
        <v>355407.65818279993</v>
      </c>
      <c r="I159" s="75">
        <f t="shared" si="19"/>
        <v>-163015.10620159894</v>
      </c>
    </row>
    <row r="160" spans="1:9" hidden="1" outlineLevel="1" x14ac:dyDescent="0.2">
      <c r="A160" s="71">
        <f t="shared" si="16"/>
        <v>153</v>
      </c>
      <c r="B160" s="82">
        <v>43374</v>
      </c>
      <c r="C160" s="108"/>
      <c r="D160" s="67">
        <v>152859.06498679996</v>
      </c>
      <c r="E160" s="98"/>
      <c r="F160" s="88">
        <v>4.9599999999999998E-2</v>
      </c>
      <c r="G160" s="76">
        <f t="shared" si="20"/>
        <v>-357.89</v>
      </c>
      <c r="H160" s="67">
        <f t="shared" si="18"/>
        <v>152501.17498679995</v>
      </c>
      <c r="I160" s="75">
        <f t="shared" si="19"/>
        <v>-10513.931214798999</v>
      </c>
    </row>
    <row r="161" spans="1:9" hidden="1" outlineLevel="1" x14ac:dyDescent="0.2">
      <c r="A161" s="71">
        <f t="shared" si="16"/>
        <v>154</v>
      </c>
      <c r="B161" s="82">
        <v>43405</v>
      </c>
      <c r="C161" s="115">
        <v>1</v>
      </c>
      <c r="D161" s="67">
        <v>-223556.96882780024</v>
      </c>
      <c r="E161" s="98">
        <v>522600.12438439886</v>
      </c>
      <c r="F161" s="88">
        <v>4.9599999999999998E-2</v>
      </c>
      <c r="G161" s="76">
        <f t="shared" si="20"/>
        <v>1654.61</v>
      </c>
      <c r="H161" s="67">
        <f t="shared" si="18"/>
        <v>300697.76555659861</v>
      </c>
      <c r="I161" s="75">
        <f t="shared" si="19"/>
        <v>290183.83434179961</v>
      </c>
    </row>
    <row r="162" spans="1:9" hidden="1" outlineLevel="1" x14ac:dyDescent="0.2">
      <c r="A162" s="71">
        <f t="shared" si="16"/>
        <v>155</v>
      </c>
      <c r="B162" s="82">
        <v>43435</v>
      </c>
      <c r="C162" s="108"/>
      <c r="D162" s="67">
        <v>-535335.16507560003</v>
      </c>
      <c r="E162" s="98"/>
      <c r="F162" s="88">
        <v>4.9599999999999998E-2</v>
      </c>
      <c r="G162" s="76">
        <f t="shared" si="20"/>
        <v>93.07</v>
      </c>
      <c r="H162" s="67">
        <f t="shared" si="18"/>
        <v>-535242.09507560008</v>
      </c>
      <c r="I162" s="75">
        <f t="shared" si="19"/>
        <v>-245058.26073380047</v>
      </c>
    </row>
    <row r="163" spans="1:9" hidden="1" outlineLevel="1" x14ac:dyDescent="0.2">
      <c r="A163" s="71">
        <f t="shared" si="16"/>
        <v>156</v>
      </c>
      <c r="B163" s="82">
        <v>43466</v>
      </c>
      <c r="C163" s="108"/>
      <c r="D163" s="67">
        <v>-573096.42147960002</v>
      </c>
      <c r="E163" s="98"/>
      <c r="F163" s="88">
        <v>5.1799999999999999E-2</v>
      </c>
      <c r="G163" s="76">
        <f t="shared" si="20"/>
        <v>-2294.77</v>
      </c>
      <c r="H163" s="67">
        <f t="shared" si="18"/>
        <v>-575391.19147960003</v>
      </c>
      <c r="I163" s="75">
        <f t="shared" si="19"/>
        <v>-820449.45221340051</v>
      </c>
    </row>
    <row r="164" spans="1:9" hidden="1" outlineLevel="1" x14ac:dyDescent="0.2">
      <c r="A164" s="71">
        <f t="shared" si="16"/>
        <v>157</v>
      </c>
      <c r="B164" s="82">
        <v>43497</v>
      </c>
      <c r="C164" s="108"/>
      <c r="D164" s="67">
        <v>-755010.22093659989</v>
      </c>
      <c r="E164" s="98"/>
      <c r="F164" s="88">
        <v>5.1799999999999999E-2</v>
      </c>
      <c r="G164" s="76">
        <f t="shared" si="20"/>
        <v>-5171.17</v>
      </c>
      <c r="H164" s="67">
        <f t="shared" si="18"/>
        <v>-760181.39093659993</v>
      </c>
      <c r="I164" s="75">
        <f t="shared" si="19"/>
        <v>-1580630.8431500006</v>
      </c>
    </row>
    <row r="165" spans="1:9" hidden="1" outlineLevel="1" x14ac:dyDescent="0.2">
      <c r="A165" s="71">
        <f t="shared" si="16"/>
        <v>158</v>
      </c>
      <c r="B165" s="82">
        <v>43525</v>
      </c>
      <c r="C165" s="108"/>
      <c r="D165" s="67">
        <v>-332337.90978580015</v>
      </c>
      <c r="E165" s="98"/>
      <c r="F165" s="88">
        <v>5.1799999999999999E-2</v>
      </c>
      <c r="G165" s="76">
        <f t="shared" si="20"/>
        <v>-7540.35</v>
      </c>
      <c r="H165" s="67">
        <f t="shared" si="18"/>
        <v>-339878.25978580012</v>
      </c>
      <c r="I165" s="75">
        <f t="shared" si="19"/>
        <v>-1920509.1029358008</v>
      </c>
    </row>
    <row r="166" spans="1:9" hidden="1" outlineLevel="1" x14ac:dyDescent="0.2">
      <c r="A166" s="71">
        <f t="shared" si="16"/>
        <v>159</v>
      </c>
      <c r="B166" s="82">
        <v>43556</v>
      </c>
      <c r="C166" s="108"/>
      <c r="D166" s="67">
        <v>108325.53863700002</v>
      </c>
      <c r="E166" s="98"/>
      <c r="F166" s="88">
        <v>5.45E-2</v>
      </c>
      <c r="G166" s="76">
        <f t="shared" si="20"/>
        <v>-8476.32</v>
      </c>
      <c r="H166" s="67">
        <f t="shared" si="18"/>
        <v>99849.218637000013</v>
      </c>
      <c r="I166" s="75">
        <f t="shared" si="19"/>
        <v>-1820659.8842988007</v>
      </c>
    </row>
    <row r="167" spans="1:9" hidden="1" outlineLevel="1" x14ac:dyDescent="0.2">
      <c r="A167" s="71">
        <f t="shared" si="16"/>
        <v>160</v>
      </c>
      <c r="B167" s="82">
        <v>43586</v>
      </c>
      <c r="C167" s="108"/>
      <c r="D167" s="67">
        <v>329950.17040079978</v>
      </c>
      <c r="E167" s="98"/>
      <c r="F167" s="88">
        <v>5.45E-2</v>
      </c>
      <c r="G167" s="76">
        <f t="shared" si="20"/>
        <v>-7519.57</v>
      </c>
      <c r="H167" s="67">
        <f t="shared" si="18"/>
        <v>322430.60040079977</v>
      </c>
      <c r="I167" s="75">
        <f t="shared" si="19"/>
        <v>-1498229.2838980011</v>
      </c>
    </row>
    <row r="168" spans="1:9" hidden="1" outlineLevel="1" x14ac:dyDescent="0.2">
      <c r="A168" s="71">
        <f t="shared" si="16"/>
        <v>161</v>
      </c>
      <c r="B168" s="82">
        <v>43617</v>
      </c>
      <c r="C168" s="108"/>
      <c r="D168" s="67">
        <v>393903.7481995998</v>
      </c>
      <c r="E168" s="98"/>
      <c r="F168" s="88">
        <v>5.45E-2</v>
      </c>
      <c r="G168" s="76">
        <f t="shared" si="20"/>
        <v>-5909.97</v>
      </c>
      <c r="H168" s="67">
        <f t="shared" si="18"/>
        <v>387993.77819959982</v>
      </c>
      <c r="I168" s="75">
        <f t="shared" si="19"/>
        <v>-1110235.5056984012</v>
      </c>
    </row>
    <row r="169" spans="1:9" hidden="1" outlineLevel="1" x14ac:dyDescent="0.2">
      <c r="A169" s="71">
        <f t="shared" si="16"/>
        <v>162</v>
      </c>
      <c r="B169" s="82">
        <v>43647</v>
      </c>
      <c r="C169" s="108"/>
      <c r="D169" s="67">
        <v>463678.39685299981</v>
      </c>
      <c r="E169" s="98"/>
      <c r="F169" s="88">
        <v>5.5E-2</v>
      </c>
      <c r="G169" s="76">
        <f t="shared" si="20"/>
        <v>-4025.98</v>
      </c>
      <c r="H169" s="67">
        <f t="shared" si="18"/>
        <v>459652.41685299983</v>
      </c>
      <c r="I169" s="75">
        <f t="shared" si="19"/>
        <v>-650583.08884540142</v>
      </c>
    </row>
    <row r="170" spans="1:9" hidden="1" outlineLevel="1" x14ac:dyDescent="0.2">
      <c r="A170" s="71">
        <f t="shared" si="16"/>
        <v>163</v>
      </c>
      <c r="B170" s="82">
        <v>43678</v>
      </c>
      <c r="C170" s="108"/>
      <c r="D170" s="67">
        <v>443569.73218080006</v>
      </c>
      <c r="E170" s="98"/>
      <c r="F170" s="88">
        <v>5.5E-2</v>
      </c>
      <c r="G170" s="76">
        <f t="shared" si="20"/>
        <v>-1965.33</v>
      </c>
      <c r="H170" s="67">
        <f t="shared" si="18"/>
        <v>441604.40218080004</v>
      </c>
      <c r="I170" s="75">
        <f t="shared" si="19"/>
        <v>-208978.68666460138</v>
      </c>
    </row>
    <row r="171" spans="1:9" hidden="1" outlineLevel="1" x14ac:dyDescent="0.2">
      <c r="A171" s="71">
        <f t="shared" si="16"/>
        <v>164</v>
      </c>
      <c r="B171" s="82">
        <v>43709</v>
      </c>
      <c r="C171" s="108"/>
      <c r="D171" s="67">
        <v>369751.97607679985</v>
      </c>
      <c r="E171" s="98"/>
      <c r="F171" s="88">
        <v>5.5E-2</v>
      </c>
      <c r="G171" s="76">
        <f t="shared" si="20"/>
        <v>-110.47</v>
      </c>
      <c r="H171" s="67">
        <f t="shared" si="18"/>
        <v>369641.50607679988</v>
      </c>
      <c r="I171" s="75">
        <f t="shared" si="19"/>
        <v>160662.8194121985</v>
      </c>
    </row>
    <row r="172" spans="1:9" hidden="1" outlineLevel="1" x14ac:dyDescent="0.2">
      <c r="A172" s="71">
        <f t="shared" si="16"/>
        <v>165</v>
      </c>
      <c r="B172" s="82">
        <v>43739</v>
      </c>
      <c r="C172" s="108"/>
      <c r="D172" s="67">
        <v>-78463.853502400219</v>
      </c>
      <c r="E172" s="98"/>
      <c r="F172" s="79">
        <v>5.4199999999999998E-2</v>
      </c>
      <c r="G172" s="76">
        <f t="shared" si="20"/>
        <v>548.46</v>
      </c>
      <c r="H172" s="67">
        <f t="shared" si="18"/>
        <v>-77915.393502400213</v>
      </c>
      <c r="I172" s="75">
        <f t="shared" si="19"/>
        <v>82747.425909798287</v>
      </c>
    </row>
    <row r="173" spans="1:9" hidden="1" outlineLevel="1" x14ac:dyDescent="0.2">
      <c r="A173" s="71">
        <f t="shared" si="16"/>
        <v>166</v>
      </c>
      <c r="B173" s="82">
        <v>43770</v>
      </c>
      <c r="C173" s="115">
        <v>1</v>
      </c>
      <c r="D173" s="67">
        <v>-285392.28770820005</v>
      </c>
      <c r="E173" s="98">
        <v>210884.72</v>
      </c>
      <c r="F173" s="79">
        <v>5.4199999999999998E-2</v>
      </c>
      <c r="G173" s="76">
        <f t="shared" si="20"/>
        <v>681.73</v>
      </c>
      <c r="H173" s="67">
        <f t="shared" ref="H173:H204" si="21">SUM(D173:E173,G173)</f>
        <v>-73825.837708200052</v>
      </c>
      <c r="I173" s="75">
        <f t="shared" si="19"/>
        <v>8921.5882015982352</v>
      </c>
    </row>
    <row r="174" spans="1:9" hidden="1" outlineLevel="1" x14ac:dyDescent="0.2">
      <c r="A174" s="71">
        <f t="shared" si="16"/>
        <v>167</v>
      </c>
      <c r="B174" s="82">
        <v>43800</v>
      </c>
      <c r="C174" s="108"/>
      <c r="D174" s="67">
        <v>-505627.67515079991</v>
      </c>
      <c r="E174" s="98"/>
      <c r="F174" s="79">
        <v>5.4199999999999998E-2</v>
      </c>
      <c r="G174" s="76">
        <f t="shared" si="20"/>
        <v>-1101.58</v>
      </c>
      <c r="H174" s="67">
        <f t="shared" si="21"/>
        <v>-506729.25515079993</v>
      </c>
      <c r="I174" s="75">
        <f t="shared" si="19"/>
        <v>-497807.66694920172</v>
      </c>
    </row>
    <row r="175" spans="1:9" hidden="1" outlineLevel="1" x14ac:dyDescent="0.2">
      <c r="A175" s="71">
        <f t="shared" si="16"/>
        <v>168</v>
      </c>
      <c r="B175" s="82">
        <v>43831</v>
      </c>
      <c r="C175" s="108"/>
      <c r="D175" s="67">
        <v>-486852.78862200002</v>
      </c>
      <c r="E175" s="98"/>
      <c r="F175" s="79">
        <v>4.9599999999999998E-2</v>
      </c>
      <c r="G175" s="76">
        <f t="shared" si="20"/>
        <v>-3063.77</v>
      </c>
      <c r="H175" s="67">
        <f t="shared" si="21"/>
        <v>-489916.55862200004</v>
      </c>
      <c r="I175" s="75">
        <f t="shared" si="19"/>
        <v>-987724.22557120176</v>
      </c>
    </row>
    <row r="176" spans="1:9" hidden="1" outlineLevel="1" x14ac:dyDescent="0.2">
      <c r="A176" s="71">
        <f t="shared" si="16"/>
        <v>169</v>
      </c>
      <c r="B176" s="82">
        <v>43862</v>
      </c>
      <c r="C176" s="108"/>
      <c r="D176" s="67">
        <v>-461891.37443500001</v>
      </c>
      <c r="E176" s="98"/>
      <c r="F176" s="79">
        <v>4.9599999999999998E-2</v>
      </c>
      <c r="G176" s="76">
        <f t="shared" si="20"/>
        <v>-5037.17</v>
      </c>
      <c r="H176" s="67">
        <f t="shared" si="21"/>
        <v>-466928.54443499999</v>
      </c>
      <c r="I176" s="75">
        <f t="shared" si="19"/>
        <v>-1454652.7700062017</v>
      </c>
    </row>
    <row r="177" spans="1:9" hidden="1" outlineLevel="1" x14ac:dyDescent="0.2">
      <c r="A177" s="71">
        <f t="shared" si="16"/>
        <v>170</v>
      </c>
      <c r="B177" s="82">
        <v>43891</v>
      </c>
      <c r="C177" s="108"/>
      <c r="D177" s="67">
        <v>-291570.06789200008</v>
      </c>
      <c r="E177" s="98"/>
      <c r="F177" s="79">
        <v>4.9599999999999998E-2</v>
      </c>
      <c r="G177" s="76">
        <f t="shared" si="20"/>
        <v>-6615.14</v>
      </c>
      <c r="H177" s="67">
        <f t="shared" si="21"/>
        <v>-298185.20789200009</v>
      </c>
      <c r="I177" s="75">
        <f t="shared" si="19"/>
        <v>-1752837.9778982019</v>
      </c>
    </row>
    <row r="178" spans="1:9" hidden="1" outlineLevel="1" x14ac:dyDescent="0.2">
      <c r="A178" s="71">
        <f t="shared" si="16"/>
        <v>171</v>
      </c>
      <c r="B178" s="82">
        <v>43922</v>
      </c>
      <c r="C178" s="108"/>
      <c r="D178" s="67">
        <v>123859.55448079994</v>
      </c>
      <c r="E178" s="98"/>
      <c r="F178" s="79">
        <v>4.7500000000000001E-2</v>
      </c>
      <c r="G178" s="76">
        <f t="shared" si="20"/>
        <v>-6693.18</v>
      </c>
      <c r="H178" s="67">
        <f t="shared" si="21"/>
        <v>117166.37448079995</v>
      </c>
      <c r="I178" s="75">
        <f t="shared" si="19"/>
        <v>-1635671.6034174019</v>
      </c>
    </row>
    <row r="179" spans="1:9" hidden="1" outlineLevel="1" x14ac:dyDescent="0.2">
      <c r="A179" s="71">
        <f t="shared" si="16"/>
        <v>172</v>
      </c>
      <c r="B179" s="82">
        <v>43952</v>
      </c>
      <c r="C179" s="108"/>
      <c r="D179" s="67">
        <v>346952.27278579999</v>
      </c>
      <c r="E179" s="98"/>
      <c r="F179" s="79">
        <v>4.7500000000000001E-2</v>
      </c>
      <c r="G179" s="76">
        <f t="shared" si="20"/>
        <v>-5787.86</v>
      </c>
      <c r="H179" s="67">
        <f t="shared" si="21"/>
        <v>341164.4127858</v>
      </c>
      <c r="I179" s="75">
        <f t="shared" si="19"/>
        <v>-1294507.190631602</v>
      </c>
    </row>
    <row r="180" spans="1:9" hidden="1" outlineLevel="1" x14ac:dyDescent="0.2">
      <c r="A180" s="71">
        <f t="shared" si="16"/>
        <v>173</v>
      </c>
      <c r="B180" s="82">
        <v>43983</v>
      </c>
      <c r="C180" s="108"/>
      <c r="D180" s="67">
        <v>381568.34103160008</v>
      </c>
      <c r="E180" s="98"/>
      <c r="F180" s="79">
        <v>4.7500000000000001E-2</v>
      </c>
      <c r="G180" s="76">
        <f t="shared" si="20"/>
        <v>-4368.8999999999996</v>
      </c>
      <c r="H180" s="67">
        <f t="shared" si="21"/>
        <v>377199.44103160006</v>
      </c>
      <c r="I180" s="75">
        <f t="shared" si="19"/>
        <v>-917307.74960000184</v>
      </c>
    </row>
    <row r="181" spans="1:9" hidden="1" outlineLevel="1" x14ac:dyDescent="0.2">
      <c r="A181" s="71">
        <f t="shared" si="16"/>
        <v>174</v>
      </c>
      <c r="B181" s="82">
        <v>44013</v>
      </c>
      <c r="C181" s="108"/>
      <c r="D181" s="67">
        <v>451539.04551519995</v>
      </c>
      <c r="E181" s="98"/>
      <c r="F181" s="79">
        <v>3.4299999999999997E-2</v>
      </c>
      <c r="G181" s="76">
        <f t="shared" si="20"/>
        <v>-1976.65</v>
      </c>
      <c r="H181" s="67">
        <f t="shared" si="21"/>
        <v>449562.39551519993</v>
      </c>
      <c r="I181" s="75">
        <f t="shared" si="19"/>
        <v>-467745.35408480192</v>
      </c>
    </row>
    <row r="182" spans="1:9" hidden="1" outlineLevel="1" x14ac:dyDescent="0.2">
      <c r="A182" s="71">
        <f t="shared" si="16"/>
        <v>175</v>
      </c>
      <c r="B182" s="82">
        <v>44044</v>
      </c>
      <c r="C182" s="108"/>
      <c r="D182" s="67">
        <v>468050.74512780004</v>
      </c>
      <c r="E182" s="98"/>
      <c r="F182" s="79">
        <v>3.4299999999999997E-2</v>
      </c>
      <c r="G182" s="76">
        <f t="shared" si="20"/>
        <v>-668.05</v>
      </c>
      <c r="H182" s="67">
        <f t="shared" si="21"/>
        <v>467382.69512780005</v>
      </c>
      <c r="I182" s="75">
        <f t="shared" si="19"/>
        <v>-362.65895700186957</v>
      </c>
    </row>
    <row r="183" spans="1:9" hidden="1" outlineLevel="1" x14ac:dyDescent="0.2">
      <c r="A183" s="71">
        <f t="shared" si="16"/>
        <v>176</v>
      </c>
      <c r="B183" s="82">
        <v>44075</v>
      </c>
      <c r="C183" s="108"/>
      <c r="D183" s="67">
        <v>437517.12633360008</v>
      </c>
      <c r="E183" s="98"/>
      <c r="F183" s="79">
        <v>3.4299999999999997E-2</v>
      </c>
      <c r="G183" s="76">
        <f t="shared" si="20"/>
        <v>624.25</v>
      </c>
      <c r="H183" s="67">
        <f t="shared" si="21"/>
        <v>438141.37633360008</v>
      </c>
      <c r="I183" s="75">
        <f t="shared" si="19"/>
        <v>437778.71737659822</v>
      </c>
    </row>
    <row r="184" spans="1:9" hidden="1" outlineLevel="1" x14ac:dyDescent="0.2">
      <c r="A184" s="71">
        <f t="shared" si="16"/>
        <v>177</v>
      </c>
      <c r="B184" s="82">
        <v>44105</v>
      </c>
      <c r="C184" s="108"/>
      <c r="D184" s="67">
        <v>134553.17719579989</v>
      </c>
      <c r="E184" s="98"/>
      <c r="F184" s="79">
        <v>3.2500000000000001E-2</v>
      </c>
      <c r="G184" s="76">
        <f t="shared" si="20"/>
        <v>1367.86</v>
      </c>
      <c r="H184" s="67">
        <f t="shared" si="21"/>
        <v>135921.03719579987</v>
      </c>
      <c r="I184" s="75">
        <f t="shared" ref="I184:I215" si="22">+I183+H184</f>
        <v>573699.75457239803</v>
      </c>
    </row>
    <row r="185" spans="1:9" hidden="1" outlineLevel="1" collapsed="1" x14ac:dyDescent="0.2">
      <c r="A185" s="71">
        <f t="shared" si="16"/>
        <v>178</v>
      </c>
      <c r="B185" s="82">
        <v>44136</v>
      </c>
      <c r="C185" s="108"/>
      <c r="D185" s="67">
        <v>-287152.28620940016</v>
      </c>
      <c r="E185" s="98">
        <v>364.74</v>
      </c>
      <c r="F185" s="79">
        <v>3.2500000000000001E-2</v>
      </c>
      <c r="G185" s="76">
        <f t="shared" si="20"/>
        <v>1165.9100000000001</v>
      </c>
      <c r="H185" s="67">
        <f t="shared" si="21"/>
        <v>-285621.6362094002</v>
      </c>
      <c r="I185" s="75">
        <f t="shared" si="22"/>
        <v>288078.11836299783</v>
      </c>
    </row>
    <row r="186" spans="1:9" hidden="1" outlineLevel="1" x14ac:dyDescent="0.2">
      <c r="A186" s="71">
        <f t="shared" si="16"/>
        <v>179</v>
      </c>
      <c r="B186" s="82">
        <v>44166</v>
      </c>
      <c r="C186" s="108"/>
      <c r="D186" s="67">
        <v>-429155.06333500007</v>
      </c>
      <c r="E186" s="98"/>
      <c r="F186" s="79">
        <v>3.2500000000000001E-2</v>
      </c>
      <c r="G186" s="76">
        <f t="shared" ref="G186" si="23">ROUND((+I185+E186+(D186/2))*F186/12,2)</f>
        <v>199.06</v>
      </c>
      <c r="H186" s="67">
        <f t="shared" si="21"/>
        <v>-428956.00333500007</v>
      </c>
      <c r="I186" s="75">
        <f t="shared" si="22"/>
        <v>-140877.88497200224</v>
      </c>
    </row>
    <row r="187" spans="1:9" hidden="1" outlineLevel="1" x14ac:dyDescent="0.2">
      <c r="A187" s="71">
        <f t="shared" si="16"/>
        <v>180</v>
      </c>
      <c r="B187" s="82">
        <v>44197</v>
      </c>
      <c r="C187" s="108"/>
      <c r="D187" s="67">
        <v>-461123.28</v>
      </c>
      <c r="E187" s="98"/>
      <c r="F187" s="79">
        <v>3.2500000000000001E-2</v>
      </c>
      <c r="G187" s="76">
        <v>-1070.71</v>
      </c>
      <c r="H187" s="67">
        <f t="shared" si="21"/>
        <v>-462193.99000000005</v>
      </c>
      <c r="I187" s="75">
        <f t="shared" si="22"/>
        <v>-603071.87497200235</v>
      </c>
    </row>
    <row r="188" spans="1:9" hidden="1" outlineLevel="1" x14ac:dyDescent="0.2">
      <c r="A188" s="71">
        <f t="shared" si="16"/>
        <v>181</v>
      </c>
      <c r="B188" s="82">
        <v>44228</v>
      </c>
      <c r="C188" s="108"/>
      <c r="D188" s="67">
        <v>-548236.15</v>
      </c>
      <c r="E188" s="98"/>
      <c r="F188" s="79">
        <v>3.2500000000000001E-2</v>
      </c>
      <c r="G188" s="76">
        <f t="shared" ref="G188:G219" si="24">ROUND((+I187+E188+(D188/2))*F188/12,2)</f>
        <v>-2375.7199999999998</v>
      </c>
      <c r="H188" s="67">
        <f t="shared" si="21"/>
        <v>-550611.87</v>
      </c>
      <c r="I188" s="75">
        <f t="shared" si="22"/>
        <v>-1153683.7449720022</v>
      </c>
    </row>
    <row r="189" spans="1:9" hidden="1" outlineLevel="1" x14ac:dyDescent="0.2">
      <c r="A189" s="71">
        <f t="shared" si="16"/>
        <v>182</v>
      </c>
      <c r="B189" s="82">
        <v>44256</v>
      </c>
      <c r="C189" s="108"/>
      <c r="D189" s="67">
        <v>-306864.09999999998</v>
      </c>
      <c r="E189" s="98"/>
      <c r="F189" s="79">
        <v>3.2500000000000001E-2</v>
      </c>
      <c r="G189" s="76">
        <f t="shared" si="24"/>
        <v>-3540.11</v>
      </c>
      <c r="H189" s="67">
        <f t="shared" si="21"/>
        <v>-310404.20999999996</v>
      </c>
      <c r="I189" s="75">
        <f t="shared" si="22"/>
        <v>-1464087.9549720022</v>
      </c>
    </row>
    <row r="190" spans="1:9" hidden="1" outlineLevel="1" x14ac:dyDescent="0.2">
      <c r="A190" s="71">
        <f t="shared" si="16"/>
        <v>183</v>
      </c>
      <c r="B190" s="82">
        <v>44287</v>
      </c>
      <c r="C190" s="108"/>
      <c r="D190" s="67">
        <v>118666.88</v>
      </c>
      <c r="E190" s="98"/>
      <c r="F190" s="79">
        <v>3.2500000000000001E-2</v>
      </c>
      <c r="G190" s="76">
        <f t="shared" si="24"/>
        <v>-3804.54</v>
      </c>
      <c r="H190" s="67">
        <f t="shared" si="21"/>
        <v>114862.34000000001</v>
      </c>
      <c r="I190" s="75">
        <f t="shared" si="22"/>
        <v>-1349225.6149720021</v>
      </c>
    </row>
    <row r="191" spans="1:9" hidden="1" outlineLevel="1" x14ac:dyDescent="0.2">
      <c r="A191" s="71">
        <f t="shared" si="16"/>
        <v>184</v>
      </c>
      <c r="B191" s="82">
        <v>44317</v>
      </c>
      <c r="C191" s="108"/>
      <c r="D191" s="67">
        <v>323432.33</v>
      </c>
      <c r="E191" s="98"/>
      <c r="F191" s="79">
        <v>3.2500000000000001E-2</v>
      </c>
      <c r="G191" s="76">
        <f t="shared" si="24"/>
        <v>-3216.17</v>
      </c>
      <c r="H191" s="67">
        <f t="shared" si="21"/>
        <v>320216.16000000003</v>
      </c>
      <c r="I191" s="75">
        <f t="shared" si="22"/>
        <v>-1029009.4549720021</v>
      </c>
    </row>
    <row r="192" spans="1:9" hidden="1" outlineLevel="1" x14ac:dyDescent="0.2">
      <c r="A192" s="71">
        <f t="shared" si="16"/>
        <v>185</v>
      </c>
      <c r="B192" s="82">
        <v>44348</v>
      </c>
      <c r="C192" s="108"/>
      <c r="D192" s="67">
        <v>413242.78</v>
      </c>
      <c r="E192" s="98"/>
      <c r="F192" s="79">
        <v>3.2500000000000001E-2</v>
      </c>
      <c r="G192" s="76">
        <f t="shared" si="24"/>
        <v>-2227.3000000000002</v>
      </c>
      <c r="H192" s="67">
        <f t="shared" si="21"/>
        <v>411015.48000000004</v>
      </c>
      <c r="I192" s="75">
        <f t="shared" si="22"/>
        <v>-617993.97497200198</v>
      </c>
    </row>
    <row r="193" spans="1:9" hidden="1" outlineLevel="1" x14ac:dyDescent="0.2">
      <c r="A193" s="71">
        <f t="shared" si="16"/>
        <v>186</v>
      </c>
      <c r="B193" s="82">
        <v>44378</v>
      </c>
      <c r="C193" s="108"/>
      <c r="D193" s="67">
        <v>461589.43</v>
      </c>
      <c r="E193" s="98"/>
      <c r="F193" s="79">
        <v>3.2500000000000001E-2</v>
      </c>
      <c r="G193" s="76">
        <f t="shared" si="24"/>
        <v>-1048.6600000000001</v>
      </c>
      <c r="H193" s="67">
        <f t="shared" si="21"/>
        <v>460540.77</v>
      </c>
      <c r="I193" s="75">
        <f t="shared" si="22"/>
        <v>-157453.20497200196</v>
      </c>
    </row>
    <row r="194" spans="1:9" hidden="1" outlineLevel="1" x14ac:dyDescent="0.2">
      <c r="A194" s="71">
        <f t="shared" si="16"/>
        <v>187</v>
      </c>
      <c r="B194" s="82">
        <v>44409</v>
      </c>
      <c r="C194" s="108"/>
      <c r="D194" s="67">
        <v>460390.69099419971</v>
      </c>
      <c r="E194" s="98"/>
      <c r="F194" s="79">
        <v>3.2500000000000001E-2</v>
      </c>
      <c r="G194" s="76">
        <f t="shared" si="24"/>
        <v>197.01</v>
      </c>
      <c r="H194" s="67">
        <f t="shared" si="21"/>
        <v>460587.70099419972</v>
      </c>
      <c r="I194" s="75">
        <f t="shared" si="22"/>
        <v>303134.49602219777</v>
      </c>
    </row>
    <row r="195" spans="1:9" hidden="1" outlineLevel="1" x14ac:dyDescent="0.2">
      <c r="A195" s="71">
        <f t="shared" si="16"/>
        <v>188</v>
      </c>
      <c r="B195" s="82">
        <v>44440</v>
      </c>
      <c r="C195" s="108"/>
      <c r="D195" s="67">
        <v>400142.74426139978</v>
      </c>
      <c r="E195" s="98"/>
      <c r="F195" s="79">
        <v>3.2500000000000001E-2</v>
      </c>
      <c r="G195" s="76">
        <f t="shared" si="24"/>
        <v>1362.85</v>
      </c>
      <c r="H195" s="67">
        <f t="shared" si="21"/>
        <v>401505.59426139976</v>
      </c>
      <c r="I195" s="75">
        <f t="shared" si="22"/>
        <v>704640.09028359759</v>
      </c>
    </row>
    <row r="196" spans="1:9" hidden="1" outlineLevel="1" x14ac:dyDescent="0.2">
      <c r="A196" s="71">
        <f t="shared" si="16"/>
        <v>189</v>
      </c>
      <c r="B196" s="82">
        <v>44470</v>
      </c>
      <c r="D196" s="67">
        <v>83483.715351999737</v>
      </c>
      <c r="E196" s="98"/>
      <c r="F196" s="79">
        <v>3.2500000000000001E-2</v>
      </c>
      <c r="G196" s="76">
        <f t="shared" si="24"/>
        <v>2021.45</v>
      </c>
      <c r="H196" s="67">
        <f t="shared" si="21"/>
        <v>85505.165351999734</v>
      </c>
      <c r="I196" s="75">
        <f t="shared" si="22"/>
        <v>790145.25563559728</v>
      </c>
    </row>
    <row r="197" spans="1:9" hidden="1" outlineLevel="1" collapsed="1" x14ac:dyDescent="0.2">
      <c r="A197" s="71">
        <f t="shared" si="16"/>
        <v>190</v>
      </c>
      <c r="B197" s="82">
        <v>44521</v>
      </c>
      <c r="C197" s="81" t="s">
        <v>321</v>
      </c>
      <c r="D197" s="67">
        <v>-128604.43</v>
      </c>
      <c r="E197" s="98">
        <v>-304778.69602219778</v>
      </c>
      <c r="F197" s="79">
        <v>3.2500000000000001E-2</v>
      </c>
      <c r="G197" s="76">
        <f t="shared" si="24"/>
        <v>1140.3800000000001</v>
      </c>
      <c r="H197" s="67">
        <f t="shared" si="21"/>
        <v>-432242.74602219777</v>
      </c>
      <c r="I197" s="75">
        <f t="shared" si="22"/>
        <v>357902.50961339951</v>
      </c>
    </row>
    <row r="198" spans="1:9" hidden="1" outlineLevel="1" x14ac:dyDescent="0.2">
      <c r="A198" s="71">
        <f t="shared" si="16"/>
        <v>191</v>
      </c>
      <c r="B198" s="82">
        <v>44561</v>
      </c>
      <c r="D198" s="67">
        <v>-678688.7</v>
      </c>
      <c r="E198" s="98"/>
      <c r="F198" s="79">
        <v>3.2500000000000001E-2</v>
      </c>
      <c r="G198" s="76">
        <f t="shared" si="24"/>
        <v>50.26</v>
      </c>
      <c r="H198" s="67">
        <f t="shared" si="21"/>
        <v>-678638.44</v>
      </c>
      <c r="I198" s="75">
        <f t="shared" si="22"/>
        <v>-320735.93038660043</v>
      </c>
    </row>
    <row r="199" spans="1:9" hidden="1" outlineLevel="1" x14ac:dyDescent="0.2">
      <c r="A199" s="71">
        <f t="shared" si="16"/>
        <v>192</v>
      </c>
      <c r="B199" s="82">
        <v>44562</v>
      </c>
      <c r="D199" s="67">
        <v>-637677.3553980001</v>
      </c>
      <c r="E199" s="98"/>
      <c r="F199" s="79">
        <v>3.2500000000000001E-2</v>
      </c>
      <c r="G199" s="76">
        <f t="shared" si="24"/>
        <v>-1732.18</v>
      </c>
      <c r="H199" s="67">
        <f t="shared" si="21"/>
        <v>-639409.53539800015</v>
      </c>
      <c r="I199" s="75">
        <f t="shared" si="22"/>
        <v>-960145.46578460059</v>
      </c>
    </row>
    <row r="200" spans="1:9" hidden="1" outlineLevel="1" x14ac:dyDescent="0.2">
      <c r="A200" s="71">
        <f t="shared" si="16"/>
        <v>193</v>
      </c>
      <c r="B200" s="82">
        <v>44593</v>
      </c>
      <c r="D200" s="67">
        <v>-438762.10469259974</v>
      </c>
      <c r="E200" s="98"/>
      <c r="F200" s="79">
        <v>3.2500000000000001E-2</v>
      </c>
      <c r="G200" s="76">
        <f t="shared" si="24"/>
        <v>-3194.55</v>
      </c>
      <c r="H200" s="67">
        <f t="shared" si="21"/>
        <v>-441956.65469259972</v>
      </c>
      <c r="I200" s="75">
        <f t="shared" si="22"/>
        <v>-1402102.1204772003</v>
      </c>
    </row>
    <row r="201" spans="1:9" hidden="1" outlineLevel="1" x14ac:dyDescent="0.2">
      <c r="A201" s="71">
        <f t="shared" ref="A201:A249" si="25">+A200+1</f>
        <v>194</v>
      </c>
      <c r="B201" s="82">
        <v>44621</v>
      </c>
      <c r="D201" s="67">
        <v>-130502.47979999997</v>
      </c>
      <c r="E201" s="98"/>
      <c r="F201" s="79">
        <v>3.2500000000000001E-2</v>
      </c>
      <c r="G201" s="76">
        <f t="shared" si="24"/>
        <v>-3974.08</v>
      </c>
      <c r="H201" s="67">
        <f t="shared" si="21"/>
        <v>-134476.55979999996</v>
      </c>
      <c r="I201" s="75">
        <f t="shared" si="22"/>
        <v>-1536578.6802772002</v>
      </c>
    </row>
    <row r="202" spans="1:9" hidden="1" outlineLevel="1" x14ac:dyDescent="0.2">
      <c r="A202" s="71">
        <f t="shared" si="25"/>
        <v>195</v>
      </c>
      <c r="B202" s="82">
        <v>44652</v>
      </c>
      <c r="D202" s="67">
        <v>-116061.29160099989</v>
      </c>
      <c r="E202" s="98"/>
      <c r="F202" s="79">
        <v>3.2500000000000001E-2</v>
      </c>
      <c r="G202" s="76">
        <f t="shared" si="24"/>
        <v>-4318.7299999999996</v>
      </c>
      <c r="H202" s="67">
        <f t="shared" si="21"/>
        <v>-120380.02160099988</v>
      </c>
      <c r="I202" s="75">
        <f t="shared" si="22"/>
        <v>-1656958.7018782001</v>
      </c>
    </row>
    <row r="203" spans="1:9" hidden="1" outlineLevel="1" x14ac:dyDescent="0.2">
      <c r="A203" s="71">
        <f t="shared" si="25"/>
        <v>196</v>
      </c>
      <c r="B203" s="82">
        <v>44682</v>
      </c>
      <c r="D203" s="67">
        <v>207744.60292540025</v>
      </c>
      <c r="E203" s="98"/>
      <c r="F203" s="79">
        <v>3.2500000000000001E-2</v>
      </c>
      <c r="G203" s="76">
        <f t="shared" si="24"/>
        <v>-4206.28</v>
      </c>
      <c r="H203" s="67">
        <f t="shared" si="21"/>
        <v>203538.32292540025</v>
      </c>
      <c r="I203" s="75">
        <f t="shared" si="22"/>
        <v>-1453420.3789527998</v>
      </c>
    </row>
    <row r="204" spans="1:9" hidden="1" outlineLevel="1" x14ac:dyDescent="0.2">
      <c r="A204" s="71">
        <f t="shared" si="25"/>
        <v>197</v>
      </c>
      <c r="B204" s="82">
        <v>44713</v>
      </c>
      <c r="D204" s="67">
        <v>424476.19296080008</v>
      </c>
      <c r="E204" s="98"/>
      <c r="F204" s="79">
        <v>3.2500000000000001E-2</v>
      </c>
      <c r="G204" s="76">
        <f t="shared" si="24"/>
        <v>-3361.54</v>
      </c>
      <c r="H204" s="67">
        <f t="shared" si="21"/>
        <v>421114.6529608001</v>
      </c>
      <c r="I204" s="75">
        <f t="shared" si="22"/>
        <v>-1032305.7259919997</v>
      </c>
    </row>
    <row r="205" spans="1:9" hidden="1" outlineLevel="1" x14ac:dyDescent="0.2">
      <c r="A205" s="71">
        <f t="shared" si="25"/>
        <v>198</v>
      </c>
      <c r="B205" s="82">
        <v>44743</v>
      </c>
      <c r="D205" s="67">
        <v>523042.79432320013</v>
      </c>
      <c r="E205" s="98"/>
      <c r="F205" s="79">
        <v>3.5999999999999997E-2</v>
      </c>
      <c r="G205" s="76">
        <f t="shared" si="24"/>
        <v>-2312.35</v>
      </c>
      <c r="H205" s="67">
        <f t="shared" ref="H205:H236" si="26">SUM(D205:E205,G205)</f>
        <v>520730.44432320015</v>
      </c>
      <c r="I205" s="75">
        <f t="shared" si="22"/>
        <v>-511575.28166879958</v>
      </c>
    </row>
    <row r="206" spans="1:9" hidden="1" outlineLevel="1" x14ac:dyDescent="0.2">
      <c r="A206" s="71">
        <f t="shared" si="25"/>
        <v>199</v>
      </c>
      <c r="B206" s="82">
        <v>44774</v>
      </c>
      <c r="D206" s="67">
        <v>531440.50038240035</v>
      </c>
      <c r="E206" s="98"/>
      <c r="F206" s="79">
        <v>3.5999999999999997E-2</v>
      </c>
      <c r="G206" s="76">
        <f t="shared" si="24"/>
        <v>-737.57</v>
      </c>
      <c r="H206" s="67">
        <f t="shared" si="26"/>
        <v>530702.9303824004</v>
      </c>
      <c r="I206" s="75">
        <f t="shared" si="22"/>
        <v>19127.648713600822</v>
      </c>
    </row>
    <row r="207" spans="1:9" hidden="1" outlineLevel="1" x14ac:dyDescent="0.2">
      <c r="A207" s="71">
        <f t="shared" si="25"/>
        <v>200</v>
      </c>
      <c r="B207" s="82">
        <v>44805</v>
      </c>
      <c r="D207" s="67">
        <v>486317.7114066002</v>
      </c>
      <c r="E207" s="98"/>
      <c r="F207" s="79">
        <v>3.5999999999999997E-2</v>
      </c>
      <c r="G207" s="76">
        <f t="shared" si="24"/>
        <v>786.86</v>
      </c>
      <c r="H207" s="67">
        <f t="shared" si="26"/>
        <v>487104.57140660018</v>
      </c>
      <c r="I207" s="75">
        <f t="shared" si="22"/>
        <v>506232.220120201</v>
      </c>
    </row>
    <row r="208" spans="1:9" hidden="1" outlineLevel="1" x14ac:dyDescent="0.2">
      <c r="A208" s="71">
        <f t="shared" si="25"/>
        <v>201</v>
      </c>
      <c r="B208" s="82">
        <v>44835</v>
      </c>
      <c r="D208" s="67">
        <v>334628.92896980006</v>
      </c>
      <c r="E208" s="98"/>
      <c r="F208" s="79">
        <v>4.9099999999999998E-2</v>
      </c>
      <c r="G208" s="76">
        <f t="shared" si="24"/>
        <v>2755.93</v>
      </c>
      <c r="H208" s="67">
        <f t="shared" si="26"/>
        <v>337384.85896980006</v>
      </c>
      <c r="I208" s="75">
        <f t="shared" si="22"/>
        <v>843617.07909000106</v>
      </c>
    </row>
    <row r="209" spans="1:9" hidden="1" outlineLevel="1" x14ac:dyDescent="0.2">
      <c r="A209" s="71">
        <f t="shared" si="25"/>
        <v>202</v>
      </c>
      <c r="B209" s="82">
        <v>44866</v>
      </c>
      <c r="C209" s="81" t="s">
        <v>321</v>
      </c>
      <c r="D209" s="67">
        <v>-2111410.9197881995</v>
      </c>
      <c r="E209" s="102">
        <v>-19242.59</v>
      </c>
      <c r="F209" s="79">
        <v>4.9099999999999998E-2</v>
      </c>
      <c r="G209" s="76">
        <f t="shared" si="24"/>
        <v>-946.53</v>
      </c>
      <c r="H209" s="67">
        <f t="shared" si="26"/>
        <v>-2131600.0397881991</v>
      </c>
      <c r="I209" s="75">
        <f t="shared" si="22"/>
        <v>-1287982.9606981981</v>
      </c>
    </row>
    <row r="210" spans="1:9" hidden="1" outlineLevel="1" x14ac:dyDescent="0.2">
      <c r="A210" s="71">
        <f t="shared" si="25"/>
        <v>203</v>
      </c>
      <c r="B210" s="82">
        <v>44896</v>
      </c>
      <c r="D210" s="67">
        <v>-453605.35018700024</v>
      </c>
      <c r="E210" s="98"/>
      <c r="F210" s="79">
        <v>4.9099999999999998E-2</v>
      </c>
      <c r="G210" s="76">
        <f t="shared" si="24"/>
        <v>-6198</v>
      </c>
      <c r="H210" s="67">
        <f t="shared" si="26"/>
        <v>-459803.35018700024</v>
      </c>
      <c r="I210" s="75">
        <f t="shared" si="22"/>
        <v>-1747786.3108851984</v>
      </c>
    </row>
    <row r="211" spans="1:9" hidden="1" outlineLevel="1" x14ac:dyDescent="0.2">
      <c r="A211" s="71">
        <f t="shared" si="25"/>
        <v>204</v>
      </c>
      <c r="B211" s="82">
        <v>44927</v>
      </c>
      <c r="D211" s="67">
        <v>-348080.40431719995</v>
      </c>
      <c r="E211" s="98"/>
      <c r="F211" s="79">
        <v>6.3100000000000003E-2</v>
      </c>
      <c r="G211" s="76">
        <f t="shared" si="24"/>
        <v>-10105.6</v>
      </c>
      <c r="H211" s="67">
        <f t="shared" si="26"/>
        <v>-358186.00431719993</v>
      </c>
      <c r="I211" s="75">
        <f t="shared" si="22"/>
        <v>-2105972.3152023982</v>
      </c>
    </row>
    <row r="212" spans="1:9" hidden="1" outlineLevel="1" x14ac:dyDescent="0.2">
      <c r="A212" s="71">
        <f t="shared" si="25"/>
        <v>205</v>
      </c>
      <c r="B212" s="82">
        <v>44958</v>
      </c>
      <c r="D212" s="67">
        <v>-341755.77540215</v>
      </c>
      <c r="E212" s="98"/>
      <c r="F212" s="79">
        <v>6.3100000000000003E-2</v>
      </c>
      <c r="G212" s="76">
        <f t="shared" si="24"/>
        <v>-11972.44</v>
      </c>
      <c r="H212" s="67">
        <f t="shared" si="26"/>
        <v>-353728.21540215</v>
      </c>
      <c r="I212" s="75">
        <f t="shared" si="22"/>
        <v>-2459700.5306045483</v>
      </c>
    </row>
    <row r="213" spans="1:9" hidden="1" outlineLevel="1" x14ac:dyDescent="0.2">
      <c r="A213" s="71">
        <f t="shared" si="25"/>
        <v>206</v>
      </c>
      <c r="B213" s="82">
        <v>44986</v>
      </c>
      <c r="D213" s="67">
        <v>-195464.15292800043</v>
      </c>
      <c r="E213" s="98"/>
      <c r="F213" s="79">
        <v>6.3100000000000003E-2</v>
      </c>
      <c r="G213" s="76">
        <f t="shared" si="24"/>
        <v>-13447.83</v>
      </c>
      <c r="H213" s="67">
        <f t="shared" si="26"/>
        <v>-208911.98292800042</v>
      </c>
      <c r="I213" s="75">
        <f t="shared" si="22"/>
        <v>-2668612.5135325487</v>
      </c>
    </row>
    <row r="214" spans="1:9" hidden="1" outlineLevel="1" x14ac:dyDescent="0.2">
      <c r="A214" s="71">
        <f t="shared" si="25"/>
        <v>207</v>
      </c>
      <c r="B214" s="82">
        <v>45017</v>
      </c>
      <c r="D214" s="67">
        <v>69037.130753599922</v>
      </c>
      <c r="E214" s="98"/>
      <c r="F214" s="79">
        <v>7.4999999999999997E-2</v>
      </c>
      <c r="G214" s="76">
        <f t="shared" si="24"/>
        <v>-16463.09</v>
      </c>
      <c r="H214" s="67">
        <f t="shared" si="26"/>
        <v>52574.040753599926</v>
      </c>
      <c r="I214" s="75">
        <f t="shared" si="22"/>
        <v>-2616038.472778949</v>
      </c>
    </row>
    <row r="215" spans="1:9" hidden="1" outlineLevel="1" x14ac:dyDescent="0.2">
      <c r="A215" s="71">
        <f t="shared" si="25"/>
        <v>208</v>
      </c>
      <c r="B215" s="82">
        <v>45047</v>
      </c>
      <c r="D215" s="67">
        <v>455725.03046820097</v>
      </c>
      <c r="E215" s="98"/>
      <c r="F215" s="79">
        <v>7.4999999999999997E-2</v>
      </c>
      <c r="G215" s="76">
        <f t="shared" si="24"/>
        <v>-14926.1</v>
      </c>
      <c r="H215" s="67">
        <f t="shared" si="26"/>
        <v>440798.930468201</v>
      </c>
      <c r="I215" s="75">
        <f t="shared" si="22"/>
        <v>-2175239.5423107478</v>
      </c>
    </row>
    <row r="216" spans="1:9" hidden="1" outlineLevel="1" collapsed="1" x14ac:dyDescent="0.2">
      <c r="A216" s="71">
        <f t="shared" si="25"/>
        <v>209</v>
      </c>
      <c r="B216" s="82">
        <v>45078</v>
      </c>
      <c r="D216" s="67">
        <v>508417.19351539988</v>
      </c>
      <c r="E216" s="98"/>
      <c r="F216" s="79">
        <v>7.4999999999999997E-2</v>
      </c>
      <c r="G216" s="76">
        <f t="shared" si="24"/>
        <v>-12006.44</v>
      </c>
      <c r="H216" s="67">
        <f t="shared" si="26"/>
        <v>496410.75351539988</v>
      </c>
      <c r="I216" s="75">
        <f t="shared" ref="I216:I244" si="27">+I215+H216</f>
        <v>-1678828.7887953478</v>
      </c>
    </row>
    <row r="217" spans="1:9" hidden="1" outlineLevel="1" x14ac:dyDescent="0.2">
      <c r="A217" s="71">
        <f t="shared" si="25"/>
        <v>210</v>
      </c>
      <c r="B217" s="82">
        <v>45108</v>
      </c>
      <c r="D217" s="67">
        <v>558256.9254786002</v>
      </c>
      <c r="E217" s="98"/>
      <c r="F217" s="79">
        <v>8.0199999999999994E-2</v>
      </c>
      <c r="G217" s="76">
        <f t="shared" si="24"/>
        <v>-9354.66</v>
      </c>
      <c r="H217" s="67">
        <f t="shared" si="26"/>
        <v>548902.26547860017</v>
      </c>
      <c r="I217" s="75">
        <f t="shared" si="27"/>
        <v>-1129926.5233167475</v>
      </c>
    </row>
    <row r="218" spans="1:9" hidden="1" outlineLevel="1" x14ac:dyDescent="0.2">
      <c r="A218" s="71">
        <f t="shared" si="25"/>
        <v>211</v>
      </c>
      <c r="B218" s="82">
        <v>45139</v>
      </c>
      <c r="D218" s="67">
        <v>555298.7954857999</v>
      </c>
      <c r="E218" s="98"/>
      <c r="F218" s="79">
        <v>8.0199999999999994E-2</v>
      </c>
      <c r="G218" s="76">
        <f t="shared" si="24"/>
        <v>-5696.05</v>
      </c>
      <c r="H218" s="67">
        <f t="shared" si="26"/>
        <v>549602.74548579985</v>
      </c>
      <c r="I218" s="75">
        <f t="shared" si="27"/>
        <v>-580323.77783094766</v>
      </c>
    </row>
    <row r="219" spans="1:9" hidden="1" outlineLevel="1" x14ac:dyDescent="0.2">
      <c r="A219" s="71">
        <f t="shared" si="25"/>
        <v>212</v>
      </c>
      <c r="B219" s="82">
        <v>45170</v>
      </c>
      <c r="D219" s="67">
        <v>514955.44346919953</v>
      </c>
      <c r="E219" s="98"/>
      <c r="F219" s="79">
        <v>8.0199999999999994E-2</v>
      </c>
      <c r="G219" s="76">
        <f t="shared" si="24"/>
        <v>-2157.69</v>
      </c>
      <c r="H219" s="67">
        <f t="shared" si="26"/>
        <v>512797.75346919952</v>
      </c>
      <c r="I219" s="75">
        <f t="shared" si="27"/>
        <v>-67526.024361748132</v>
      </c>
    </row>
    <row r="220" spans="1:9" hidden="1" outlineLevel="1" x14ac:dyDescent="0.2">
      <c r="A220" s="71">
        <f t="shared" si="25"/>
        <v>213</v>
      </c>
      <c r="B220" s="82">
        <v>45200</v>
      </c>
      <c r="D220" s="67">
        <v>316268.25851520011</v>
      </c>
      <c r="E220" s="98"/>
      <c r="F220" s="79">
        <v>8.3500000000000005E-2</v>
      </c>
      <c r="G220" s="76">
        <f t="shared" ref="G220:G244" si="28">ROUND((+I219+E220+(D220/2))*F220/12,2)</f>
        <v>630.48</v>
      </c>
      <c r="H220" s="67">
        <f t="shared" si="26"/>
        <v>316898.73851520009</v>
      </c>
      <c r="I220" s="75">
        <f t="shared" si="27"/>
        <v>249372.71415345196</v>
      </c>
    </row>
    <row r="221" spans="1:9" hidden="1" outlineLevel="1" x14ac:dyDescent="0.2">
      <c r="A221" s="71">
        <f t="shared" si="25"/>
        <v>214</v>
      </c>
      <c r="B221" s="82">
        <v>45231</v>
      </c>
      <c r="C221" s="81" t="s">
        <v>321</v>
      </c>
      <c r="D221" s="67">
        <v>-265016.08212669019</v>
      </c>
      <c r="E221" s="98">
        <v>588106.69999999995</v>
      </c>
      <c r="F221" s="79">
        <v>8.3500000000000005E-2</v>
      </c>
      <c r="G221" s="76">
        <f t="shared" si="28"/>
        <v>4905.43</v>
      </c>
      <c r="H221" s="67">
        <f t="shared" si="26"/>
        <v>327996.04787330976</v>
      </c>
      <c r="I221" s="75">
        <f t="shared" si="27"/>
        <v>577368.76202676166</v>
      </c>
    </row>
    <row r="222" spans="1:9" hidden="1" outlineLevel="1" x14ac:dyDescent="0.2">
      <c r="A222" s="71">
        <f t="shared" si="25"/>
        <v>215</v>
      </c>
      <c r="B222" s="82">
        <v>45261</v>
      </c>
      <c r="D222" s="67">
        <v>-393643.70362843026</v>
      </c>
      <c r="E222" s="98"/>
      <c r="F222" s="79">
        <v>8.3500000000000005E-2</v>
      </c>
      <c r="G222" s="76">
        <f t="shared" si="28"/>
        <v>2647.97</v>
      </c>
      <c r="H222" s="67">
        <f t="shared" si="26"/>
        <v>-390995.73362843029</v>
      </c>
      <c r="I222" s="75">
        <f t="shared" si="27"/>
        <v>186373.02839833137</v>
      </c>
    </row>
    <row r="223" spans="1:9" hidden="1" outlineLevel="1" x14ac:dyDescent="0.2">
      <c r="A223" s="71">
        <f t="shared" si="25"/>
        <v>216</v>
      </c>
      <c r="B223" s="82">
        <v>45292</v>
      </c>
      <c r="D223" s="67">
        <v>-659883.45014952007</v>
      </c>
      <c r="E223" s="98"/>
      <c r="F223" s="79">
        <v>8.5000000000000006E-2</v>
      </c>
      <c r="G223" s="76">
        <f t="shared" si="28"/>
        <v>-1016.94</v>
      </c>
      <c r="H223" s="67">
        <f t="shared" si="26"/>
        <v>-660900.39014952001</v>
      </c>
      <c r="I223" s="75">
        <f t="shared" si="27"/>
        <v>-474527.36175118864</v>
      </c>
    </row>
    <row r="224" spans="1:9" hidden="1" outlineLevel="1" x14ac:dyDescent="0.2">
      <c r="A224" s="71">
        <f t="shared" si="25"/>
        <v>217</v>
      </c>
      <c r="B224" s="82">
        <v>45323</v>
      </c>
      <c r="D224" s="67">
        <v>-362669.72979292041</v>
      </c>
      <c r="E224" s="98"/>
      <c r="F224" s="79">
        <v>8.5000000000000006E-2</v>
      </c>
      <c r="G224" s="76">
        <f t="shared" si="28"/>
        <v>-4645.6899999999996</v>
      </c>
      <c r="H224" s="67">
        <f t="shared" si="26"/>
        <v>-367315.41979292041</v>
      </c>
      <c r="I224" s="75">
        <f t="shared" si="27"/>
        <v>-841842.78154410911</v>
      </c>
    </row>
    <row r="225" spans="1:9" hidden="1" outlineLevel="1" x14ac:dyDescent="0.2">
      <c r="A225" s="71">
        <f t="shared" si="25"/>
        <v>218</v>
      </c>
      <c r="B225" s="82">
        <v>45352</v>
      </c>
      <c r="D225" s="67">
        <v>-165045.47123795026</v>
      </c>
      <c r="E225" s="98"/>
      <c r="F225" s="79">
        <v>8.5000000000000006E-2</v>
      </c>
      <c r="G225" s="76">
        <f t="shared" si="28"/>
        <v>-6547.59</v>
      </c>
      <c r="H225" s="67">
        <f t="shared" si="26"/>
        <v>-171593.06123795026</v>
      </c>
      <c r="I225" s="75">
        <f t="shared" si="27"/>
        <v>-1013435.8427820593</v>
      </c>
    </row>
    <row r="226" spans="1:9" hidden="1" outlineLevel="1" x14ac:dyDescent="0.2">
      <c r="A226" s="71">
        <f t="shared" si="25"/>
        <v>219</v>
      </c>
      <c r="B226" s="82">
        <v>45383</v>
      </c>
      <c r="D226" s="67">
        <v>102636.82016472972</v>
      </c>
      <c r="E226" s="98"/>
      <c r="F226" s="79">
        <v>8.5000000000000006E-2</v>
      </c>
      <c r="G226" s="76">
        <f t="shared" si="28"/>
        <v>-6815</v>
      </c>
      <c r="H226" s="67">
        <f t="shared" si="26"/>
        <v>95821.820164729725</v>
      </c>
      <c r="I226" s="75">
        <f t="shared" si="27"/>
        <v>-917614.02261732961</v>
      </c>
    </row>
    <row r="227" spans="1:9" hidden="1" outlineLevel="1" x14ac:dyDescent="0.2">
      <c r="A227" s="71">
        <f t="shared" si="25"/>
        <v>220</v>
      </c>
      <c r="B227" s="82">
        <v>45413</v>
      </c>
      <c r="D227" s="67">
        <v>284011.45459477953</v>
      </c>
      <c r="E227" s="98"/>
      <c r="F227" s="79">
        <v>8.5000000000000006E-2</v>
      </c>
      <c r="G227" s="76">
        <f t="shared" si="28"/>
        <v>-5493.89</v>
      </c>
      <c r="H227" s="67">
        <f t="shared" si="26"/>
        <v>278517.56459477951</v>
      </c>
      <c r="I227" s="75">
        <f t="shared" si="27"/>
        <v>-639096.4580225501</v>
      </c>
    </row>
    <row r="228" spans="1:9" hidden="1" outlineLevel="1" x14ac:dyDescent="0.2">
      <c r="A228" s="71">
        <f t="shared" si="25"/>
        <v>221</v>
      </c>
      <c r="B228" s="82">
        <v>45444</v>
      </c>
      <c r="D228" s="67">
        <v>418177.56708429969</v>
      </c>
      <c r="E228" s="98"/>
      <c r="F228" s="79">
        <v>8.5000000000000006E-2</v>
      </c>
      <c r="G228" s="76">
        <f t="shared" si="28"/>
        <v>-3045.89</v>
      </c>
      <c r="H228" s="67">
        <f t="shared" si="26"/>
        <v>415131.67708429968</v>
      </c>
      <c r="I228" s="75">
        <f t="shared" si="27"/>
        <v>-223964.78093825042</v>
      </c>
    </row>
    <row r="229" spans="1:9" hidden="1" outlineLevel="1" x14ac:dyDescent="0.2">
      <c r="A229" s="71">
        <f t="shared" si="25"/>
        <v>222</v>
      </c>
      <c r="B229" s="82">
        <v>45474</v>
      </c>
      <c r="D229" s="67">
        <v>489607.14356594987</v>
      </c>
      <c r="E229" s="98"/>
      <c r="F229" s="79">
        <v>8.5000000000000006E-2</v>
      </c>
      <c r="G229" s="76">
        <f t="shared" si="28"/>
        <v>147.61000000000001</v>
      </c>
      <c r="H229" s="67">
        <f t="shared" si="26"/>
        <v>489754.75356594985</v>
      </c>
      <c r="I229" s="75">
        <f t="shared" si="27"/>
        <v>265789.97262769943</v>
      </c>
    </row>
    <row r="230" spans="1:9" hidden="1" outlineLevel="1" x14ac:dyDescent="0.2">
      <c r="A230" s="71">
        <f t="shared" si="25"/>
        <v>223</v>
      </c>
      <c r="B230" s="82">
        <v>45505</v>
      </c>
      <c r="D230" s="67">
        <v>480536.60101338988</v>
      </c>
      <c r="E230" s="98"/>
      <c r="F230" s="79">
        <v>8.5000000000000006E-2</v>
      </c>
      <c r="G230" s="76">
        <f t="shared" si="28"/>
        <v>3584.58</v>
      </c>
      <c r="H230" s="67">
        <f t="shared" si="26"/>
        <v>484121.1810133899</v>
      </c>
      <c r="I230" s="75">
        <f t="shared" si="27"/>
        <v>749911.15364108933</v>
      </c>
    </row>
    <row r="231" spans="1:9" hidden="1" outlineLevel="1" x14ac:dyDescent="0.2">
      <c r="A231" s="71">
        <f t="shared" si="25"/>
        <v>224</v>
      </c>
      <c r="B231" s="82">
        <v>45536</v>
      </c>
      <c r="D231" s="67">
        <v>443515.99322472967</v>
      </c>
      <c r="E231" s="98"/>
      <c r="F231" s="79">
        <v>8.5000000000000006E-2</v>
      </c>
      <c r="G231" s="76">
        <f t="shared" si="28"/>
        <v>6882.66</v>
      </c>
      <c r="H231" s="67">
        <f t="shared" si="26"/>
        <v>450398.65322472964</v>
      </c>
      <c r="I231" s="75">
        <f t="shared" si="27"/>
        <v>1200309.806865819</v>
      </c>
    </row>
    <row r="232" spans="1:9" hidden="1" outlineLevel="1" x14ac:dyDescent="0.2">
      <c r="A232" s="71">
        <f t="shared" si="25"/>
        <v>225</v>
      </c>
      <c r="B232" s="82">
        <v>45566</v>
      </c>
      <c r="D232" s="67">
        <v>217665.58424313972</v>
      </c>
      <c r="E232" s="98"/>
      <c r="F232" s="79">
        <v>8.5000000000000006E-2</v>
      </c>
      <c r="G232" s="76">
        <f t="shared" si="28"/>
        <v>9273.09</v>
      </c>
      <c r="H232" s="67">
        <f t="shared" si="26"/>
        <v>226938.67424313971</v>
      </c>
      <c r="I232" s="75">
        <f t="shared" si="27"/>
        <v>1427248.4811089588</v>
      </c>
    </row>
    <row r="233" spans="1:9" collapsed="1" x14ac:dyDescent="0.2">
      <c r="A233" s="71">
        <f t="shared" si="25"/>
        <v>226</v>
      </c>
      <c r="B233" s="82">
        <v>45597</v>
      </c>
      <c r="D233" s="67">
        <v>-229928.46672846994</v>
      </c>
      <c r="E233" s="98">
        <v>-760572.52364108933</v>
      </c>
      <c r="F233" s="79">
        <v>8.5000000000000006E-2</v>
      </c>
      <c r="G233" s="76">
        <f t="shared" si="28"/>
        <v>3907.96</v>
      </c>
      <c r="H233" s="67">
        <f t="shared" si="26"/>
        <v>-986593.0303695593</v>
      </c>
      <c r="I233" s="75">
        <f t="shared" si="27"/>
        <v>440655.45073939953</v>
      </c>
    </row>
    <row r="234" spans="1:9" x14ac:dyDescent="0.2">
      <c r="A234" s="71">
        <f t="shared" si="25"/>
        <v>227</v>
      </c>
      <c r="B234" s="82">
        <v>45627</v>
      </c>
      <c r="D234" s="67">
        <v>-499434.87816914974</v>
      </c>
      <c r="E234" s="98"/>
      <c r="F234" s="79">
        <v>8.5000000000000006E-2</v>
      </c>
      <c r="G234" s="76">
        <f t="shared" si="28"/>
        <v>1352.48</v>
      </c>
      <c r="H234" s="67">
        <f t="shared" si="26"/>
        <v>-498082.39816914976</v>
      </c>
      <c r="I234" s="75">
        <f t="shared" si="27"/>
        <v>-57426.947429750231</v>
      </c>
    </row>
    <row r="235" spans="1:9" x14ac:dyDescent="0.2">
      <c r="A235" s="71">
        <f t="shared" si="25"/>
        <v>228</v>
      </c>
      <c r="B235" s="82">
        <v>45658</v>
      </c>
      <c r="D235" s="67">
        <v>-706235.9048833499</v>
      </c>
      <c r="E235" s="98"/>
      <c r="F235" s="79">
        <v>8.0399999999999999E-2</v>
      </c>
      <c r="G235" s="76">
        <f t="shared" si="28"/>
        <v>-2750.65</v>
      </c>
      <c r="H235" s="67">
        <f t="shared" si="26"/>
        <v>-708986.55488334992</v>
      </c>
      <c r="I235" s="75">
        <f t="shared" si="27"/>
        <v>-766413.50231310015</v>
      </c>
    </row>
    <row r="236" spans="1:9" x14ac:dyDescent="0.2">
      <c r="A236" s="71">
        <f t="shared" si="25"/>
        <v>229</v>
      </c>
      <c r="B236" s="82">
        <v>45689</v>
      </c>
      <c r="D236" s="67">
        <v>-530044.18907207972</v>
      </c>
      <c r="E236" s="98"/>
      <c r="F236" s="79">
        <v>8.0399999999999999E-2</v>
      </c>
      <c r="G236" s="76">
        <f t="shared" si="28"/>
        <v>-6910.62</v>
      </c>
      <c r="H236" s="67">
        <f t="shared" si="26"/>
        <v>-536954.80907207972</v>
      </c>
      <c r="I236" s="75">
        <f t="shared" si="27"/>
        <v>-1303368.3113851799</v>
      </c>
    </row>
    <row r="237" spans="1:9" x14ac:dyDescent="0.2">
      <c r="A237" s="71">
        <f t="shared" si="25"/>
        <v>230</v>
      </c>
      <c r="B237" s="82">
        <v>45717</v>
      </c>
      <c r="D237" s="67">
        <v>-104328.28289509984</v>
      </c>
      <c r="E237" s="98"/>
      <c r="F237" s="79">
        <v>8.0399999999999999E-2</v>
      </c>
      <c r="G237" s="76">
        <f t="shared" si="28"/>
        <v>-9082.07</v>
      </c>
      <c r="H237" s="67">
        <f t="shared" ref="H237:H244" si="29">SUM(D237:E237,G237)</f>
        <v>-113410.35289509984</v>
      </c>
      <c r="I237" s="75">
        <f t="shared" si="27"/>
        <v>-1416778.6642802798</v>
      </c>
    </row>
    <row r="238" spans="1:9" x14ac:dyDescent="0.2">
      <c r="A238" s="71">
        <f t="shared" si="25"/>
        <v>231</v>
      </c>
      <c r="B238" s="82">
        <v>45748</v>
      </c>
      <c r="D238" s="67">
        <v>197873.22721882013</v>
      </c>
      <c r="E238" s="98"/>
      <c r="F238" s="79">
        <v>7.5499999999999998E-2</v>
      </c>
      <c r="G238" s="76">
        <f t="shared" si="28"/>
        <v>-8291.42</v>
      </c>
      <c r="H238" s="67">
        <f t="shared" si="29"/>
        <v>189581.80721882012</v>
      </c>
      <c r="I238" s="75">
        <f t="shared" si="27"/>
        <v>-1227196.8570614597</v>
      </c>
    </row>
    <row r="239" spans="1:9" x14ac:dyDescent="0.2">
      <c r="A239" s="71">
        <f t="shared" si="25"/>
        <v>232</v>
      </c>
      <c r="B239" s="82">
        <v>45778</v>
      </c>
      <c r="D239" s="67">
        <v>402647.66838721029</v>
      </c>
      <c r="E239" s="98"/>
      <c r="F239" s="79">
        <v>7.5499999999999998E-2</v>
      </c>
      <c r="G239" s="76">
        <f t="shared" si="28"/>
        <v>-6454.45</v>
      </c>
      <c r="H239" s="67">
        <f t="shared" si="29"/>
        <v>396193.21838721028</v>
      </c>
      <c r="I239" s="75">
        <f t="shared" si="27"/>
        <v>-831003.63867424941</v>
      </c>
    </row>
    <row r="240" spans="1:9" x14ac:dyDescent="0.2">
      <c r="A240" s="71">
        <f t="shared" si="25"/>
        <v>233</v>
      </c>
      <c r="B240" s="82">
        <v>45809</v>
      </c>
      <c r="D240" s="67">
        <v>457483.87680838001</v>
      </c>
      <c r="E240" s="98"/>
      <c r="F240" s="79">
        <v>7.5499999999999998E-2</v>
      </c>
      <c r="G240" s="76">
        <f t="shared" si="28"/>
        <v>-3789.23</v>
      </c>
      <c r="H240" s="67">
        <f t="shared" si="29"/>
        <v>453694.64680838003</v>
      </c>
      <c r="I240" s="75">
        <f t="shared" si="27"/>
        <v>-377308.99186586938</v>
      </c>
    </row>
    <row r="241" spans="1:12" x14ac:dyDescent="0.2">
      <c r="A241" s="71">
        <f t="shared" si="25"/>
        <v>234</v>
      </c>
      <c r="B241" s="82">
        <v>45839</v>
      </c>
      <c r="D241" s="67">
        <v>516672.2955977302</v>
      </c>
      <c r="E241" s="98"/>
      <c r="F241" s="83">
        <v>7.4999999999999997E-2</v>
      </c>
      <c r="G241" s="76">
        <f t="shared" si="28"/>
        <v>-743.58</v>
      </c>
      <c r="H241" s="67">
        <f t="shared" si="29"/>
        <v>515928.71559773019</v>
      </c>
      <c r="I241" s="75">
        <f t="shared" si="27"/>
        <v>138619.72373186081</v>
      </c>
    </row>
    <row r="242" spans="1:12" x14ac:dyDescent="0.2">
      <c r="A242" s="71">
        <f t="shared" si="25"/>
        <v>235</v>
      </c>
      <c r="B242" s="82">
        <v>45870</v>
      </c>
      <c r="D242" s="67">
        <v>528471.11786576011</v>
      </c>
      <c r="E242" s="98"/>
      <c r="F242" s="79">
        <v>7.4999999999999997E-2</v>
      </c>
      <c r="G242" s="76">
        <f t="shared" si="28"/>
        <v>2517.85</v>
      </c>
      <c r="H242" s="67">
        <f t="shared" si="29"/>
        <v>530988.96786576009</v>
      </c>
      <c r="I242" s="75">
        <f t="shared" si="27"/>
        <v>669608.69159762096</v>
      </c>
    </row>
    <row r="243" spans="1:12" x14ac:dyDescent="0.2">
      <c r="A243" s="71">
        <f t="shared" si="25"/>
        <v>236</v>
      </c>
      <c r="B243" s="82">
        <v>45901</v>
      </c>
      <c r="E243" s="98"/>
      <c r="F243" s="79">
        <v>7.4999999999999997E-2</v>
      </c>
      <c r="G243" s="76">
        <f t="shared" si="28"/>
        <v>4185.05</v>
      </c>
      <c r="H243" s="67">
        <f t="shared" si="29"/>
        <v>4185.05</v>
      </c>
      <c r="I243" s="75">
        <f t="shared" si="27"/>
        <v>673793.741597621</v>
      </c>
    </row>
    <row r="244" spans="1:12" x14ac:dyDescent="0.2">
      <c r="A244" s="71">
        <f t="shared" si="25"/>
        <v>237</v>
      </c>
      <c r="B244" s="82">
        <v>45931</v>
      </c>
      <c r="E244" s="98"/>
      <c r="F244" s="79">
        <v>7.4999999999999997E-2</v>
      </c>
      <c r="G244" s="76">
        <f t="shared" si="28"/>
        <v>4211.21</v>
      </c>
      <c r="H244" s="67">
        <f t="shared" si="29"/>
        <v>4211.21</v>
      </c>
      <c r="I244" s="75">
        <f t="shared" si="27"/>
        <v>678004.95159762097</v>
      </c>
    </row>
    <row r="245" spans="1:12" x14ac:dyDescent="0.2">
      <c r="A245" s="71">
        <f t="shared" si="25"/>
        <v>238</v>
      </c>
      <c r="B245" s="82"/>
      <c r="E245" s="98"/>
      <c r="F245" s="77"/>
      <c r="G245" s="76"/>
      <c r="I245" s="75"/>
    </row>
    <row r="246" spans="1:12" x14ac:dyDescent="0.2">
      <c r="A246" s="71">
        <f t="shared" si="25"/>
        <v>239</v>
      </c>
      <c r="B246" s="74" t="s">
        <v>320</v>
      </c>
      <c r="E246" s="98"/>
      <c r="F246" s="98"/>
      <c r="G246" s="76"/>
      <c r="I246" s="75"/>
      <c r="L246" s="86"/>
    </row>
    <row r="247" spans="1:12" x14ac:dyDescent="0.2">
      <c r="A247" s="71">
        <f t="shared" si="25"/>
        <v>240</v>
      </c>
      <c r="B247" s="73"/>
      <c r="E247" s="98"/>
      <c r="F247" s="98"/>
      <c r="G247" s="76"/>
      <c r="H247" s="76"/>
      <c r="J247" s="75">
        <f>+J246+I247</f>
        <v>0</v>
      </c>
    </row>
    <row r="248" spans="1:12" x14ac:dyDescent="0.2">
      <c r="A248" s="71">
        <f t="shared" si="25"/>
        <v>241</v>
      </c>
      <c r="B248" s="72" t="s">
        <v>318</v>
      </c>
      <c r="E248" s="98"/>
      <c r="F248" s="98"/>
      <c r="G248" s="98"/>
      <c r="H248" s="98"/>
      <c r="I248" s="98"/>
    </row>
    <row r="249" spans="1:12" x14ac:dyDescent="0.2">
      <c r="A249" s="71">
        <f t="shared" si="25"/>
        <v>242</v>
      </c>
      <c r="B249" s="70" t="s">
        <v>357</v>
      </c>
      <c r="E249" s="98"/>
      <c r="F249" s="98"/>
      <c r="G249" s="98"/>
      <c r="H249" s="98"/>
      <c r="I249" s="98"/>
    </row>
    <row r="250" spans="1:12" x14ac:dyDescent="0.2">
      <c r="B250" s="70"/>
      <c r="C250" s="86"/>
      <c r="E250" s="98"/>
      <c r="F250" s="98"/>
      <c r="G250" s="98"/>
      <c r="H250" s="98"/>
      <c r="I250" s="98"/>
    </row>
    <row r="251" spans="1:12" x14ac:dyDescent="0.2">
      <c r="C251" s="86"/>
      <c r="E251" s="98"/>
      <c r="F251" s="98"/>
      <c r="G251" s="98"/>
      <c r="H251" s="98"/>
      <c r="I251" s="98"/>
    </row>
    <row r="252" spans="1:12" x14ac:dyDescent="0.2">
      <c r="E252" s="98"/>
      <c r="F252" s="98"/>
      <c r="G252" s="98"/>
      <c r="H252" s="98"/>
      <c r="I252" s="98"/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E90C-F226-4417-8D6B-DE30B076C168}">
  <sheetPr>
    <tabColor theme="0" tint="-0.14999847407452621"/>
    <pageSetUpPr fitToPage="1"/>
  </sheetPr>
  <dimension ref="A1:O277"/>
  <sheetViews>
    <sheetView view="pageBreakPreview" zoomScaleNormal="90" zoomScaleSheetLayoutView="100" workbookViewId="0">
      <pane xSplit="1" ySplit="11" topLeftCell="B12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1640625" defaultRowHeight="12.75" outlineLevelRow="1" x14ac:dyDescent="0.2"/>
  <cols>
    <col min="1" max="1" width="4.6640625" style="68" customWidth="1"/>
    <col min="2" max="2" width="15.6640625" style="66" customWidth="1"/>
    <col min="3" max="3" width="14.83203125" style="66" customWidth="1"/>
    <col min="4" max="4" width="15.6640625" style="67" customWidth="1"/>
    <col min="5" max="5" width="17.1640625" style="67" customWidth="1"/>
    <col min="6" max="7" width="15.6640625" style="67" customWidth="1"/>
    <col min="8" max="8" width="16.83203125" style="67" customWidth="1"/>
    <col min="9" max="9" width="21.83203125" style="67" customWidth="1"/>
    <col min="10" max="20" width="15.6640625" style="66" customWidth="1"/>
    <col min="21" max="16384" width="9.1640625" style="66"/>
  </cols>
  <sheetData>
    <row r="1" spans="1:15" x14ac:dyDescent="0.2">
      <c r="B1" s="66" t="s">
        <v>345</v>
      </c>
      <c r="D1" s="67" t="s">
        <v>344</v>
      </c>
    </row>
    <row r="2" spans="1:15" x14ac:dyDescent="0.2">
      <c r="B2" s="66" t="s">
        <v>343</v>
      </c>
      <c r="D2" s="67" t="s">
        <v>2</v>
      </c>
    </row>
    <row r="3" spans="1:15" x14ac:dyDescent="0.2">
      <c r="B3" s="66" t="s">
        <v>342</v>
      </c>
      <c r="D3" s="97" t="s">
        <v>368</v>
      </c>
      <c r="O3" s="66" t="s">
        <v>367</v>
      </c>
    </row>
    <row r="4" spans="1:15" x14ac:dyDescent="0.2">
      <c r="B4" s="66" t="s">
        <v>340</v>
      </c>
      <c r="D4" s="96">
        <v>151555</v>
      </c>
    </row>
    <row r="5" spans="1:15" x14ac:dyDescent="0.2">
      <c r="D5" s="66" t="s">
        <v>339</v>
      </c>
    </row>
    <row r="6" spans="1:15" x14ac:dyDescent="0.2">
      <c r="D6" s="66" t="s">
        <v>338</v>
      </c>
    </row>
    <row r="8" spans="1:15" x14ac:dyDescent="0.2">
      <c r="A8" s="71">
        <v>1</v>
      </c>
      <c r="B8" s="66" t="s">
        <v>337</v>
      </c>
      <c r="G8" s="92"/>
    </row>
    <row r="9" spans="1:15" x14ac:dyDescent="0.2">
      <c r="A9" s="71">
        <f t="shared" ref="A9:A72" si="0">+A8+1</f>
        <v>2</v>
      </c>
      <c r="G9" s="92"/>
    </row>
    <row r="10" spans="1:15" x14ac:dyDescent="0.2">
      <c r="A10" s="71">
        <f t="shared" si="0"/>
        <v>3</v>
      </c>
      <c r="B10" s="93"/>
      <c r="C10" s="93"/>
      <c r="D10" s="92"/>
      <c r="E10" s="92"/>
      <c r="F10" s="92"/>
      <c r="G10" s="92"/>
      <c r="H10" s="92"/>
      <c r="I10" s="92"/>
    </row>
    <row r="11" spans="1:15" x14ac:dyDescent="0.2">
      <c r="A11" s="71">
        <f t="shared" si="0"/>
        <v>4</v>
      </c>
      <c r="B11" s="95" t="s">
        <v>336</v>
      </c>
      <c r="C11" s="95" t="s">
        <v>335</v>
      </c>
      <c r="D11" s="94" t="s">
        <v>276</v>
      </c>
      <c r="E11" s="94" t="s">
        <v>333</v>
      </c>
      <c r="F11" s="94" t="s">
        <v>332</v>
      </c>
      <c r="G11" s="94" t="s">
        <v>263</v>
      </c>
      <c r="H11" s="94" t="s">
        <v>275</v>
      </c>
      <c r="I11" s="94" t="s">
        <v>267</v>
      </c>
    </row>
    <row r="12" spans="1:15" x14ac:dyDescent="0.2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366</v>
      </c>
      <c r="G12" s="92" t="s">
        <v>325</v>
      </c>
      <c r="H12" s="92" t="s">
        <v>324</v>
      </c>
      <c r="I12" s="92" t="s">
        <v>365</v>
      </c>
      <c r="J12" s="93"/>
    </row>
    <row r="13" spans="1:15" x14ac:dyDescent="0.2">
      <c r="A13" s="71">
        <f t="shared" si="0"/>
        <v>6</v>
      </c>
      <c r="G13" s="92"/>
    </row>
    <row r="14" spans="1:15" hidden="1" outlineLevel="1" x14ac:dyDescent="0.2">
      <c r="A14" s="71">
        <f t="shared" si="0"/>
        <v>7</v>
      </c>
      <c r="B14" s="70" t="s">
        <v>323</v>
      </c>
    </row>
    <row r="15" spans="1:15" hidden="1" outlineLevel="1" x14ac:dyDescent="0.2">
      <c r="A15" s="71">
        <f t="shared" si="0"/>
        <v>8</v>
      </c>
      <c r="B15" s="66">
        <v>39021</v>
      </c>
      <c r="G15" s="75"/>
      <c r="I15" s="67">
        <v>-462588.19</v>
      </c>
    </row>
    <row r="16" spans="1:15" hidden="1" outlineLevel="1" x14ac:dyDescent="0.2">
      <c r="A16" s="71">
        <f t="shared" si="0"/>
        <v>9</v>
      </c>
      <c r="B16" s="66">
        <f>+B15+30</f>
        <v>39051</v>
      </c>
      <c r="D16" s="67">
        <f>12716.63+44380.4</f>
        <v>57097.03</v>
      </c>
      <c r="E16" s="67">
        <f>-'151550 Demand Accrual'!E16-'[33]191432'!E16</f>
        <v>-73630.66</v>
      </c>
      <c r="G16" s="75">
        <f>-2942.68-3252.44</f>
        <v>-6195.12</v>
      </c>
      <c r="H16" s="67">
        <f t="shared" ref="H16:H53" si="1">SUM(D16:G16)</f>
        <v>-22728.750000000004</v>
      </c>
      <c r="I16" s="75">
        <f t="shared" ref="I16:I53" si="2">+I15+H16</f>
        <v>-485316.94</v>
      </c>
    </row>
    <row r="17" spans="1:10" hidden="1" outlineLevel="1" x14ac:dyDescent="0.2">
      <c r="A17" s="71">
        <f t="shared" si="0"/>
        <v>10</v>
      </c>
      <c r="B17" s="66">
        <f>+B16+31</f>
        <v>39082</v>
      </c>
      <c r="D17" s="67">
        <v>126678.92</v>
      </c>
      <c r="G17" s="75">
        <v>-2721.75</v>
      </c>
      <c r="H17" s="67">
        <f t="shared" si="1"/>
        <v>123957.17</v>
      </c>
      <c r="I17" s="75">
        <f t="shared" si="2"/>
        <v>-361359.77</v>
      </c>
    </row>
    <row r="18" spans="1:10" hidden="1" outlineLevel="1" x14ac:dyDescent="0.2">
      <c r="A18" s="71">
        <f t="shared" si="0"/>
        <v>11</v>
      </c>
      <c r="B18" s="66">
        <f>+B17+31</f>
        <v>39113</v>
      </c>
      <c r="D18" s="67">
        <v>166860.57</v>
      </c>
      <c r="G18" s="75">
        <v>-1792.65</v>
      </c>
      <c r="H18" s="67">
        <f t="shared" si="1"/>
        <v>165067.92000000001</v>
      </c>
      <c r="I18" s="75">
        <f t="shared" si="2"/>
        <v>-196291.85</v>
      </c>
    </row>
    <row r="19" spans="1:10" hidden="1" outlineLevel="1" x14ac:dyDescent="0.2">
      <c r="A19" s="71">
        <f t="shared" si="0"/>
        <v>12</v>
      </c>
      <c r="B19" s="66">
        <f>+B18+28</f>
        <v>39141</v>
      </c>
      <c r="D19" s="67">
        <v>149593.87</v>
      </c>
      <c r="G19" s="75">
        <v>-827.18</v>
      </c>
      <c r="H19" s="67">
        <f t="shared" si="1"/>
        <v>148766.69</v>
      </c>
      <c r="I19" s="75">
        <f t="shared" si="2"/>
        <v>-47525.16</v>
      </c>
    </row>
    <row r="20" spans="1:10" hidden="1" outlineLevel="1" x14ac:dyDescent="0.2">
      <c r="A20" s="71">
        <f t="shared" si="0"/>
        <v>13</v>
      </c>
      <c r="B20" s="66">
        <f>+B19+31</f>
        <v>39172</v>
      </c>
      <c r="D20" s="67">
        <v>109334.88</v>
      </c>
      <c r="E20" s="67">
        <f>-'232035 Storage Sharing'!E20</f>
        <v>-826323.97</v>
      </c>
      <c r="G20" s="75">
        <v>-5577.26</v>
      </c>
      <c r="H20" s="67">
        <f t="shared" si="1"/>
        <v>-722566.35</v>
      </c>
      <c r="I20" s="75">
        <f t="shared" si="2"/>
        <v>-770091.51</v>
      </c>
    </row>
    <row r="21" spans="1:10" hidden="1" outlineLevel="1" x14ac:dyDescent="0.2">
      <c r="A21" s="71">
        <f t="shared" si="0"/>
        <v>14</v>
      </c>
      <c r="B21" s="66">
        <f>+B20+30</f>
        <v>39202</v>
      </c>
      <c r="D21" s="67">
        <v>77021.66</v>
      </c>
      <c r="G21" s="75">
        <v>-4980.8500000000004</v>
      </c>
      <c r="H21" s="67">
        <f t="shared" si="1"/>
        <v>72040.81</v>
      </c>
      <c r="I21" s="75">
        <f t="shared" si="2"/>
        <v>-698050.7</v>
      </c>
    </row>
    <row r="22" spans="1:10" hidden="1" outlineLevel="1" x14ac:dyDescent="0.2">
      <c r="A22" s="71">
        <f t="shared" si="0"/>
        <v>15</v>
      </c>
      <c r="B22" s="66">
        <f>+B21+31</f>
        <v>39233</v>
      </c>
      <c r="D22" s="67">
        <v>58816.21</v>
      </c>
      <c r="G22" s="75">
        <v>-4552.34</v>
      </c>
      <c r="H22" s="67">
        <f t="shared" si="1"/>
        <v>54263.869999999995</v>
      </c>
      <c r="I22" s="75">
        <f t="shared" si="2"/>
        <v>-643786.82999999996</v>
      </c>
    </row>
    <row r="23" spans="1:10" hidden="1" outlineLevel="1" x14ac:dyDescent="0.2">
      <c r="A23" s="71">
        <f t="shared" si="0"/>
        <v>16</v>
      </c>
      <c r="B23" s="66">
        <f>+B22+30</f>
        <v>39263</v>
      </c>
      <c r="D23" s="67">
        <v>39825.46</v>
      </c>
      <c r="G23" s="75">
        <v>-4382.4799999999996</v>
      </c>
      <c r="H23" s="67">
        <f t="shared" si="1"/>
        <v>35442.979999999996</v>
      </c>
      <c r="I23" s="75">
        <f t="shared" si="2"/>
        <v>-608343.85</v>
      </c>
      <c r="J23" s="116"/>
    </row>
    <row r="24" spans="1:10" hidden="1" outlineLevel="1" x14ac:dyDescent="0.2">
      <c r="A24" s="71">
        <f t="shared" si="0"/>
        <v>17</v>
      </c>
      <c r="B24" s="66">
        <f>+B23+31</f>
        <v>39294</v>
      </c>
      <c r="D24" s="67">
        <v>32365.08</v>
      </c>
      <c r="G24" s="75">
        <f>ROUND((+I23+E24+(D24/2))*0.0825/12,2)</f>
        <v>-4071.11</v>
      </c>
      <c r="H24" s="67">
        <f t="shared" si="1"/>
        <v>28293.97</v>
      </c>
      <c r="I24" s="75">
        <f t="shared" si="2"/>
        <v>-580049.88</v>
      </c>
      <c r="J24" s="116"/>
    </row>
    <row r="25" spans="1:10" hidden="1" outlineLevel="1" x14ac:dyDescent="0.2">
      <c r="A25" s="71">
        <f t="shared" si="0"/>
        <v>18</v>
      </c>
      <c r="B25" s="66">
        <f>+B24+30</f>
        <v>39324</v>
      </c>
      <c r="D25" s="67">
        <v>29625.25</v>
      </c>
      <c r="G25" s="75">
        <f>ROUND((+I24+E25+(D25/2))*0.0825/12,2)</f>
        <v>-3886.01</v>
      </c>
      <c r="H25" s="67">
        <f t="shared" si="1"/>
        <v>25739.239999999998</v>
      </c>
      <c r="I25" s="75">
        <f t="shared" si="2"/>
        <v>-554310.64</v>
      </c>
    </row>
    <row r="26" spans="1:10" hidden="1" outlineLevel="1" x14ac:dyDescent="0.2">
      <c r="A26" s="71">
        <f t="shared" si="0"/>
        <v>19</v>
      </c>
      <c r="B26" s="66">
        <f>+B25+30</f>
        <v>39354</v>
      </c>
      <c r="D26" s="67">
        <v>32436.1</v>
      </c>
      <c r="G26" s="75">
        <f>ROUND((+I25+E26+(D26/2))*0.0825/12,2)</f>
        <v>-3699.39</v>
      </c>
      <c r="H26" s="67">
        <f t="shared" si="1"/>
        <v>28736.71</v>
      </c>
      <c r="I26" s="75">
        <f t="shared" si="2"/>
        <v>-525573.93000000005</v>
      </c>
    </row>
    <row r="27" spans="1:10" hidden="1" outlineLevel="1" x14ac:dyDescent="0.2">
      <c r="A27" s="71">
        <f t="shared" si="0"/>
        <v>20</v>
      </c>
      <c r="B27" s="66">
        <f>+B26+31</f>
        <v>39385</v>
      </c>
      <c r="D27" s="67">
        <v>50256.92</v>
      </c>
      <c r="G27" s="76">
        <f>ROUND((+I26+E27+(D27/2))*0.0825/12,2)</f>
        <v>-3440.56</v>
      </c>
      <c r="H27" s="67">
        <f t="shared" si="1"/>
        <v>46816.36</v>
      </c>
      <c r="I27" s="75">
        <f t="shared" si="2"/>
        <v>-478757.57000000007</v>
      </c>
    </row>
    <row r="28" spans="1:10" hidden="1" outlineLevel="1" x14ac:dyDescent="0.2">
      <c r="A28" s="71">
        <f t="shared" si="0"/>
        <v>21</v>
      </c>
      <c r="B28" s="66">
        <f>+B27+30</f>
        <v>39415</v>
      </c>
      <c r="C28" s="66" t="s">
        <v>355</v>
      </c>
      <c r="D28" s="67">
        <v>41604.15</v>
      </c>
      <c r="E28" s="67">
        <f>-'151550 Demand Accrual'!E28-'[33]191432'!E28</f>
        <v>111970.47999999998</v>
      </c>
      <c r="G28" s="76">
        <f>ROUND((+I27+E28+(D28/2))*0.0825/12,2)</f>
        <v>-2378.65</v>
      </c>
      <c r="H28" s="67">
        <f t="shared" si="1"/>
        <v>151195.97999999998</v>
      </c>
      <c r="I28" s="75">
        <f t="shared" si="2"/>
        <v>-327561.59000000008</v>
      </c>
    </row>
    <row r="29" spans="1:10" hidden="1" outlineLevel="1" x14ac:dyDescent="0.2">
      <c r="A29" s="71">
        <f t="shared" si="0"/>
        <v>22</v>
      </c>
      <c r="C29" s="66" t="s">
        <v>354</v>
      </c>
      <c r="D29" s="67">
        <v>96535.53</v>
      </c>
      <c r="G29" s="76">
        <f>ROUND((++(D29/2))*0.0825/12,2)</f>
        <v>331.84</v>
      </c>
      <c r="H29" s="67">
        <f t="shared" si="1"/>
        <v>96867.37</v>
      </c>
      <c r="I29" s="75">
        <f t="shared" si="2"/>
        <v>-230694.22000000009</v>
      </c>
    </row>
    <row r="30" spans="1:10" hidden="1" outlineLevel="1" x14ac:dyDescent="0.2">
      <c r="A30" s="71">
        <f t="shared" si="0"/>
        <v>23</v>
      </c>
      <c r="B30" s="66">
        <f>+B28+31</f>
        <v>39446</v>
      </c>
      <c r="D30" s="67">
        <v>309515.02</v>
      </c>
      <c r="G30" s="76">
        <f>ROUND((+I29+E30+(D30/2))*0.0825/12,2)</f>
        <v>-522.05999999999995</v>
      </c>
      <c r="H30" s="67">
        <f t="shared" si="1"/>
        <v>308992.96000000002</v>
      </c>
      <c r="I30" s="75">
        <f t="shared" si="2"/>
        <v>78298.739999999932</v>
      </c>
    </row>
    <row r="31" spans="1:10" hidden="1" outlineLevel="1" x14ac:dyDescent="0.2">
      <c r="A31" s="71">
        <f t="shared" si="0"/>
        <v>24</v>
      </c>
      <c r="B31" s="66">
        <f>+B30+31</f>
        <v>39477</v>
      </c>
      <c r="D31" s="67">
        <v>376578.37</v>
      </c>
      <c r="G31" s="76">
        <f>ROUND((+I30+E31+(D31/2))*0.0776/12,2)</f>
        <v>1723.94</v>
      </c>
      <c r="H31" s="67">
        <f t="shared" si="1"/>
        <v>378302.31</v>
      </c>
      <c r="I31" s="75">
        <f t="shared" si="2"/>
        <v>456601.04999999993</v>
      </c>
    </row>
    <row r="32" spans="1:10" hidden="1" outlineLevel="1" x14ac:dyDescent="0.2">
      <c r="A32" s="71">
        <f t="shared" si="0"/>
        <v>25</v>
      </c>
      <c r="B32" s="66">
        <f>+B31+29</f>
        <v>39506</v>
      </c>
      <c r="D32" s="67">
        <v>358641.65</v>
      </c>
      <c r="G32" s="76">
        <f>ROUND((+I31+E32+(D32/2))*0.0776/12,2)</f>
        <v>4112.29</v>
      </c>
      <c r="H32" s="67">
        <f t="shared" si="1"/>
        <v>362753.94</v>
      </c>
      <c r="I32" s="75">
        <f t="shared" si="2"/>
        <v>819354.99</v>
      </c>
    </row>
    <row r="33" spans="1:9" hidden="1" outlineLevel="1" x14ac:dyDescent="0.2">
      <c r="A33" s="71">
        <f t="shared" si="0"/>
        <v>26</v>
      </c>
      <c r="B33" s="66">
        <f>+B32+31</f>
        <v>39537</v>
      </c>
      <c r="D33" s="67">
        <v>258896.75</v>
      </c>
      <c r="E33" s="67">
        <f>-'232035 Storage Sharing'!E32</f>
        <v>-1219943.5699999998</v>
      </c>
      <c r="G33" s="76">
        <v>-6012.74</v>
      </c>
      <c r="H33" s="67">
        <f t="shared" si="1"/>
        <v>-967059.55999999982</v>
      </c>
      <c r="I33" s="75">
        <f t="shared" si="2"/>
        <v>-147704.56999999983</v>
      </c>
    </row>
    <row r="34" spans="1:9" hidden="1" outlineLevel="1" x14ac:dyDescent="0.2">
      <c r="A34" s="71">
        <f t="shared" si="0"/>
        <v>27</v>
      </c>
      <c r="B34" s="66">
        <f>+B33+30</f>
        <v>39567</v>
      </c>
      <c r="D34" s="67">
        <v>261330.88</v>
      </c>
      <c r="G34" s="76">
        <v>-161.99</v>
      </c>
      <c r="H34" s="67">
        <f t="shared" si="1"/>
        <v>261168.89</v>
      </c>
      <c r="I34" s="75">
        <f t="shared" si="2"/>
        <v>113464.32000000018</v>
      </c>
    </row>
    <row r="35" spans="1:9" hidden="1" outlineLevel="1" x14ac:dyDescent="0.2">
      <c r="A35" s="71">
        <f t="shared" si="0"/>
        <v>28</v>
      </c>
      <c r="B35" s="66">
        <f>+B34+31</f>
        <v>39598</v>
      </c>
      <c r="D35" s="67">
        <v>174280.63</v>
      </c>
      <c r="G35" s="76">
        <v>1065.8900000000001</v>
      </c>
      <c r="H35" s="67">
        <f t="shared" si="1"/>
        <v>175346.52000000002</v>
      </c>
      <c r="I35" s="75">
        <f t="shared" si="2"/>
        <v>288810.8400000002</v>
      </c>
    </row>
    <row r="36" spans="1:9" hidden="1" outlineLevel="1" x14ac:dyDescent="0.2">
      <c r="A36" s="71">
        <f t="shared" si="0"/>
        <v>29</v>
      </c>
      <c r="B36" s="66">
        <f>+B35+30</f>
        <v>39628</v>
      </c>
      <c r="D36" s="67">
        <v>114030.74</v>
      </c>
      <c r="G36" s="76">
        <v>1885.18</v>
      </c>
      <c r="H36" s="67">
        <f t="shared" si="1"/>
        <v>115915.92</v>
      </c>
      <c r="I36" s="75">
        <f t="shared" si="2"/>
        <v>404726.76000000018</v>
      </c>
    </row>
    <row r="37" spans="1:9" hidden="1" outlineLevel="1" x14ac:dyDescent="0.2">
      <c r="A37" s="71">
        <f t="shared" si="0"/>
        <v>30</v>
      </c>
      <c r="B37" s="66">
        <f>+B36+31</f>
        <v>39659</v>
      </c>
      <c r="D37" s="67">
        <v>83527.44</v>
      </c>
      <c r="G37" s="76">
        <f>ROUND((+I36+E37+(D37/2))*0.053/12,2)</f>
        <v>1972</v>
      </c>
      <c r="H37" s="67">
        <f t="shared" si="1"/>
        <v>85499.44</v>
      </c>
      <c r="I37" s="75">
        <f t="shared" si="2"/>
        <v>490226.20000000019</v>
      </c>
    </row>
    <row r="38" spans="1:9" hidden="1" outlineLevel="1" x14ac:dyDescent="0.2">
      <c r="A38" s="71">
        <f t="shared" si="0"/>
        <v>31</v>
      </c>
      <c r="B38" s="66">
        <f>+B37+30</f>
        <v>39689</v>
      </c>
      <c r="D38" s="67">
        <v>70173.45</v>
      </c>
      <c r="G38" s="76">
        <f>ROUND((+I37+E38+(D38/2))*0.053/12,2)</f>
        <v>2320.13</v>
      </c>
      <c r="H38" s="67">
        <f t="shared" si="1"/>
        <v>72493.58</v>
      </c>
      <c r="I38" s="75">
        <f t="shared" si="2"/>
        <v>562719.78000000014</v>
      </c>
    </row>
    <row r="39" spans="1:9" hidden="1" outlineLevel="1" x14ac:dyDescent="0.2">
      <c r="A39" s="71">
        <f t="shared" si="0"/>
        <v>32</v>
      </c>
      <c r="B39" s="66">
        <f>+B38+30</f>
        <v>39719</v>
      </c>
      <c r="D39" s="67">
        <v>73732.47</v>
      </c>
      <c r="G39" s="76">
        <f>ROUND((+I38+E39+(D39/2))*0.053/12,2)</f>
        <v>2648.17</v>
      </c>
      <c r="H39" s="67">
        <f t="shared" si="1"/>
        <v>76380.639999999999</v>
      </c>
      <c r="I39" s="75">
        <f t="shared" si="2"/>
        <v>639100.42000000016</v>
      </c>
    </row>
    <row r="40" spans="1:9" hidden="1" outlineLevel="1" x14ac:dyDescent="0.2">
      <c r="A40" s="71">
        <f t="shared" si="0"/>
        <v>33</v>
      </c>
      <c r="B40" s="66">
        <f>+B39+31</f>
        <v>39750</v>
      </c>
      <c r="D40" s="67">
        <v>101874.03</v>
      </c>
      <c r="G40" s="76">
        <f>ROUND((+I39+E40+(D40/2))*0.05/12,2)</f>
        <v>2875.16</v>
      </c>
      <c r="H40" s="67">
        <f t="shared" si="1"/>
        <v>104749.19</v>
      </c>
      <c r="I40" s="75">
        <f t="shared" si="2"/>
        <v>743849.6100000001</v>
      </c>
    </row>
    <row r="41" spans="1:9" hidden="1" outlineLevel="1" x14ac:dyDescent="0.2">
      <c r="A41" s="71">
        <f t="shared" si="0"/>
        <v>34</v>
      </c>
      <c r="B41" s="66">
        <f>+B40+30</f>
        <v>39780</v>
      </c>
      <c r="D41" s="67">
        <v>120008.16</v>
      </c>
      <c r="E41" s="67">
        <f>-'151550 Demand Accrual'!E40-'[33]191432'!E40</f>
        <v>-698110.63000000035</v>
      </c>
      <c r="G41" s="76">
        <f>ROUND((+I40+E41+(D41/2))*0.05/12,2)</f>
        <v>440.6</v>
      </c>
      <c r="H41" s="67">
        <f t="shared" si="1"/>
        <v>-577661.87000000034</v>
      </c>
      <c r="I41" s="75">
        <f t="shared" si="2"/>
        <v>166187.73999999976</v>
      </c>
    </row>
    <row r="42" spans="1:9" hidden="1" outlineLevel="1" x14ac:dyDescent="0.2">
      <c r="A42" s="71">
        <f t="shared" si="0"/>
        <v>35</v>
      </c>
      <c r="B42" s="66">
        <f>+B41+31</f>
        <v>39811</v>
      </c>
      <c r="D42" s="67">
        <v>119493</v>
      </c>
      <c r="E42" s="123"/>
      <c r="F42" s="123"/>
      <c r="G42" s="76">
        <f>ROUND((+I41+E42+(D42/2))*0.05/12,2)</f>
        <v>941.39</v>
      </c>
      <c r="H42" s="67">
        <f t="shared" si="1"/>
        <v>120434.39</v>
      </c>
      <c r="I42" s="75">
        <f t="shared" si="2"/>
        <v>286622.12999999977</v>
      </c>
    </row>
    <row r="43" spans="1:9" hidden="1" outlineLevel="1" x14ac:dyDescent="0.2">
      <c r="A43" s="71">
        <f t="shared" si="0"/>
        <v>36</v>
      </c>
      <c r="B43" s="66">
        <f>+B42+31</f>
        <v>39842</v>
      </c>
      <c r="D43" s="67">
        <v>169859.49</v>
      </c>
      <c r="E43" s="123">
        <f>-'232035 Storage Sharing'!E42</f>
        <v>-1233337.7</v>
      </c>
      <c r="F43" s="123"/>
      <c r="G43" s="76">
        <f>ROUND((+I42+E43+(D43/2))*0.0452/12,2)</f>
        <v>-3246.06</v>
      </c>
      <c r="H43" s="67">
        <f t="shared" si="1"/>
        <v>-1066724.27</v>
      </c>
      <c r="I43" s="75">
        <f t="shared" si="2"/>
        <v>-780102.14000000025</v>
      </c>
    </row>
    <row r="44" spans="1:9" hidden="1" outlineLevel="1" x14ac:dyDescent="0.2">
      <c r="A44" s="71">
        <f t="shared" si="0"/>
        <v>37</v>
      </c>
      <c r="B44" s="66">
        <f>+B43+28</f>
        <v>39870</v>
      </c>
      <c r="D44" s="67">
        <v>148817.25</v>
      </c>
      <c r="E44" s="66"/>
      <c r="F44" s="66"/>
      <c r="G44" s="76">
        <f>ROUND((+I43+E44+(D44/2))*0.0452/12,2)</f>
        <v>-2658.11</v>
      </c>
      <c r="H44" s="67">
        <f t="shared" si="1"/>
        <v>146159.14000000001</v>
      </c>
      <c r="I44" s="75">
        <f t="shared" si="2"/>
        <v>-633943.00000000023</v>
      </c>
    </row>
    <row r="45" spans="1:9" hidden="1" outlineLevel="1" x14ac:dyDescent="0.2">
      <c r="A45" s="71">
        <f t="shared" si="0"/>
        <v>38</v>
      </c>
      <c r="B45" s="66">
        <f>+B44+31</f>
        <v>39901</v>
      </c>
      <c r="D45" s="67">
        <v>132740.76</v>
      </c>
      <c r="G45" s="76">
        <v>-2102.8000000000002</v>
      </c>
      <c r="H45" s="67">
        <f t="shared" si="1"/>
        <v>130637.96</v>
      </c>
      <c r="I45" s="75">
        <f t="shared" si="2"/>
        <v>-503305.04000000021</v>
      </c>
    </row>
    <row r="46" spans="1:9" hidden="1" outlineLevel="1" x14ac:dyDescent="0.2">
      <c r="A46" s="71">
        <f t="shared" si="0"/>
        <v>39</v>
      </c>
      <c r="B46" s="66">
        <f>+B45+30</f>
        <v>39931</v>
      </c>
      <c r="D46" s="67">
        <v>97745</v>
      </c>
      <c r="G46" s="76">
        <f>ROUND((+I45+E46+(D46/2))*0.0337/12,2)</f>
        <v>-1276.2</v>
      </c>
      <c r="H46" s="67">
        <f t="shared" si="1"/>
        <v>96468.800000000003</v>
      </c>
      <c r="I46" s="75">
        <f t="shared" si="2"/>
        <v>-406836.24000000022</v>
      </c>
    </row>
    <row r="47" spans="1:9" hidden="1" outlineLevel="1" x14ac:dyDescent="0.2">
      <c r="A47" s="71">
        <f t="shared" si="0"/>
        <v>40</v>
      </c>
      <c r="B47" s="66">
        <f>+B46+31</f>
        <v>39962</v>
      </c>
      <c r="D47" s="67">
        <v>61019</v>
      </c>
      <c r="G47" s="76">
        <f>ROUND((+I46+E47+(D47/2))*0.0337/12,2)</f>
        <v>-1056.8499999999999</v>
      </c>
      <c r="H47" s="67">
        <f t="shared" si="1"/>
        <v>59962.15</v>
      </c>
      <c r="I47" s="75">
        <f t="shared" si="2"/>
        <v>-346874.0900000002</v>
      </c>
    </row>
    <row r="48" spans="1:9" hidden="1" outlineLevel="1" x14ac:dyDescent="0.2">
      <c r="A48" s="71">
        <f t="shared" si="0"/>
        <v>41</v>
      </c>
      <c r="B48" s="66">
        <f>+B47+30</f>
        <v>39992</v>
      </c>
      <c r="D48" s="67">
        <v>37407.94</v>
      </c>
      <c r="G48" s="76">
        <f>ROUND((+I47+E48+(D48/2))*0.0337/12,2)</f>
        <v>-921.61</v>
      </c>
      <c r="H48" s="67">
        <f t="shared" si="1"/>
        <v>36486.33</v>
      </c>
      <c r="I48" s="75">
        <f t="shared" si="2"/>
        <v>-310387.76000000018</v>
      </c>
    </row>
    <row r="49" spans="1:15" hidden="1" outlineLevel="1" x14ac:dyDescent="0.2">
      <c r="A49" s="71">
        <f t="shared" si="0"/>
        <v>42</v>
      </c>
      <c r="B49" s="66">
        <f>+B48+31</f>
        <v>40023</v>
      </c>
      <c r="D49" s="67">
        <v>30607.25</v>
      </c>
      <c r="G49" s="76">
        <f>ROUND((+I48+E49+(D49/2))*0.0325/12,2)</f>
        <v>-799.19</v>
      </c>
      <c r="H49" s="67">
        <f t="shared" si="1"/>
        <v>29808.06</v>
      </c>
      <c r="I49" s="75">
        <f t="shared" si="2"/>
        <v>-280579.70000000019</v>
      </c>
    </row>
    <row r="50" spans="1:15" hidden="1" outlineLevel="1" x14ac:dyDescent="0.2">
      <c r="A50" s="71">
        <f t="shared" si="0"/>
        <v>43</v>
      </c>
      <c r="B50" s="66">
        <f>+B49+30</f>
        <v>40053</v>
      </c>
      <c r="D50" s="67">
        <v>27538.92</v>
      </c>
      <c r="G50" s="76">
        <f>ROUND((+I49+E50+(D50/2))*0.0325/12,2)</f>
        <v>-722.61</v>
      </c>
      <c r="H50" s="67">
        <f t="shared" si="1"/>
        <v>26816.309999999998</v>
      </c>
      <c r="I50" s="75">
        <f t="shared" si="2"/>
        <v>-253763.39000000019</v>
      </c>
    </row>
    <row r="51" spans="1:15" hidden="1" outlineLevel="1" x14ac:dyDescent="0.2">
      <c r="A51" s="71">
        <f t="shared" si="0"/>
        <v>44</v>
      </c>
      <c r="B51" s="66">
        <f>+B50+30</f>
        <v>40083</v>
      </c>
      <c r="D51" s="67">
        <f>29881.14+1281.86</f>
        <v>31163</v>
      </c>
      <c r="G51" s="76">
        <f>ROUND((+I50+E51+(D51/2))*0.0325/12,2)</f>
        <v>-645.08000000000004</v>
      </c>
      <c r="H51" s="67">
        <f t="shared" si="1"/>
        <v>30517.919999999998</v>
      </c>
      <c r="I51" s="75">
        <f t="shared" si="2"/>
        <v>-223245.4700000002</v>
      </c>
      <c r="J51" s="116"/>
      <c r="K51" s="122"/>
    </row>
    <row r="52" spans="1:15" hidden="1" outlineLevel="1" x14ac:dyDescent="0.2">
      <c r="A52" s="71">
        <f t="shared" si="0"/>
        <v>45</v>
      </c>
      <c r="B52" s="66">
        <f>+B51+31</f>
        <v>40114</v>
      </c>
      <c r="D52" s="116">
        <v>43020.28</v>
      </c>
      <c r="G52" s="76">
        <f>ROUND((+I51+E52+(D52/2))*0.0325/12,2)</f>
        <v>-546.37</v>
      </c>
      <c r="H52" s="67">
        <f t="shared" si="1"/>
        <v>42473.909999999996</v>
      </c>
      <c r="I52" s="75">
        <f t="shared" si="2"/>
        <v>-180771.5600000002</v>
      </c>
    </row>
    <row r="53" spans="1:15" hidden="1" outlineLevel="1" x14ac:dyDescent="0.2">
      <c r="A53" s="71">
        <f t="shared" si="0"/>
        <v>46</v>
      </c>
      <c r="B53" s="66">
        <f>+B52+30</f>
        <v>40144</v>
      </c>
      <c r="D53" s="67">
        <v>40281.33</v>
      </c>
      <c r="G53" s="76">
        <f>ROUND((+I52+E53+(D53/2))*0.0325/12,2)</f>
        <v>-435.04</v>
      </c>
      <c r="H53" s="67">
        <f t="shared" si="1"/>
        <v>39846.29</v>
      </c>
      <c r="I53" s="75">
        <f t="shared" si="2"/>
        <v>-140925.27000000019</v>
      </c>
      <c r="J53" s="67"/>
      <c r="K53" s="67"/>
      <c r="L53" s="67"/>
      <c r="M53" s="67"/>
      <c r="N53" s="67"/>
      <c r="O53" s="67"/>
    </row>
    <row r="54" spans="1:15" hidden="1" outlineLevel="1" x14ac:dyDescent="0.2">
      <c r="A54" s="71">
        <f t="shared" si="0"/>
        <v>47</v>
      </c>
      <c r="B54" s="66">
        <f>+B53+30</f>
        <v>40174</v>
      </c>
      <c r="G54" s="76"/>
      <c r="I54" s="75"/>
      <c r="J54" s="67"/>
      <c r="K54" s="67"/>
      <c r="L54" s="67"/>
      <c r="M54" s="67"/>
      <c r="N54" s="67"/>
      <c r="O54" s="67"/>
    </row>
    <row r="55" spans="1:15" hidden="1" outlineLevel="1" x14ac:dyDescent="0.2">
      <c r="A55" s="71">
        <f t="shared" si="0"/>
        <v>48</v>
      </c>
      <c r="C55" s="66" t="s">
        <v>354</v>
      </c>
      <c r="D55" s="67">
        <v>49042.39</v>
      </c>
      <c r="E55" s="67">
        <f>-'151550 Demand Accrual'!E52</f>
        <v>-165202.62999999966</v>
      </c>
      <c r="G55" s="76">
        <f>ROUND((+E55+(D55/2))*0.0325/12,2)</f>
        <v>-381.01</v>
      </c>
      <c r="H55" s="67">
        <f t="shared" ref="H55:H79" si="3">SUM(D55:G55)</f>
        <v>-116541.24999999965</v>
      </c>
      <c r="I55" s="75">
        <f>+I53+H55</f>
        <v>-257466.51999999984</v>
      </c>
      <c r="J55" s="67"/>
      <c r="K55" s="67"/>
      <c r="L55" s="67"/>
      <c r="M55" s="67"/>
      <c r="N55" s="67"/>
      <c r="O55" s="67"/>
    </row>
    <row r="56" spans="1:15" hidden="1" outlineLevel="1" x14ac:dyDescent="0.2">
      <c r="A56" s="71">
        <f t="shared" si="0"/>
        <v>49</v>
      </c>
      <c r="B56" s="66">
        <f>+B53+31</f>
        <v>40175</v>
      </c>
      <c r="D56" s="67">
        <f>172726.54+4000</f>
        <v>176726.54</v>
      </c>
      <c r="E56" s="67">
        <f>-'232035 Storage Sharing'!E54</f>
        <v>-1500827.06</v>
      </c>
      <c r="G56" s="76">
        <f t="shared" ref="G56:G67" si="4">ROUND((+I55+E56+(D56/2))*0.0325/12,2)</f>
        <v>-4522.7299999999996</v>
      </c>
      <c r="H56" s="67">
        <f t="shared" si="3"/>
        <v>-1328623.25</v>
      </c>
      <c r="I56" s="75">
        <f t="shared" ref="I56:I87" si="5">+I55+H56</f>
        <v>-1586089.7699999998</v>
      </c>
      <c r="J56" s="67"/>
      <c r="K56" s="67"/>
      <c r="L56" s="67"/>
      <c r="M56" s="67"/>
      <c r="N56" s="67"/>
      <c r="O56" s="67"/>
    </row>
    <row r="57" spans="1:15" hidden="1" outlineLevel="1" x14ac:dyDescent="0.2">
      <c r="A57" s="71">
        <f t="shared" si="0"/>
        <v>50</v>
      </c>
      <c r="B57" s="66">
        <f>+B56+31</f>
        <v>40206</v>
      </c>
      <c r="D57" s="67">
        <f>196159.8855411-364</f>
        <v>195795.8855411</v>
      </c>
      <c r="G57" s="76">
        <f t="shared" si="4"/>
        <v>-4030.52</v>
      </c>
      <c r="H57" s="67">
        <f t="shared" si="3"/>
        <v>191765.36554110001</v>
      </c>
      <c r="I57" s="75">
        <f t="shared" si="5"/>
        <v>-1394324.4044588997</v>
      </c>
      <c r="J57" s="67"/>
      <c r="K57" s="67"/>
      <c r="L57" s="67"/>
      <c r="M57" s="67"/>
      <c r="N57" s="67"/>
      <c r="O57" s="67"/>
    </row>
    <row r="58" spans="1:15" hidden="1" outlineLevel="1" x14ac:dyDescent="0.2">
      <c r="A58" s="71">
        <f t="shared" si="0"/>
        <v>51</v>
      </c>
      <c r="B58" s="66">
        <f>+B57+28</f>
        <v>40234</v>
      </c>
      <c r="D58" s="67">
        <v>134231.97466529999</v>
      </c>
      <c r="G58" s="76">
        <f t="shared" si="4"/>
        <v>-3594.52</v>
      </c>
      <c r="H58" s="67">
        <f t="shared" si="3"/>
        <v>130637.45466529999</v>
      </c>
      <c r="I58" s="75">
        <f t="shared" si="5"/>
        <v>-1263686.9497935998</v>
      </c>
      <c r="J58" s="67"/>
      <c r="K58" s="67"/>
      <c r="L58" s="67"/>
      <c r="M58" s="67"/>
      <c r="N58" s="67"/>
      <c r="O58" s="67"/>
    </row>
    <row r="59" spans="1:15" hidden="1" outlineLevel="1" x14ac:dyDescent="0.2">
      <c r="A59" s="71">
        <f t="shared" si="0"/>
        <v>52</v>
      </c>
      <c r="B59" s="66">
        <f>+B58+31</f>
        <v>40265</v>
      </c>
      <c r="D59" s="67">
        <v>115691.45</v>
      </c>
      <c r="G59" s="76">
        <f t="shared" si="4"/>
        <v>-3265.82</v>
      </c>
      <c r="H59" s="67">
        <f t="shared" si="3"/>
        <v>112425.62999999999</v>
      </c>
      <c r="I59" s="75">
        <f t="shared" si="5"/>
        <v>-1151261.3197935999</v>
      </c>
      <c r="J59" s="67"/>
      <c r="K59" s="67"/>
      <c r="L59" s="67"/>
      <c r="M59" s="67"/>
      <c r="N59" s="67"/>
      <c r="O59" s="67"/>
    </row>
    <row r="60" spans="1:15" hidden="1" outlineLevel="1" x14ac:dyDescent="0.2">
      <c r="A60" s="71">
        <f t="shared" si="0"/>
        <v>53</v>
      </c>
      <c r="B60" s="66">
        <f>+B59+30</f>
        <v>40295</v>
      </c>
      <c r="D60" s="67">
        <v>107425.63</v>
      </c>
      <c r="G60" s="76">
        <f t="shared" si="4"/>
        <v>-2972.53</v>
      </c>
      <c r="H60" s="67">
        <f t="shared" si="3"/>
        <v>104453.1</v>
      </c>
      <c r="I60" s="75">
        <f t="shared" si="5"/>
        <v>-1046808.2197935999</v>
      </c>
      <c r="J60" s="67"/>
      <c r="K60" s="67"/>
      <c r="L60" s="67"/>
      <c r="M60" s="67"/>
      <c r="N60" s="67"/>
      <c r="O60" s="67"/>
    </row>
    <row r="61" spans="1:15" hidden="1" outlineLevel="1" x14ac:dyDescent="0.2">
      <c r="A61" s="71">
        <f t="shared" si="0"/>
        <v>54</v>
      </c>
      <c r="B61" s="66">
        <f>+B60+31</f>
        <v>40326</v>
      </c>
      <c r="D61" s="67">
        <v>82462.66</v>
      </c>
      <c r="G61" s="76">
        <f t="shared" si="4"/>
        <v>-2723.44</v>
      </c>
      <c r="H61" s="67">
        <f t="shared" si="3"/>
        <v>79739.22</v>
      </c>
      <c r="I61" s="75">
        <f t="shared" si="5"/>
        <v>-967068.99979359994</v>
      </c>
      <c r="J61" s="67"/>
      <c r="K61" s="67"/>
      <c r="L61" s="67"/>
      <c r="M61" s="67"/>
      <c r="N61" s="67"/>
      <c r="O61" s="67"/>
    </row>
    <row r="62" spans="1:15" hidden="1" outlineLevel="1" x14ac:dyDescent="0.2">
      <c r="A62" s="71">
        <f t="shared" si="0"/>
        <v>55</v>
      </c>
      <c r="B62" s="66">
        <f>+B61+30</f>
        <v>40356</v>
      </c>
      <c r="D62" s="67">
        <v>63760.959999999999</v>
      </c>
      <c r="G62" s="76">
        <f t="shared" si="4"/>
        <v>-2532.8000000000002</v>
      </c>
      <c r="H62" s="67">
        <f t="shared" si="3"/>
        <v>61228.159999999996</v>
      </c>
      <c r="I62" s="75">
        <f t="shared" si="5"/>
        <v>-905840.83979359991</v>
      </c>
      <c r="J62" s="67"/>
      <c r="K62" s="67"/>
      <c r="L62" s="67"/>
      <c r="M62" s="67"/>
      <c r="N62" s="67"/>
      <c r="O62" s="67"/>
    </row>
    <row r="63" spans="1:15" hidden="1" outlineLevel="1" x14ac:dyDescent="0.2">
      <c r="A63" s="71">
        <f t="shared" si="0"/>
        <v>56</v>
      </c>
      <c r="B63" s="66">
        <f>+B62+31</f>
        <v>40387</v>
      </c>
      <c r="D63" s="67">
        <v>44458.49</v>
      </c>
      <c r="G63" s="76">
        <f t="shared" si="4"/>
        <v>-2393.11</v>
      </c>
      <c r="H63" s="67">
        <f t="shared" si="3"/>
        <v>42065.38</v>
      </c>
      <c r="I63" s="75">
        <f t="shared" si="5"/>
        <v>-863775.4597935999</v>
      </c>
      <c r="J63" s="67"/>
      <c r="K63" s="67"/>
      <c r="L63" s="67"/>
      <c r="M63" s="67"/>
      <c r="N63" s="67"/>
      <c r="O63" s="67"/>
    </row>
    <row r="64" spans="1:15" hidden="1" outlineLevel="1" x14ac:dyDescent="0.2">
      <c r="A64" s="71">
        <f t="shared" si="0"/>
        <v>57</v>
      </c>
      <c r="B64" s="66">
        <f>+B63+30</f>
        <v>40417</v>
      </c>
      <c r="D64" s="67">
        <v>37504.778165299998</v>
      </c>
      <c r="G64" s="76">
        <f t="shared" si="4"/>
        <v>-2288.6</v>
      </c>
      <c r="H64" s="67">
        <f t="shared" si="3"/>
        <v>35216.1781653</v>
      </c>
      <c r="I64" s="75">
        <f t="shared" si="5"/>
        <v>-828559.28162829985</v>
      </c>
      <c r="J64" s="67"/>
      <c r="K64" s="67"/>
      <c r="L64" s="67"/>
      <c r="M64" s="67"/>
      <c r="N64" s="67"/>
      <c r="O64" s="67"/>
    </row>
    <row r="65" spans="1:15" hidden="1" outlineLevel="1" x14ac:dyDescent="0.2">
      <c r="A65" s="71">
        <f t="shared" si="0"/>
        <v>58</v>
      </c>
      <c r="B65" s="66">
        <f>+B64+30</f>
        <v>40447</v>
      </c>
      <c r="D65" s="67">
        <v>39387.321849900021</v>
      </c>
      <c r="G65" s="76">
        <f t="shared" si="4"/>
        <v>-2190.6799999999998</v>
      </c>
      <c r="H65" s="67">
        <f t="shared" si="3"/>
        <v>37196.641849900021</v>
      </c>
      <c r="I65" s="75">
        <f t="shared" si="5"/>
        <v>-791362.63977839984</v>
      </c>
      <c r="J65" s="67"/>
      <c r="K65" s="67"/>
      <c r="L65" s="67"/>
      <c r="M65" s="67"/>
      <c r="N65" s="67"/>
      <c r="O65" s="67"/>
    </row>
    <row r="66" spans="1:15" hidden="1" outlineLevel="1" x14ac:dyDescent="0.2">
      <c r="A66" s="71">
        <f t="shared" si="0"/>
        <v>59</v>
      </c>
      <c r="B66" s="66">
        <f>+B65+31</f>
        <v>40478</v>
      </c>
      <c r="D66" s="67">
        <v>48588.43</v>
      </c>
      <c r="G66" s="76">
        <f t="shared" si="4"/>
        <v>-2077.48</v>
      </c>
      <c r="H66" s="67">
        <f t="shared" si="3"/>
        <v>46510.95</v>
      </c>
      <c r="I66" s="75">
        <f t="shared" si="5"/>
        <v>-744851.68977839989</v>
      </c>
      <c r="J66" s="67"/>
      <c r="K66" s="67"/>
      <c r="L66" s="67"/>
      <c r="M66" s="67"/>
      <c r="N66" s="67"/>
      <c r="O66" s="67"/>
    </row>
    <row r="67" spans="1:15" hidden="1" outlineLevel="1" x14ac:dyDescent="0.2">
      <c r="A67" s="71">
        <f t="shared" si="0"/>
        <v>60</v>
      </c>
      <c r="B67" s="66">
        <f>+B66+30</f>
        <v>40508</v>
      </c>
      <c r="C67" s="66" t="s">
        <v>355</v>
      </c>
      <c r="D67" s="67">
        <v>44311.93</v>
      </c>
      <c r="G67" s="76">
        <f t="shared" si="4"/>
        <v>-1957.3</v>
      </c>
      <c r="H67" s="67">
        <f t="shared" si="3"/>
        <v>42354.63</v>
      </c>
      <c r="I67" s="75">
        <f t="shared" si="5"/>
        <v>-702497.05977839988</v>
      </c>
      <c r="J67" s="67"/>
      <c r="K67" s="67"/>
      <c r="L67" s="67"/>
      <c r="M67" s="67"/>
      <c r="N67" s="67"/>
      <c r="O67" s="67"/>
    </row>
    <row r="68" spans="1:15" hidden="1" outlineLevel="1" x14ac:dyDescent="0.2">
      <c r="A68" s="71">
        <f t="shared" si="0"/>
        <v>61</v>
      </c>
      <c r="C68" s="66" t="s">
        <v>354</v>
      </c>
      <c r="D68" s="67">
        <v>49288.36</v>
      </c>
      <c r="E68" s="67">
        <f>-'151550 Demand Accrual'!E65</f>
        <v>679617.74000000011</v>
      </c>
      <c r="G68" s="76">
        <f>ROUND((+E68+(D68/2))*0.0325/12,2)</f>
        <v>1907.38</v>
      </c>
      <c r="H68" s="67">
        <f t="shared" si="3"/>
        <v>730813.4800000001</v>
      </c>
      <c r="I68" s="75">
        <f t="shared" si="5"/>
        <v>28316.420221600216</v>
      </c>
      <c r="J68" s="67"/>
      <c r="K68" s="67"/>
      <c r="L68" s="67"/>
      <c r="M68" s="67"/>
      <c r="N68" s="67"/>
      <c r="O68" s="67"/>
    </row>
    <row r="69" spans="1:15" hidden="1" outlineLevel="1" x14ac:dyDescent="0.2">
      <c r="A69" s="71">
        <f t="shared" si="0"/>
        <v>62</v>
      </c>
      <c r="B69" s="66">
        <f>+B67+31</f>
        <v>40539</v>
      </c>
      <c r="D69" s="67">
        <v>212690.81</v>
      </c>
      <c r="G69" s="76">
        <f>ROUND((+I68+E69+(D69/2))*0.0325/12,2)</f>
        <v>364.71</v>
      </c>
      <c r="H69" s="67">
        <f t="shared" si="3"/>
        <v>213055.52</v>
      </c>
      <c r="I69" s="75">
        <f t="shared" si="5"/>
        <v>241371.94022160021</v>
      </c>
      <c r="J69" s="67"/>
      <c r="K69" s="67"/>
      <c r="L69" s="67"/>
      <c r="M69" s="67"/>
      <c r="N69" s="67"/>
      <c r="O69" s="67"/>
    </row>
    <row r="70" spans="1:15" hidden="1" outlineLevel="1" x14ac:dyDescent="0.2">
      <c r="A70" s="71">
        <f t="shared" si="0"/>
        <v>63</v>
      </c>
      <c r="B70" s="66">
        <f>+B69+31</f>
        <v>40570</v>
      </c>
      <c r="C70" s="87">
        <v>2</v>
      </c>
      <c r="D70" s="67">
        <v>250648.39</v>
      </c>
      <c r="E70" s="67">
        <f>-'232035 Storage Sharing'!E66*1</f>
        <v>-1611884.3800000001</v>
      </c>
      <c r="F70" s="77">
        <v>3.2500000000000001E-2</v>
      </c>
      <c r="G70" s="76">
        <f t="shared" ref="G70:G80" si="6">ROUND((+I69+E70+(D70/2))*F70/12,2)</f>
        <v>-3372.38</v>
      </c>
      <c r="H70" s="67">
        <f t="shared" si="3"/>
        <v>-1364608.3375000001</v>
      </c>
      <c r="I70" s="75">
        <f t="shared" si="5"/>
        <v>-1123236.3972783999</v>
      </c>
      <c r="J70" s="67"/>
      <c r="K70" s="67"/>
      <c r="L70" s="67"/>
      <c r="M70" s="67"/>
      <c r="N70" s="67"/>
      <c r="O70" s="67"/>
    </row>
    <row r="71" spans="1:15" hidden="1" outlineLevel="1" x14ac:dyDescent="0.2">
      <c r="A71" s="71">
        <f t="shared" si="0"/>
        <v>64</v>
      </c>
      <c r="B71" s="66">
        <f>+B70+28</f>
        <v>40598</v>
      </c>
      <c r="D71" s="67">
        <v>199873.38</v>
      </c>
      <c r="F71" s="77">
        <v>3.2500000000000001E-2</v>
      </c>
      <c r="G71" s="76">
        <f t="shared" si="6"/>
        <v>-2771.44</v>
      </c>
      <c r="H71" s="67">
        <f t="shared" si="3"/>
        <v>197101.9725</v>
      </c>
      <c r="I71" s="75">
        <f t="shared" si="5"/>
        <v>-926134.42477839987</v>
      </c>
      <c r="J71" s="67"/>
      <c r="K71" s="67"/>
      <c r="L71" s="67"/>
      <c r="M71" s="67"/>
      <c r="N71" s="67"/>
      <c r="O71" s="67"/>
    </row>
    <row r="72" spans="1:15" hidden="1" outlineLevel="1" x14ac:dyDescent="0.2">
      <c r="A72" s="71">
        <f t="shared" si="0"/>
        <v>65</v>
      </c>
      <c r="B72" s="66">
        <f>+B71+31</f>
        <v>40629</v>
      </c>
      <c r="D72" s="67">
        <v>209576.7</v>
      </c>
      <c r="F72" s="77">
        <v>3.2500000000000001E-2</v>
      </c>
      <c r="G72" s="76">
        <f t="shared" si="6"/>
        <v>-2224.48</v>
      </c>
      <c r="H72" s="67">
        <f t="shared" si="3"/>
        <v>207352.2525</v>
      </c>
      <c r="I72" s="75">
        <f t="shared" si="5"/>
        <v>-718782.17227839981</v>
      </c>
      <c r="J72" s="67"/>
      <c r="K72" s="67"/>
      <c r="L72" s="67"/>
      <c r="M72" s="67"/>
      <c r="N72" s="67"/>
      <c r="O72" s="67"/>
    </row>
    <row r="73" spans="1:15" hidden="1" outlineLevel="1" x14ac:dyDescent="0.2">
      <c r="A73" s="71">
        <f t="shared" ref="A73:A136" si="7">+A72+1</f>
        <v>66</v>
      </c>
      <c r="B73" s="66">
        <f>+B72+30</f>
        <v>40659</v>
      </c>
      <c r="D73" s="67">
        <v>157190.43</v>
      </c>
      <c r="F73" s="77">
        <v>3.2500000000000001E-2</v>
      </c>
      <c r="G73" s="76">
        <f t="shared" si="6"/>
        <v>-1733.84</v>
      </c>
      <c r="H73" s="67">
        <f t="shared" si="3"/>
        <v>155456.6225</v>
      </c>
      <c r="I73" s="75">
        <f t="shared" si="5"/>
        <v>-563325.54977839976</v>
      </c>
      <c r="J73" s="67"/>
      <c r="K73" s="67"/>
      <c r="L73" s="67"/>
      <c r="M73" s="67"/>
      <c r="N73" s="67"/>
      <c r="O73" s="67"/>
    </row>
    <row r="74" spans="1:15" hidden="1" outlineLevel="1" x14ac:dyDescent="0.2">
      <c r="A74" s="71">
        <f t="shared" si="7"/>
        <v>67</v>
      </c>
      <c r="B74" s="66">
        <f>+B73+31</f>
        <v>40690</v>
      </c>
      <c r="D74" s="67">
        <v>123390</v>
      </c>
      <c r="F74" s="77">
        <v>3.2500000000000001E-2</v>
      </c>
      <c r="G74" s="76">
        <f t="shared" si="6"/>
        <v>-1358.58</v>
      </c>
      <c r="H74" s="67">
        <f t="shared" si="3"/>
        <v>122031.4525</v>
      </c>
      <c r="I74" s="75">
        <f t="shared" si="5"/>
        <v>-441294.09727839974</v>
      </c>
      <c r="J74" s="67"/>
      <c r="K74" s="67"/>
      <c r="L74" s="67"/>
      <c r="M74" s="67"/>
      <c r="N74" s="67"/>
      <c r="O74" s="67"/>
    </row>
    <row r="75" spans="1:15" hidden="1" outlineLevel="1" x14ac:dyDescent="0.2">
      <c r="A75" s="71">
        <f t="shared" si="7"/>
        <v>68</v>
      </c>
      <c r="B75" s="66">
        <f>+B74+30</f>
        <v>40720</v>
      </c>
      <c r="D75" s="67">
        <v>77454.81</v>
      </c>
      <c r="F75" s="77">
        <v>3.2500000000000001E-2</v>
      </c>
      <c r="G75" s="76">
        <f t="shared" si="6"/>
        <v>-1090.28</v>
      </c>
      <c r="H75" s="67">
        <f t="shared" si="3"/>
        <v>76364.5625</v>
      </c>
      <c r="I75" s="75">
        <f t="shared" si="5"/>
        <v>-364929.53477839974</v>
      </c>
      <c r="J75" s="67"/>
      <c r="K75" s="67"/>
      <c r="L75" s="67"/>
      <c r="M75" s="67"/>
      <c r="N75" s="67"/>
      <c r="O75" s="67"/>
    </row>
    <row r="76" spans="1:15" hidden="1" outlineLevel="1" x14ac:dyDescent="0.2">
      <c r="A76" s="71">
        <f t="shared" si="7"/>
        <v>69</v>
      </c>
      <c r="B76" s="66">
        <f>+B75+31</f>
        <v>40751</v>
      </c>
      <c r="D76" s="67">
        <v>52163.06</v>
      </c>
      <c r="F76" s="77">
        <v>3.2500000000000001E-2</v>
      </c>
      <c r="G76" s="76">
        <f t="shared" si="6"/>
        <v>-917.71</v>
      </c>
      <c r="H76" s="67">
        <f t="shared" si="3"/>
        <v>51245.3825</v>
      </c>
      <c r="I76" s="75">
        <f t="shared" si="5"/>
        <v>-313684.15227839974</v>
      </c>
      <c r="J76" s="67"/>
      <c r="K76" s="67"/>
      <c r="L76" s="67"/>
      <c r="M76" s="67"/>
      <c r="N76" s="67"/>
      <c r="O76" s="67"/>
    </row>
    <row r="77" spans="1:15" hidden="1" outlineLevel="1" x14ac:dyDescent="0.2">
      <c r="A77" s="71">
        <f t="shared" si="7"/>
        <v>70</v>
      </c>
      <c r="B77" s="66">
        <f>+B76+30</f>
        <v>40781</v>
      </c>
      <c r="D77" s="67">
        <v>43969.43</v>
      </c>
      <c r="F77" s="77">
        <v>3.2500000000000001E-2</v>
      </c>
      <c r="G77" s="76">
        <f t="shared" si="6"/>
        <v>-790.02</v>
      </c>
      <c r="H77" s="67">
        <f t="shared" si="3"/>
        <v>43179.442500000005</v>
      </c>
      <c r="I77" s="75">
        <f t="shared" si="5"/>
        <v>-270504.70977839973</v>
      </c>
      <c r="J77" s="67"/>
      <c r="K77" s="67"/>
      <c r="L77" s="67"/>
      <c r="M77" s="67"/>
      <c r="N77" s="67"/>
      <c r="O77" s="67"/>
    </row>
    <row r="78" spans="1:15" hidden="1" outlineLevel="1" x14ac:dyDescent="0.2">
      <c r="A78" s="71">
        <f t="shared" si="7"/>
        <v>71</v>
      </c>
      <c r="B78" s="66">
        <f>+B77+30</f>
        <v>40811</v>
      </c>
      <c r="D78" s="67">
        <v>45031.34</v>
      </c>
      <c r="F78" s="77">
        <v>3.2500000000000001E-2</v>
      </c>
      <c r="G78" s="76">
        <f t="shared" si="6"/>
        <v>-671.64</v>
      </c>
      <c r="H78" s="67">
        <f t="shared" si="3"/>
        <v>44359.732499999998</v>
      </c>
      <c r="I78" s="75">
        <f t="shared" si="5"/>
        <v>-226144.97727839975</v>
      </c>
      <c r="J78" s="67"/>
      <c r="K78" s="67"/>
      <c r="L78" s="67"/>
      <c r="M78" s="67"/>
      <c r="N78" s="67"/>
      <c r="O78" s="67"/>
    </row>
    <row r="79" spans="1:15" hidden="1" outlineLevel="1" x14ac:dyDescent="0.2">
      <c r="A79" s="71">
        <f t="shared" si="7"/>
        <v>72</v>
      </c>
      <c r="B79" s="66">
        <f>+B78+31</f>
        <v>40842</v>
      </c>
      <c r="D79" s="67">
        <v>59963.660169200019</v>
      </c>
      <c r="F79" s="77">
        <v>3.2500000000000001E-2</v>
      </c>
      <c r="G79" s="76">
        <f t="shared" si="6"/>
        <v>-531.28</v>
      </c>
      <c r="H79" s="67">
        <f t="shared" si="3"/>
        <v>59432.412669200021</v>
      </c>
      <c r="I79" s="75">
        <f t="shared" si="5"/>
        <v>-166712.56460919973</v>
      </c>
      <c r="J79" s="67"/>
      <c r="K79" s="67"/>
      <c r="L79" s="67"/>
      <c r="M79" s="67"/>
      <c r="N79" s="67"/>
      <c r="O79" s="67"/>
    </row>
    <row r="80" spans="1:15" hidden="1" outlineLevel="1" x14ac:dyDescent="0.2">
      <c r="A80" s="71">
        <f t="shared" si="7"/>
        <v>73</v>
      </c>
      <c r="B80" s="66">
        <f>+B79+30</f>
        <v>40872</v>
      </c>
      <c r="C80" s="66" t="s">
        <v>351</v>
      </c>
      <c r="D80" s="67">
        <v>64053.52</v>
      </c>
      <c r="F80" s="77">
        <v>3.2500000000000001E-2</v>
      </c>
      <c r="G80" s="76">
        <f t="shared" si="6"/>
        <v>-364.77</v>
      </c>
      <c r="H80" s="67">
        <f t="shared" ref="H80:H111" si="8">SUM(D80:E80,G80)</f>
        <v>63688.75</v>
      </c>
      <c r="I80" s="75">
        <f t="shared" si="5"/>
        <v>-103023.81460919973</v>
      </c>
      <c r="J80" s="67"/>
      <c r="K80" s="67"/>
      <c r="L80" s="67"/>
      <c r="M80" s="67"/>
      <c r="N80" s="67"/>
      <c r="O80" s="67"/>
    </row>
    <row r="81" spans="1:15" hidden="1" outlineLevel="1" x14ac:dyDescent="0.2">
      <c r="A81" s="71">
        <f t="shared" si="7"/>
        <v>74</v>
      </c>
      <c r="B81" s="66">
        <f>+B80</f>
        <v>40872</v>
      </c>
      <c r="C81" s="66" t="s">
        <v>350</v>
      </c>
      <c r="D81" s="67">
        <v>39486.33</v>
      </c>
      <c r="E81" s="67">
        <f>-'151550 Demand Accrual'!E77</f>
        <v>374550.56</v>
      </c>
      <c r="F81" s="77">
        <v>3.2500000000000001E-2</v>
      </c>
      <c r="G81" s="67">
        <f>ROUND((+E81+(D81/2))*F81/12,2)</f>
        <v>1067.8800000000001</v>
      </c>
      <c r="H81" s="67">
        <f t="shared" si="8"/>
        <v>415104.77</v>
      </c>
      <c r="I81" s="75">
        <f t="shared" si="5"/>
        <v>312080.95539080026</v>
      </c>
      <c r="J81" s="67"/>
      <c r="K81" s="67"/>
      <c r="L81" s="67"/>
      <c r="M81" s="67"/>
      <c r="N81" s="67"/>
      <c r="O81" s="67"/>
    </row>
    <row r="82" spans="1:15" hidden="1" outlineLevel="1" x14ac:dyDescent="0.2">
      <c r="A82" s="71">
        <f t="shared" si="7"/>
        <v>75</v>
      </c>
      <c r="B82" s="66">
        <f>+B80+31</f>
        <v>40903</v>
      </c>
      <c r="D82" s="67">
        <v>154108.35999999999</v>
      </c>
      <c r="F82" s="77">
        <v>3.2500000000000001E-2</v>
      </c>
      <c r="G82" s="76">
        <f t="shared" ref="G82:G93" si="9">ROUND((+I81+E82+(D82/2))*F82/12,2)</f>
        <v>1053.9100000000001</v>
      </c>
      <c r="H82" s="67">
        <f t="shared" si="8"/>
        <v>155162.26999999999</v>
      </c>
      <c r="I82" s="75">
        <f t="shared" si="5"/>
        <v>467243.22539080027</v>
      </c>
      <c r="J82" s="67"/>
      <c r="K82" s="67"/>
      <c r="L82" s="67"/>
      <c r="M82" s="67"/>
      <c r="N82" s="67"/>
      <c r="O82" s="67"/>
    </row>
    <row r="83" spans="1:15" hidden="1" outlineLevel="1" x14ac:dyDescent="0.2">
      <c r="A83" s="71">
        <f t="shared" si="7"/>
        <v>76</v>
      </c>
      <c r="B83" s="66">
        <f>+B82+31</f>
        <v>40934</v>
      </c>
      <c r="C83" s="87">
        <v>2</v>
      </c>
      <c r="D83" s="67">
        <v>169800.07</v>
      </c>
      <c r="E83" s="67">
        <f>-'232035 Storage Sharing'!E78</f>
        <v>-1222077.5699999998</v>
      </c>
      <c r="F83" s="77">
        <v>3.2500000000000001E-2</v>
      </c>
      <c r="G83" s="76">
        <f t="shared" si="9"/>
        <v>-1814.41</v>
      </c>
      <c r="H83" s="67">
        <f t="shared" si="8"/>
        <v>-1054091.9099999997</v>
      </c>
      <c r="I83" s="75">
        <f t="shared" si="5"/>
        <v>-586848.68460919941</v>
      </c>
      <c r="J83" s="67"/>
      <c r="K83" s="67"/>
      <c r="L83" s="67"/>
      <c r="M83" s="67"/>
      <c r="N83" s="67"/>
      <c r="O83" s="67"/>
    </row>
    <row r="84" spans="1:15" hidden="1" outlineLevel="1" x14ac:dyDescent="0.2">
      <c r="A84" s="71">
        <f t="shared" si="7"/>
        <v>77</v>
      </c>
      <c r="B84" s="66">
        <f>+B83+29</f>
        <v>40963</v>
      </c>
      <c r="D84" s="67">
        <v>142864.41843600004</v>
      </c>
      <c r="F84" s="77">
        <v>3.2500000000000001E-2</v>
      </c>
      <c r="G84" s="76">
        <f t="shared" si="9"/>
        <v>-1395.92</v>
      </c>
      <c r="H84" s="67">
        <f t="shared" si="8"/>
        <v>141468.49843600002</v>
      </c>
      <c r="I84" s="75">
        <f t="shared" si="5"/>
        <v>-445380.18617319938</v>
      </c>
      <c r="J84" s="67"/>
      <c r="K84" s="67"/>
      <c r="L84" s="67"/>
      <c r="M84" s="67"/>
      <c r="N84" s="67"/>
      <c r="O84" s="67"/>
    </row>
    <row r="85" spans="1:15" hidden="1" outlineLevel="1" x14ac:dyDescent="0.2">
      <c r="A85" s="71">
        <f t="shared" si="7"/>
        <v>78</v>
      </c>
      <c r="B85" s="66">
        <f>+B84+31</f>
        <v>40994</v>
      </c>
      <c r="D85" s="67">
        <v>134423.61981120001</v>
      </c>
      <c r="F85" s="77">
        <v>3.2500000000000001E-2</v>
      </c>
      <c r="G85" s="76">
        <f t="shared" si="9"/>
        <v>-1024.21</v>
      </c>
      <c r="H85" s="67">
        <f t="shared" si="8"/>
        <v>133399.40981120002</v>
      </c>
      <c r="I85" s="75">
        <f t="shared" si="5"/>
        <v>-311980.77636199933</v>
      </c>
      <c r="J85" s="67"/>
      <c r="K85" s="67"/>
      <c r="L85" s="67"/>
      <c r="M85" s="67"/>
      <c r="N85" s="67"/>
      <c r="O85" s="67"/>
    </row>
    <row r="86" spans="1:15" hidden="1" outlineLevel="1" x14ac:dyDescent="0.2">
      <c r="A86" s="71">
        <f t="shared" si="7"/>
        <v>79</v>
      </c>
      <c r="B86" s="66">
        <f>+B85+30</f>
        <v>41024</v>
      </c>
      <c r="D86" s="67">
        <v>103954.3888176</v>
      </c>
      <c r="F86" s="77">
        <v>3.2500000000000001E-2</v>
      </c>
      <c r="G86" s="76">
        <f t="shared" si="9"/>
        <v>-704.18</v>
      </c>
      <c r="H86" s="67">
        <f t="shared" si="8"/>
        <v>103250.20881760001</v>
      </c>
      <c r="I86" s="75">
        <f t="shared" si="5"/>
        <v>-208730.56754439932</v>
      </c>
      <c r="J86" s="67"/>
      <c r="K86" s="67"/>
      <c r="L86" s="67"/>
      <c r="M86" s="67"/>
      <c r="N86" s="67"/>
      <c r="O86" s="67"/>
    </row>
    <row r="87" spans="1:15" hidden="1" outlineLevel="1" x14ac:dyDescent="0.2">
      <c r="A87" s="71">
        <f t="shared" si="7"/>
        <v>80</v>
      </c>
      <c r="B87" s="66">
        <f>+B86+31</f>
        <v>41055</v>
      </c>
      <c r="D87" s="67">
        <v>64066.537579999997</v>
      </c>
      <c r="F87" s="77">
        <v>3.2500000000000001E-2</v>
      </c>
      <c r="G87" s="76">
        <f t="shared" si="9"/>
        <v>-478.56</v>
      </c>
      <c r="H87" s="67">
        <f t="shared" si="8"/>
        <v>63587.977579999999</v>
      </c>
      <c r="I87" s="75">
        <f t="shared" si="5"/>
        <v>-145142.58996439932</v>
      </c>
      <c r="J87" s="67"/>
      <c r="K87" s="67"/>
      <c r="L87" s="67"/>
      <c r="M87" s="67"/>
      <c r="N87" s="67"/>
      <c r="O87" s="67"/>
    </row>
    <row r="88" spans="1:15" hidden="1" outlineLevel="1" x14ac:dyDescent="0.2">
      <c r="A88" s="71">
        <f t="shared" si="7"/>
        <v>81</v>
      </c>
      <c r="B88" s="66">
        <f>+B87+30</f>
        <v>41085</v>
      </c>
      <c r="D88" s="67">
        <v>46682.793437200009</v>
      </c>
      <c r="F88" s="77">
        <v>3.2500000000000001E-2</v>
      </c>
      <c r="G88" s="76">
        <f t="shared" si="9"/>
        <v>-329.88</v>
      </c>
      <c r="H88" s="67">
        <f t="shared" si="8"/>
        <v>46352.913437200012</v>
      </c>
      <c r="I88" s="75">
        <f t="shared" ref="I88:I105" si="10">+I87+H88</f>
        <v>-98789.676527199306</v>
      </c>
      <c r="J88" s="67"/>
      <c r="K88" s="67"/>
      <c r="L88" s="67"/>
      <c r="M88" s="67"/>
      <c r="N88" s="67"/>
      <c r="O88" s="67"/>
    </row>
    <row r="89" spans="1:15" hidden="1" outlineLevel="1" x14ac:dyDescent="0.2">
      <c r="A89" s="71">
        <f t="shared" si="7"/>
        <v>82</v>
      </c>
      <c r="B89" s="66">
        <f>+B88+31</f>
        <v>41116</v>
      </c>
      <c r="D89" s="67">
        <v>35458.939131599996</v>
      </c>
      <c r="F89" s="77">
        <v>3.2500000000000001E-2</v>
      </c>
      <c r="G89" s="76">
        <f t="shared" si="9"/>
        <v>-219.54</v>
      </c>
      <c r="H89" s="67">
        <f t="shared" si="8"/>
        <v>35239.399131599996</v>
      </c>
      <c r="I89" s="75">
        <f t="shared" si="10"/>
        <v>-63550.277395599311</v>
      </c>
      <c r="J89" s="67"/>
      <c r="K89" s="67"/>
      <c r="L89" s="67"/>
      <c r="M89" s="67"/>
      <c r="N89" s="67"/>
      <c r="O89" s="67"/>
    </row>
    <row r="90" spans="1:15" hidden="1" outlineLevel="1" x14ac:dyDescent="0.2">
      <c r="A90" s="71">
        <f t="shared" si="7"/>
        <v>83</v>
      </c>
      <c r="B90" s="66">
        <f>+B89+30</f>
        <v>41146</v>
      </c>
      <c r="D90" s="67">
        <v>29425.683768800001</v>
      </c>
      <c r="F90" s="77">
        <v>3.2500000000000001E-2</v>
      </c>
      <c r="G90" s="76">
        <f t="shared" si="9"/>
        <v>-132.27000000000001</v>
      </c>
      <c r="H90" s="67">
        <f t="shared" si="8"/>
        <v>29293.413768800001</v>
      </c>
      <c r="I90" s="75">
        <f t="shared" si="10"/>
        <v>-34256.863626799313</v>
      </c>
      <c r="J90" s="67"/>
      <c r="K90" s="67"/>
      <c r="L90" s="67"/>
      <c r="M90" s="67"/>
      <c r="N90" s="67"/>
      <c r="O90" s="67"/>
    </row>
    <row r="91" spans="1:15" hidden="1" outlineLevel="1" x14ac:dyDescent="0.2">
      <c r="A91" s="71">
        <f t="shared" si="7"/>
        <v>84</v>
      </c>
      <c r="B91" s="66">
        <f>+B90+30</f>
        <v>41176</v>
      </c>
      <c r="D91" s="67">
        <v>30701.320623599997</v>
      </c>
      <c r="F91" s="77">
        <v>3.2500000000000001E-2</v>
      </c>
      <c r="G91" s="76">
        <f t="shared" si="9"/>
        <v>-51.2</v>
      </c>
      <c r="H91" s="67">
        <f t="shared" si="8"/>
        <v>30650.120623599996</v>
      </c>
      <c r="I91" s="75">
        <f t="shared" si="10"/>
        <v>-3606.7430031993172</v>
      </c>
      <c r="J91" s="67"/>
      <c r="K91" s="67"/>
      <c r="L91" s="67"/>
      <c r="M91" s="67"/>
      <c r="N91" s="67"/>
      <c r="O91" s="67"/>
    </row>
    <row r="92" spans="1:15" hidden="1" outlineLevel="1" x14ac:dyDescent="0.2">
      <c r="A92" s="71">
        <f t="shared" si="7"/>
        <v>85</v>
      </c>
      <c r="B92" s="66">
        <f>+B91+31</f>
        <v>41207</v>
      </c>
      <c r="D92" s="67">
        <v>40006.591534400002</v>
      </c>
      <c r="F92" s="77">
        <v>3.2500000000000001E-2</v>
      </c>
      <c r="G92" s="76">
        <f t="shared" si="9"/>
        <v>44.41</v>
      </c>
      <c r="H92" s="67">
        <f t="shared" si="8"/>
        <v>40051.001534400006</v>
      </c>
      <c r="I92" s="75">
        <f t="shared" si="10"/>
        <v>36444.258531200685</v>
      </c>
      <c r="J92" s="67"/>
      <c r="K92" s="67"/>
      <c r="L92" s="67"/>
      <c r="M92" s="67"/>
      <c r="N92" s="67"/>
      <c r="O92" s="67"/>
    </row>
    <row r="93" spans="1:15" hidden="1" outlineLevel="1" x14ac:dyDescent="0.2">
      <c r="A93" s="71">
        <f t="shared" si="7"/>
        <v>86</v>
      </c>
      <c r="B93" s="66">
        <f>+B92+30</f>
        <v>41237</v>
      </c>
      <c r="C93" s="66" t="s">
        <v>351</v>
      </c>
      <c r="D93" s="67">
        <v>39656.609161600005</v>
      </c>
      <c r="F93" s="77">
        <v>3.2500000000000001E-2</v>
      </c>
      <c r="G93" s="76">
        <f t="shared" si="9"/>
        <v>152.4</v>
      </c>
      <c r="H93" s="67">
        <f t="shared" si="8"/>
        <v>39809.009161600006</v>
      </c>
      <c r="I93" s="75">
        <f t="shared" si="10"/>
        <v>76253.267692800699</v>
      </c>
      <c r="J93" s="67"/>
      <c r="K93" s="67"/>
      <c r="L93" s="67"/>
      <c r="M93" s="67"/>
      <c r="N93" s="67"/>
      <c r="O93" s="67"/>
    </row>
    <row r="94" spans="1:15" hidden="1" outlineLevel="1" x14ac:dyDescent="0.2">
      <c r="A94" s="71">
        <f t="shared" si="7"/>
        <v>87</v>
      </c>
      <c r="B94" s="66">
        <f>+B93</f>
        <v>41237</v>
      </c>
      <c r="C94" s="66" t="s">
        <v>350</v>
      </c>
      <c r="D94" s="67">
        <v>29668.339999999997</v>
      </c>
      <c r="E94" s="67">
        <v>110381.2</v>
      </c>
      <c r="F94" s="77">
        <v>3.2500000000000001E-2</v>
      </c>
      <c r="G94" s="67">
        <f>ROUND((+E94+(D94/2))*F94/12,2)</f>
        <v>339.12</v>
      </c>
      <c r="H94" s="67">
        <f t="shared" si="8"/>
        <v>140388.65999999997</v>
      </c>
      <c r="I94" s="75">
        <f t="shared" si="10"/>
        <v>216641.92769280067</v>
      </c>
      <c r="J94" s="67"/>
      <c r="K94" s="67"/>
      <c r="L94" s="67"/>
      <c r="M94" s="67"/>
      <c r="N94" s="67"/>
      <c r="O94" s="67"/>
    </row>
    <row r="95" spans="1:15" hidden="1" outlineLevel="1" x14ac:dyDescent="0.2">
      <c r="A95" s="71">
        <f t="shared" si="7"/>
        <v>88</v>
      </c>
      <c r="B95" s="66">
        <f>+B94+31</f>
        <v>41268</v>
      </c>
      <c r="D95" s="67">
        <v>116882.78397599999</v>
      </c>
      <c r="E95" s="67">
        <v>0.09</v>
      </c>
      <c r="F95" s="77">
        <v>3.2500000000000001E-2</v>
      </c>
      <c r="G95" s="76">
        <f t="shared" ref="G95:G106" si="11">ROUND((+I94+E95+(D95/2))*F95/12,2)</f>
        <v>745.02</v>
      </c>
      <c r="H95" s="67">
        <f t="shared" si="8"/>
        <v>117627.89397599999</v>
      </c>
      <c r="I95" s="75">
        <f t="shared" si="10"/>
        <v>334269.82166880067</v>
      </c>
      <c r="J95" s="67"/>
      <c r="K95" s="67"/>
      <c r="L95" s="67"/>
      <c r="M95" s="67"/>
      <c r="N95" s="67"/>
      <c r="O95" s="67"/>
    </row>
    <row r="96" spans="1:15" hidden="1" outlineLevel="1" x14ac:dyDescent="0.2">
      <c r="A96" s="71">
        <f t="shared" si="7"/>
        <v>89</v>
      </c>
      <c r="B96" s="66">
        <f>+B95+31</f>
        <v>41299</v>
      </c>
      <c r="D96" s="67">
        <v>174481.68933799997</v>
      </c>
      <c r="E96" s="67">
        <v>-1199549.8400000001</v>
      </c>
      <c r="F96" s="77">
        <v>3.2500000000000001E-2</v>
      </c>
      <c r="G96" s="76">
        <f t="shared" si="11"/>
        <v>-2107.19</v>
      </c>
      <c r="H96" s="67">
        <f t="shared" si="8"/>
        <v>-1027175.340662</v>
      </c>
      <c r="I96" s="75">
        <f t="shared" si="10"/>
        <v>-692905.51899319934</v>
      </c>
      <c r="J96" s="67"/>
      <c r="K96" s="67"/>
      <c r="L96" s="67"/>
      <c r="M96" s="67"/>
      <c r="N96" s="67"/>
      <c r="O96" s="67"/>
    </row>
    <row r="97" spans="1:15" hidden="1" outlineLevel="1" x14ac:dyDescent="0.2">
      <c r="A97" s="71">
        <f t="shared" si="7"/>
        <v>90</v>
      </c>
      <c r="B97" s="66">
        <f>+B96+28</f>
        <v>41327</v>
      </c>
      <c r="D97" s="67">
        <v>141200.44</v>
      </c>
      <c r="F97" s="77">
        <v>3.2500000000000001E-2</v>
      </c>
      <c r="G97" s="76">
        <f t="shared" si="11"/>
        <v>-1685.41</v>
      </c>
      <c r="H97" s="67">
        <f t="shared" si="8"/>
        <v>139515.03</v>
      </c>
      <c r="I97" s="75">
        <f t="shared" si="10"/>
        <v>-553390.48899319931</v>
      </c>
      <c r="J97" s="67"/>
      <c r="K97" s="67"/>
      <c r="L97" s="67"/>
      <c r="M97" s="67"/>
      <c r="N97" s="67"/>
      <c r="O97" s="67"/>
    </row>
    <row r="98" spans="1:15" hidden="1" outlineLevel="1" x14ac:dyDescent="0.2">
      <c r="A98" s="71">
        <f t="shared" si="7"/>
        <v>91</v>
      </c>
      <c r="B98" s="66">
        <f>+B97+31</f>
        <v>41358</v>
      </c>
      <c r="D98" s="121">
        <v>111051.98</v>
      </c>
      <c r="F98" s="77">
        <v>3.2500000000000001E-2</v>
      </c>
      <c r="G98" s="76">
        <f t="shared" si="11"/>
        <v>-1348.38</v>
      </c>
      <c r="H98" s="67">
        <f t="shared" si="8"/>
        <v>109703.59999999999</v>
      </c>
      <c r="I98" s="75">
        <f t="shared" si="10"/>
        <v>-443686.88899319933</v>
      </c>
      <c r="J98" s="67"/>
      <c r="K98" s="67"/>
      <c r="L98" s="67"/>
      <c r="M98" s="67"/>
      <c r="N98" s="67"/>
      <c r="O98" s="67"/>
    </row>
    <row r="99" spans="1:15" hidden="1" outlineLevel="1" x14ac:dyDescent="0.2">
      <c r="A99" s="71">
        <f t="shared" si="7"/>
        <v>92</v>
      </c>
      <c r="B99" s="66">
        <f>+B98+30</f>
        <v>41388</v>
      </c>
      <c r="D99" s="121">
        <v>79957.56</v>
      </c>
      <c r="F99" s="77">
        <v>3.2500000000000001E-2</v>
      </c>
      <c r="G99" s="76">
        <f t="shared" si="11"/>
        <v>-1093.3800000000001</v>
      </c>
      <c r="H99" s="67">
        <f t="shared" si="8"/>
        <v>78864.179999999993</v>
      </c>
      <c r="I99" s="75">
        <f t="shared" si="10"/>
        <v>-364822.70899319934</v>
      </c>
      <c r="J99" s="67"/>
      <c r="K99" s="67"/>
      <c r="L99" s="67"/>
      <c r="M99" s="67"/>
      <c r="N99" s="67"/>
      <c r="O99" s="67"/>
    </row>
    <row r="100" spans="1:15" hidden="1" outlineLevel="1" x14ac:dyDescent="0.2">
      <c r="A100" s="71">
        <f t="shared" si="7"/>
        <v>93</v>
      </c>
      <c r="B100" s="66">
        <f>+B99+31</f>
        <v>41419</v>
      </c>
      <c r="D100" s="121">
        <v>54181.19</v>
      </c>
      <c r="F100" s="77">
        <v>3.2500000000000001E-2</v>
      </c>
      <c r="G100" s="76">
        <f t="shared" si="11"/>
        <v>-914.69</v>
      </c>
      <c r="H100" s="67">
        <f t="shared" si="8"/>
        <v>53266.5</v>
      </c>
      <c r="I100" s="75">
        <f t="shared" si="10"/>
        <v>-311556.20899319934</v>
      </c>
      <c r="J100" s="67"/>
      <c r="K100" s="67"/>
      <c r="L100" s="67"/>
      <c r="M100" s="67"/>
      <c r="N100" s="67"/>
      <c r="O100" s="67"/>
    </row>
    <row r="101" spans="1:15" hidden="1" outlineLevel="1" x14ac:dyDescent="0.2">
      <c r="A101" s="71">
        <f t="shared" si="7"/>
        <v>94</v>
      </c>
      <c r="B101" s="66">
        <f>+B100+30</f>
        <v>41449</v>
      </c>
      <c r="D101" s="67">
        <v>42582.89</v>
      </c>
      <c r="F101" s="77">
        <v>3.2500000000000001E-2</v>
      </c>
      <c r="G101" s="76">
        <f t="shared" si="11"/>
        <v>-786.13</v>
      </c>
      <c r="H101" s="67">
        <f t="shared" si="8"/>
        <v>41796.76</v>
      </c>
      <c r="I101" s="75">
        <f t="shared" si="10"/>
        <v>-269759.44899319933</v>
      </c>
      <c r="J101" s="67"/>
      <c r="K101" s="67"/>
      <c r="L101" s="67"/>
      <c r="M101" s="67"/>
      <c r="N101" s="67"/>
      <c r="O101" s="67"/>
    </row>
    <row r="102" spans="1:15" hidden="1" outlineLevel="1" x14ac:dyDescent="0.2">
      <c r="A102" s="71">
        <f t="shared" si="7"/>
        <v>95</v>
      </c>
      <c r="B102" s="66">
        <f>+B101+31</f>
        <v>41480</v>
      </c>
      <c r="D102" s="67">
        <v>31608.781048000001</v>
      </c>
      <c r="F102" s="77">
        <v>3.2500000000000001E-2</v>
      </c>
      <c r="G102" s="76">
        <f t="shared" si="11"/>
        <v>-687.79</v>
      </c>
      <c r="H102" s="67">
        <f t="shared" si="8"/>
        <v>30920.991048</v>
      </c>
      <c r="I102" s="75">
        <f t="shared" si="10"/>
        <v>-238838.45794519933</v>
      </c>
      <c r="J102" s="67"/>
      <c r="K102" s="67"/>
      <c r="L102" s="67"/>
      <c r="M102" s="67"/>
      <c r="N102" s="67"/>
      <c r="O102" s="67"/>
    </row>
    <row r="103" spans="1:15" hidden="1" outlineLevel="1" x14ac:dyDescent="0.2">
      <c r="A103" s="71">
        <f t="shared" si="7"/>
        <v>96</v>
      </c>
      <c r="B103" s="66">
        <f>+B102+31</f>
        <v>41511</v>
      </c>
      <c r="D103" s="67">
        <v>27844.936365599991</v>
      </c>
      <c r="F103" s="77">
        <v>3.2500000000000001E-2</v>
      </c>
      <c r="G103" s="76">
        <f t="shared" si="11"/>
        <v>-609.15</v>
      </c>
      <c r="H103" s="67">
        <f t="shared" si="8"/>
        <v>27235.78636559999</v>
      </c>
      <c r="I103" s="75">
        <f t="shared" si="10"/>
        <v>-211602.67157959935</v>
      </c>
      <c r="J103" s="67"/>
      <c r="K103" s="67"/>
      <c r="L103" s="67"/>
      <c r="M103" s="67"/>
      <c r="N103" s="67"/>
      <c r="O103" s="67"/>
    </row>
    <row r="104" spans="1:15" hidden="1" outlineLevel="1" x14ac:dyDescent="0.2">
      <c r="A104" s="71">
        <f t="shared" si="7"/>
        <v>97</v>
      </c>
      <c r="B104" s="66">
        <f>+B103+30</f>
        <v>41541</v>
      </c>
      <c r="D104" s="67">
        <v>28243.863404399999</v>
      </c>
      <c r="F104" s="77">
        <v>3.2500000000000001E-2</v>
      </c>
      <c r="G104" s="76">
        <f t="shared" si="11"/>
        <v>-534.84</v>
      </c>
      <c r="H104" s="67">
        <f t="shared" si="8"/>
        <v>27709.023404399999</v>
      </c>
      <c r="I104" s="75">
        <f t="shared" si="10"/>
        <v>-183893.64817519934</v>
      </c>
      <c r="J104" s="67"/>
      <c r="K104" s="67"/>
      <c r="L104" s="67"/>
      <c r="M104" s="67"/>
      <c r="N104" s="67"/>
      <c r="O104" s="67"/>
    </row>
    <row r="105" spans="1:15" hidden="1" outlineLevel="1" x14ac:dyDescent="0.2">
      <c r="A105" s="71">
        <f t="shared" si="7"/>
        <v>98</v>
      </c>
      <c r="B105" s="66">
        <f>+B104+31</f>
        <v>41572</v>
      </c>
      <c r="D105" s="67">
        <v>50884.719323200006</v>
      </c>
      <c r="F105" s="77">
        <v>3.2500000000000001E-2</v>
      </c>
      <c r="G105" s="76">
        <f t="shared" si="11"/>
        <v>-429.14</v>
      </c>
      <c r="H105" s="67">
        <f t="shared" si="8"/>
        <v>50455.579323200007</v>
      </c>
      <c r="I105" s="75">
        <f t="shared" si="10"/>
        <v>-133438.06885199933</v>
      </c>
      <c r="J105" s="67"/>
      <c r="K105" s="67"/>
      <c r="L105" s="67"/>
      <c r="M105" s="67"/>
      <c r="N105" s="67"/>
      <c r="O105" s="67"/>
    </row>
    <row r="106" spans="1:15" hidden="1" outlineLevel="1" x14ac:dyDescent="0.2">
      <c r="A106" s="71">
        <f t="shared" si="7"/>
        <v>99</v>
      </c>
      <c r="B106" s="66">
        <f>+B105+30</f>
        <v>41602</v>
      </c>
      <c r="C106" s="66" t="s">
        <v>351</v>
      </c>
      <c r="D106" s="67">
        <v>42170.873038799989</v>
      </c>
      <c r="F106" s="77">
        <v>3.2500000000000001E-2</v>
      </c>
      <c r="G106" s="76">
        <f t="shared" si="11"/>
        <v>-304.29000000000002</v>
      </c>
      <c r="H106" s="67">
        <f t="shared" si="8"/>
        <v>41866.583038799989</v>
      </c>
      <c r="I106" s="75">
        <f>+I105+H106+0.02</f>
        <v>-91571.465813199335</v>
      </c>
      <c r="J106" s="67"/>
      <c r="K106" s="67"/>
      <c r="L106" s="67"/>
      <c r="M106" s="67"/>
      <c r="N106" s="67"/>
      <c r="O106" s="67"/>
    </row>
    <row r="107" spans="1:15" hidden="1" outlineLevel="1" x14ac:dyDescent="0.2">
      <c r="A107" s="71">
        <f t="shared" si="7"/>
        <v>100</v>
      </c>
      <c r="B107" s="66">
        <f>+B106</f>
        <v>41602</v>
      </c>
      <c r="C107" s="66" t="s">
        <v>350</v>
      </c>
      <c r="D107" s="67">
        <v>42321.210000000006</v>
      </c>
      <c r="E107" s="67">
        <f>-'151550 Demand Accrual'!E101</f>
        <v>-3932.9151639997581</v>
      </c>
      <c r="F107" s="77">
        <v>3.2500000000000001E-2</v>
      </c>
      <c r="G107" s="76">
        <f>ROUND((E107+(D107/2))*F107/12,2)</f>
        <v>46.66</v>
      </c>
      <c r="H107" s="67">
        <f t="shared" si="8"/>
        <v>38434.954836000252</v>
      </c>
      <c r="I107" s="75">
        <f t="shared" ref="I107:I118" si="12">+I106+H107</f>
        <v>-53136.510977199083</v>
      </c>
      <c r="J107" s="67"/>
      <c r="K107" s="67"/>
      <c r="L107" s="67"/>
      <c r="M107" s="67"/>
      <c r="N107" s="67"/>
      <c r="O107" s="67"/>
    </row>
    <row r="108" spans="1:15" hidden="1" outlineLevel="1" x14ac:dyDescent="0.2">
      <c r="A108" s="71">
        <f t="shared" si="7"/>
        <v>101</v>
      </c>
      <c r="B108" s="111">
        <f>+B107+31</f>
        <v>41633</v>
      </c>
      <c r="D108" s="67">
        <v>206825.53339639996</v>
      </c>
      <c r="F108" s="77">
        <v>3.2500000000000001E-2</v>
      </c>
      <c r="G108" s="76">
        <f t="shared" ref="G108:G119" si="13">ROUND((+I107+E108+(D108/2))*F108/12,2)</f>
        <v>136.16</v>
      </c>
      <c r="H108" s="67">
        <f t="shared" si="8"/>
        <v>206961.69339639996</v>
      </c>
      <c r="I108" s="75">
        <f t="shared" si="12"/>
        <v>153825.18241920089</v>
      </c>
      <c r="J108" s="67"/>
      <c r="K108" s="67"/>
      <c r="L108" s="67"/>
      <c r="M108" s="67"/>
      <c r="N108" s="67"/>
      <c r="O108" s="67"/>
    </row>
    <row r="109" spans="1:15" hidden="1" outlineLevel="1" x14ac:dyDescent="0.2">
      <c r="A109" s="71">
        <f t="shared" si="7"/>
        <v>102</v>
      </c>
      <c r="B109" s="111">
        <f>+B108+31</f>
        <v>41664</v>
      </c>
      <c r="D109" s="67">
        <v>227367.5928484</v>
      </c>
      <c r="E109" s="67">
        <f>-1378053.37-0.02</f>
        <v>-1378053.3900000001</v>
      </c>
      <c r="F109" s="77">
        <v>3.2500000000000001E-2</v>
      </c>
      <c r="G109" s="76">
        <f t="shared" si="13"/>
        <v>-3007.72</v>
      </c>
      <c r="H109" s="67">
        <f t="shared" si="8"/>
        <v>-1153693.5171516</v>
      </c>
      <c r="I109" s="75">
        <f t="shared" si="12"/>
        <v>-999868.33473239909</v>
      </c>
      <c r="J109" s="67"/>
      <c r="K109" s="67"/>
      <c r="L109" s="67"/>
      <c r="M109" s="67"/>
      <c r="N109" s="67"/>
      <c r="O109" s="67"/>
    </row>
    <row r="110" spans="1:15" hidden="1" outlineLevel="1" x14ac:dyDescent="0.2">
      <c r="A110" s="71">
        <f t="shared" si="7"/>
        <v>103</v>
      </c>
      <c r="B110" s="110">
        <f>+B109+28</f>
        <v>41692</v>
      </c>
      <c r="D110" s="67">
        <v>208971.25481479996</v>
      </c>
      <c r="F110" s="77">
        <v>3.2500000000000001E-2</v>
      </c>
      <c r="G110" s="76">
        <f t="shared" si="13"/>
        <v>-2424.9899999999998</v>
      </c>
      <c r="H110" s="67">
        <f t="shared" si="8"/>
        <v>206546.26481479997</v>
      </c>
      <c r="I110" s="75">
        <f t="shared" si="12"/>
        <v>-793322.06991759909</v>
      </c>
      <c r="J110" s="67"/>
      <c r="K110" s="67"/>
      <c r="L110" s="67"/>
      <c r="M110" s="67"/>
      <c r="N110" s="67"/>
      <c r="O110" s="67"/>
    </row>
    <row r="111" spans="1:15" hidden="1" outlineLevel="1" x14ac:dyDescent="0.2">
      <c r="A111" s="71">
        <f t="shared" si="7"/>
        <v>104</v>
      </c>
      <c r="B111" s="110">
        <f>+B110+31</f>
        <v>41723</v>
      </c>
      <c r="D111" s="67">
        <v>150621.04866960004</v>
      </c>
      <c r="F111" s="77">
        <v>3.2500000000000001E-2</v>
      </c>
      <c r="G111" s="76">
        <f t="shared" si="13"/>
        <v>-1944.61</v>
      </c>
      <c r="H111" s="67">
        <f t="shared" si="8"/>
        <v>148676.43866960006</v>
      </c>
      <c r="I111" s="75">
        <f t="shared" si="12"/>
        <v>-644645.63124799903</v>
      </c>
      <c r="J111" s="67"/>
      <c r="K111" s="67"/>
      <c r="L111" s="67"/>
      <c r="M111" s="67"/>
      <c r="N111" s="67"/>
      <c r="O111" s="67"/>
    </row>
    <row r="112" spans="1:15" hidden="1" outlineLevel="1" x14ac:dyDescent="0.2">
      <c r="A112" s="71">
        <f t="shared" si="7"/>
        <v>105</v>
      </c>
      <c r="B112" s="110">
        <f>+B111+30</f>
        <v>41753</v>
      </c>
      <c r="D112" s="67">
        <v>105675.31438160001</v>
      </c>
      <c r="F112" s="77">
        <v>3.2500000000000001E-2</v>
      </c>
      <c r="G112" s="76">
        <f t="shared" si="13"/>
        <v>-1602.81</v>
      </c>
      <c r="H112" s="67">
        <f t="shared" ref="H112:H142" si="14">SUM(D112:E112,G112)</f>
        <v>104072.50438160001</v>
      </c>
      <c r="I112" s="75">
        <f t="shared" si="12"/>
        <v>-540573.12686639908</v>
      </c>
      <c r="J112" s="67"/>
      <c r="K112" s="67"/>
      <c r="L112" s="67"/>
      <c r="M112" s="67"/>
      <c r="N112" s="67"/>
      <c r="O112" s="67"/>
    </row>
    <row r="113" spans="1:15" hidden="1" outlineLevel="1" x14ac:dyDescent="0.2">
      <c r="A113" s="71">
        <f t="shared" si="7"/>
        <v>106</v>
      </c>
      <c r="B113" s="66">
        <f>+B112+31</f>
        <v>41784</v>
      </c>
      <c r="D113" s="67">
        <v>70728.81</v>
      </c>
      <c r="F113" s="77">
        <v>3.2500000000000001E-2</v>
      </c>
      <c r="G113" s="76">
        <f t="shared" si="13"/>
        <v>-1368.27</v>
      </c>
      <c r="H113" s="67">
        <f t="shared" si="14"/>
        <v>69360.539999999994</v>
      </c>
      <c r="I113" s="75">
        <f t="shared" si="12"/>
        <v>-471212.5868663991</v>
      </c>
      <c r="J113" s="67"/>
      <c r="K113" s="67"/>
      <c r="L113" s="67"/>
      <c r="M113" s="67"/>
      <c r="N113" s="67"/>
      <c r="O113" s="67"/>
    </row>
    <row r="114" spans="1:15" hidden="1" outlineLevel="1" x14ac:dyDescent="0.2">
      <c r="A114" s="71">
        <f t="shared" si="7"/>
        <v>107</v>
      </c>
      <c r="B114" s="66">
        <f>+B113+30</f>
        <v>41814</v>
      </c>
      <c r="D114" s="67">
        <v>47938.33</v>
      </c>
      <c r="F114" s="77">
        <v>3.2500000000000001E-2</v>
      </c>
      <c r="G114" s="76">
        <f t="shared" si="13"/>
        <v>-1211.28</v>
      </c>
      <c r="H114" s="67">
        <f t="shared" si="14"/>
        <v>46727.05</v>
      </c>
      <c r="I114" s="75">
        <f t="shared" si="12"/>
        <v>-424485.53686639911</v>
      </c>
      <c r="J114" s="67"/>
      <c r="K114" s="67"/>
      <c r="L114" s="67"/>
      <c r="M114" s="67"/>
      <c r="N114" s="67"/>
      <c r="O114" s="67"/>
    </row>
    <row r="115" spans="1:15" hidden="1" outlineLevel="1" x14ac:dyDescent="0.2">
      <c r="A115" s="71">
        <f t="shared" si="7"/>
        <v>108</v>
      </c>
      <c r="B115" s="66">
        <f>+B114+31</f>
        <v>41845</v>
      </c>
      <c r="D115" s="67">
        <v>41747.286422000005</v>
      </c>
      <c r="F115" s="77">
        <v>3.2500000000000001E-2</v>
      </c>
      <c r="G115" s="76">
        <f t="shared" si="13"/>
        <v>-1093.1199999999999</v>
      </c>
      <c r="H115" s="67">
        <f t="shared" si="14"/>
        <v>40654.166422000002</v>
      </c>
      <c r="I115" s="75">
        <f t="shared" si="12"/>
        <v>-383831.37044439913</v>
      </c>
      <c r="J115" s="67"/>
      <c r="K115" s="67"/>
      <c r="L115" s="67"/>
      <c r="M115" s="67"/>
      <c r="N115" s="67"/>
      <c r="O115" s="67"/>
    </row>
    <row r="116" spans="1:15" hidden="1" outlineLevel="1" x14ac:dyDescent="0.2">
      <c r="A116" s="71">
        <f t="shared" si="7"/>
        <v>109</v>
      </c>
      <c r="B116" s="66">
        <f>+B115+31</f>
        <v>41876</v>
      </c>
      <c r="D116" s="67">
        <v>34021.339999999997</v>
      </c>
      <c r="F116" s="77">
        <v>3.2500000000000001E-2</v>
      </c>
      <c r="G116" s="76">
        <f t="shared" si="13"/>
        <v>-993.47</v>
      </c>
      <c r="H116" s="67">
        <f t="shared" si="14"/>
        <v>33027.869999999995</v>
      </c>
      <c r="I116" s="75">
        <f t="shared" si="12"/>
        <v>-350803.50044439913</v>
      </c>
      <c r="J116" s="67"/>
      <c r="K116" s="67"/>
      <c r="L116" s="67"/>
      <c r="M116" s="67"/>
      <c r="N116" s="67"/>
      <c r="O116" s="67"/>
    </row>
    <row r="117" spans="1:15" hidden="1" outlineLevel="1" x14ac:dyDescent="0.2">
      <c r="A117" s="71">
        <f t="shared" si="7"/>
        <v>110</v>
      </c>
      <c r="B117" s="66">
        <f>+B116+30</f>
        <v>41906</v>
      </c>
      <c r="D117" s="67">
        <v>35615.938585200005</v>
      </c>
      <c r="F117" s="77">
        <v>3.2500000000000001E-2</v>
      </c>
      <c r="G117" s="76">
        <f t="shared" si="13"/>
        <v>-901.86</v>
      </c>
      <c r="H117" s="67">
        <f t="shared" si="14"/>
        <v>34714.078585200004</v>
      </c>
      <c r="I117" s="75">
        <f t="shared" si="12"/>
        <v>-316089.42185919912</v>
      </c>
      <c r="J117" s="67"/>
      <c r="K117" s="67"/>
      <c r="L117" s="67"/>
      <c r="M117" s="67"/>
      <c r="N117" s="67"/>
      <c r="O117" s="67"/>
    </row>
    <row r="118" spans="1:15" hidden="1" outlineLevel="1" x14ac:dyDescent="0.2">
      <c r="A118" s="71">
        <f t="shared" si="7"/>
        <v>111</v>
      </c>
      <c r="B118" s="66">
        <f>+B117+31</f>
        <v>41937</v>
      </c>
      <c r="D118" s="67">
        <v>42013.47</v>
      </c>
      <c r="F118" s="77">
        <v>3.2500000000000001E-2</v>
      </c>
      <c r="G118" s="76">
        <f t="shared" si="13"/>
        <v>-799.18</v>
      </c>
      <c r="H118" s="67">
        <f t="shared" si="14"/>
        <v>41214.29</v>
      </c>
      <c r="I118" s="75">
        <f t="shared" si="12"/>
        <v>-274875.13185919914</v>
      </c>
      <c r="J118" s="67"/>
      <c r="K118" s="67"/>
      <c r="L118" s="67"/>
      <c r="M118" s="67"/>
      <c r="N118" s="67"/>
      <c r="O118" s="67"/>
    </row>
    <row r="119" spans="1:15" hidden="1" outlineLevel="1" x14ac:dyDescent="0.2">
      <c r="A119" s="71">
        <f t="shared" si="7"/>
        <v>112</v>
      </c>
      <c r="B119" s="66">
        <f>+B118+30</f>
        <v>41967</v>
      </c>
      <c r="C119" s="66" t="s">
        <v>351</v>
      </c>
      <c r="D119" s="67">
        <v>43975.02</v>
      </c>
      <c r="F119" s="77">
        <v>3.2500000000000001E-2</v>
      </c>
      <c r="G119" s="76">
        <f t="shared" si="13"/>
        <v>-684.9</v>
      </c>
      <c r="H119" s="67">
        <f t="shared" si="14"/>
        <v>43290.119999999995</v>
      </c>
      <c r="I119" s="75">
        <f>+I118+H119+0.02</f>
        <v>-231584.99185919916</v>
      </c>
      <c r="J119" s="67"/>
      <c r="K119" s="67"/>
      <c r="L119" s="67"/>
      <c r="M119" s="67"/>
      <c r="N119" s="67"/>
      <c r="O119" s="67"/>
    </row>
    <row r="120" spans="1:15" hidden="1" outlineLevel="1" x14ac:dyDescent="0.2">
      <c r="A120" s="71">
        <f t="shared" si="7"/>
        <v>113</v>
      </c>
      <c r="B120" s="66">
        <f>+B119</f>
        <v>41967</v>
      </c>
      <c r="C120" s="66" t="s">
        <v>350</v>
      </c>
      <c r="D120" s="67">
        <v>69576.300000000017</v>
      </c>
      <c r="E120" s="67">
        <f>-'151550 Demand Accrual'!E113</f>
        <v>-919526.23519000201</v>
      </c>
      <c r="F120" s="77">
        <v>3.2500000000000001E-2</v>
      </c>
      <c r="G120" s="76">
        <f>ROUND((E120+(D120/2))*F120/12,2)</f>
        <v>-2396.17</v>
      </c>
      <c r="H120" s="67">
        <f t="shared" si="14"/>
        <v>-852346.10519000201</v>
      </c>
      <c r="I120" s="75">
        <f t="shared" ref="I120:I131" si="15">+I119+H120</f>
        <v>-1083931.0970492011</v>
      </c>
      <c r="J120" s="67"/>
      <c r="K120" s="67"/>
      <c r="L120" s="67"/>
      <c r="M120" s="67"/>
      <c r="N120" s="67"/>
      <c r="O120" s="67"/>
    </row>
    <row r="121" spans="1:15" hidden="1" outlineLevel="1" x14ac:dyDescent="0.2">
      <c r="A121" s="71">
        <f t="shared" si="7"/>
        <v>114</v>
      </c>
      <c r="B121" s="111">
        <f>+B120+31</f>
        <v>41998</v>
      </c>
      <c r="D121" s="67">
        <v>271345.02316320007</v>
      </c>
      <c r="F121" s="77">
        <v>3.2500000000000001E-2</v>
      </c>
      <c r="G121" s="76">
        <f t="shared" ref="G121:G132" si="16">ROUND((+I120+E121+(D121/2))*F121/12,2)</f>
        <v>-2568.1999999999998</v>
      </c>
      <c r="H121" s="67">
        <f t="shared" si="14"/>
        <v>268776.82316320005</v>
      </c>
      <c r="I121" s="75">
        <f t="shared" si="15"/>
        <v>-815154.27388600109</v>
      </c>
      <c r="J121" s="67"/>
      <c r="K121" s="67"/>
      <c r="L121" s="67"/>
      <c r="M121" s="67"/>
      <c r="N121" s="67"/>
      <c r="O121" s="67"/>
    </row>
    <row r="122" spans="1:15" hidden="1" outlineLevel="1" x14ac:dyDescent="0.2">
      <c r="A122" s="71">
        <f t="shared" si="7"/>
        <v>115</v>
      </c>
      <c r="B122" s="66">
        <f>+B121+31</f>
        <v>42029</v>
      </c>
      <c r="C122" s="87">
        <v>2</v>
      </c>
      <c r="D122" s="67">
        <v>296523.03498399997</v>
      </c>
      <c r="E122" s="67">
        <v>-1223450.71</v>
      </c>
      <c r="F122" s="77">
        <v>3.2500000000000001E-2</v>
      </c>
      <c r="G122" s="76">
        <f t="shared" si="16"/>
        <v>-5119.68</v>
      </c>
      <c r="H122" s="67">
        <f t="shared" si="14"/>
        <v>-932047.35501599999</v>
      </c>
      <c r="I122" s="75">
        <f t="shared" si="15"/>
        <v>-1747201.6289020011</v>
      </c>
      <c r="J122" s="67"/>
      <c r="K122" s="67"/>
      <c r="L122" s="67"/>
      <c r="M122" s="67"/>
      <c r="N122" s="67"/>
      <c r="O122" s="67"/>
    </row>
    <row r="123" spans="1:15" hidden="1" outlineLevel="1" x14ac:dyDescent="0.2">
      <c r="A123" s="71">
        <f t="shared" si="7"/>
        <v>116</v>
      </c>
      <c r="B123" s="66">
        <f>+B122+28</f>
        <v>42057</v>
      </c>
      <c r="D123" s="67">
        <v>219881.29156680004</v>
      </c>
      <c r="F123" s="77">
        <v>3.2500000000000001E-2</v>
      </c>
      <c r="G123" s="76">
        <f t="shared" si="16"/>
        <v>-4434.25</v>
      </c>
      <c r="H123" s="67">
        <f t="shared" si="14"/>
        <v>215447.04156680004</v>
      </c>
      <c r="I123" s="75">
        <f t="shared" si="15"/>
        <v>-1531754.587335201</v>
      </c>
      <c r="J123" s="67"/>
      <c r="K123" s="67"/>
      <c r="L123" s="67"/>
      <c r="M123" s="67"/>
      <c r="N123" s="67"/>
      <c r="O123" s="67"/>
    </row>
    <row r="124" spans="1:15" hidden="1" outlineLevel="1" x14ac:dyDescent="0.2">
      <c r="A124" s="71">
        <f t="shared" si="7"/>
        <v>117</v>
      </c>
      <c r="B124" s="66">
        <f>+B123+31</f>
        <v>42088</v>
      </c>
      <c r="D124" s="67">
        <v>174927.660072</v>
      </c>
      <c r="F124" s="77">
        <v>3.2500000000000001E-2</v>
      </c>
      <c r="G124" s="76">
        <f t="shared" si="16"/>
        <v>-3911.62</v>
      </c>
      <c r="H124" s="67">
        <f t="shared" si="14"/>
        <v>171016.040072</v>
      </c>
      <c r="I124" s="75">
        <f t="shared" si="15"/>
        <v>-1360738.5472632009</v>
      </c>
      <c r="J124" s="67"/>
      <c r="K124" s="67"/>
      <c r="L124" s="67"/>
      <c r="M124" s="67"/>
      <c r="N124" s="67"/>
      <c r="O124" s="67"/>
    </row>
    <row r="125" spans="1:15" hidden="1" outlineLevel="1" x14ac:dyDescent="0.2">
      <c r="A125" s="71">
        <f t="shared" si="7"/>
        <v>118</v>
      </c>
      <c r="B125" s="66">
        <f>+B124+30</f>
        <v>42118</v>
      </c>
      <c r="D125" s="67">
        <v>142929.00378279999</v>
      </c>
      <c r="F125" s="77">
        <v>3.2500000000000001E-2</v>
      </c>
      <c r="G125" s="76">
        <f t="shared" si="16"/>
        <v>-3491.78</v>
      </c>
      <c r="H125" s="67">
        <f t="shared" si="14"/>
        <v>139437.22378279999</v>
      </c>
      <c r="I125" s="75">
        <f t="shared" si="15"/>
        <v>-1221301.323480401</v>
      </c>
      <c r="J125" s="67"/>
      <c r="K125" s="67"/>
      <c r="L125" s="67"/>
      <c r="M125" s="67"/>
      <c r="N125" s="67"/>
      <c r="O125" s="67"/>
    </row>
    <row r="126" spans="1:15" hidden="1" outlineLevel="1" x14ac:dyDescent="0.2">
      <c r="A126" s="71">
        <f t="shared" si="7"/>
        <v>119</v>
      </c>
      <c r="B126" s="66">
        <f>+B125+31</f>
        <v>42149</v>
      </c>
      <c r="D126" s="67">
        <v>106927.32056559999</v>
      </c>
      <c r="F126" s="77">
        <v>3.2500000000000001E-2</v>
      </c>
      <c r="G126" s="76">
        <f t="shared" si="16"/>
        <v>-3162.89</v>
      </c>
      <c r="H126" s="67">
        <f t="shared" si="14"/>
        <v>103764.43056559999</v>
      </c>
      <c r="I126" s="75">
        <f t="shared" si="15"/>
        <v>-1117536.8929148009</v>
      </c>
      <c r="J126" s="67"/>
      <c r="K126" s="67"/>
      <c r="L126" s="67"/>
      <c r="M126" s="67"/>
      <c r="N126" s="67"/>
      <c r="O126" s="67"/>
    </row>
    <row r="127" spans="1:15" hidden="1" outlineLevel="1" x14ac:dyDescent="0.2">
      <c r="A127" s="71">
        <f t="shared" si="7"/>
        <v>120</v>
      </c>
      <c r="B127" s="66">
        <f>+B126+30</f>
        <v>42179</v>
      </c>
      <c r="D127" s="67">
        <v>73276.011610800007</v>
      </c>
      <c r="F127" s="77">
        <v>3.2500000000000001E-2</v>
      </c>
      <c r="G127" s="76">
        <f t="shared" si="16"/>
        <v>-2927.43</v>
      </c>
      <c r="H127" s="67">
        <f t="shared" si="14"/>
        <v>70348.581610800014</v>
      </c>
      <c r="I127" s="75">
        <f t="shared" si="15"/>
        <v>-1047188.3113040009</v>
      </c>
      <c r="J127" s="67"/>
      <c r="K127" s="67"/>
      <c r="L127" s="67"/>
      <c r="M127" s="67"/>
      <c r="N127" s="67"/>
      <c r="O127" s="67"/>
    </row>
    <row r="128" spans="1:15" hidden="1" outlineLevel="1" x14ac:dyDescent="0.2">
      <c r="A128" s="71">
        <f t="shared" si="7"/>
        <v>121</v>
      </c>
      <c r="B128" s="66">
        <f>+B127+31</f>
        <v>42210</v>
      </c>
      <c r="D128" s="67">
        <v>55029.960870800009</v>
      </c>
      <c r="F128" s="77">
        <v>3.2500000000000001E-2</v>
      </c>
      <c r="G128" s="76">
        <f t="shared" si="16"/>
        <v>-2761.62</v>
      </c>
      <c r="H128" s="67">
        <f t="shared" si="14"/>
        <v>52268.340870800006</v>
      </c>
      <c r="I128" s="75">
        <f t="shared" si="15"/>
        <v>-994919.97043320094</v>
      </c>
      <c r="J128" s="67"/>
      <c r="K128" s="67"/>
      <c r="L128" s="67"/>
      <c r="M128" s="67"/>
      <c r="N128" s="67"/>
      <c r="O128" s="67"/>
    </row>
    <row r="129" spans="1:15" hidden="1" outlineLevel="1" x14ac:dyDescent="0.2">
      <c r="A129" s="71">
        <f t="shared" si="7"/>
        <v>122</v>
      </c>
      <c r="B129" s="66">
        <f>+B128+31</f>
        <v>42241</v>
      </c>
      <c r="D129" s="67">
        <v>52097.98</v>
      </c>
      <c r="E129" s="67">
        <v>-0.06</v>
      </c>
      <c r="F129" s="77">
        <v>3.2500000000000001E-2</v>
      </c>
      <c r="G129" s="76">
        <f t="shared" si="16"/>
        <v>-2624.03</v>
      </c>
      <c r="H129" s="67">
        <f t="shared" si="14"/>
        <v>49473.890000000007</v>
      </c>
      <c r="I129" s="75">
        <f t="shared" si="15"/>
        <v>-945446.08043320093</v>
      </c>
      <c r="J129" s="67"/>
      <c r="K129" s="67"/>
      <c r="L129" s="67"/>
      <c r="M129" s="67"/>
      <c r="N129" s="67"/>
      <c r="O129" s="67"/>
    </row>
    <row r="130" spans="1:15" hidden="1" outlineLevel="1" x14ac:dyDescent="0.2">
      <c r="A130" s="71">
        <f t="shared" si="7"/>
        <v>123</v>
      </c>
      <c r="B130" s="66">
        <f>+B129+30</f>
        <v>42271</v>
      </c>
      <c r="C130" s="89"/>
      <c r="D130" s="67">
        <v>60049.7</v>
      </c>
      <c r="F130" s="77">
        <v>3.2500000000000001E-2</v>
      </c>
      <c r="G130" s="101">
        <f t="shared" si="16"/>
        <v>-2479.27</v>
      </c>
      <c r="H130" s="67">
        <f t="shared" si="14"/>
        <v>57570.43</v>
      </c>
      <c r="I130" s="109">
        <f t="shared" si="15"/>
        <v>-887875.65043320088</v>
      </c>
      <c r="J130" s="67"/>
      <c r="K130" s="67"/>
      <c r="L130" s="67"/>
      <c r="M130" s="67"/>
      <c r="N130" s="67"/>
      <c r="O130" s="67"/>
    </row>
    <row r="131" spans="1:15" hidden="1" outlineLevel="1" x14ac:dyDescent="0.2">
      <c r="A131" s="71">
        <f t="shared" si="7"/>
        <v>124</v>
      </c>
      <c r="B131" s="66">
        <f>+B130+31</f>
        <v>42302</v>
      </c>
      <c r="C131" s="89"/>
      <c r="D131" s="67">
        <v>71429.55</v>
      </c>
      <c r="F131" s="77">
        <v>3.2500000000000001E-2</v>
      </c>
      <c r="G131" s="101">
        <f t="shared" si="16"/>
        <v>-2307.94</v>
      </c>
      <c r="H131" s="67">
        <f t="shared" si="14"/>
        <v>69121.61</v>
      </c>
      <c r="I131" s="109">
        <f t="shared" si="15"/>
        <v>-818754.04043320089</v>
      </c>
      <c r="J131" s="67"/>
      <c r="K131" s="67"/>
      <c r="L131" s="67"/>
      <c r="M131" s="67"/>
      <c r="N131" s="67"/>
      <c r="O131" s="67"/>
    </row>
    <row r="132" spans="1:15" hidden="1" outlineLevel="1" x14ac:dyDescent="0.2">
      <c r="A132" s="71">
        <f t="shared" si="7"/>
        <v>125</v>
      </c>
      <c r="B132" s="66">
        <f>+B131+30</f>
        <v>42332</v>
      </c>
      <c r="C132" s="66" t="s">
        <v>351</v>
      </c>
      <c r="D132" s="67">
        <v>62539.66</v>
      </c>
      <c r="F132" s="77">
        <v>3.2500000000000001E-2</v>
      </c>
      <c r="G132" s="76">
        <f t="shared" si="16"/>
        <v>-2132.77</v>
      </c>
      <c r="H132" s="67">
        <f t="shared" si="14"/>
        <v>60406.890000000007</v>
      </c>
      <c r="I132" s="75">
        <f>+I131+H132+0.02</f>
        <v>-758347.13043320086</v>
      </c>
      <c r="J132" s="67"/>
      <c r="K132" s="67"/>
      <c r="L132" s="67"/>
      <c r="M132" s="67"/>
      <c r="N132" s="67"/>
      <c r="O132" s="67"/>
    </row>
    <row r="133" spans="1:15" hidden="1" outlineLevel="1" x14ac:dyDescent="0.2">
      <c r="A133" s="71">
        <f t="shared" si="7"/>
        <v>126</v>
      </c>
      <c r="B133" s="66">
        <f>+B132</f>
        <v>42332</v>
      </c>
      <c r="C133" s="66" t="s">
        <v>350</v>
      </c>
      <c r="D133" s="67">
        <v>912.95</v>
      </c>
      <c r="E133" s="67">
        <v>1505925.8</v>
      </c>
      <c r="F133" s="77">
        <v>3.2500000000000001E-2</v>
      </c>
      <c r="G133" s="76">
        <f>ROUND((E133+(D133/2))*F133/12,2)</f>
        <v>4079.79</v>
      </c>
      <c r="H133" s="67">
        <f t="shared" si="14"/>
        <v>1510918.54</v>
      </c>
      <c r="I133" s="75">
        <f t="shared" ref="I133:I142" si="17">+I132+H133</f>
        <v>752571.40956679918</v>
      </c>
      <c r="J133" s="67"/>
      <c r="K133" s="67"/>
      <c r="L133" s="67"/>
      <c r="M133" s="67"/>
      <c r="N133" s="67"/>
      <c r="O133" s="67"/>
    </row>
    <row r="134" spans="1:15" hidden="1" outlineLevel="1" x14ac:dyDescent="0.2">
      <c r="A134" s="71">
        <f t="shared" si="7"/>
        <v>127</v>
      </c>
      <c r="B134" s="66">
        <f>B132+31</f>
        <v>42363</v>
      </c>
      <c r="C134" s="89"/>
      <c r="D134" s="67">
        <v>4293.7700000000004</v>
      </c>
      <c r="F134" s="77">
        <v>3.2500000000000001E-2</v>
      </c>
      <c r="G134" s="76">
        <f>ROUND((+I133+E134+(D134/2))*F134/12,2)</f>
        <v>2044.03</v>
      </c>
      <c r="H134" s="67">
        <f t="shared" si="14"/>
        <v>6337.8</v>
      </c>
      <c r="I134" s="75">
        <f t="shared" si="17"/>
        <v>758909.20956679923</v>
      </c>
      <c r="J134" s="67"/>
      <c r="K134" s="67"/>
      <c r="L134" s="67"/>
      <c r="M134" s="67"/>
      <c r="N134" s="67"/>
      <c r="O134" s="67"/>
    </row>
    <row r="135" spans="1:15" hidden="1" outlineLevel="1" x14ac:dyDescent="0.2">
      <c r="A135" s="71">
        <f t="shared" si="7"/>
        <v>128</v>
      </c>
      <c r="B135" s="66">
        <f>B134+30</f>
        <v>42393</v>
      </c>
      <c r="C135" s="87">
        <v>2</v>
      </c>
      <c r="D135" s="67">
        <v>5152.8900000000003</v>
      </c>
      <c r="E135" s="67">
        <v>-1218806.32</v>
      </c>
      <c r="F135" s="77">
        <v>3.2500000000000001E-2</v>
      </c>
      <c r="G135" s="76">
        <f>ROUND((+I134+(D135/2))*F135/12,2)</f>
        <v>2062.36</v>
      </c>
      <c r="H135" s="67">
        <f t="shared" si="14"/>
        <v>-1211591.07</v>
      </c>
      <c r="I135" s="75">
        <f t="shared" si="17"/>
        <v>-452681.86043320084</v>
      </c>
      <c r="J135" s="67"/>
      <c r="K135" s="67"/>
      <c r="L135" s="67"/>
      <c r="M135" s="67"/>
      <c r="N135" s="67"/>
      <c r="O135" s="67"/>
    </row>
    <row r="136" spans="1:15" hidden="1" outlineLevel="1" x14ac:dyDescent="0.2">
      <c r="A136" s="71">
        <f t="shared" si="7"/>
        <v>129</v>
      </c>
      <c r="B136" s="66">
        <f>B135+29</f>
        <v>42422</v>
      </c>
      <c r="C136" s="89"/>
      <c r="D136" s="67">
        <v>136.73000000000002</v>
      </c>
      <c r="E136" s="67">
        <v>-4.46</v>
      </c>
      <c r="F136" s="77">
        <v>3.2500000000000001E-2</v>
      </c>
      <c r="G136" s="101">
        <f t="shared" ref="G136:G145" si="18">ROUND((+I135+E136+(D136/2))*F136/12,2)</f>
        <v>-1225.8399999999999</v>
      </c>
      <c r="H136" s="67">
        <f t="shared" si="14"/>
        <v>-1093.57</v>
      </c>
      <c r="I136" s="75">
        <f t="shared" si="17"/>
        <v>-453775.43043320085</v>
      </c>
      <c r="J136" s="67"/>
      <c r="K136" s="67"/>
      <c r="L136" s="67"/>
      <c r="M136" s="67"/>
      <c r="N136" s="67"/>
      <c r="O136" s="67"/>
    </row>
    <row r="137" spans="1:15" hidden="1" outlineLevel="1" x14ac:dyDescent="0.2">
      <c r="A137" s="71">
        <f t="shared" ref="A137:A200" si="19">+A136+1</f>
        <v>130</v>
      </c>
      <c r="B137" s="66">
        <f>B136+31</f>
        <v>42453</v>
      </c>
      <c r="C137" s="89"/>
      <c r="D137" s="67">
        <v>2933.12</v>
      </c>
      <c r="F137" s="77">
        <v>3.2500000000000001E-2</v>
      </c>
      <c r="G137" s="101">
        <f t="shared" si="18"/>
        <v>-1225</v>
      </c>
      <c r="H137" s="67">
        <f t="shared" si="14"/>
        <v>1708.12</v>
      </c>
      <c r="I137" s="75">
        <f t="shared" si="17"/>
        <v>-452067.31043320085</v>
      </c>
      <c r="J137" s="67"/>
      <c r="K137" s="67"/>
      <c r="L137" s="67"/>
      <c r="M137" s="67"/>
      <c r="N137" s="67"/>
      <c r="O137" s="67"/>
    </row>
    <row r="138" spans="1:15" hidden="1" outlineLevel="1" x14ac:dyDescent="0.2">
      <c r="A138" s="71">
        <f t="shared" si="19"/>
        <v>131</v>
      </c>
      <c r="B138" s="66">
        <f>B137+30</f>
        <v>42483</v>
      </c>
      <c r="C138" s="89"/>
      <c r="D138" s="67">
        <v>2167.46</v>
      </c>
      <c r="F138" s="77">
        <v>3.4599999999999999E-2</v>
      </c>
      <c r="G138" s="101">
        <f t="shared" si="18"/>
        <v>-1300.3399999999999</v>
      </c>
      <c r="H138" s="67">
        <f t="shared" si="14"/>
        <v>867.12000000000012</v>
      </c>
      <c r="I138" s="75">
        <f t="shared" si="17"/>
        <v>-451200.19043320086</v>
      </c>
      <c r="J138" s="67"/>
      <c r="K138" s="67"/>
      <c r="L138" s="67"/>
      <c r="M138" s="67"/>
      <c r="N138" s="67"/>
      <c r="O138" s="67"/>
    </row>
    <row r="139" spans="1:15" hidden="1" outlineLevel="1" x14ac:dyDescent="0.2">
      <c r="A139" s="71">
        <f t="shared" si="19"/>
        <v>132</v>
      </c>
      <c r="B139" s="66">
        <f>B138+31</f>
        <v>42514</v>
      </c>
      <c r="C139" s="89"/>
      <c r="D139" s="67">
        <v>1345.37</v>
      </c>
      <c r="F139" s="77">
        <v>3.4599999999999999E-2</v>
      </c>
      <c r="G139" s="101">
        <f t="shared" si="18"/>
        <v>-1299.02</v>
      </c>
      <c r="H139" s="67">
        <f t="shared" si="14"/>
        <v>46.349999999999909</v>
      </c>
      <c r="I139" s="75">
        <f t="shared" si="17"/>
        <v>-451153.84043320088</v>
      </c>
      <c r="J139" s="67"/>
      <c r="K139" s="67"/>
      <c r="L139" s="67"/>
      <c r="M139" s="67"/>
      <c r="N139" s="67"/>
      <c r="O139" s="67"/>
    </row>
    <row r="140" spans="1:15" hidden="1" outlineLevel="1" x14ac:dyDescent="0.2">
      <c r="A140" s="71">
        <f t="shared" si="19"/>
        <v>133</v>
      </c>
      <c r="B140" s="66">
        <f>B139+30</f>
        <v>42544</v>
      </c>
      <c r="C140" s="89"/>
      <c r="D140" s="67">
        <v>1169.57</v>
      </c>
      <c r="F140" s="77">
        <v>3.4599999999999999E-2</v>
      </c>
      <c r="G140" s="101">
        <f t="shared" si="18"/>
        <v>-1299.1400000000001</v>
      </c>
      <c r="H140" s="67">
        <f t="shared" si="14"/>
        <v>-129.57000000000016</v>
      </c>
      <c r="I140" s="75">
        <f t="shared" si="17"/>
        <v>-451283.41043320089</v>
      </c>
      <c r="J140" s="67"/>
      <c r="K140" s="67"/>
      <c r="L140" s="67"/>
      <c r="M140" s="67"/>
      <c r="N140" s="67"/>
      <c r="O140" s="67"/>
    </row>
    <row r="141" spans="1:15" hidden="1" outlineLevel="1" x14ac:dyDescent="0.2">
      <c r="A141" s="71">
        <f t="shared" si="19"/>
        <v>134</v>
      </c>
      <c r="B141" s="66">
        <f>B140+31</f>
        <v>42575</v>
      </c>
      <c r="C141" s="89"/>
      <c r="D141" s="67">
        <v>928.28</v>
      </c>
      <c r="F141" s="77">
        <v>3.5000000000000003E-2</v>
      </c>
      <c r="G141" s="101">
        <f t="shared" si="18"/>
        <v>-1314.89</v>
      </c>
      <c r="H141" s="67">
        <f t="shared" si="14"/>
        <v>-386.61000000000013</v>
      </c>
      <c r="I141" s="75">
        <f t="shared" si="17"/>
        <v>-451670.02043320087</v>
      </c>
      <c r="J141" s="67"/>
      <c r="K141" s="67"/>
      <c r="L141" s="67"/>
      <c r="M141" s="67"/>
      <c r="N141" s="67"/>
      <c r="O141" s="67"/>
    </row>
    <row r="142" spans="1:15" hidden="1" outlineLevel="1" x14ac:dyDescent="0.2">
      <c r="A142" s="71">
        <f t="shared" si="19"/>
        <v>135</v>
      </c>
      <c r="B142" s="66">
        <f>B141+31</f>
        <v>42606</v>
      </c>
      <c r="C142" s="89"/>
      <c r="D142" s="67">
        <v>823.14</v>
      </c>
      <c r="F142" s="77">
        <v>3.5000000000000003E-2</v>
      </c>
      <c r="G142" s="101">
        <f t="shared" si="18"/>
        <v>-1316.17</v>
      </c>
      <c r="H142" s="67">
        <f t="shared" si="14"/>
        <v>-493.03000000000009</v>
      </c>
      <c r="I142" s="75">
        <f t="shared" si="17"/>
        <v>-452163.0504332009</v>
      </c>
      <c r="J142" s="67"/>
      <c r="K142" s="67"/>
      <c r="L142" s="67"/>
      <c r="M142" s="67"/>
      <c r="N142" s="67"/>
      <c r="O142" s="67"/>
    </row>
    <row r="143" spans="1:15" hidden="1" outlineLevel="1" x14ac:dyDescent="0.2">
      <c r="A143" s="71">
        <f t="shared" si="19"/>
        <v>136</v>
      </c>
      <c r="B143" s="66">
        <f>B142+30</f>
        <v>42636</v>
      </c>
      <c r="C143" s="89"/>
      <c r="D143" s="67">
        <v>896.20672720000005</v>
      </c>
      <c r="E143" s="102"/>
      <c r="F143" s="104">
        <v>3.5000000000000003E-2</v>
      </c>
      <c r="G143" s="102">
        <f t="shared" si="18"/>
        <v>-1317.5</v>
      </c>
      <c r="H143" s="102">
        <f t="shared" ref="H143:H174" si="20">D143+E143+G143</f>
        <v>-421.29327279999995</v>
      </c>
      <c r="I143" s="102">
        <f t="shared" ref="I143:I174" si="21">I142+H143</f>
        <v>-452584.34370600089</v>
      </c>
      <c r="J143" s="67"/>
      <c r="K143" s="67"/>
      <c r="L143" s="67"/>
      <c r="M143" s="67"/>
      <c r="N143" s="67"/>
      <c r="O143" s="67"/>
    </row>
    <row r="144" spans="1:15" hidden="1" outlineLevel="1" x14ac:dyDescent="0.2">
      <c r="A144" s="71">
        <f t="shared" si="19"/>
        <v>137</v>
      </c>
      <c r="B144" s="66">
        <f>B143+31</f>
        <v>42667</v>
      </c>
      <c r="C144" s="89"/>
      <c r="D144" s="67">
        <v>1284.1643996</v>
      </c>
      <c r="E144" s="102"/>
      <c r="F144" s="104">
        <v>3.5000000000000003E-2</v>
      </c>
      <c r="G144" s="102">
        <f t="shared" si="18"/>
        <v>-1318.16</v>
      </c>
      <c r="H144" s="102">
        <f t="shared" si="20"/>
        <v>-33.995600400000058</v>
      </c>
      <c r="I144" s="102">
        <f t="shared" si="21"/>
        <v>-452618.33930640091</v>
      </c>
      <c r="J144" s="67"/>
      <c r="K144" s="67"/>
      <c r="L144" s="67"/>
      <c r="M144" s="67"/>
      <c r="N144" s="67"/>
      <c r="O144" s="67"/>
    </row>
    <row r="145" spans="1:15" hidden="1" outlineLevel="1" x14ac:dyDescent="0.2">
      <c r="A145" s="71">
        <f t="shared" si="19"/>
        <v>138</v>
      </c>
      <c r="B145" s="82">
        <f>B144+30</f>
        <v>42697</v>
      </c>
      <c r="C145" s="108" t="s">
        <v>351</v>
      </c>
      <c r="D145" s="67">
        <v>1094.1699999999998</v>
      </c>
      <c r="E145" s="102"/>
      <c r="F145" s="104">
        <v>3.5000000000000003E-2</v>
      </c>
      <c r="G145" s="102">
        <f t="shared" si="18"/>
        <v>-1318.54</v>
      </c>
      <c r="H145" s="102">
        <f t="shared" si="20"/>
        <v>-224.37000000000012</v>
      </c>
      <c r="I145" s="102">
        <f t="shared" si="21"/>
        <v>-452842.70930640091</v>
      </c>
      <c r="J145" s="67"/>
      <c r="K145" s="67"/>
      <c r="L145" s="67"/>
      <c r="M145" s="67"/>
      <c r="N145" s="67"/>
      <c r="O145" s="67"/>
    </row>
    <row r="146" spans="1:15" hidden="1" outlineLevel="1" x14ac:dyDescent="0.2">
      <c r="A146" s="71">
        <f t="shared" si="19"/>
        <v>139</v>
      </c>
      <c r="B146" s="82">
        <f>B145</f>
        <v>42697</v>
      </c>
      <c r="C146" s="66" t="s">
        <v>350</v>
      </c>
      <c r="D146" s="67">
        <v>25673.450000000004</v>
      </c>
      <c r="E146" s="102">
        <v>508349.64</v>
      </c>
      <c r="F146" s="104">
        <v>3.5000000000000003E-2</v>
      </c>
      <c r="G146" s="102">
        <f>ROUND((+E146+(D146/2))*F146/12,2)</f>
        <v>1520.13</v>
      </c>
      <c r="H146" s="102">
        <f t="shared" si="20"/>
        <v>535543.22</v>
      </c>
      <c r="I146" s="102">
        <f t="shared" si="21"/>
        <v>82700.510693599063</v>
      </c>
      <c r="J146" s="67"/>
      <c r="K146" s="67"/>
      <c r="L146" s="67"/>
      <c r="M146" s="67"/>
      <c r="N146" s="67"/>
      <c r="O146" s="67"/>
    </row>
    <row r="147" spans="1:15" hidden="1" outlineLevel="1" x14ac:dyDescent="0.2">
      <c r="A147" s="71">
        <f t="shared" si="19"/>
        <v>140</v>
      </c>
      <c r="B147" s="82">
        <f>B145+31</f>
        <v>42728</v>
      </c>
      <c r="C147" s="108"/>
      <c r="D147" s="67">
        <v>127351.21999999997</v>
      </c>
      <c r="E147" s="102"/>
      <c r="F147" s="104">
        <v>3.5000000000000003E-2</v>
      </c>
      <c r="G147" s="102">
        <f t="shared" ref="G147:G158" si="22">ROUND((+I146+E147+(D147/2))*F147/12,2)</f>
        <v>426.93</v>
      </c>
      <c r="H147" s="102">
        <f t="shared" si="20"/>
        <v>127778.14999999997</v>
      </c>
      <c r="I147" s="102">
        <f t="shared" si="21"/>
        <v>210478.66069359903</v>
      </c>
      <c r="J147" s="67"/>
      <c r="K147" s="67"/>
      <c r="L147" s="67"/>
      <c r="M147" s="67"/>
      <c r="N147" s="67"/>
      <c r="O147" s="67"/>
    </row>
    <row r="148" spans="1:15" hidden="1" outlineLevel="1" x14ac:dyDescent="0.2">
      <c r="A148" s="71">
        <f t="shared" si="19"/>
        <v>141</v>
      </c>
      <c r="B148" s="82">
        <f t="shared" ref="B148:B158" si="23">B147+31</f>
        <v>42759</v>
      </c>
      <c r="C148" s="87">
        <v>2</v>
      </c>
      <c r="D148" s="67">
        <v>218988.16999999995</v>
      </c>
      <c r="E148" s="102">
        <v>-1448926.12</v>
      </c>
      <c r="F148" s="104">
        <v>3.5000000000000003E-2</v>
      </c>
      <c r="G148" s="102">
        <f t="shared" si="22"/>
        <v>-3292.78</v>
      </c>
      <c r="H148" s="102">
        <f t="shared" si="20"/>
        <v>-1233230.7300000002</v>
      </c>
      <c r="I148" s="102">
        <f t="shared" si="21"/>
        <v>-1022752.0693064012</v>
      </c>
      <c r="J148" s="67"/>
      <c r="K148" s="67"/>
      <c r="L148" s="67"/>
      <c r="M148" s="67"/>
      <c r="N148" s="67"/>
      <c r="O148" s="67"/>
    </row>
    <row r="149" spans="1:15" hidden="1" outlineLevel="1" x14ac:dyDescent="0.2">
      <c r="A149" s="71">
        <f t="shared" si="19"/>
        <v>142</v>
      </c>
      <c r="B149" s="82">
        <f t="shared" si="23"/>
        <v>42790</v>
      </c>
      <c r="C149" s="108"/>
      <c r="D149" s="67">
        <v>164790.45000000001</v>
      </c>
      <c r="E149" s="102"/>
      <c r="F149" s="104">
        <v>3.5000000000000003E-2</v>
      </c>
      <c r="G149" s="102">
        <f t="shared" si="22"/>
        <v>-2742.71</v>
      </c>
      <c r="H149" s="102">
        <f t="shared" si="20"/>
        <v>162047.74000000002</v>
      </c>
      <c r="I149" s="102">
        <f t="shared" si="21"/>
        <v>-860704.3293064012</v>
      </c>
      <c r="J149" s="67"/>
      <c r="K149" s="67"/>
      <c r="L149" s="67"/>
      <c r="M149" s="67"/>
      <c r="N149" s="67"/>
      <c r="O149" s="67"/>
    </row>
    <row r="150" spans="1:15" hidden="1" outlineLevel="1" x14ac:dyDescent="0.2">
      <c r="A150" s="71">
        <f t="shared" si="19"/>
        <v>143</v>
      </c>
      <c r="B150" s="82">
        <f t="shared" si="23"/>
        <v>42821</v>
      </c>
      <c r="C150" s="108"/>
      <c r="D150" s="67">
        <v>128463.11</v>
      </c>
      <c r="E150" s="102"/>
      <c r="F150" s="104">
        <v>3.5000000000000003E-2</v>
      </c>
      <c r="G150" s="102">
        <f t="shared" si="22"/>
        <v>-2323.0500000000002</v>
      </c>
      <c r="H150" s="102">
        <f t="shared" si="20"/>
        <v>126140.06</v>
      </c>
      <c r="I150" s="102">
        <f t="shared" si="21"/>
        <v>-734564.26930640126</v>
      </c>
      <c r="J150" s="67"/>
      <c r="K150" s="67"/>
      <c r="L150" s="67"/>
      <c r="M150" s="67"/>
      <c r="N150" s="67"/>
      <c r="O150" s="67"/>
    </row>
    <row r="151" spans="1:15" hidden="1" outlineLevel="1" x14ac:dyDescent="0.2">
      <c r="A151" s="71">
        <f t="shared" si="19"/>
        <v>144</v>
      </c>
      <c r="B151" s="82">
        <f t="shared" si="23"/>
        <v>42852</v>
      </c>
      <c r="C151" s="108"/>
      <c r="D151" s="67">
        <v>92234.73</v>
      </c>
      <c r="E151" s="102"/>
      <c r="F151" s="104">
        <v>3.7100000000000001E-2</v>
      </c>
      <c r="G151" s="102">
        <f t="shared" si="22"/>
        <v>-2128.4499999999998</v>
      </c>
      <c r="H151" s="102">
        <f t="shared" si="20"/>
        <v>90106.28</v>
      </c>
      <c r="I151" s="102">
        <f t="shared" si="21"/>
        <v>-644457.98930640123</v>
      </c>
      <c r="J151" s="67"/>
      <c r="K151" s="67"/>
      <c r="L151" s="67"/>
      <c r="M151" s="67"/>
      <c r="N151" s="67"/>
      <c r="O151" s="67"/>
    </row>
    <row r="152" spans="1:15" hidden="1" outlineLevel="1" x14ac:dyDescent="0.2">
      <c r="A152" s="71">
        <f t="shared" si="19"/>
        <v>145</v>
      </c>
      <c r="B152" s="82">
        <f t="shared" si="23"/>
        <v>42883</v>
      </c>
      <c r="C152" s="108"/>
      <c r="D152" s="67">
        <v>66290.36</v>
      </c>
      <c r="E152" s="102"/>
      <c r="F152" s="104">
        <v>3.7100000000000001E-2</v>
      </c>
      <c r="G152" s="102">
        <f t="shared" si="22"/>
        <v>-1889.98</v>
      </c>
      <c r="H152" s="102">
        <f t="shared" si="20"/>
        <v>64400.38</v>
      </c>
      <c r="I152" s="102">
        <f t="shared" si="21"/>
        <v>-580057.60930640122</v>
      </c>
      <c r="J152" s="67"/>
      <c r="K152" s="67"/>
      <c r="L152" s="67"/>
      <c r="M152" s="67"/>
      <c r="N152" s="67"/>
      <c r="O152" s="67"/>
    </row>
    <row r="153" spans="1:15" hidden="1" outlineLevel="1" x14ac:dyDescent="0.2">
      <c r="A153" s="71">
        <f t="shared" si="19"/>
        <v>146</v>
      </c>
      <c r="B153" s="82">
        <f t="shared" si="23"/>
        <v>42914</v>
      </c>
      <c r="C153" s="108"/>
      <c r="D153" s="67">
        <v>40968.460000000006</v>
      </c>
      <c r="E153" s="102"/>
      <c r="F153" s="104">
        <v>3.7100000000000001E-2</v>
      </c>
      <c r="G153" s="102">
        <f t="shared" si="22"/>
        <v>-1730.01</v>
      </c>
      <c r="H153" s="102">
        <f t="shared" si="20"/>
        <v>39238.450000000004</v>
      </c>
      <c r="I153" s="102">
        <f t="shared" si="21"/>
        <v>-540819.15930640127</v>
      </c>
      <c r="J153" s="67"/>
      <c r="K153" s="67"/>
      <c r="L153" s="67"/>
      <c r="M153" s="67"/>
      <c r="N153" s="67"/>
      <c r="O153" s="67"/>
    </row>
    <row r="154" spans="1:15" hidden="1" outlineLevel="1" x14ac:dyDescent="0.2">
      <c r="A154" s="71">
        <f t="shared" si="19"/>
        <v>147</v>
      </c>
      <c r="B154" s="82">
        <f t="shared" si="23"/>
        <v>42945</v>
      </c>
      <c r="C154" s="108"/>
      <c r="D154" s="67">
        <v>30703.47</v>
      </c>
      <c r="E154" s="102"/>
      <c r="F154" s="104">
        <v>3.9600000000000003E-2</v>
      </c>
      <c r="G154" s="102">
        <f t="shared" si="22"/>
        <v>-1734.04</v>
      </c>
      <c r="H154" s="102">
        <f t="shared" si="20"/>
        <v>28969.43</v>
      </c>
      <c r="I154" s="102">
        <f t="shared" si="21"/>
        <v>-511849.72930640128</v>
      </c>
      <c r="J154" s="67"/>
      <c r="K154" s="67"/>
      <c r="L154" s="67"/>
      <c r="M154" s="67"/>
      <c r="N154" s="67"/>
      <c r="O154" s="67"/>
    </row>
    <row r="155" spans="1:15" hidden="1" outlineLevel="1" x14ac:dyDescent="0.2">
      <c r="A155" s="71">
        <f t="shared" si="19"/>
        <v>148</v>
      </c>
      <c r="B155" s="82">
        <f t="shared" si="23"/>
        <v>42976</v>
      </c>
      <c r="C155" s="108"/>
      <c r="D155" s="67">
        <v>25793.690000000002</v>
      </c>
      <c r="E155" s="102"/>
      <c r="F155" s="104">
        <v>3.9600000000000003E-2</v>
      </c>
      <c r="G155" s="102">
        <f t="shared" si="22"/>
        <v>-1646.54</v>
      </c>
      <c r="H155" s="102">
        <f t="shared" si="20"/>
        <v>24147.15</v>
      </c>
      <c r="I155" s="102">
        <f t="shared" si="21"/>
        <v>-487702.57930640125</v>
      </c>
      <c r="J155" s="67"/>
      <c r="K155" s="67"/>
      <c r="L155" s="67"/>
      <c r="M155" s="67"/>
      <c r="N155" s="67"/>
      <c r="O155" s="67"/>
    </row>
    <row r="156" spans="1:15" hidden="1" outlineLevel="1" x14ac:dyDescent="0.2">
      <c r="A156" s="71">
        <f t="shared" si="19"/>
        <v>149</v>
      </c>
      <c r="B156" s="82">
        <f t="shared" si="23"/>
        <v>43007</v>
      </c>
      <c r="C156" s="108"/>
      <c r="D156" s="67">
        <v>27439.399999999998</v>
      </c>
      <c r="E156" s="102"/>
      <c r="F156" s="104">
        <v>3.9600000000000003E-2</v>
      </c>
      <c r="G156" s="102">
        <f t="shared" si="22"/>
        <v>-1564.14</v>
      </c>
      <c r="H156" s="102">
        <f t="shared" si="20"/>
        <v>25875.26</v>
      </c>
      <c r="I156" s="102">
        <f t="shared" si="21"/>
        <v>-461827.31930640124</v>
      </c>
      <c r="J156" s="67"/>
      <c r="K156" s="67"/>
      <c r="L156" s="67"/>
      <c r="M156" s="67"/>
      <c r="N156" s="67"/>
      <c r="O156" s="67"/>
    </row>
    <row r="157" spans="1:15" hidden="1" outlineLevel="1" x14ac:dyDescent="0.2">
      <c r="A157" s="71">
        <f t="shared" si="19"/>
        <v>150</v>
      </c>
      <c r="B157" s="82">
        <f t="shared" si="23"/>
        <v>43038</v>
      </c>
      <c r="C157" s="108"/>
      <c r="D157" s="67">
        <v>44472.5</v>
      </c>
      <c r="E157" s="102"/>
      <c r="F157" s="104">
        <v>4.2099999999999999E-2</v>
      </c>
      <c r="G157" s="102">
        <f t="shared" si="22"/>
        <v>-1542.23</v>
      </c>
      <c r="H157" s="102">
        <f t="shared" si="20"/>
        <v>42930.27</v>
      </c>
      <c r="I157" s="102">
        <f t="shared" si="21"/>
        <v>-418897.04930640123</v>
      </c>
      <c r="J157" s="67"/>
      <c r="K157" s="67"/>
      <c r="L157" s="67"/>
      <c r="M157" s="67"/>
      <c r="N157" s="67"/>
      <c r="O157" s="67"/>
    </row>
    <row r="158" spans="1:15" hidden="1" outlineLevel="1" x14ac:dyDescent="0.2">
      <c r="A158" s="71">
        <f t="shared" si="19"/>
        <v>151</v>
      </c>
      <c r="B158" s="82">
        <f t="shared" si="23"/>
        <v>43069</v>
      </c>
      <c r="C158" s="108" t="s">
        <v>351</v>
      </c>
      <c r="D158" s="67">
        <v>47523.23000000001</v>
      </c>
      <c r="E158" s="102"/>
      <c r="F158" s="104">
        <v>4.2099999999999999E-2</v>
      </c>
      <c r="G158" s="102">
        <f t="shared" si="22"/>
        <v>-1386.27</v>
      </c>
      <c r="H158" s="102">
        <f t="shared" si="20"/>
        <v>46136.960000000014</v>
      </c>
      <c r="I158" s="102">
        <f t="shared" si="21"/>
        <v>-372760.08930640121</v>
      </c>
      <c r="J158" s="67"/>
      <c r="K158" s="67"/>
      <c r="L158" s="67"/>
      <c r="M158" s="67"/>
      <c r="N158" s="67"/>
      <c r="O158" s="67"/>
    </row>
    <row r="159" spans="1:15" hidden="1" outlineLevel="1" x14ac:dyDescent="0.2">
      <c r="A159" s="71">
        <f t="shared" si="19"/>
        <v>152</v>
      </c>
      <c r="B159" s="82">
        <v>43069</v>
      </c>
      <c r="C159" s="66" t="s">
        <v>350</v>
      </c>
      <c r="D159" s="67">
        <v>89879.390000000029</v>
      </c>
      <c r="E159" s="102">
        <v>-1064137.94</v>
      </c>
      <c r="F159" s="104">
        <v>4.2099999999999999E-2</v>
      </c>
      <c r="G159" s="102">
        <f>ROUND((+E159+(D159/2))*F159/12,2)</f>
        <v>-3575.69</v>
      </c>
      <c r="H159" s="102">
        <f t="shared" si="20"/>
        <v>-977834.23999999987</v>
      </c>
      <c r="I159" s="102">
        <f t="shared" si="21"/>
        <v>-1350594.3293064011</v>
      </c>
      <c r="J159" s="67"/>
      <c r="K159" s="67"/>
      <c r="L159" s="67"/>
      <c r="M159" s="67"/>
      <c r="N159" s="67"/>
      <c r="O159" s="67"/>
    </row>
    <row r="160" spans="1:15" hidden="1" outlineLevel="1" x14ac:dyDescent="0.2">
      <c r="A160" s="71">
        <f t="shared" si="19"/>
        <v>153</v>
      </c>
      <c r="B160" s="82">
        <f>B158+31</f>
        <v>43100</v>
      </c>
      <c r="C160" s="108"/>
      <c r="D160" s="67">
        <v>355819.97000000009</v>
      </c>
      <c r="E160" s="102"/>
      <c r="F160" s="104">
        <v>4.2099999999999999E-2</v>
      </c>
      <c r="G160" s="102">
        <f t="shared" ref="G160:G171" si="24">ROUND((+I159+E160+(D160/2))*F160/12,2)</f>
        <v>-4114.17</v>
      </c>
      <c r="H160" s="102">
        <f t="shared" si="20"/>
        <v>351705.8000000001</v>
      </c>
      <c r="I160" s="102">
        <f t="shared" si="21"/>
        <v>-998888.52930640103</v>
      </c>
      <c r="J160" s="67"/>
      <c r="K160" s="67"/>
      <c r="L160" s="67"/>
      <c r="M160" s="67"/>
      <c r="N160" s="67"/>
      <c r="O160" s="67"/>
    </row>
    <row r="161" spans="1:15" hidden="1" outlineLevel="1" x14ac:dyDescent="0.2">
      <c r="A161" s="71">
        <f t="shared" si="19"/>
        <v>154</v>
      </c>
      <c r="B161" s="82">
        <v>43101</v>
      </c>
      <c r="C161" s="87">
        <v>2</v>
      </c>
      <c r="D161" s="67">
        <v>462131.81</v>
      </c>
      <c r="E161" s="102">
        <v>-1461710.98</v>
      </c>
      <c r="F161" s="104">
        <v>4.2500000000000003E-2</v>
      </c>
      <c r="G161" s="102">
        <f t="shared" si="24"/>
        <v>-7896.26</v>
      </c>
      <c r="H161" s="102">
        <f t="shared" si="20"/>
        <v>-1007475.4299999999</v>
      </c>
      <c r="I161" s="102">
        <f t="shared" si="21"/>
        <v>-2006363.959306401</v>
      </c>
      <c r="J161" s="67"/>
      <c r="K161" s="67"/>
      <c r="L161" s="67"/>
      <c r="M161" s="67"/>
      <c r="N161" s="67"/>
      <c r="O161" s="67"/>
    </row>
    <row r="162" spans="1:15" hidden="1" outlineLevel="1" x14ac:dyDescent="0.2">
      <c r="A162" s="71">
        <f t="shared" si="19"/>
        <v>155</v>
      </c>
      <c r="B162" s="82">
        <v>43132</v>
      </c>
      <c r="C162" s="108"/>
      <c r="D162" s="67">
        <v>331563.43000000005</v>
      </c>
      <c r="E162" s="102"/>
      <c r="F162" s="104">
        <v>4.2500000000000003E-2</v>
      </c>
      <c r="G162" s="102">
        <f t="shared" si="24"/>
        <v>-6518.73</v>
      </c>
      <c r="H162" s="102">
        <f t="shared" si="20"/>
        <v>325044.70000000007</v>
      </c>
      <c r="I162" s="102">
        <f t="shared" si="21"/>
        <v>-1681319.259306401</v>
      </c>
      <c r="J162" s="67"/>
      <c r="K162" s="67"/>
      <c r="L162" s="67"/>
      <c r="M162" s="67"/>
      <c r="N162" s="67"/>
      <c r="O162" s="67"/>
    </row>
    <row r="163" spans="1:15" hidden="1" outlineLevel="1" x14ac:dyDescent="0.2">
      <c r="A163" s="71">
        <f t="shared" si="19"/>
        <v>156</v>
      </c>
      <c r="B163" s="82">
        <v>43160</v>
      </c>
      <c r="C163" s="108"/>
      <c r="D163" s="67">
        <v>366857.62999999995</v>
      </c>
      <c r="E163" s="102"/>
      <c r="F163" s="104">
        <v>4.2500000000000003E-2</v>
      </c>
      <c r="G163" s="102">
        <f t="shared" si="24"/>
        <v>-5305.03</v>
      </c>
      <c r="H163" s="102">
        <f t="shared" si="20"/>
        <v>361552.59999999992</v>
      </c>
      <c r="I163" s="102">
        <f t="shared" si="21"/>
        <v>-1319766.6593064012</v>
      </c>
      <c r="J163" s="67"/>
      <c r="K163" s="67"/>
      <c r="L163" s="67"/>
      <c r="M163" s="67"/>
      <c r="N163" s="67"/>
      <c r="O163" s="67"/>
    </row>
    <row r="164" spans="1:15" hidden="1" outlineLevel="1" x14ac:dyDescent="0.2">
      <c r="A164" s="71">
        <f t="shared" si="19"/>
        <v>157</v>
      </c>
      <c r="B164" s="82">
        <v>43191</v>
      </c>
      <c r="C164" s="108"/>
      <c r="D164" s="67">
        <v>268036.96999999997</v>
      </c>
      <c r="E164" s="102"/>
      <c r="F164" s="104">
        <v>4.4699999999999997E-2</v>
      </c>
      <c r="G164" s="102">
        <f t="shared" si="24"/>
        <v>-4416.91</v>
      </c>
      <c r="H164" s="102">
        <f t="shared" si="20"/>
        <v>263620.06</v>
      </c>
      <c r="I164" s="102">
        <f t="shared" si="21"/>
        <v>-1056146.5993064011</v>
      </c>
      <c r="J164" s="67"/>
      <c r="K164" s="67"/>
      <c r="L164" s="67"/>
      <c r="M164" s="67"/>
      <c r="N164" s="67"/>
      <c r="O164" s="67"/>
    </row>
    <row r="165" spans="1:15" hidden="1" outlineLevel="1" x14ac:dyDescent="0.2">
      <c r="A165" s="71">
        <f t="shared" si="19"/>
        <v>158</v>
      </c>
      <c r="B165" s="82">
        <v>43221</v>
      </c>
      <c r="C165" s="108"/>
      <c r="D165" s="67">
        <v>146130.19</v>
      </c>
      <c r="E165" s="102"/>
      <c r="F165" s="104">
        <v>4.4699999999999997E-2</v>
      </c>
      <c r="G165" s="102">
        <f t="shared" si="24"/>
        <v>-3661.98</v>
      </c>
      <c r="H165" s="102">
        <f t="shared" si="20"/>
        <v>142468.21</v>
      </c>
      <c r="I165" s="102">
        <f t="shared" si="21"/>
        <v>-913678.38930640114</v>
      </c>
      <c r="J165" s="67"/>
      <c r="K165" s="67"/>
      <c r="L165" s="67"/>
      <c r="M165" s="67"/>
      <c r="N165" s="67"/>
      <c r="O165" s="67"/>
    </row>
    <row r="166" spans="1:15" hidden="1" outlineLevel="1" x14ac:dyDescent="0.2">
      <c r="A166" s="71">
        <f t="shared" si="19"/>
        <v>159</v>
      </c>
      <c r="B166" s="82">
        <v>43252</v>
      </c>
      <c r="C166" s="108"/>
      <c r="D166" s="67">
        <v>99918.999999999971</v>
      </c>
      <c r="E166" s="102"/>
      <c r="F166" s="104">
        <v>4.4699999999999997E-2</v>
      </c>
      <c r="G166" s="102">
        <f t="shared" si="24"/>
        <v>-3217.35</v>
      </c>
      <c r="H166" s="102">
        <f t="shared" si="20"/>
        <v>96701.649999999965</v>
      </c>
      <c r="I166" s="102">
        <f t="shared" si="21"/>
        <v>-816976.73930640123</v>
      </c>
      <c r="J166" s="67"/>
      <c r="K166" s="67"/>
      <c r="L166" s="67"/>
      <c r="M166" s="67"/>
      <c r="N166" s="67"/>
      <c r="O166" s="67"/>
    </row>
    <row r="167" spans="1:15" hidden="1" outlineLevel="1" x14ac:dyDescent="0.2">
      <c r="A167" s="71">
        <f t="shared" si="19"/>
        <v>160</v>
      </c>
      <c r="B167" s="82">
        <v>43282</v>
      </c>
      <c r="C167" s="108"/>
      <c r="D167" s="67">
        <v>83289.190000000017</v>
      </c>
      <c r="E167" s="102"/>
      <c r="F167" s="104">
        <v>4.6899999999999997E-2</v>
      </c>
      <c r="G167" s="102">
        <f t="shared" si="24"/>
        <v>-3030.26</v>
      </c>
      <c r="H167" s="102">
        <f t="shared" si="20"/>
        <v>80258.930000000022</v>
      </c>
      <c r="I167" s="102">
        <f t="shared" si="21"/>
        <v>-736717.80930640118</v>
      </c>
      <c r="J167" s="67"/>
      <c r="K167" s="67"/>
      <c r="L167" s="67"/>
      <c r="M167" s="67"/>
      <c r="N167" s="67"/>
      <c r="O167" s="67"/>
    </row>
    <row r="168" spans="1:15" hidden="1" outlineLevel="1" x14ac:dyDescent="0.2">
      <c r="A168" s="71">
        <f t="shared" si="19"/>
        <v>161</v>
      </c>
      <c r="B168" s="82">
        <v>43313</v>
      </c>
      <c r="C168" s="108"/>
      <c r="D168" s="67">
        <v>69999.429999999978</v>
      </c>
      <c r="E168" s="102"/>
      <c r="F168" s="104">
        <v>4.6899999999999997E-2</v>
      </c>
      <c r="G168" s="102">
        <f t="shared" si="24"/>
        <v>-2742.55</v>
      </c>
      <c r="H168" s="102">
        <f t="shared" si="20"/>
        <v>67256.879999999976</v>
      </c>
      <c r="I168" s="102">
        <f t="shared" si="21"/>
        <v>-669460.92930640117</v>
      </c>
      <c r="J168" s="67"/>
      <c r="K168" s="67"/>
      <c r="L168" s="67"/>
      <c r="M168" s="67"/>
      <c r="N168" s="67"/>
      <c r="O168" s="67"/>
    </row>
    <row r="169" spans="1:15" hidden="1" outlineLevel="1" x14ac:dyDescent="0.2">
      <c r="A169" s="71">
        <f t="shared" si="19"/>
        <v>162</v>
      </c>
      <c r="B169" s="82">
        <v>43344</v>
      </c>
      <c r="C169" s="108"/>
      <c r="D169" s="67">
        <v>77949.570000000007</v>
      </c>
      <c r="E169" s="102"/>
      <c r="F169" s="104">
        <v>4.6899999999999997E-2</v>
      </c>
      <c r="G169" s="102">
        <f t="shared" si="24"/>
        <v>-2464.15</v>
      </c>
      <c r="H169" s="102">
        <f t="shared" si="20"/>
        <v>75485.420000000013</v>
      </c>
      <c r="I169" s="102">
        <f t="shared" si="21"/>
        <v>-593975.50930640113</v>
      </c>
      <c r="J169" s="67"/>
      <c r="K169" s="67"/>
      <c r="L169" s="67"/>
      <c r="M169" s="67"/>
      <c r="N169" s="67"/>
      <c r="O169" s="67"/>
    </row>
    <row r="170" spans="1:15" hidden="1" outlineLevel="1" x14ac:dyDescent="0.2">
      <c r="A170" s="71">
        <f t="shared" si="19"/>
        <v>163</v>
      </c>
      <c r="B170" s="82">
        <v>43374</v>
      </c>
      <c r="C170" s="108"/>
      <c r="D170" s="67">
        <v>111250.53</v>
      </c>
      <c r="E170" s="102"/>
      <c r="F170" s="88">
        <v>4.9599999999999998E-2</v>
      </c>
      <c r="G170" s="102">
        <f t="shared" si="24"/>
        <v>-2225.1799999999998</v>
      </c>
      <c r="H170" s="102">
        <f t="shared" si="20"/>
        <v>109025.35</v>
      </c>
      <c r="I170" s="102">
        <f t="shared" si="21"/>
        <v>-484950.15930640115</v>
      </c>
      <c r="J170" s="67"/>
      <c r="K170" s="67"/>
      <c r="L170" s="67"/>
      <c r="M170" s="67"/>
      <c r="N170" s="67"/>
      <c r="O170" s="67"/>
    </row>
    <row r="171" spans="1:15" hidden="1" outlineLevel="1" x14ac:dyDescent="0.2">
      <c r="A171" s="71">
        <f t="shared" si="19"/>
        <v>164</v>
      </c>
      <c r="B171" s="82">
        <v>43405</v>
      </c>
      <c r="C171" s="108" t="s">
        <v>351</v>
      </c>
      <c r="D171" s="67">
        <v>113006.17999999996</v>
      </c>
      <c r="E171" s="102"/>
      <c r="F171" s="88">
        <v>4.9599999999999998E-2</v>
      </c>
      <c r="G171" s="102">
        <f t="shared" si="24"/>
        <v>-1770.91</v>
      </c>
      <c r="H171" s="102">
        <f t="shared" si="20"/>
        <v>111235.26999999996</v>
      </c>
      <c r="I171" s="102">
        <f t="shared" si="21"/>
        <v>-373714.88930640119</v>
      </c>
      <c r="J171" s="67"/>
      <c r="K171" s="67"/>
      <c r="L171" s="67"/>
      <c r="M171" s="67"/>
      <c r="N171" s="67"/>
      <c r="O171" s="67"/>
    </row>
    <row r="172" spans="1:15" hidden="1" outlineLevel="1" x14ac:dyDescent="0.2">
      <c r="A172" s="71">
        <f t="shared" si="19"/>
        <v>165</v>
      </c>
      <c r="B172" s="82">
        <v>43405</v>
      </c>
      <c r="C172" s="66" t="s">
        <v>350</v>
      </c>
      <c r="D172" s="67">
        <v>60620.570000000007</v>
      </c>
      <c r="E172" s="102">
        <v>-522600.12438439886</v>
      </c>
      <c r="F172" s="88">
        <v>4.9599999999999998E-2</v>
      </c>
      <c r="G172" s="102">
        <f>ROUND((+E172+(D172/2))*F172/12,2)</f>
        <v>-2034.8</v>
      </c>
      <c r="H172" s="102">
        <f t="shared" si="20"/>
        <v>-464014.35438439884</v>
      </c>
      <c r="I172" s="102">
        <f t="shared" si="21"/>
        <v>-837729.24369080004</v>
      </c>
      <c r="J172" s="67"/>
      <c r="K172" s="67"/>
      <c r="L172" s="67"/>
      <c r="M172" s="67"/>
      <c r="N172" s="67"/>
      <c r="O172" s="67"/>
    </row>
    <row r="173" spans="1:15" hidden="1" outlineLevel="1" x14ac:dyDescent="0.2">
      <c r="A173" s="71">
        <f t="shared" si="19"/>
        <v>166</v>
      </c>
      <c r="B173" s="82">
        <v>43435</v>
      </c>
      <c r="C173" s="89"/>
      <c r="D173" s="67">
        <v>275157.60000000003</v>
      </c>
      <c r="E173" s="102"/>
      <c r="F173" s="88">
        <v>4.9599999999999998E-2</v>
      </c>
      <c r="G173" s="102">
        <f t="shared" ref="G173:G184" si="25">ROUND((+I172+E173+(D173/2))*F173/12,2)</f>
        <v>-2893.96</v>
      </c>
      <c r="H173" s="102">
        <f t="shared" si="20"/>
        <v>272263.64</v>
      </c>
      <c r="I173" s="102">
        <f t="shared" si="21"/>
        <v>-565465.60369080002</v>
      </c>
      <c r="J173" s="67"/>
      <c r="K173" s="67"/>
      <c r="L173" s="67"/>
      <c r="M173" s="67"/>
      <c r="N173" s="67"/>
      <c r="O173" s="67"/>
    </row>
    <row r="174" spans="1:15" hidden="1" outlineLevel="1" x14ac:dyDescent="0.2">
      <c r="A174" s="71">
        <f t="shared" si="19"/>
        <v>167</v>
      </c>
      <c r="B174" s="82">
        <v>43466</v>
      </c>
      <c r="C174" s="87">
        <v>2</v>
      </c>
      <c r="D174" s="67">
        <v>319970.46000000002</v>
      </c>
      <c r="E174" s="102">
        <v>-1864076.8</v>
      </c>
      <c r="F174" s="88">
        <v>5.1799999999999999E-2</v>
      </c>
      <c r="G174" s="102">
        <f t="shared" si="25"/>
        <v>-9796.92</v>
      </c>
      <c r="H174" s="102">
        <f t="shared" si="20"/>
        <v>-1553903.26</v>
      </c>
      <c r="I174" s="102">
        <f t="shared" si="21"/>
        <v>-2119368.8636908</v>
      </c>
      <c r="J174" s="67"/>
      <c r="K174" s="67"/>
      <c r="L174" s="67"/>
      <c r="M174" s="67"/>
      <c r="N174" s="67"/>
      <c r="O174" s="67"/>
    </row>
    <row r="175" spans="1:15" hidden="1" outlineLevel="1" x14ac:dyDescent="0.2">
      <c r="A175" s="71">
        <f t="shared" si="19"/>
        <v>168</v>
      </c>
      <c r="B175" s="82">
        <v>43497</v>
      </c>
      <c r="C175" s="89"/>
      <c r="D175" s="67">
        <v>316056.19</v>
      </c>
      <c r="E175" s="102"/>
      <c r="F175" s="88">
        <v>5.1799999999999999E-2</v>
      </c>
      <c r="G175" s="102">
        <f t="shared" si="25"/>
        <v>-8466.4500000000007</v>
      </c>
      <c r="H175" s="102">
        <f t="shared" ref="H175:H206" si="26">D175+E175+G175</f>
        <v>307589.74</v>
      </c>
      <c r="I175" s="102">
        <f t="shared" ref="I175:I206" si="27">I174+H175</f>
        <v>-1811779.1236908</v>
      </c>
      <c r="J175" s="67"/>
      <c r="K175" s="67"/>
      <c r="L175" s="67"/>
      <c r="M175" s="67"/>
      <c r="N175" s="67"/>
      <c r="O175" s="67"/>
    </row>
    <row r="176" spans="1:15" hidden="1" outlineLevel="1" x14ac:dyDescent="0.2">
      <c r="A176" s="71">
        <f t="shared" si="19"/>
        <v>169</v>
      </c>
      <c r="B176" s="82">
        <v>43525</v>
      </c>
      <c r="C176" s="89"/>
      <c r="D176" s="67">
        <v>342332.13000000006</v>
      </c>
      <c r="E176" s="102"/>
      <c r="F176" s="88">
        <v>5.1799999999999999E-2</v>
      </c>
      <c r="G176" s="102">
        <f t="shared" si="25"/>
        <v>-7081.98</v>
      </c>
      <c r="H176" s="102">
        <f t="shared" si="26"/>
        <v>335250.15000000008</v>
      </c>
      <c r="I176" s="102">
        <f t="shared" si="27"/>
        <v>-1476528.9736907999</v>
      </c>
      <c r="J176" s="67"/>
      <c r="K176" s="67"/>
      <c r="L176" s="67"/>
      <c r="M176" s="67"/>
      <c r="N176" s="67"/>
      <c r="O176" s="67"/>
    </row>
    <row r="177" spans="1:15" hidden="1" outlineLevel="1" x14ac:dyDescent="0.2">
      <c r="A177" s="71">
        <f t="shared" si="19"/>
        <v>170</v>
      </c>
      <c r="B177" s="82">
        <v>43556</v>
      </c>
      <c r="C177" s="89"/>
      <c r="D177" s="67">
        <v>167782.39999999999</v>
      </c>
      <c r="E177" s="102"/>
      <c r="F177" s="88">
        <v>5.45E-2</v>
      </c>
      <c r="G177" s="102">
        <f t="shared" si="25"/>
        <v>-6324.9</v>
      </c>
      <c r="H177" s="102">
        <f t="shared" si="26"/>
        <v>161457.5</v>
      </c>
      <c r="I177" s="102">
        <f t="shared" si="27"/>
        <v>-1315071.4736907999</v>
      </c>
      <c r="J177" s="67"/>
      <c r="K177" s="67"/>
      <c r="L177" s="67"/>
      <c r="M177" s="67"/>
      <c r="N177" s="67"/>
      <c r="O177" s="67"/>
    </row>
    <row r="178" spans="1:15" hidden="1" outlineLevel="1" x14ac:dyDescent="0.2">
      <c r="A178" s="71">
        <f t="shared" si="19"/>
        <v>171</v>
      </c>
      <c r="B178" s="82">
        <v>43586</v>
      </c>
      <c r="C178" s="89"/>
      <c r="D178" s="67">
        <v>115806.21</v>
      </c>
      <c r="E178" s="102"/>
      <c r="F178" s="88">
        <v>5.45E-2</v>
      </c>
      <c r="G178" s="102">
        <f t="shared" si="25"/>
        <v>-5709.64</v>
      </c>
      <c r="H178" s="102">
        <f t="shared" si="26"/>
        <v>110096.57</v>
      </c>
      <c r="I178" s="102">
        <f t="shared" si="27"/>
        <v>-1204974.9036907998</v>
      </c>
      <c r="J178" s="67"/>
      <c r="K178" s="67"/>
      <c r="L178" s="67"/>
      <c r="M178" s="67"/>
      <c r="N178" s="67"/>
      <c r="O178" s="67"/>
    </row>
    <row r="179" spans="1:15" hidden="1" outlineLevel="1" x14ac:dyDescent="0.2">
      <c r="A179" s="71">
        <f t="shared" si="19"/>
        <v>172</v>
      </c>
      <c r="B179" s="82">
        <v>43617</v>
      </c>
      <c r="C179" s="89"/>
      <c r="D179" s="67">
        <v>77782.98</v>
      </c>
      <c r="E179" s="102"/>
      <c r="F179" s="88">
        <v>5.45E-2</v>
      </c>
      <c r="G179" s="102">
        <f t="shared" si="25"/>
        <v>-5295.96</v>
      </c>
      <c r="H179" s="102">
        <f t="shared" si="26"/>
        <v>72487.01999999999</v>
      </c>
      <c r="I179" s="102">
        <f t="shared" si="27"/>
        <v>-1132487.8836907998</v>
      </c>
      <c r="J179" s="67"/>
      <c r="K179" s="67"/>
      <c r="L179" s="67"/>
      <c r="M179" s="67"/>
      <c r="N179" s="67"/>
      <c r="O179" s="67"/>
    </row>
    <row r="180" spans="1:15" hidden="1" outlineLevel="1" x14ac:dyDescent="0.2">
      <c r="A180" s="71">
        <f t="shared" si="19"/>
        <v>173</v>
      </c>
      <c r="B180" s="82">
        <v>43647</v>
      </c>
      <c r="C180" s="89"/>
      <c r="D180" s="67">
        <v>67529.680000000022</v>
      </c>
      <c r="E180" s="102"/>
      <c r="F180" s="88">
        <v>5.5E-2</v>
      </c>
      <c r="G180" s="102">
        <f t="shared" si="25"/>
        <v>-5035.8100000000004</v>
      </c>
      <c r="H180" s="102">
        <f t="shared" si="26"/>
        <v>62493.870000000024</v>
      </c>
      <c r="I180" s="102">
        <f t="shared" si="27"/>
        <v>-1069994.0136907997</v>
      </c>
      <c r="J180" s="67"/>
      <c r="K180" s="67"/>
      <c r="L180" s="67"/>
      <c r="M180" s="67"/>
      <c r="N180" s="67"/>
      <c r="O180" s="67"/>
    </row>
    <row r="181" spans="1:15" hidden="1" outlineLevel="1" x14ac:dyDescent="0.2">
      <c r="A181" s="71">
        <f t="shared" si="19"/>
        <v>174</v>
      </c>
      <c r="B181" s="82">
        <v>43678</v>
      </c>
      <c r="C181" s="89"/>
      <c r="D181" s="67">
        <v>55677.109999999993</v>
      </c>
      <c r="E181" s="102"/>
      <c r="F181" s="88">
        <v>5.5E-2</v>
      </c>
      <c r="G181" s="102">
        <f t="shared" si="25"/>
        <v>-4776.55</v>
      </c>
      <c r="H181" s="102">
        <f t="shared" si="26"/>
        <v>50900.55999999999</v>
      </c>
      <c r="I181" s="102">
        <f t="shared" si="27"/>
        <v>-1019093.4536907998</v>
      </c>
      <c r="J181" s="67"/>
      <c r="K181" s="67"/>
      <c r="L181" s="67"/>
      <c r="M181" s="67"/>
      <c r="N181" s="67"/>
      <c r="O181" s="67"/>
    </row>
    <row r="182" spans="1:15" hidden="1" outlineLevel="1" x14ac:dyDescent="0.2">
      <c r="A182" s="71">
        <f t="shared" si="19"/>
        <v>175</v>
      </c>
      <c r="B182" s="82">
        <v>43709</v>
      </c>
      <c r="C182" s="89"/>
      <c r="D182" s="67">
        <v>57662.21</v>
      </c>
      <c r="E182" s="102"/>
      <c r="F182" s="88">
        <v>5.5E-2</v>
      </c>
      <c r="G182" s="102">
        <f t="shared" si="25"/>
        <v>-4538.7</v>
      </c>
      <c r="H182" s="102">
        <f t="shared" si="26"/>
        <v>53123.51</v>
      </c>
      <c r="I182" s="102">
        <f t="shared" si="27"/>
        <v>-965969.94369079976</v>
      </c>
      <c r="J182" s="67"/>
      <c r="K182" s="67"/>
      <c r="L182" s="67"/>
      <c r="M182" s="67"/>
      <c r="N182" s="67"/>
      <c r="O182" s="67"/>
    </row>
    <row r="183" spans="1:15" hidden="1" outlineLevel="1" x14ac:dyDescent="0.2">
      <c r="A183" s="71">
        <f t="shared" si="19"/>
        <v>176</v>
      </c>
      <c r="B183" s="82">
        <v>43739</v>
      </c>
      <c r="C183" s="89"/>
      <c r="D183" s="67">
        <v>111936.72</v>
      </c>
      <c r="E183" s="102"/>
      <c r="F183" s="79">
        <v>5.4199999999999998E-2</v>
      </c>
      <c r="G183" s="102">
        <f t="shared" si="25"/>
        <v>-4110.17</v>
      </c>
      <c r="H183" s="102">
        <f t="shared" si="26"/>
        <v>107826.55</v>
      </c>
      <c r="I183" s="102">
        <f t="shared" si="27"/>
        <v>-858143.39369079971</v>
      </c>
      <c r="J183" s="67"/>
      <c r="K183" s="67"/>
      <c r="L183" s="67"/>
      <c r="M183" s="67"/>
      <c r="N183" s="67"/>
      <c r="O183" s="67"/>
    </row>
    <row r="184" spans="1:15" hidden="1" outlineLevel="1" x14ac:dyDescent="0.2">
      <c r="A184" s="71">
        <f t="shared" si="19"/>
        <v>177</v>
      </c>
      <c r="B184" s="82">
        <v>43770</v>
      </c>
      <c r="C184" s="108" t="s">
        <v>351</v>
      </c>
      <c r="D184" s="67">
        <f>+'[35]Journal Page'!$F$99</f>
        <v>121370.06</v>
      </c>
      <c r="E184" s="102"/>
      <c r="F184" s="79">
        <v>5.4199999999999998E-2</v>
      </c>
      <c r="G184" s="102">
        <f t="shared" si="25"/>
        <v>-3601.85</v>
      </c>
      <c r="H184" s="102">
        <f t="shared" si="26"/>
        <v>117768.20999999999</v>
      </c>
      <c r="I184" s="102">
        <f t="shared" si="27"/>
        <v>-740375.18369079975</v>
      </c>
      <c r="J184" s="67"/>
      <c r="K184" s="67"/>
      <c r="L184" s="67"/>
      <c r="M184" s="67"/>
      <c r="N184" s="67"/>
      <c r="O184" s="67"/>
    </row>
    <row r="185" spans="1:15" hidden="1" outlineLevel="1" x14ac:dyDescent="0.2">
      <c r="A185" s="71">
        <f t="shared" si="19"/>
        <v>178</v>
      </c>
      <c r="B185" s="82">
        <v>43770</v>
      </c>
      <c r="C185" s="66" t="s">
        <v>350</v>
      </c>
      <c r="D185" s="67">
        <v>86396.78</v>
      </c>
      <c r="E185" s="102">
        <v>-210884.72</v>
      </c>
      <c r="F185" s="79">
        <v>5.4199999999999998E-2</v>
      </c>
      <c r="G185" s="102">
        <f>ROUND((+E185+(D185/2))*F185/12,2)</f>
        <v>-757.38</v>
      </c>
      <c r="H185" s="102">
        <f t="shared" si="26"/>
        <v>-125245.32</v>
      </c>
      <c r="I185" s="102">
        <f t="shared" si="27"/>
        <v>-865620.5036907997</v>
      </c>
      <c r="J185" s="67"/>
      <c r="K185" s="67"/>
      <c r="L185" s="67"/>
      <c r="M185" s="67"/>
      <c r="N185" s="67"/>
      <c r="O185" s="67"/>
    </row>
    <row r="186" spans="1:15" hidden="1" outlineLevel="1" x14ac:dyDescent="0.2">
      <c r="A186" s="71">
        <f t="shared" si="19"/>
        <v>179</v>
      </c>
      <c r="B186" s="82">
        <v>43800</v>
      </c>
      <c r="C186" s="89"/>
      <c r="D186" s="67">
        <v>319269.73000000004</v>
      </c>
      <c r="E186" s="102"/>
      <c r="F186" s="79">
        <v>5.4199999999999998E-2</v>
      </c>
      <c r="G186" s="102">
        <f t="shared" ref="G186:G197" si="28">ROUND((+I185+E186+(D186/2))*F186/12,2)</f>
        <v>-3188.7</v>
      </c>
      <c r="H186" s="102">
        <f t="shared" si="26"/>
        <v>316081.03000000003</v>
      </c>
      <c r="I186" s="102">
        <f t="shared" si="27"/>
        <v>-549539.47369079967</v>
      </c>
      <c r="J186" s="67"/>
      <c r="K186" s="67"/>
      <c r="L186" s="67"/>
      <c r="M186" s="67"/>
      <c r="N186" s="67"/>
      <c r="O186" s="67"/>
    </row>
    <row r="187" spans="1:15" hidden="1" outlineLevel="1" x14ac:dyDescent="0.2">
      <c r="A187" s="71">
        <f t="shared" si="19"/>
        <v>180</v>
      </c>
      <c r="B187" s="82">
        <v>43831</v>
      </c>
      <c r="C187" s="89"/>
      <c r="D187" s="67">
        <v>356057.9</v>
      </c>
      <c r="E187" s="102">
        <v>-1643319.28</v>
      </c>
      <c r="F187" s="79">
        <v>4.9599999999999998E-2</v>
      </c>
      <c r="G187" s="102">
        <f t="shared" si="28"/>
        <v>-8327.9599999999991</v>
      </c>
      <c r="H187" s="102">
        <f t="shared" si="26"/>
        <v>-1295589.3399999999</v>
      </c>
      <c r="I187" s="102">
        <f t="shared" si="27"/>
        <v>-1845128.8136907995</v>
      </c>
      <c r="J187" s="67"/>
      <c r="K187" s="67"/>
      <c r="L187" s="67"/>
      <c r="M187" s="67"/>
      <c r="N187" s="67"/>
      <c r="O187" s="67"/>
    </row>
    <row r="188" spans="1:15" hidden="1" outlineLevel="1" x14ac:dyDescent="0.2">
      <c r="A188" s="71">
        <f t="shared" si="19"/>
        <v>181</v>
      </c>
      <c r="B188" s="82">
        <v>43862</v>
      </c>
      <c r="C188" s="89"/>
      <c r="D188" s="67">
        <v>297070.06000000011</v>
      </c>
      <c r="E188" s="102"/>
      <c r="F188" s="79">
        <v>4.9599999999999998E-2</v>
      </c>
      <c r="G188" s="102">
        <f t="shared" si="28"/>
        <v>-7012.59</v>
      </c>
      <c r="H188" s="102">
        <f t="shared" si="26"/>
        <v>290057.47000000009</v>
      </c>
      <c r="I188" s="102">
        <f t="shared" si="27"/>
        <v>-1555071.3436907995</v>
      </c>
      <c r="J188" s="67"/>
      <c r="K188" s="67"/>
      <c r="L188" s="67"/>
      <c r="M188" s="67"/>
      <c r="N188" s="67"/>
      <c r="O188" s="67"/>
    </row>
    <row r="189" spans="1:15" hidden="1" outlineLevel="1" x14ac:dyDescent="0.2">
      <c r="A189" s="71">
        <f t="shared" si="19"/>
        <v>182</v>
      </c>
      <c r="B189" s="82">
        <v>43891</v>
      </c>
      <c r="C189" s="89"/>
      <c r="D189" s="67">
        <v>287929.28999999998</v>
      </c>
      <c r="E189" s="102"/>
      <c r="F189" s="79">
        <v>4.9599999999999998E-2</v>
      </c>
      <c r="G189" s="102">
        <f t="shared" si="28"/>
        <v>-5832.57</v>
      </c>
      <c r="H189" s="102">
        <f t="shared" si="26"/>
        <v>282096.71999999997</v>
      </c>
      <c r="I189" s="102">
        <f t="shared" si="27"/>
        <v>-1272974.6236907996</v>
      </c>
      <c r="J189" s="67"/>
      <c r="K189" s="67"/>
      <c r="L189" s="67"/>
      <c r="M189" s="67"/>
      <c r="N189" s="67"/>
      <c r="O189" s="67"/>
    </row>
    <row r="190" spans="1:15" hidden="1" outlineLevel="1" x14ac:dyDescent="0.2">
      <c r="A190" s="71">
        <f t="shared" si="19"/>
        <v>183</v>
      </c>
      <c r="B190" s="82">
        <v>43922</v>
      </c>
      <c r="C190" s="108"/>
      <c r="D190" s="67">
        <v>218831.83999999997</v>
      </c>
      <c r="E190" s="102"/>
      <c r="F190" s="104">
        <v>4.7500000000000001E-2</v>
      </c>
      <c r="G190" s="102">
        <f t="shared" si="28"/>
        <v>-4605.75</v>
      </c>
      <c r="H190" s="102">
        <f t="shared" si="26"/>
        <v>214226.08999999997</v>
      </c>
      <c r="I190" s="102">
        <f t="shared" si="27"/>
        <v>-1058748.5336907995</v>
      </c>
      <c r="J190" s="67"/>
      <c r="K190" s="67"/>
      <c r="L190" s="67"/>
      <c r="M190" s="67"/>
      <c r="N190" s="67"/>
      <c r="O190" s="67"/>
    </row>
    <row r="191" spans="1:15" hidden="1" outlineLevel="1" x14ac:dyDescent="0.2">
      <c r="A191" s="71">
        <f t="shared" si="19"/>
        <v>184</v>
      </c>
      <c r="B191" s="82">
        <v>43952</v>
      </c>
      <c r="C191" s="108"/>
      <c r="D191" s="67">
        <v>118929.06000000001</v>
      </c>
      <c r="E191" s="102"/>
      <c r="F191" s="104">
        <v>4.7500000000000001E-2</v>
      </c>
      <c r="G191" s="102">
        <f t="shared" si="28"/>
        <v>-3955.5</v>
      </c>
      <c r="H191" s="102">
        <f t="shared" si="26"/>
        <v>114973.56000000001</v>
      </c>
      <c r="I191" s="102">
        <f t="shared" si="27"/>
        <v>-943774.97369079944</v>
      </c>
      <c r="J191" s="67"/>
      <c r="K191" s="67"/>
      <c r="L191" s="67"/>
      <c r="M191" s="67"/>
      <c r="N191" s="67"/>
      <c r="O191" s="67"/>
    </row>
    <row r="192" spans="1:15" hidden="1" outlineLevel="1" x14ac:dyDescent="0.2">
      <c r="A192" s="71">
        <f t="shared" si="19"/>
        <v>185</v>
      </c>
      <c r="B192" s="82">
        <v>43983</v>
      </c>
      <c r="C192" s="108"/>
      <c r="D192" s="67">
        <v>92318.329999999987</v>
      </c>
      <c r="E192" s="102"/>
      <c r="F192" s="104">
        <v>4.7500000000000001E-2</v>
      </c>
      <c r="G192" s="102">
        <f t="shared" si="28"/>
        <v>-3553.06</v>
      </c>
      <c r="H192" s="102">
        <f t="shared" si="26"/>
        <v>88765.26999999999</v>
      </c>
      <c r="I192" s="102">
        <f t="shared" si="27"/>
        <v>-855009.70369079942</v>
      </c>
      <c r="J192" s="67"/>
      <c r="K192" s="67"/>
      <c r="L192" s="67"/>
      <c r="M192" s="67"/>
      <c r="N192" s="67"/>
      <c r="O192" s="67"/>
    </row>
    <row r="193" spans="1:15" hidden="1" outlineLevel="1" x14ac:dyDescent="0.2">
      <c r="A193" s="71">
        <f t="shared" si="19"/>
        <v>186</v>
      </c>
      <c r="B193" s="82">
        <v>44013</v>
      </c>
      <c r="C193" s="108"/>
      <c r="D193" s="67">
        <v>73229.209999999992</v>
      </c>
      <c r="E193" s="102"/>
      <c r="F193" s="104">
        <v>3.4299999999999997E-2</v>
      </c>
      <c r="G193" s="102">
        <f t="shared" si="28"/>
        <v>-2339.25</v>
      </c>
      <c r="H193" s="102">
        <f t="shared" si="26"/>
        <v>70889.959999999992</v>
      </c>
      <c r="I193" s="102">
        <f t="shared" si="27"/>
        <v>-784119.74369079946</v>
      </c>
      <c r="J193" s="67"/>
      <c r="K193" s="67"/>
      <c r="L193" s="67"/>
      <c r="M193" s="67"/>
      <c r="N193" s="67"/>
      <c r="O193" s="67"/>
    </row>
    <row r="194" spans="1:15" hidden="1" outlineLevel="1" x14ac:dyDescent="0.2">
      <c r="A194" s="71">
        <f t="shared" si="19"/>
        <v>187</v>
      </c>
      <c r="B194" s="82">
        <v>44044</v>
      </c>
      <c r="C194" s="108"/>
      <c r="D194" s="67">
        <v>58819.30999999999</v>
      </c>
      <c r="E194" s="102"/>
      <c r="F194" s="104">
        <v>3.4299999999999997E-2</v>
      </c>
      <c r="G194" s="102">
        <f t="shared" si="28"/>
        <v>-2157.21</v>
      </c>
      <c r="H194" s="102">
        <f t="shared" si="26"/>
        <v>56662.099999999991</v>
      </c>
      <c r="I194" s="102">
        <f t="shared" si="27"/>
        <v>-727457.64369079948</v>
      </c>
      <c r="J194" s="67"/>
      <c r="K194" s="67"/>
      <c r="L194" s="67"/>
      <c r="M194" s="67"/>
      <c r="N194" s="67"/>
      <c r="O194" s="67"/>
    </row>
    <row r="195" spans="1:15" hidden="1" outlineLevel="1" x14ac:dyDescent="0.2">
      <c r="A195" s="71">
        <f t="shared" si="19"/>
        <v>188</v>
      </c>
      <c r="B195" s="82">
        <v>44075</v>
      </c>
      <c r="C195" s="89"/>
      <c r="D195" s="67">
        <v>61740.12000000001</v>
      </c>
      <c r="E195" s="102"/>
      <c r="F195" s="104">
        <v>3.4299999999999997E-2</v>
      </c>
      <c r="G195" s="102">
        <f t="shared" si="28"/>
        <v>-1991.08</v>
      </c>
      <c r="H195" s="102">
        <f t="shared" si="26"/>
        <v>59749.040000000008</v>
      </c>
      <c r="I195" s="102">
        <f t="shared" si="27"/>
        <v>-667708.60369079944</v>
      </c>
      <c r="J195" s="67"/>
      <c r="K195" s="67"/>
      <c r="L195" s="67"/>
      <c r="M195" s="67"/>
      <c r="N195" s="67"/>
      <c r="O195" s="67"/>
    </row>
    <row r="196" spans="1:15" hidden="1" outlineLevel="1" x14ac:dyDescent="0.2">
      <c r="A196" s="71">
        <f t="shared" si="19"/>
        <v>189</v>
      </c>
      <c r="B196" s="82">
        <v>44105</v>
      </c>
      <c r="C196" s="89"/>
      <c r="D196" s="67">
        <v>79590.180000000008</v>
      </c>
      <c r="E196" s="102"/>
      <c r="F196" s="104">
        <v>3.2500000000000001E-2</v>
      </c>
      <c r="G196" s="102">
        <f t="shared" si="28"/>
        <v>-1700.6</v>
      </c>
      <c r="H196" s="102">
        <f t="shared" si="26"/>
        <v>77889.58</v>
      </c>
      <c r="I196" s="102">
        <f t="shared" si="27"/>
        <v>-589819.02369079948</v>
      </c>
      <c r="J196" s="67"/>
      <c r="K196" s="67"/>
      <c r="L196" s="67"/>
      <c r="M196" s="67"/>
      <c r="N196" s="67"/>
      <c r="O196" s="67"/>
    </row>
    <row r="197" spans="1:15" hidden="1" outlineLevel="1" x14ac:dyDescent="0.2">
      <c r="A197" s="71">
        <f t="shared" si="19"/>
        <v>190</v>
      </c>
      <c r="B197" s="82">
        <v>44136</v>
      </c>
      <c r="C197" s="108" t="s">
        <v>351</v>
      </c>
      <c r="D197" s="67">
        <v>114069.09</v>
      </c>
      <c r="E197" s="102"/>
      <c r="F197" s="104">
        <v>3.2500000000000001E-2</v>
      </c>
      <c r="G197" s="102">
        <f t="shared" si="28"/>
        <v>-1442.96</v>
      </c>
      <c r="H197" s="102">
        <f t="shared" si="26"/>
        <v>112626.12999999999</v>
      </c>
      <c r="I197" s="102">
        <f t="shared" si="27"/>
        <v>-477192.89369079948</v>
      </c>
      <c r="J197" s="67"/>
      <c r="K197" s="67"/>
      <c r="L197" s="67"/>
      <c r="M197" s="67"/>
      <c r="N197" s="67"/>
      <c r="O197" s="67"/>
    </row>
    <row r="198" spans="1:15" hidden="1" outlineLevel="1" x14ac:dyDescent="0.2">
      <c r="A198" s="71">
        <f t="shared" si="19"/>
        <v>191</v>
      </c>
      <c r="B198" s="82">
        <v>44136</v>
      </c>
      <c r="C198" s="66" t="s">
        <v>350</v>
      </c>
      <c r="D198" s="67">
        <v>47583.22</v>
      </c>
      <c r="E198" s="102">
        <v>-364.74</v>
      </c>
      <c r="F198" s="104">
        <v>3.2500000000000001E-2</v>
      </c>
      <c r="G198" s="102">
        <f>ROUND((+E198+(D198/2))*F198/12,2)</f>
        <v>63.45</v>
      </c>
      <c r="H198" s="102">
        <f t="shared" si="26"/>
        <v>47281.93</v>
      </c>
      <c r="I198" s="102">
        <f t="shared" si="27"/>
        <v>-429910.96369079949</v>
      </c>
      <c r="J198" s="67"/>
      <c r="K198" s="67"/>
      <c r="L198" s="67"/>
      <c r="M198" s="67"/>
      <c r="N198" s="67"/>
      <c r="O198" s="67"/>
    </row>
    <row r="199" spans="1:15" hidden="1" outlineLevel="1" x14ac:dyDescent="0.2">
      <c r="A199" s="71">
        <f t="shared" si="19"/>
        <v>192</v>
      </c>
      <c r="B199" s="82">
        <v>44166</v>
      </c>
      <c r="D199" s="67">
        <v>184384.25999999992</v>
      </c>
      <c r="E199" s="102"/>
      <c r="F199" s="104">
        <v>3.2500000000000001E-2</v>
      </c>
      <c r="G199" s="102">
        <f t="shared" ref="G199:G210" si="29">ROUND((+I198+E199+(D199/2))*F199/12,2)</f>
        <v>-914.66</v>
      </c>
      <c r="H199" s="102">
        <f t="shared" si="26"/>
        <v>183469.59999999992</v>
      </c>
      <c r="I199" s="102">
        <f t="shared" si="27"/>
        <v>-246441.36369079957</v>
      </c>
      <c r="J199" s="67"/>
      <c r="K199" s="67"/>
      <c r="L199" s="67"/>
      <c r="M199" s="67"/>
      <c r="N199" s="67"/>
      <c r="O199" s="67"/>
    </row>
    <row r="200" spans="1:15" hidden="1" outlineLevel="1" x14ac:dyDescent="0.2">
      <c r="A200" s="71">
        <f t="shared" si="19"/>
        <v>193</v>
      </c>
      <c r="B200" s="82">
        <v>44197</v>
      </c>
      <c r="C200" s="89"/>
      <c r="D200" s="67">
        <v>186137.11000000002</v>
      </c>
      <c r="E200" s="102">
        <v>-1181567.06</v>
      </c>
      <c r="F200" s="104">
        <v>3.2500000000000001E-2</v>
      </c>
      <c r="G200" s="102">
        <f t="shared" si="29"/>
        <v>-3615.46</v>
      </c>
      <c r="H200" s="102">
        <f t="shared" si="26"/>
        <v>-999045.41</v>
      </c>
      <c r="I200" s="102">
        <f t="shared" si="27"/>
        <v>-1245486.7736907997</v>
      </c>
      <c r="J200" s="67"/>
      <c r="K200" s="67"/>
      <c r="L200" s="67"/>
      <c r="M200" s="67"/>
      <c r="N200" s="67"/>
      <c r="O200" s="67"/>
    </row>
    <row r="201" spans="1:15" hidden="1" outlineLevel="1" x14ac:dyDescent="0.2">
      <c r="A201" s="71">
        <f t="shared" ref="A201:A267" si="30">+A200+1</f>
        <v>194</v>
      </c>
      <c r="B201" s="82">
        <v>44228</v>
      </c>
      <c r="C201" s="89"/>
      <c r="D201" s="67">
        <v>192385.28999999998</v>
      </c>
      <c r="E201" s="102"/>
      <c r="F201" s="104">
        <v>3.2500000000000001E-2</v>
      </c>
      <c r="G201" s="102">
        <f t="shared" si="29"/>
        <v>-3112.67</v>
      </c>
      <c r="H201" s="102">
        <f t="shared" si="26"/>
        <v>189272.61999999997</v>
      </c>
      <c r="I201" s="102">
        <f t="shared" si="27"/>
        <v>-1056214.1536907998</v>
      </c>
      <c r="J201" s="67"/>
      <c r="K201" s="67"/>
      <c r="L201" s="67"/>
      <c r="M201" s="67"/>
      <c r="N201" s="67"/>
      <c r="O201" s="67"/>
    </row>
    <row r="202" spans="1:15" hidden="1" outlineLevel="1" x14ac:dyDescent="0.2">
      <c r="A202" s="71">
        <f t="shared" si="30"/>
        <v>195</v>
      </c>
      <c r="B202" s="82">
        <v>44256</v>
      </c>
      <c r="C202" s="89"/>
      <c r="D202" s="67">
        <v>172301.01999999996</v>
      </c>
      <c r="E202" s="102"/>
      <c r="F202" s="104">
        <v>3.2500000000000001E-2</v>
      </c>
      <c r="G202" s="102">
        <f t="shared" si="29"/>
        <v>-2627.26</v>
      </c>
      <c r="H202" s="102">
        <f t="shared" si="26"/>
        <v>169673.75999999995</v>
      </c>
      <c r="I202" s="102">
        <f t="shared" si="27"/>
        <v>-886540.39369079983</v>
      </c>
      <c r="J202" s="67"/>
      <c r="K202" s="67"/>
      <c r="L202" s="67"/>
      <c r="M202" s="67"/>
      <c r="N202" s="67"/>
      <c r="O202" s="67"/>
    </row>
    <row r="203" spans="1:15" hidden="1" outlineLevel="1" x14ac:dyDescent="0.2">
      <c r="A203" s="71">
        <f t="shared" si="30"/>
        <v>196</v>
      </c>
      <c r="B203" s="82">
        <v>44287</v>
      </c>
      <c r="C203" s="89"/>
      <c r="D203" s="67">
        <v>125269.01999999999</v>
      </c>
      <c r="E203" s="102"/>
      <c r="F203" s="104">
        <v>3.2500000000000001E-2</v>
      </c>
      <c r="G203" s="102">
        <f t="shared" si="29"/>
        <v>-2231.41</v>
      </c>
      <c r="H203" s="102">
        <f t="shared" si="26"/>
        <v>123037.60999999999</v>
      </c>
      <c r="I203" s="102">
        <f t="shared" si="27"/>
        <v>-763502.78369079984</v>
      </c>
      <c r="J203" s="67"/>
      <c r="K203" s="67"/>
      <c r="L203" s="67"/>
      <c r="M203" s="67"/>
      <c r="N203" s="67"/>
      <c r="O203" s="67"/>
    </row>
    <row r="204" spans="1:15" hidden="1" outlineLevel="1" x14ac:dyDescent="0.2">
      <c r="A204" s="71">
        <f t="shared" si="30"/>
        <v>197</v>
      </c>
      <c r="B204" s="82">
        <v>44317</v>
      </c>
      <c r="C204" s="89"/>
      <c r="D204" s="67">
        <v>67559.289999999994</v>
      </c>
      <c r="E204" s="102"/>
      <c r="F204" s="104">
        <v>3.2500000000000001E-2</v>
      </c>
      <c r="G204" s="102">
        <f t="shared" si="29"/>
        <v>-1976.33</v>
      </c>
      <c r="H204" s="102">
        <f t="shared" si="26"/>
        <v>65582.959999999992</v>
      </c>
      <c r="I204" s="102">
        <f t="shared" si="27"/>
        <v>-697919.82369079988</v>
      </c>
      <c r="J204" s="67"/>
      <c r="K204" s="67"/>
      <c r="L204" s="67"/>
      <c r="M204" s="67"/>
      <c r="N204" s="67"/>
      <c r="O204" s="67"/>
    </row>
    <row r="205" spans="1:15" hidden="1" outlineLevel="1" x14ac:dyDescent="0.2">
      <c r="A205" s="71">
        <f t="shared" si="30"/>
        <v>198</v>
      </c>
      <c r="B205" s="82">
        <v>44348</v>
      </c>
      <c r="C205" s="89"/>
      <c r="D205" s="67">
        <v>53612.43</v>
      </c>
      <c r="E205" s="102"/>
      <c r="F205" s="104">
        <v>3.2500000000000001E-2</v>
      </c>
      <c r="G205" s="102">
        <f t="shared" si="29"/>
        <v>-1817.6</v>
      </c>
      <c r="H205" s="102">
        <f t="shared" si="26"/>
        <v>51794.83</v>
      </c>
      <c r="I205" s="102">
        <f t="shared" si="27"/>
        <v>-646124.99369079992</v>
      </c>
      <c r="J205" s="67"/>
      <c r="K205" s="67"/>
      <c r="L205" s="67"/>
      <c r="M205" s="67"/>
      <c r="N205" s="67"/>
      <c r="O205" s="67"/>
    </row>
    <row r="206" spans="1:15" hidden="1" outlineLevel="1" x14ac:dyDescent="0.2">
      <c r="A206" s="71">
        <f t="shared" si="30"/>
        <v>199</v>
      </c>
      <c r="B206" s="82">
        <v>44378</v>
      </c>
      <c r="C206" s="89"/>
      <c r="D206" s="67">
        <v>35686.87999999999</v>
      </c>
      <c r="E206" s="102"/>
      <c r="F206" s="104">
        <v>3.2500000000000001E-2</v>
      </c>
      <c r="G206" s="102">
        <f t="shared" si="29"/>
        <v>-1701.6</v>
      </c>
      <c r="H206" s="102">
        <f t="shared" si="26"/>
        <v>33985.279999999992</v>
      </c>
      <c r="I206" s="102">
        <f t="shared" si="27"/>
        <v>-612139.71369079989</v>
      </c>
      <c r="J206" s="67"/>
      <c r="K206" s="67"/>
      <c r="L206" s="67"/>
      <c r="M206" s="67"/>
      <c r="N206" s="67"/>
      <c r="O206" s="67"/>
    </row>
    <row r="207" spans="1:15" hidden="1" outlineLevel="1" x14ac:dyDescent="0.2">
      <c r="A207" s="71">
        <f t="shared" si="30"/>
        <v>200</v>
      </c>
      <c r="B207" s="82">
        <v>44409</v>
      </c>
      <c r="C207" s="89"/>
      <c r="D207" s="67">
        <v>33043.14</v>
      </c>
      <c r="E207" s="102"/>
      <c r="F207" s="104">
        <v>3.2500000000000001E-2</v>
      </c>
      <c r="G207" s="102">
        <f t="shared" si="29"/>
        <v>-1613.13</v>
      </c>
      <c r="H207" s="102">
        <f t="shared" ref="H207:H238" si="31">D207+E207+G207</f>
        <v>31430.01</v>
      </c>
      <c r="I207" s="102">
        <f t="shared" ref="I207:I238" si="32">I206+H207</f>
        <v>-580709.70369079988</v>
      </c>
      <c r="J207" s="67"/>
      <c r="K207" s="67"/>
      <c r="L207" s="67"/>
      <c r="M207" s="67"/>
      <c r="N207" s="67"/>
      <c r="O207" s="67"/>
    </row>
    <row r="208" spans="1:15" hidden="1" outlineLevel="1" x14ac:dyDescent="0.2">
      <c r="A208" s="71">
        <f t="shared" si="30"/>
        <v>201</v>
      </c>
      <c r="B208" s="82">
        <v>44440</v>
      </c>
      <c r="C208" s="89"/>
      <c r="D208" s="67">
        <v>37703.830000000009</v>
      </c>
      <c r="E208" s="102"/>
      <c r="F208" s="104">
        <v>3.2500000000000001E-2</v>
      </c>
      <c r="G208" s="102">
        <f t="shared" si="29"/>
        <v>-1521.7</v>
      </c>
      <c r="H208" s="102">
        <f t="shared" si="31"/>
        <v>36182.130000000012</v>
      </c>
      <c r="I208" s="102">
        <f t="shared" si="32"/>
        <v>-544527.57369079988</v>
      </c>
      <c r="J208" s="67"/>
      <c r="K208" s="67"/>
      <c r="L208" s="67"/>
      <c r="M208" s="67"/>
      <c r="N208" s="67"/>
      <c r="O208" s="67"/>
    </row>
    <row r="209" spans="1:15" hidden="1" outlineLevel="1" x14ac:dyDescent="0.2">
      <c r="A209" s="71">
        <f t="shared" si="30"/>
        <v>202</v>
      </c>
      <c r="B209" s="82">
        <v>44470</v>
      </c>
      <c r="C209" s="89"/>
      <c r="D209" s="67">
        <v>59823.200000000004</v>
      </c>
      <c r="E209" s="102"/>
      <c r="F209" s="104">
        <v>3.2500000000000001E-2</v>
      </c>
      <c r="G209" s="102">
        <f t="shared" si="29"/>
        <v>-1393.75</v>
      </c>
      <c r="H209" s="102">
        <f t="shared" si="31"/>
        <v>58429.450000000004</v>
      </c>
      <c r="I209" s="102">
        <f t="shared" si="32"/>
        <v>-486098.12369079987</v>
      </c>
      <c r="J209" s="67"/>
      <c r="K209" s="67"/>
      <c r="L209" s="67"/>
      <c r="M209" s="67"/>
      <c r="N209" s="67"/>
      <c r="O209" s="67"/>
    </row>
    <row r="210" spans="1:15" hidden="1" outlineLevel="1" x14ac:dyDescent="0.2">
      <c r="A210" s="71">
        <f t="shared" si="30"/>
        <v>203</v>
      </c>
      <c r="B210" s="82">
        <v>44501</v>
      </c>
      <c r="C210" s="108" t="s">
        <v>351</v>
      </c>
      <c r="D210" s="67">
        <v>63850.51</v>
      </c>
      <c r="E210" s="102"/>
      <c r="F210" s="104">
        <v>3.2500000000000001E-2</v>
      </c>
      <c r="G210" s="102">
        <f t="shared" si="29"/>
        <v>-1230.05</v>
      </c>
      <c r="H210" s="102">
        <f t="shared" si="31"/>
        <v>62620.46</v>
      </c>
      <c r="I210" s="102">
        <f t="shared" si="32"/>
        <v>-423477.66369079985</v>
      </c>
      <c r="J210" s="67"/>
      <c r="K210" s="67"/>
      <c r="L210" s="67"/>
      <c r="M210" s="67"/>
      <c r="N210" s="67"/>
      <c r="O210" s="67"/>
    </row>
    <row r="211" spans="1:15" hidden="1" outlineLevel="1" collapsed="1" x14ac:dyDescent="0.2">
      <c r="A211" s="71">
        <f t="shared" si="30"/>
        <v>204</v>
      </c>
      <c r="B211" s="82">
        <v>44501</v>
      </c>
      <c r="C211" s="66" t="s">
        <v>350</v>
      </c>
      <c r="D211" s="67">
        <v>142121.34</v>
      </c>
      <c r="E211" s="102">
        <f>-'151550 Demand Accrual'!E197</f>
        <v>304778.69602219778</v>
      </c>
      <c r="F211" s="104">
        <v>3.2500000000000001E-2</v>
      </c>
      <c r="G211" s="102">
        <f>ROUND((+E211+(D211/2))*F211/12,2)</f>
        <v>1017.9</v>
      </c>
      <c r="H211" s="102">
        <f t="shared" si="31"/>
        <v>447917.93602219783</v>
      </c>
      <c r="I211" s="102">
        <f t="shared" si="32"/>
        <v>24440.27233139798</v>
      </c>
      <c r="J211" s="67"/>
      <c r="K211" s="67"/>
      <c r="L211" s="67"/>
      <c r="M211" s="67"/>
      <c r="N211" s="67"/>
      <c r="O211" s="67"/>
    </row>
    <row r="212" spans="1:15" hidden="1" outlineLevel="1" x14ac:dyDescent="0.2">
      <c r="A212" s="71">
        <f t="shared" si="30"/>
        <v>205</v>
      </c>
      <c r="B212" s="82">
        <v>44531</v>
      </c>
      <c r="D212" s="67">
        <v>583676.6</v>
      </c>
      <c r="E212" s="102"/>
      <c r="F212" s="104">
        <v>3.2500000000000001E-2</v>
      </c>
      <c r="G212" s="102">
        <f t="shared" ref="G212:G223" si="33">ROUND((+I211+E212+(D212/2))*F212/12,2)</f>
        <v>856.59</v>
      </c>
      <c r="H212" s="102">
        <f t="shared" si="31"/>
        <v>584533.18999999994</v>
      </c>
      <c r="I212" s="102">
        <f t="shared" si="32"/>
        <v>608973.46233139792</v>
      </c>
      <c r="J212" s="67"/>
      <c r="K212" s="67"/>
      <c r="L212" s="67"/>
      <c r="M212" s="67"/>
      <c r="N212" s="67"/>
      <c r="O212" s="67"/>
    </row>
    <row r="213" spans="1:15" hidden="1" outlineLevel="1" x14ac:dyDescent="0.2">
      <c r="A213" s="71">
        <f t="shared" si="30"/>
        <v>206</v>
      </c>
      <c r="B213" s="82">
        <v>44562</v>
      </c>
      <c r="C213" s="120" t="s">
        <v>364</v>
      </c>
      <c r="D213" s="67">
        <v>858624.97</v>
      </c>
      <c r="E213" s="102">
        <v>-3646485.72</v>
      </c>
      <c r="F213" s="104">
        <v>3.2500000000000001E-2</v>
      </c>
      <c r="G213" s="102">
        <f t="shared" si="33"/>
        <v>-7063.87</v>
      </c>
      <c r="H213" s="102">
        <f t="shared" si="31"/>
        <v>-2794924.62</v>
      </c>
      <c r="I213" s="102">
        <f t="shared" si="32"/>
        <v>-2185951.1576686022</v>
      </c>
      <c r="J213" s="67"/>
      <c r="K213" s="67"/>
      <c r="L213" s="67"/>
      <c r="M213" s="67"/>
      <c r="N213" s="67"/>
      <c r="O213" s="67"/>
    </row>
    <row r="214" spans="1:15" hidden="1" outlineLevel="1" x14ac:dyDescent="0.2">
      <c r="A214" s="71">
        <f t="shared" si="30"/>
        <v>207</v>
      </c>
      <c r="B214" s="82">
        <v>44593</v>
      </c>
      <c r="D214" s="67">
        <v>690078.95000000019</v>
      </c>
      <c r="E214" s="102"/>
      <c r="F214" s="104">
        <v>3.2500000000000001E-2</v>
      </c>
      <c r="G214" s="102">
        <f t="shared" si="33"/>
        <v>-4985.8</v>
      </c>
      <c r="H214" s="102">
        <f t="shared" si="31"/>
        <v>685093.15000000014</v>
      </c>
      <c r="I214" s="102">
        <f t="shared" si="32"/>
        <v>-1500858.007668602</v>
      </c>
      <c r="J214" s="67"/>
      <c r="K214" s="67"/>
      <c r="L214" s="67"/>
      <c r="M214" s="67"/>
      <c r="N214" s="67"/>
      <c r="O214" s="67"/>
    </row>
    <row r="215" spans="1:15" hidden="1" outlineLevel="1" x14ac:dyDescent="0.2">
      <c r="A215" s="71">
        <f t="shared" si="30"/>
        <v>208</v>
      </c>
      <c r="B215" s="82">
        <v>44621</v>
      </c>
      <c r="D215" s="67">
        <v>586374.29</v>
      </c>
      <c r="E215" s="102"/>
      <c r="F215" s="104">
        <v>3.2500000000000001E-2</v>
      </c>
      <c r="G215" s="102">
        <f t="shared" si="33"/>
        <v>-3270.78</v>
      </c>
      <c r="H215" s="102">
        <f t="shared" si="31"/>
        <v>583103.51</v>
      </c>
      <c r="I215" s="102">
        <f t="shared" si="32"/>
        <v>-917754.49766860204</v>
      </c>
      <c r="J215" s="67"/>
      <c r="K215" s="67"/>
      <c r="L215" s="67"/>
      <c r="M215" s="67"/>
      <c r="N215" s="67"/>
      <c r="O215" s="67"/>
    </row>
    <row r="216" spans="1:15" hidden="1" outlineLevel="1" x14ac:dyDescent="0.2">
      <c r="A216" s="71">
        <f t="shared" si="30"/>
        <v>209</v>
      </c>
      <c r="B216" s="82">
        <v>44652</v>
      </c>
      <c r="D216" s="67">
        <v>436442.04000000004</v>
      </c>
      <c r="E216" s="102"/>
      <c r="F216" s="104">
        <v>3.2500000000000001E-2</v>
      </c>
      <c r="G216" s="102">
        <f t="shared" si="33"/>
        <v>-1894.57</v>
      </c>
      <c r="H216" s="102">
        <f t="shared" si="31"/>
        <v>434547.47000000003</v>
      </c>
      <c r="I216" s="102">
        <f t="shared" si="32"/>
        <v>-483207.02766860201</v>
      </c>
      <c r="J216" s="67"/>
      <c r="K216" s="67"/>
      <c r="L216" s="67"/>
      <c r="M216" s="67"/>
      <c r="N216" s="67"/>
      <c r="O216" s="67"/>
    </row>
    <row r="217" spans="1:15" hidden="1" outlineLevel="1" x14ac:dyDescent="0.2">
      <c r="A217" s="71">
        <f t="shared" si="30"/>
        <v>210</v>
      </c>
      <c r="B217" s="82">
        <v>44682</v>
      </c>
      <c r="D217" s="67">
        <f>'[36]WA AMORT'!$AB$135</f>
        <v>379874.56999999995</v>
      </c>
      <c r="E217" s="102"/>
      <c r="F217" s="104">
        <v>3.2500000000000001E-2</v>
      </c>
      <c r="G217" s="102">
        <f t="shared" si="33"/>
        <v>-794.27</v>
      </c>
      <c r="H217" s="102">
        <f t="shared" si="31"/>
        <v>379080.29999999993</v>
      </c>
      <c r="I217" s="102">
        <f t="shared" si="32"/>
        <v>-104126.72766860208</v>
      </c>
      <c r="J217" s="67"/>
      <c r="K217" s="67"/>
      <c r="L217" s="67"/>
      <c r="M217" s="67"/>
      <c r="N217" s="67"/>
      <c r="O217" s="67"/>
    </row>
    <row r="218" spans="1:15" hidden="1" outlineLevel="1" x14ac:dyDescent="0.2">
      <c r="A218" s="71">
        <f t="shared" si="30"/>
        <v>211</v>
      </c>
      <c r="B218" s="82">
        <v>44713</v>
      </c>
      <c r="D218" s="67">
        <v>229722.91999999995</v>
      </c>
      <c r="E218" s="102"/>
      <c r="F218" s="104">
        <v>3.2500000000000001E-2</v>
      </c>
      <c r="G218" s="102">
        <f t="shared" si="33"/>
        <v>29.07</v>
      </c>
      <c r="H218" s="102">
        <f t="shared" si="31"/>
        <v>229751.98999999996</v>
      </c>
      <c r="I218" s="102">
        <f t="shared" si="32"/>
        <v>125625.26233139788</v>
      </c>
      <c r="J218" s="67"/>
      <c r="K218" s="67"/>
      <c r="L218" s="67"/>
      <c r="M218" s="67"/>
      <c r="N218" s="67"/>
      <c r="O218" s="67"/>
    </row>
    <row r="219" spans="1:15" hidden="1" outlineLevel="1" x14ac:dyDescent="0.2">
      <c r="A219" s="71">
        <f t="shared" si="30"/>
        <v>212</v>
      </c>
      <c r="B219" s="82">
        <v>44743</v>
      </c>
      <c r="D219" s="67">
        <v>149496.09999999998</v>
      </c>
      <c r="E219" s="102"/>
      <c r="F219" s="104">
        <v>3.5999999999999997E-2</v>
      </c>
      <c r="G219" s="102">
        <f t="shared" si="33"/>
        <v>601.12</v>
      </c>
      <c r="H219" s="102">
        <f t="shared" si="31"/>
        <v>150097.21999999997</v>
      </c>
      <c r="I219" s="102">
        <f t="shared" si="32"/>
        <v>275722.48233139783</v>
      </c>
      <c r="J219" s="67"/>
      <c r="K219" s="67"/>
      <c r="L219" s="67"/>
      <c r="M219" s="67"/>
      <c r="N219" s="67"/>
      <c r="O219" s="67"/>
    </row>
    <row r="220" spans="1:15" hidden="1" outlineLevel="1" x14ac:dyDescent="0.2">
      <c r="A220" s="71">
        <f t="shared" si="30"/>
        <v>213</v>
      </c>
      <c r="B220" s="82">
        <v>44774</v>
      </c>
      <c r="D220" s="67">
        <v>112037.06000000001</v>
      </c>
      <c r="E220" s="102"/>
      <c r="F220" s="104">
        <v>3.5999999999999997E-2</v>
      </c>
      <c r="G220" s="102">
        <f t="shared" si="33"/>
        <v>995.22</v>
      </c>
      <c r="H220" s="102">
        <f t="shared" si="31"/>
        <v>113032.28000000001</v>
      </c>
      <c r="I220" s="102">
        <f t="shared" si="32"/>
        <v>388754.76233139785</v>
      </c>
      <c r="J220" s="67"/>
      <c r="K220" s="67"/>
      <c r="L220" s="67"/>
      <c r="M220" s="67"/>
      <c r="N220" s="67"/>
      <c r="O220" s="67"/>
    </row>
    <row r="221" spans="1:15" hidden="1" outlineLevel="1" x14ac:dyDescent="0.2">
      <c r="A221" s="71">
        <f t="shared" si="30"/>
        <v>214</v>
      </c>
      <c r="B221" s="82">
        <v>44805</v>
      </c>
      <c r="D221" s="67">
        <v>122266.04000000001</v>
      </c>
      <c r="E221" s="102"/>
      <c r="F221" s="104">
        <v>3.5999999999999997E-2</v>
      </c>
      <c r="G221" s="102">
        <f t="shared" si="33"/>
        <v>1349.66</v>
      </c>
      <c r="H221" s="102">
        <f t="shared" si="31"/>
        <v>123615.70000000001</v>
      </c>
      <c r="I221" s="102">
        <f t="shared" si="32"/>
        <v>512370.46233139787</v>
      </c>
      <c r="J221" s="67"/>
      <c r="K221" s="67"/>
      <c r="L221" s="67"/>
      <c r="M221" s="67"/>
      <c r="N221" s="67"/>
      <c r="O221" s="67"/>
    </row>
    <row r="222" spans="1:15" hidden="1" outlineLevel="1" x14ac:dyDescent="0.2">
      <c r="A222" s="71">
        <f t="shared" si="30"/>
        <v>215</v>
      </c>
      <c r="B222" s="82">
        <v>44835</v>
      </c>
      <c r="D222" s="67">
        <v>138185.71999999997</v>
      </c>
      <c r="E222" s="102"/>
      <c r="F222" s="104">
        <v>4.9099999999999998E-2</v>
      </c>
      <c r="G222" s="102">
        <f t="shared" si="33"/>
        <v>2379.15</v>
      </c>
      <c r="H222" s="102">
        <f t="shared" si="31"/>
        <v>140564.86999999997</v>
      </c>
      <c r="I222" s="102">
        <f t="shared" si="32"/>
        <v>652935.3323313978</v>
      </c>
      <c r="J222" s="67"/>
      <c r="K222" s="67"/>
      <c r="L222" s="67"/>
      <c r="M222" s="67"/>
      <c r="N222" s="67"/>
      <c r="O222" s="67"/>
    </row>
    <row r="223" spans="1:15" hidden="1" outlineLevel="1" x14ac:dyDescent="0.2">
      <c r="A223" s="71">
        <f t="shared" si="30"/>
        <v>216</v>
      </c>
      <c r="B223" s="82">
        <v>44866</v>
      </c>
      <c r="C223" s="66" t="s">
        <v>348</v>
      </c>
      <c r="D223" s="67">
        <v>184689.65999999997</v>
      </c>
      <c r="E223" s="102"/>
      <c r="F223" s="104">
        <v>4.9099999999999998E-2</v>
      </c>
      <c r="G223" s="102">
        <f t="shared" si="33"/>
        <v>3049.44</v>
      </c>
      <c r="H223" s="102">
        <f t="shared" si="31"/>
        <v>187739.09999999998</v>
      </c>
      <c r="I223" s="102">
        <f t="shared" si="32"/>
        <v>840674.43233139778</v>
      </c>
      <c r="J223" s="67"/>
      <c r="K223" s="67"/>
      <c r="L223" s="67"/>
      <c r="M223" s="67"/>
      <c r="N223" s="67"/>
      <c r="O223" s="67"/>
    </row>
    <row r="224" spans="1:15" hidden="1" outlineLevel="1" collapsed="1" x14ac:dyDescent="0.2">
      <c r="A224" s="71">
        <f t="shared" si="30"/>
        <v>217</v>
      </c>
      <c r="B224" s="82">
        <v>44866</v>
      </c>
      <c r="C224" s="66" t="s">
        <v>115</v>
      </c>
      <c r="D224" s="67">
        <v>29619.11</v>
      </c>
      <c r="E224" s="102">
        <v>19242.59</v>
      </c>
      <c r="F224" s="104">
        <v>4.9099999999999998E-2</v>
      </c>
      <c r="G224" s="102">
        <f>ROUND((+E224+(D224/2))*F224/12,2)</f>
        <v>139.33000000000001</v>
      </c>
      <c r="H224" s="102">
        <f t="shared" si="31"/>
        <v>49001.03</v>
      </c>
      <c r="I224" s="102">
        <f t="shared" si="32"/>
        <v>889675.46233139781</v>
      </c>
      <c r="J224" s="67"/>
      <c r="K224" s="67"/>
      <c r="L224" s="67"/>
      <c r="M224" s="67"/>
      <c r="N224" s="67"/>
      <c r="O224" s="67"/>
    </row>
    <row r="225" spans="1:15" hidden="1" outlineLevel="1" x14ac:dyDescent="0.2">
      <c r="A225" s="71">
        <f t="shared" si="30"/>
        <v>218</v>
      </c>
      <c r="B225" s="82">
        <v>44896</v>
      </c>
      <c r="D225" s="67">
        <v>108030.43000000001</v>
      </c>
      <c r="E225" s="102"/>
      <c r="F225" s="104">
        <v>4.9099999999999998E-2</v>
      </c>
      <c r="G225" s="102">
        <f t="shared" ref="G225:G236" si="34">ROUND((+I224+E225+(D225/2))*F225/12,2)</f>
        <v>3861.27</v>
      </c>
      <c r="H225" s="102">
        <f t="shared" si="31"/>
        <v>111891.70000000001</v>
      </c>
      <c r="I225" s="102">
        <f t="shared" si="32"/>
        <v>1001567.1623313979</v>
      </c>
      <c r="J225" s="67"/>
      <c r="K225" s="67"/>
      <c r="L225" s="67"/>
      <c r="M225" s="67"/>
      <c r="N225" s="67"/>
      <c r="O225" s="67"/>
    </row>
    <row r="226" spans="1:15" hidden="1" outlineLevel="1" x14ac:dyDescent="0.2">
      <c r="A226" s="71">
        <f t="shared" si="30"/>
        <v>219</v>
      </c>
      <c r="B226" s="82">
        <v>44927</v>
      </c>
      <c r="D226" s="67">
        <v>110015.07999999999</v>
      </c>
      <c r="E226" s="102">
        <v>-2827158.73</v>
      </c>
      <c r="F226" s="104">
        <v>6.3100000000000003E-2</v>
      </c>
      <c r="G226" s="102">
        <f t="shared" si="34"/>
        <v>-9310.32</v>
      </c>
      <c r="H226" s="102">
        <f t="shared" si="31"/>
        <v>-2726453.9699999997</v>
      </c>
      <c r="I226" s="102">
        <f t="shared" si="32"/>
        <v>-1724886.8076686019</v>
      </c>
      <c r="J226" s="67"/>
      <c r="K226" s="67"/>
      <c r="L226" s="67"/>
      <c r="M226" s="67"/>
      <c r="N226" s="67"/>
      <c r="O226" s="67"/>
    </row>
    <row r="227" spans="1:15" hidden="1" outlineLevel="1" x14ac:dyDescent="0.2">
      <c r="A227" s="71">
        <f t="shared" si="30"/>
        <v>220</v>
      </c>
      <c r="B227" s="82">
        <v>44958</v>
      </c>
      <c r="D227" s="67">
        <v>96238.750000000015</v>
      </c>
      <c r="E227" s="102"/>
      <c r="F227" s="104">
        <v>6.3100000000000003E-2</v>
      </c>
      <c r="G227" s="102">
        <f t="shared" si="34"/>
        <v>-8817</v>
      </c>
      <c r="H227" s="102">
        <f t="shared" si="31"/>
        <v>87421.750000000015</v>
      </c>
      <c r="I227" s="102">
        <f t="shared" si="32"/>
        <v>-1637465.0576686019</v>
      </c>
      <c r="J227" s="67"/>
      <c r="K227" s="67"/>
      <c r="L227" s="67"/>
      <c r="M227" s="67"/>
      <c r="N227" s="67"/>
      <c r="O227" s="67"/>
    </row>
    <row r="228" spans="1:15" hidden="1" outlineLevel="1" x14ac:dyDescent="0.2">
      <c r="A228" s="71">
        <f t="shared" si="30"/>
        <v>221</v>
      </c>
      <c r="B228" s="82">
        <v>44986</v>
      </c>
      <c r="D228" s="67">
        <v>96471.849999999991</v>
      </c>
      <c r="E228" s="102"/>
      <c r="F228" s="104">
        <v>6.3100000000000003E-2</v>
      </c>
      <c r="G228" s="102">
        <f t="shared" si="34"/>
        <v>-8356.7000000000007</v>
      </c>
      <c r="H228" s="102">
        <f t="shared" si="31"/>
        <v>88115.15</v>
      </c>
      <c r="I228" s="102">
        <f t="shared" si="32"/>
        <v>-1549349.907668602</v>
      </c>
      <c r="J228" s="67"/>
      <c r="K228" s="67"/>
      <c r="L228" s="67"/>
      <c r="M228" s="67"/>
      <c r="N228" s="67"/>
      <c r="O228" s="67"/>
    </row>
    <row r="229" spans="1:15" hidden="1" outlineLevel="1" x14ac:dyDescent="0.2">
      <c r="A229" s="71">
        <f t="shared" si="30"/>
        <v>222</v>
      </c>
      <c r="B229" s="82">
        <v>45017</v>
      </c>
      <c r="D229" s="67">
        <v>70821.81</v>
      </c>
      <c r="E229" s="102"/>
      <c r="F229" s="104">
        <v>7.4999999999999997E-2</v>
      </c>
      <c r="G229" s="102">
        <f t="shared" si="34"/>
        <v>-9462.1200000000008</v>
      </c>
      <c r="H229" s="102">
        <f t="shared" si="31"/>
        <v>61359.689999999995</v>
      </c>
      <c r="I229" s="102">
        <f t="shared" si="32"/>
        <v>-1487990.217668602</v>
      </c>
      <c r="J229" s="67"/>
      <c r="K229" s="67"/>
      <c r="L229" s="67"/>
      <c r="M229" s="67"/>
      <c r="N229" s="67"/>
      <c r="O229" s="67"/>
    </row>
    <row r="230" spans="1:15" hidden="1" outlineLevel="1" x14ac:dyDescent="0.2">
      <c r="A230" s="71">
        <f t="shared" si="30"/>
        <v>223</v>
      </c>
      <c r="B230" s="82">
        <v>45047</v>
      </c>
      <c r="D230" s="67">
        <v>40314.680000000008</v>
      </c>
      <c r="E230" s="102"/>
      <c r="F230" s="104">
        <v>7.4999999999999997E-2</v>
      </c>
      <c r="G230" s="102">
        <f t="shared" si="34"/>
        <v>-9173.9599999999991</v>
      </c>
      <c r="H230" s="102">
        <f t="shared" si="31"/>
        <v>31140.720000000008</v>
      </c>
      <c r="I230" s="102">
        <f t="shared" si="32"/>
        <v>-1456849.497668602</v>
      </c>
      <c r="J230" s="67"/>
      <c r="K230" s="67"/>
      <c r="L230" s="67"/>
      <c r="M230" s="67"/>
      <c r="N230" s="67"/>
      <c r="O230" s="67"/>
    </row>
    <row r="231" spans="1:15" hidden="1" outlineLevel="1" x14ac:dyDescent="0.2">
      <c r="A231" s="71">
        <f t="shared" si="30"/>
        <v>224</v>
      </c>
      <c r="B231" s="82">
        <v>45078</v>
      </c>
      <c r="D231" s="67">
        <v>23206.399999999998</v>
      </c>
      <c r="E231" s="102"/>
      <c r="F231" s="104">
        <v>7.4999999999999997E-2</v>
      </c>
      <c r="G231" s="102">
        <f t="shared" si="34"/>
        <v>-9032.7900000000009</v>
      </c>
      <c r="H231" s="102">
        <f t="shared" si="31"/>
        <v>14173.609999999997</v>
      </c>
      <c r="I231" s="102">
        <f t="shared" si="32"/>
        <v>-1442675.8876686019</v>
      </c>
      <c r="J231" s="67"/>
      <c r="K231" s="67"/>
      <c r="L231" s="67"/>
      <c r="M231" s="67"/>
      <c r="N231" s="67"/>
      <c r="O231" s="67"/>
    </row>
    <row r="232" spans="1:15" hidden="1" outlineLevel="1" x14ac:dyDescent="0.2">
      <c r="A232" s="71">
        <f t="shared" si="30"/>
        <v>225</v>
      </c>
      <c r="B232" s="82">
        <v>45108</v>
      </c>
      <c r="D232" s="67">
        <f>'[37]WA AMORT'!$AB$135</f>
        <v>18863.93</v>
      </c>
      <c r="E232" s="102"/>
      <c r="F232" s="104">
        <v>8.0199999999999994E-2</v>
      </c>
      <c r="G232" s="102">
        <f t="shared" si="34"/>
        <v>-9578.85</v>
      </c>
      <c r="H232" s="102">
        <f t="shared" si="31"/>
        <v>9285.08</v>
      </c>
      <c r="I232" s="102">
        <f t="shared" si="32"/>
        <v>-1433390.8076686019</v>
      </c>
      <c r="J232" s="67"/>
      <c r="K232" s="67"/>
      <c r="L232" s="67"/>
      <c r="M232" s="67"/>
      <c r="N232" s="67"/>
      <c r="O232" s="67"/>
    </row>
    <row r="233" spans="1:15" hidden="1" outlineLevel="1" x14ac:dyDescent="0.2">
      <c r="A233" s="71">
        <f t="shared" si="30"/>
        <v>226</v>
      </c>
      <c r="B233" s="82">
        <v>45139</v>
      </c>
      <c r="D233" s="67">
        <v>16150.259999999998</v>
      </c>
      <c r="E233" s="102"/>
      <c r="F233" s="104">
        <v>8.0199999999999994E-2</v>
      </c>
      <c r="G233" s="102">
        <f t="shared" si="34"/>
        <v>-9525.86</v>
      </c>
      <c r="H233" s="102">
        <f t="shared" si="31"/>
        <v>6624.3999999999978</v>
      </c>
      <c r="I233" s="102">
        <f t="shared" si="32"/>
        <v>-1426766.407668602</v>
      </c>
      <c r="J233" s="67"/>
      <c r="K233" s="67"/>
      <c r="L233" s="67"/>
      <c r="M233" s="67"/>
      <c r="N233" s="67"/>
      <c r="O233" s="67"/>
    </row>
    <row r="234" spans="1:15" hidden="1" outlineLevel="1" x14ac:dyDescent="0.2">
      <c r="A234" s="71">
        <f t="shared" si="30"/>
        <v>227</v>
      </c>
      <c r="B234" s="82">
        <v>45170</v>
      </c>
      <c r="C234" s="119"/>
      <c r="D234" s="67">
        <v>17195.919999999998</v>
      </c>
      <c r="E234" s="102"/>
      <c r="F234" s="104">
        <v>8.0199999999999994E-2</v>
      </c>
      <c r="G234" s="102">
        <f t="shared" si="34"/>
        <v>-9478.09</v>
      </c>
      <c r="H234" s="102">
        <f t="shared" si="31"/>
        <v>7717.8299999999981</v>
      </c>
      <c r="I234" s="102">
        <f t="shared" si="32"/>
        <v>-1419048.5776686019</v>
      </c>
      <c r="J234" s="67"/>
      <c r="K234" s="67"/>
      <c r="L234" s="67"/>
      <c r="M234" s="67"/>
      <c r="N234" s="67"/>
      <c r="O234" s="67"/>
    </row>
    <row r="235" spans="1:15" hidden="1" outlineLevel="1" x14ac:dyDescent="0.2">
      <c r="A235" s="71">
        <f t="shared" si="30"/>
        <v>228</v>
      </c>
      <c r="B235" s="82">
        <v>45200</v>
      </c>
      <c r="C235" s="119"/>
      <c r="D235" s="67">
        <v>22603.239999999998</v>
      </c>
      <c r="F235" s="104">
        <v>8.3500000000000005E-2</v>
      </c>
      <c r="G235" s="102">
        <f t="shared" si="34"/>
        <v>-9795.57</v>
      </c>
      <c r="H235" s="102">
        <f t="shared" si="31"/>
        <v>12807.669999999998</v>
      </c>
      <c r="I235" s="102">
        <f t="shared" si="32"/>
        <v>-1406240.907668602</v>
      </c>
      <c r="J235" s="67"/>
      <c r="K235" s="67"/>
      <c r="L235" s="67"/>
      <c r="M235" s="67"/>
      <c r="N235" s="67"/>
      <c r="O235" s="67"/>
    </row>
    <row r="236" spans="1:15" hidden="1" outlineLevel="1" x14ac:dyDescent="0.2">
      <c r="A236" s="71">
        <f t="shared" si="30"/>
        <v>229</v>
      </c>
      <c r="B236" s="82">
        <v>45231</v>
      </c>
      <c r="C236" s="66" t="s">
        <v>348</v>
      </c>
      <c r="D236" s="67">
        <v>29434.399999999994</v>
      </c>
      <c r="F236" s="104">
        <v>8.3500000000000005E-2</v>
      </c>
      <c r="G236" s="102">
        <f t="shared" si="34"/>
        <v>-9682.69</v>
      </c>
      <c r="H236" s="102">
        <f t="shared" si="31"/>
        <v>19751.709999999992</v>
      </c>
      <c r="I236" s="102">
        <f t="shared" si="32"/>
        <v>-1386489.197668602</v>
      </c>
      <c r="J236" s="67"/>
      <c r="K236" s="67"/>
      <c r="L236" s="67"/>
      <c r="M236" s="67"/>
      <c r="N236" s="67"/>
      <c r="O236" s="67"/>
    </row>
    <row r="237" spans="1:15" hidden="1" outlineLevel="1" collapsed="1" x14ac:dyDescent="0.2">
      <c r="A237" s="71">
        <f t="shared" si="30"/>
        <v>230</v>
      </c>
      <c r="B237" s="82">
        <v>45231</v>
      </c>
      <c r="C237" s="66" t="s">
        <v>349</v>
      </c>
      <c r="D237" s="67">
        <v>116957.99</v>
      </c>
      <c r="E237" s="67">
        <v>-588106.6978309477</v>
      </c>
      <c r="F237" s="104">
        <v>8.3500000000000005E-2</v>
      </c>
      <c r="G237" s="102">
        <f>ROUND((+E237+(D237/2))*F237/12,2)</f>
        <v>-3685.33</v>
      </c>
      <c r="H237" s="102">
        <f t="shared" si="31"/>
        <v>-474834.03783094772</v>
      </c>
      <c r="I237" s="102">
        <f t="shared" si="32"/>
        <v>-1861323.2354995497</v>
      </c>
      <c r="J237" s="67"/>
      <c r="K237" s="67"/>
      <c r="L237" s="67"/>
      <c r="M237" s="67"/>
      <c r="N237" s="67"/>
      <c r="O237" s="67"/>
    </row>
    <row r="238" spans="1:15" hidden="1" outlineLevel="1" x14ac:dyDescent="0.2">
      <c r="A238" s="71">
        <f t="shared" si="30"/>
        <v>231</v>
      </c>
      <c r="B238" s="82">
        <v>45261</v>
      </c>
      <c r="C238" s="119"/>
      <c r="D238" s="67">
        <v>498613.23999999987</v>
      </c>
      <c r="F238" s="104">
        <v>8.3500000000000005E-2</v>
      </c>
      <c r="G238" s="102">
        <f t="shared" ref="G238:G249" si="35">ROUND((+I237+E238+(D238/2))*F238/12,2)</f>
        <v>-11216.95</v>
      </c>
      <c r="H238" s="102">
        <f t="shared" si="31"/>
        <v>487396.28999999986</v>
      </c>
      <c r="I238" s="102">
        <f t="shared" si="32"/>
        <v>-1373926.9454995499</v>
      </c>
      <c r="J238" s="67"/>
      <c r="K238" s="67"/>
      <c r="L238" s="67"/>
      <c r="M238" s="67"/>
      <c r="N238" s="67"/>
      <c r="O238" s="67"/>
    </row>
    <row r="239" spans="1:15" hidden="1" outlineLevel="1" x14ac:dyDescent="0.2">
      <c r="A239" s="71">
        <f t="shared" si="30"/>
        <v>232</v>
      </c>
      <c r="B239" s="82">
        <v>45292</v>
      </c>
      <c r="C239" s="81" t="s">
        <v>363</v>
      </c>
      <c r="D239" s="67">
        <v>616608.37</v>
      </c>
      <c r="E239" s="67">
        <v>-2414845.64</v>
      </c>
      <c r="F239" s="104">
        <v>8.5000000000000006E-2</v>
      </c>
      <c r="G239" s="102">
        <f t="shared" si="35"/>
        <v>-24653.32</v>
      </c>
      <c r="H239" s="102">
        <f t="shared" ref="H239:H261" si="36">D239+E239+G239</f>
        <v>-1822890.59</v>
      </c>
      <c r="I239" s="102">
        <f t="shared" ref="I239:I261" si="37">I238+H239</f>
        <v>-3196817.5354995499</v>
      </c>
      <c r="J239" s="67"/>
      <c r="K239" s="67"/>
      <c r="L239" s="67"/>
      <c r="M239" s="67"/>
      <c r="N239" s="67"/>
      <c r="O239" s="67"/>
    </row>
    <row r="240" spans="1:15" hidden="1" outlineLevel="1" x14ac:dyDescent="0.2">
      <c r="A240" s="71">
        <f t="shared" si="30"/>
        <v>233</v>
      </c>
      <c r="B240" s="82">
        <v>45323</v>
      </c>
      <c r="C240" s="119"/>
      <c r="D240" s="67">
        <v>543926.04</v>
      </c>
      <c r="F240" s="104">
        <v>8.5000000000000006E-2</v>
      </c>
      <c r="G240" s="102">
        <f t="shared" si="35"/>
        <v>-20717.72</v>
      </c>
      <c r="H240" s="102">
        <f t="shared" si="36"/>
        <v>523208.32000000007</v>
      </c>
      <c r="I240" s="102">
        <f t="shared" si="37"/>
        <v>-2673609.2154995501</v>
      </c>
      <c r="J240" s="67"/>
      <c r="K240" s="67"/>
      <c r="L240" s="67"/>
      <c r="M240" s="67"/>
      <c r="N240" s="67"/>
      <c r="O240" s="67"/>
    </row>
    <row r="241" spans="1:15" hidden="1" outlineLevel="1" x14ac:dyDescent="0.2">
      <c r="A241" s="71">
        <f t="shared" si="30"/>
        <v>234</v>
      </c>
      <c r="B241" s="82">
        <v>45352</v>
      </c>
      <c r="C241" s="119"/>
      <c r="D241" s="67">
        <v>464573.98999999993</v>
      </c>
      <c r="F241" s="104">
        <v>8.5000000000000006E-2</v>
      </c>
      <c r="G241" s="102">
        <f t="shared" si="35"/>
        <v>-17292.7</v>
      </c>
      <c r="H241" s="102">
        <f t="shared" si="36"/>
        <v>447281.28999999992</v>
      </c>
      <c r="I241" s="102">
        <f t="shared" si="37"/>
        <v>-2226327.9254995501</v>
      </c>
      <c r="J241" s="67"/>
      <c r="K241" s="67"/>
      <c r="L241" s="67"/>
      <c r="M241" s="67"/>
      <c r="N241" s="67"/>
      <c r="O241" s="67"/>
    </row>
    <row r="242" spans="1:15" hidden="1" outlineLevel="1" x14ac:dyDescent="0.2">
      <c r="A242" s="71">
        <f t="shared" si="30"/>
        <v>235</v>
      </c>
      <c r="B242" s="82">
        <v>45383</v>
      </c>
      <c r="C242" s="119"/>
      <c r="D242" s="67">
        <v>308897.63</v>
      </c>
      <c r="F242" s="104">
        <v>8.5000000000000006E-2</v>
      </c>
      <c r="G242" s="102">
        <f t="shared" si="35"/>
        <v>-14675.81</v>
      </c>
      <c r="H242" s="102">
        <f t="shared" si="36"/>
        <v>294221.82</v>
      </c>
      <c r="I242" s="102">
        <f t="shared" si="37"/>
        <v>-1932106.10549955</v>
      </c>
      <c r="J242" s="67"/>
      <c r="K242" s="67"/>
      <c r="L242" s="67"/>
      <c r="M242" s="67"/>
      <c r="N242" s="67"/>
      <c r="O242" s="67"/>
    </row>
    <row r="243" spans="1:15" hidden="1" outlineLevel="1" x14ac:dyDescent="0.2">
      <c r="A243" s="71">
        <f t="shared" si="30"/>
        <v>236</v>
      </c>
      <c r="B243" s="82">
        <v>45413</v>
      </c>
      <c r="C243" s="119"/>
      <c r="D243" s="67">
        <v>239373.15000000002</v>
      </c>
      <c r="F243" s="104">
        <v>8.5000000000000006E-2</v>
      </c>
      <c r="G243" s="102">
        <f t="shared" si="35"/>
        <v>-12837.97</v>
      </c>
      <c r="H243" s="102">
        <f t="shared" si="36"/>
        <v>226535.18000000002</v>
      </c>
      <c r="I243" s="102">
        <f t="shared" si="37"/>
        <v>-1705570.9254995501</v>
      </c>
      <c r="J243" s="67"/>
      <c r="K243" s="67"/>
      <c r="L243" s="67"/>
      <c r="M243" s="67"/>
      <c r="N243" s="67"/>
      <c r="O243" s="67"/>
    </row>
    <row r="244" spans="1:15" hidden="1" outlineLevel="1" x14ac:dyDescent="0.2">
      <c r="A244" s="71">
        <f t="shared" si="30"/>
        <v>237</v>
      </c>
      <c r="B244" s="82">
        <v>45444</v>
      </c>
      <c r="C244" s="119"/>
      <c r="D244" s="67">
        <v>164987.41999999998</v>
      </c>
      <c r="F244" s="104">
        <v>8.5000000000000006E-2</v>
      </c>
      <c r="G244" s="102">
        <f t="shared" si="35"/>
        <v>-11496.8</v>
      </c>
      <c r="H244" s="102">
        <f t="shared" si="36"/>
        <v>153490.62</v>
      </c>
      <c r="I244" s="102">
        <f t="shared" si="37"/>
        <v>-1552080.30549955</v>
      </c>
      <c r="J244" s="67"/>
      <c r="K244" s="67"/>
      <c r="L244" s="67"/>
      <c r="M244" s="67"/>
      <c r="N244" s="67"/>
      <c r="O244" s="67"/>
    </row>
    <row r="245" spans="1:15" hidden="1" outlineLevel="1" x14ac:dyDescent="0.2">
      <c r="A245" s="71">
        <f t="shared" si="30"/>
        <v>238</v>
      </c>
      <c r="B245" s="82">
        <v>45474</v>
      </c>
      <c r="C245" s="119"/>
      <c r="D245" s="67">
        <v>111207.68999999999</v>
      </c>
      <c r="F245" s="104">
        <v>8.5000000000000006E-2</v>
      </c>
      <c r="G245" s="102">
        <f t="shared" si="35"/>
        <v>-10600.04</v>
      </c>
      <c r="H245" s="102">
        <f t="shared" si="36"/>
        <v>100607.65</v>
      </c>
      <c r="I245" s="102">
        <f t="shared" si="37"/>
        <v>-1451472.65549955</v>
      </c>
      <c r="J245" s="67"/>
      <c r="K245" s="67"/>
      <c r="L245" s="67"/>
      <c r="M245" s="67"/>
      <c r="N245" s="67"/>
      <c r="O245" s="67"/>
    </row>
    <row r="246" spans="1:15" hidden="1" outlineLevel="1" x14ac:dyDescent="0.2">
      <c r="A246" s="71">
        <f t="shared" si="30"/>
        <v>239</v>
      </c>
      <c r="B246" s="82">
        <v>45505</v>
      </c>
      <c r="C246" s="119"/>
      <c r="D246" s="67">
        <v>95834.880000000019</v>
      </c>
      <c r="F246" s="104">
        <v>8.5000000000000006E-2</v>
      </c>
      <c r="G246" s="102">
        <f t="shared" si="35"/>
        <v>-9941.85</v>
      </c>
      <c r="H246" s="102">
        <f t="shared" si="36"/>
        <v>85893.030000000013</v>
      </c>
      <c r="I246" s="102">
        <f t="shared" si="37"/>
        <v>-1365579.62549955</v>
      </c>
      <c r="J246" s="67"/>
      <c r="K246" s="67"/>
      <c r="L246" s="67"/>
      <c r="M246" s="67"/>
      <c r="N246" s="67"/>
      <c r="O246" s="67"/>
    </row>
    <row r="247" spans="1:15" hidden="1" outlineLevel="1" x14ac:dyDescent="0.2">
      <c r="A247" s="71">
        <f t="shared" si="30"/>
        <v>240</v>
      </c>
      <c r="B247" s="82">
        <v>45536</v>
      </c>
      <c r="C247" s="119"/>
      <c r="D247" s="118">
        <v>104597.68999999997</v>
      </c>
      <c r="F247" s="104">
        <v>8.5000000000000006E-2</v>
      </c>
      <c r="G247" s="102">
        <f t="shared" si="35"/>
        <v>-9302.41</v>
      </c>
      <c r="H247" s="102">
        <f t="shared" si="36"/>
        <v>95295.27999999997</v>
      </c>
      <c r="I247" s="102">
        <f t="shared" si="37"/>
        <v>-1270284.34549955</v>
      </c>
      <c r="J247" s="67"/>
      <c r="K247" s="67"/>
      <c r="L247" s="67"/>
      <c r="M247" s="67"/>
      <c r="N247" s="67"/>
      <c r="O247" s="67"/>
    </row>
    <row r="248" spans="1:15" hidden="1" outlineLevel="1" x14ac:dyDescent="0.2">
      <c r="A248" s="71">
        <f t="shared" si="30"/>
        <v>241</v>
      </c>
      <c r="B248" s="82">
        <v>45566</v>
      </c>
      <c r="C248" s="119"/>
      <c r="D248" s="118">
        <v>135051.67000000001</v>
      </c>
      <c r="F248" s="104">
        <v>8.5000000000000006E-2</v>
      </c>
      <c r="G248" s="102">
        <f t="shared" si="35"/>
        <v>-8519.5400000000009</v>
      </c>
      <c r="H248" s="102">
        <f t="shared" si="36"/>
        <v>126532.13</v>
      </c>
      <c r="I248" s="102">
        <f t="shared" si="37"/>
        <v>-1143752.2154995501</v>
      </c>
      <c r="J248" s="67"/>
      <c r="K248" s="67"/>
      <c r="L248" s="67"/>
      <c r="M248" s="67"/>
      <c r="N248" s="67"/>
      <c r="O248" s="67"/>
    </row>
    <row r="249" spans="1:15" hidden="1" outlineLevel="1" x14ac:dyDescent="0.2">
      <c r="A249" s="71">
        <f t="shared" si="30"/>
        <v>242</v>
      </c>
      <c r="B249" s="82">
        <v>45597</v>
      </c>
      <c r="C249" s="119" t="s">
        <v>348</v>
      </c>
      <c r="D249" s="118">
        <v>166144.12</v>
      </c>
      <c r="F249" s="104">
        <v>8.5000000000000006E-2</v>
      </c>
      <c r="G249" s="102">
        <f t="shared" si="35"/>
        <v>-7513.15</v>
      </c>
      <c r="H249" s="102">
        <f t="shared" si="36"/>
        <v>158630.97</v>
      </c>
      <c r="I249" s="102">
        <f t="shared" si="37"/>
        <v>-985121.24549955013</v>
      </c>
      <c r="J249" s="67"/>
      <c r="K249" s="67"/>
      <c r="L249" s="67"/>
      <c r="M249" s="67"/>
      <c r="N249" s="67"/>
      <c r="O249" s="67"/>
    </row>
    <row r="250" spans="1:15" collapsed="1" x14ac:dyDescent="0.2">
      <c r="A250" s="71">
        <f t="shared" si="30"/>
        <v>243</v>
      </c>
      <c r="B250" s="82">
        <v>45597</v>
      </c>
      <c r="C250" s="119" t="s">
        <v>115</v>
      </c>
      <c r="D250" s="118">
        <v>45022.700000000012</v>
      </c>
      <c r="E250" s="67">
        <v>760572.52364108933</v>
      </c>
      <c r="F250" s="104">
        <v>8.5000000000000006E-2</v>
      </c>
      <c r="G250" s="102">
        <f>ROUND((+E250+(D250/2))*F250/12,2)</f>
        <v>5546.84</v>
      </c>
      <c r="H250" s="102">
        <f t="shared" si="36"/>
        <v>811142.06364108936</v>
      </c>
      <c r="I250" s="102">
        <f t="shared" si="37"/>
        <v>-173979.18185846077</v>
      </c>
      <c r="J250" s="67"/>
      <c r="K250" s="67"/>
      <c r="L250" s="67"/>
      <c r="M250" s="67"/>
      <c r="N250" s="67"/>
      <c r="O250" s="67"/>
    </row>
    <row r="251" spans="1:15" x14ac:dyDescent="0.2">
      <c r="A251" s="71">
        <f t="shared" si="30"/>
        <v>244</v>
      </c>
      <c r="B251" s="82">
        <v>45627</v>
      </c>
      <c r="C251" s="119"/>
      <c r="D251" s="67">
        <v>204038.81999999998</v>
      </c>
      <c r="F251" s="104">
        <v>8.5000000000000006E-2</v>
      </c>
      <c r="G251" s="102">
        <f t="shared" ref="G251:G261" si="38">ROUND((+I250+E251+(D251/2))*F251/12,2)</f>
        <v>-509.72</v>
      </c>
      <c r="H251" s="102">
        <f t="shared" si="36"/>
        <v>203529.09999999998</v>
      </c>
      <c r="I251" s="102">
        <f t="shared" si="37"/>
        <v>29549.918141539209</v>
      </c>
      <c r="J251" s="67"/>
      <c r="K251" s="67"/>
      <c r="L251" s="67"/>
      <c r="M251" s="67"/>
      <c r="N251" s="67"/>
      <c r="O251" s="67"/>
    </row>
    <row r="252" spans="1:15" x14ac:dyDescent="0.2">
      <c r="A252" s="71">
        <f t="shared" si="30"/>
        <v>245</v>
      </c>
      <c r="B252" s="82">
        <v>45658</v>
      </c>
      <c r="C252" s="119"/>
      <c r="D252" s="67">
        <v>220318.24</v>
      </c>
      <c r="E252" s="67">
        <v>-2028655.97</v>
      </c>
      <c r="F252" s="104">
        <v>8.0399999999999999E-2</v>
      </c>
      <c r="G252" s="102">
        <f t="shared" si="38"/>
        <v>-12655.94</v>
      </c>
      <c r="H252" s="102">
        <f t="shared" si="36"/>
        <v>-1820993.67</v>
      </c>
      <c r="I252" s="102">
        <f t="shared" si="37"/>
        <v>-1791443.7518584607</v>
      </c>
      <c r="J252" s="67"/>
      <c r="K252" s="67"/>
      <c r="L252" s="67"/>
      <c r="M252" s="67"/>
      <c r="N252" s="67"/>
      <c r="O252" s="67"/>
    </row>
    <row r="253" spans="1:15" x14ac:dyDescent="0.2">
      <c r="A253" s="71">
        <f t="shared" si="30"/>
        <v>246</v>
      </c>
      <c r="B253" s="82">
        <v>45689</v>
      </c>
      <c r="C253" s="119"/>
      <c r="D253" s="67">
        <v>242203.30000000002</v>
      </c>
      <c r="F253" s="104">
        <v>8.0399999999999999E-2</v>
      </c>
      <c r="G253" s="102">
        <f t="shared" si="38"/>
        <v>-11191.29</v>
      </c>
      <c r="H253" s="102">
        <f t="shared" si="36"/>
        <v>231012.01</v>
      </c>
      <c r="I253" s="102">
        <f t="shared" si="37"/>
        <v>-1560431.7418584607</v>
      </c>
      <c r="J253" s="67"/>
      <c r="K253" s="67"/>
      <c r="L253" s="67"/>
      <c r="M253" s="67"/>
      <c r="N253" s="67"/>
      <c r="O253" s="67"/>
    </row>
    <row r="254" spans="1:15" x14ac:dyDescent="0.2">
      <c r="A254" s="71">
        <f t="shared" si="30"/>
        <v>247</v>
      </c>
      <c r="B254" s="82">
        <v>45717</v>
      </c>
      <c r="C254" s="119"/>
      <c r="D254" s="67">
        <v>167478.98999999993</v>
      </c>
      <c r="F254" s="104">
        <v>8.0399999999999999E-2</v>
      </c>
      <c r="G254" s="102">
        <f t="shared" si="38"/>
        <v>-9893.84</v>
      </c>
      <c r="H254" s="102">
        <f t="shared" si="36"/>
        <v>157585.14999999994</v>
      </c>
      <c r="I254" s="102">
        <f t="shared" si="37"/>
        <v>-1402846.5918584608</v>
      </c>
      <c r="J254" s="67"/>
      <c r="K254" s="67"/>
      <c r="L254" s="67"/>
      <c r="M254" s="67"/>
      <c r="N254" s="67"/>
      <c r="O254" s="67"/>
    </row>
    <row r="255" spans="1:15" x14ac:dyDescent="0.2">
      <c r="A255" s="71">
        <f t="shared" si="30"/>
        <v>248</v>
      </c>
      <c r="B255" s="82">
        <v>45748</v>
      </c>
      <c r="C255" s="119"/>
      <c r="D255" s="67">
        <v>116448.01999999999</v>
      </c>
      <c r="F255" s="104">
        <v>7.5499999999999998E-2</v>
      </c>
      <c r="G255" s="102">
        <f t="shared" si="38"/>
        <v>-8459.92</v>
      </c>
      <c r="H255" s="102">
        <f t="shared" si="36"/>
        <v>107988.09999999999</v>
      </c>
      <c r="I255" s="102">
        <f t="shared" si="37"/>
        <v>-1294858.4918584607</v>
      </c>
      <c r="J255" s="67"/>
      <c r="K255" s="67"/>
      <c r="L255" s="67"/>
      <c r="M255" s="67"/>
      <c r="N255" s="67"/>
      <c r="O255" s="67"/>
    </row>
    <row r="256" spans="1:15" x14ac:dyDescent="0.2">
      <c r="A256" s="71">
        <f t="shared" si="30"/>
        <v>249</v>
      </c>
      <c r="B256" s="82">
        <v>45778</v>
      </c>
      <c r="C256" s="119"/>
      <c r="D256" s="67">
        <v>73235.08</v>
      </c>
      <c r="F256" s="104">
        <v>7.5499999999999998E-2</v>
      </c>
      <c r="G256" s="102">
        <f t="shared" si="38"/>
        <v>-7916.43</v>
      </c>
      <c r="H256" s="102">
        <f t="shared" si="36"/>
        <v>65318.65</v>
      </c>
      <c r="I256" s="102">
        <f t="shared" si="37"/>
        <v>-1229539.8418584608</v>
      </c>
      <c r="J256" s="67"/>
      <c r="K256" s="67"/>
      <c r="L256" s="67"/>
      <c r="M256" s="67"/>
      <c r="N256" s="67"/>
      <c r="O256" s="67"/>
    </row>
    <row r="257" spans="1:15" x14ac:dyDescent="0.2">
      <c r="A257" s="71">
        <f t="shared" si="30"/>
        <v>250</v>
      </c>
      <c r="B257" s="82">
        <v>45809</v>
      </c>
      <c r="C257" s="119"/>
      <c r="D257" s="67">
        <v>55865.780000000006</v>
      </c>
      <c r="F257" s="104">
        <v>7.5499999999999998E-2</v>
      </c>
      <c r="G257" s="102">
        <f t="shared" si="38"/>
        <v>-7560.11</v>
      </c>
      <c r="H257" s="102">
        <f t="shared" si="36"/>
        <v>48305.670000000006</v>
      </c>
      <c r="I257" s="102">
        <f t="shared" si="37"/>
        <v>-1181234.1718584609</v>
      </c>
      <c r="J257" s="67"/>
      <c r="K257" s="67"/>
      <c r="L257" s="67"/>
      <c r="M257" s="67"/>
      <c r="N257" s="67"/>
      <c r="O257" s="67"/>
    </row>
    <row r="258" spans="1:15" x14ac:dyDescent="0.2">
      <c r="A258" s="71">
        <f t="shared" si="30"/>
        <v>251</v>
      </c>
      <c r="B258" s="82">
        <v>45839</v>
      </c>
      <c r="C258" s="119"/>
      <c r="D258" s="67">
        <v>44275.409999999996</v>
      </c>
      <c r="F258" s="107">
        <v>7.4999999999999997E-2</v>
      </c>
      <c r="G258" s="102">
        <f t="shared" si="38"/>
        <v>-7244.35</v>
      </c>
      <c r="H258" s="102">
        <f t="shared" si="36"/>
        <v>37031.06</v>
      </c>
      <c r="I258" s="102">
        <f t="shared" si="37"/>
        <v>-1144203.1118584608</v>
      </c>
      <c r="J258" s="67"/>
      <c r="K258" s="67"/>
      <c r="L258" s="67"/>
      <c r="M258" s="67"/>
      <c r="N258" s="67"/>
      <c r="O258" s="67"/>
    </row>
    <row r="259" spans="1:15" x14ac:dyDescent="0.2">
      <c r="A259" s="71">
        <f t="shared" si="30"/>
        <v>252</v>
      </c>
      <c r="B259" s="82">
        <v>45870</v>
      </c>
      <c r="C259" s="119"/>
      <c r="D259" s="67">
        <v>37519.08</v>
      </c>
      <c r="F259" s="104">
        <v>7.4999999999999997E-2</v>
      </c>
      <c r="G259" s="102">
        <f t="shared" si="38"/>
        <v>-7034.02</v>
      </c>
      <c r="H259" s="102">
        <f t="shared" si="36"/>
        <v>30485.06</v>
      </c>
      <c r="I259" s="102">
        <f t="shared" si="37"/>
        <v>-1113718.0518584608</v>
      </c>
      <c r="J259" s="67"/>
      <c r="K259" s="67"/>
      <c r="L259" s="67"/>
      <c r="M259" s="67"/>
      <c r="N259" s="67"/>
      <c r="O259" s="67"/>
    </row>
    <row r="260" spans="1:15" x14ac:dyDescent="0.2">
      <c r="A260" s="71">
        <f t="shared" si="30"/>
        <v>253</v>
      </c>
      <c r="B260" s="82">
        <v>45901</v>
      </c>
      <c r="C260" s="119" t="s">
        <v>347</v>
      </c>
      <c r="D260" s="118">
        <f>'[33]WA AMORT 2024-25'!Y82+'[33]WA AMORT 2024-25'!Z82</f>
        <v>47715.8</v>
      </c>
      <c r="F260" s="104">
        <v>7.4999999999999997E-2</v>
      </c>
      <c r="G260" s="102">
        <f t="shared" si="38"/>
        <v>-6811.63</v>
      </c>
      <c r="H260" s="102">
        <f t="shared" si="36"/>
        <v>40904.170000000006</v>
      </c>
      <c r="I260" s="102">
        <f t="shared" si="37"/>
        <v>-1072813.8818584608</v>
      </c>
      <c r="J260" s="67"/>
      <c r="K260" s="67"/>
      <c r="L260" s="67"/>
      <c r="M260" s="67"/>
      <c r="N260" s="67"/>
      <c r="O260" s="67"/>
    </row>
    <row r="261" spans="1:15" x14ac:dyDescent="0.2">
      <c r="A261" s="71">
        <f t="shared" si="30"/>
        <v>254</v>
      </c>
      <c r="B261" s="82">
        <v>45931</v>
      </c>
      <c r="C261" s="119" t="s">
        <v>347</v>
      </c>
      <c r="D261" s="118">
        <f>'[33]WA AMORT 2024-25'!AK82+'[33]WA AMORT 2024-25'!AL82</f>
        <v>24750.930000000004</v>
      </c>
      <c r="F261" s="104">
        <v>7.4999999999999997E-2</v>
      </c>
      <c r="G261" s="102">
        <f t="shared" si="38"/>
        <v>-6627.74</v>
      </c>
      <c r="H261" s="102">
        <f t="shared" si="36"/>
        <v>18123.190000000002</v>
      </c>
      <c r="I261" s="102">
        <f t="shared" si="37"/>
        <v>-1054690.6918584609</v>
      </c>
      <c r="J261" s="67"/>
      <c r="K261" s="67"/>
      <c r="L261" s="67"/>
      <c r="M261" s="67"/>
      <c r="N261" s="67"/>
      <c r="O261" s="67"/>
    </row>
    <row r="262" spans="1:15" x14ac:dyDescent="0.2">
      <c r="A262" s="71">
        <f t="shared" si="30"/>
        <v>255</v>
      </c>
      <c r="F262" s="77"/>
      <c r="G262" s="101"/>
      <c r="I262" s="109"/>
      <c r="J262" s="67"/>
      <c r="K262" s="67"/>
      <c r="L262" s="67"/>
      <c r="M262" s="67"/>
      <c r="N262" s="67"/>
      <c r="O262" s="67"/>
    </row>
    <row r="263" spans="1:15" x14ac:dyDescent="0.2">
      <c r="A263" s="71">
        <f t="shared" si="30"/>
        <v>256</v>
      </c>
      <c r="B263" s="74" t="s">
        <v>320</v>
      </c>
      <c r="F263" s="77"/>
      <c r="G263" s="101"/>
      <c r="I263" s="109"/>
      <c r="J263" s="67"/>
      <c r="K263" s="67"/>
      <c r="L263" s="67"/>
      <c r="M263" s="67"/>
      <c r="N263" s="67"/>
      <c r="O263" s="67"/>
    </row>
    <row r="264" spans="1:15" x14ac:dyDescent="0.2">
      <c r="A264" s="71">
        <f t="shared" si="30"/>
        <v>257</v>
      </c>
      <c r="B264" s="73"/>
      <c r="F264" s="77"/>
      <c r="G264" s="101"/>
      <c r="I264" s="109"/>
      <c r="J264" s="67"/>
      <c r="K264" s="67"/>
      <c r="L264" s="67"/>
      <c r="M264" s="67"/>
      <c r="N264" s="67"/>
      <c r="O264" s="67"/>
    </row>
    <row r="265" spans="1:15" x14ac:dyDescent="0.2">
      <c r="A265" s="71">
        <f t="shared" si="30"/>
        <v>258</v>
      </c>
      <c r="B265" s="72" t="s">
        <v>318</v>
      </c>
      <c r="F265" s="77"/>
      <c r="G265" s="101"/>
      <c r="I265" s="75"/>
      <c r="J265" s="67"/>
      <c r="K265" s="67"/>
      <c r="L265" s="67"/>
      <c r="M265" s="67"/>
      <c r="N265" s="67"/>
      <c r="O265" s="67"/>
    </row>
    <row r="266" spans="1:15" x14ac:dyDescent="0.2">
      <c r="A266" s="71">
        <f t="shared" si="30"/>
        <v>259</v>
      </c>
      <c r="B266" s="66" t="s">
        <v>362</v>
      </c>
      <c r="F266" s="77"/>
      <c r="G266" s="101"/>
      <c r="I266" s="109"/>
      <c r="J266" s="67"/>
      <c r="K266" s="67"/>
      <c r="L266" s="67"/>
      <c r="M266" s="67"/>
      <c r="N266" s="67"/>
      <c r="O266" s="67"/>
    </row>
    <row r="267" spans="1:15" x14ac:dyDescent="0.2">
      <c r="A267" s="71">
        <f t="shared" si="30"/>
        <v>260</v>
      </c>
      <c r="B267" s="117" t="s">
        <v>361</v>
      </c>
      <c r="F267" s="77"/>
      <c r="G267" s="101"/>
      <c r="I267" s="109"/>
      <c r="J267" s="67"/>
      <c r="K267" s="67"/>
      <c r="L267" s="67"/>
      <c r="M267" s="67"/>
      <c r="N267" s="67"/>
      <c r="O267" s="67"/>
    </row>
    <row r="268" spans="1:15" x14ac:dyDescent="0.2">
      <c r="A268" s="71"/>
      <c r="J268" s="67"/>
      <c r="K268" s="67"/>
      <c r="L268" s="67"/>
      <c r="M268" s="67"/>
      <c r="N268" s="67"/>
      <c r="O268" s="67"/>
    </row>
    <row r="269" spans="1:15" x14ac:dyDescent="0.2">
      <c r="B269" s="73"/>
      <c r="J269" s="67"/>
      <c r="K269" s="67"/>
      <c r="L269" s="67"/>
      <c r="M269" s="67"/>
      <c r="N269" s="67"/>
      <c r="O269" s="67"/>
    </row>
    <row r="270" spans="1:15" x14ac:dyDescent="0.2">
      <c r="J270" s="67"/>
      <c r="K270" s="67"/>
      <c r="L270" s="67"/>
      <c r="M270" s="67"/>
      <c r="N270" s="67"/>
      <c r="O270" s="67"/>
    </row>
    <row r="271" spans="1:15" x14ac:dyDescent="0.2">
      <c r="J271" s="67"/>
      <c r="K271" s="67"/>
      <c r="L271" s="67"/>
      <c r="M271" s="67"/>
      <c r="N271" s="67"/>
      <c r="O271" s="67"/>
    </row>
    <row r="272" spans="1:15" x14ac:dyDescent="0.2">
      <c r="J272" s="67"/>
      <c r="K272" s="67"/>
      <c r="L272" s="67"/>
      <c r="M272" s="67"/>
      <c r="N272" s="67"/>
      <c r="O272" s="67"/>
    </row>
    <row r="273" spans="10:15" x14ac:dyDescent="0.2">
      <c r="J273" s="67"/>
      <c r="K273" s="67"/>
      <c r="L273" s="67"/>
      <c r="M273" s="67"/>
      <c r="N273" s="67"/>
      <c r="O273" s="67"/>
    </row>
    <row r="274" spans="10:15" x14ac:dyDescent="0.2">
      <c r="J274" s="67"/>
      <c r="K274" s="67"/>
      <c r="L274" s="67"/>
      <c r="M274" s="67"/>
      <c r="N274" s="67"/>
      <c r="O274" s="67"/>
    </row>
    <row r="275" spans="10:15" x14ac:dyDescent="0.2">
      <c r="J275" s="67"/>
      <c r="K275" s="67"/>
      <c r="L275" s="67"/>
      <c r="M275" s="67"/>
      <c r="N275" s="67"/>
      <c r="O275" s="67"/>
    </row>
    <row r="276" spans="10:15" x14ac:dyDescent="0.2">
      <c r="J276" s="67"/>
      <c r="K276" s="67"/>
      <c r="L276" s="67"/>
      <c r="M276" s="67"/>
      <c r="N276" s="67"/>
      <c r="O276" s="67"/>
    </row>
    <row r="277" spans="10:15" x14ac:dyDescent="0.2">
      <c r="J277" s="67"/>
      <c r="K277" s="67"/>
      <c r="L277" s="67"/>
      <c r="M277" s="67"/>
      <c r="N277" s="67"/>
      <c r="O277" s="67"/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BFE9-2D81-4CEE-968C-0A3F1BFDB678}">
  <sheetPr>
    <tabColor theme="0" tint="-0.14999847407452621"/>
    <pageSetUpPr fitToPage="1"/>
  </sheetPr>
  <dimension ref="A1:N255"/>
  <sheetViews>
    <sheetView view="pageBreakPreview" zoomScaleNormal="100" zoomScaleSheetLayoutView="100" workbookViewId="0">
      <pane xSplit="1" ySplit="12" topLeftCell="B13" activePane="bottomRight" state="frozen"/>
      <selection activeCell="BK11" sqref="BK11"/>
      <selection pane="topRight" activeCell="BK11" sqref="BK11"/>
      <selection pane="bottomLeft" activeCell="BK11" sqref="BK11"/>
      <selection pane="bottomRight" activeCell="BK11" sqref="BK11"/>
    </sheetView>
  </sheetViews>
  <sheetFormatPr defaultColWidth="9.1640625" defaultRowHeight="12.75" outlineLevelRow="1" x14ac:dyDescent="0.2"/>
  <cols>
    <col min="1" max="1" width="4.6640625" style="68" customWidth="1"/>
    <col min="2" max="2" width="15.6640625" style="66" customWidth="1"/>
    <col min="3" max="3" width="10.5" style="66" customWidth="1"/>
    <col min="4" max="4" width="17.83203125" style="67" customWidth="1"/>
    <col min="5" max="5" width="18" style="67" customWidth="1"/>
    <col min="6" max="7" width="21" style="67" customWidth="1"/>
    <col min="8" max="11" width="15.6640625" style="66" customWidth="1"/>
    <col min="12" max="12" width="4.5" style="66" customWidth="1"/>
    <col min="13" max="18" width="15.6640625" style="66" customWidth="1"/>
    <col min="19" max="16384" width="9.1640625" style="66"/>
  </cols>
  <sheetData>
    <row r="1" spans="1:8" x14ac:dyDescent="0.2">
      <c r="B1" s="66" t="s">
        <v>345</v>
      </c>
      <c r="D1" s="67" t="s">
        <v>344</v>
      </c>
    </row>
    <row r="2" spans="1:8" x14ac:dyDescent="0.2">
      <c r="B2" s="66" t="s">
        <v>343</v>
      </c>
      <c r="D2" s="67" t="s">
        <v>2</v>
      </c>
    </row>
    <row r="3" spans="1:8" x14ac:dyDescent="0.2">
      <c r="B3" s="66" t="s">
        <v>342</v>
      </c>
      <c r="D3" s="97" t="s">
        <v>372</v>
      </c>
    </row>
    <row r="4" spans="1:8" x14ac:dyDescent="0.2">
      <c r="B4" s="66" t="s">
        <v>340</v>
      </c>
      <c r="D4" s="123" t="s">
        <v>371</v>
      </c>
    </row>
    <row r="5" spans="1:8" x14ac:dyDescent="0.2">
      <c r="D5" s="66" t="s">
        <v>370</v>
      </c>
    </row>
    <row r="6" spans="1:8" x14ac:dyDescent="0.2">
      <c r="D6" s="66"/>
    </row>
    <row r="8" spans="1:8" x14ac:dyDescent="0.2">
      <c r="A8" s="71">
        <v>1</v>
      </c>
      <c r="B8" s="66" t="s">
        <v>337</v>
      </c>
    </row>
    <row r="9" spans="1:8" x14ac:dyDescent="0.2">
      <c r="A9" s="71">
        <f t="shared" ref="A9:A72" si="0">+A8+1</f>
        <v>2</v>
      </c>
    </row>
    <row r="10" spans="1:8" x14ac:dyDescent="0.2">
      <c r="A10" s="71">
        <f t="shared" si="0"/>
        <v>3</v>
      </c>
      <c r="B10" s="93"/>
      <c r="C10" s="93"/>
      <c r="D10" s="92"/>
      <c r="E10" s="92"/>
      <c r="F10" s="92"/>
      <c r="G10" s="92"/>
    </row>
    <row r="11" spans="1:8" x14ac:dyDescent="0.2">
      <c r="A11" s="71">
        <f t="shared" si="0"/>
        <v>4</v>
      </c>
      <c r="B11" s="95" t="s">
        <v>336</v>
      </c>
      <c r="C11" s="95" t="s">
        <v>335</v>
      </c>
      <c r="D11" s="94" t="s">
        <v>334</v>
      </c>
      <c r="E11" s="94" t="s">
        <v>333</v>
      </c>
      <c r="F11" s="94" t="s">
        <v>275</v>
      </c>
      <c r="G11" s="94" t="s">
        <v>267</v>
      </c>
    </row>
    <row r="12" spans="1:8" x14ac:dyDescent="0.2">
      <c r="A12" s="71">
        <f t="shared" si="0"/>
        <v>5</v>
      </c>
      <c r="B12" s="93" t="s">
        <v>331</v>
      </c>
      <c r="C12" s="93" t="s">
        <v>330</v>
      </c>
      <c r="D12" s="92" t="s">
        <v>329</v>
      </c>
      <c r="E12" s="92" t="s">
        <v>328</v>
      </c>
      <c r="F12" s="92" t="s">
        <v>366</v>
      </c>
      <c r="G12" s="92" t="s">
        <v>325</v>
      </c>
      <c r="H12" s="93"/>
    </row>
    <row r="13" spans="1:8" x14ac:dyDescent="0.2">
      <c r="A13" s="71">
        <f t="shared" si="0"/>
        <v>6</v>
      </c>
    </row>
    <row r="14" spans="1:8" ht="12" hidden="1" customHeight="1" outlineLevel="1" x14ac:dyDescent="0.2">
      <c r="A14" s="71">
        <f t="shared" si="0"/>
        <v>7</v>
      </c>
      <c r="B14" s="70" t="s">
        <v>323</v>
      </c>
    </row>
    <row r="15" spans="1:8" hidden="1" outlineLevel="1" x14ac:dyDescent="0.2">
      <c r="A15" s="71">
        <f t="shared" si="0"/>
        <v>8</v>
      </c>
      <c r="B15" s="66">
        <v>39021</v>
      </c>
      <c r="G15" s="67">
        <v>-708326.92</v>
      </c>
    </row>
    <row r="16" spans="1:8" hidden="1" outlineLevel="1" x14ac:dyDescent="0.2">
      <c r="A16" s="71">
        <f t="shared" si="0"/>
        <v>9</v>
      </c>
      <c r="B16" s="66">
        <f>+B15+30</f>
        <v>39051</v>
      </c>
      <c r="D16" s="67">
        <v>-60637.96</v>
      </c>
      <c r="F16" s="67">
        <f t="shared" ref="F16:F79" si="1">SUM(D16:E16)</f>
        <v>-60637.96</v>
      </c>
      <c r="G16" s="75">
        <f t="shared" ref="G16:G47" si="2">+G15+F16</f>
        <v>-768964.88</v>
      </c>
    </row>
    <row r="17" spans="1:7" hidden="1" outlineLevel="1" x14ac:dyDescent="0.2">
      <c r="A17" s="71">
        <f t="shared" si="0"/>
        <v>10</v>
      </c>
      <c r="B17" s="66">
        <f>+B16+31</f>
        <v>39082</v>
      </c>
      <c r="D17" s="67">
        <v>-57359.09</v>
      </c>
      <c r="F17" s="67">
        <f t="shared" si="1"/>
        <v>-57359.09</v>
      </c>
      <c r="G17" s="75">
        <f t="shared" si="2"/>
        <v>-826323.97</v>
      </c>
    </row>
    <row r="18" spans="1:7" hidden="1" outlineLevel="1" x14ac:dyDescent="0.2">
      <c r="A18" s="71">
        <f t="shared" si="0"/>
        <v>11</v>
      </c>
      <c r="B18" s="66">
        <f>+B17+31</f>
        <v>39113</v>
      </c>
      <c r="D18" s="67">
        <v>0</v>
      </c>
      <c r="F18" s="67">
        <f t="shared" si="1"/>
        <v>0</v>
      </c>
      <c r="G18" s="75">
        <f t="shared" si="2"/>
        <v>-826323.97</v>
      </c>
    </row>
    <row r="19" spans="1:7" hidden="1" outlineLevel="1" x14ac:dyDescent="0.2">
      <c r="A19" s="71">
        <f t="shared" si="0"/>
        <v>12</v>
      </c>
      <c r="B19" s="66">
        <f>+B18+28</f>
        <v>39141</v>
      </c>
      <c r="D19" s="67">
        <v>-16324.81</v>
      </c>
      <c r="F19" s="67">
        <f t="shared" si="1"/>
        <v>-16324.81</v>
      </c>
      <c r="G19" s="75">
        <f t="shared" si="2"/>
        <v>-842648.78</v>
      </c>
    </row>
    <row r="20" spans="1:7" hidden="1" outlineLevel="1" x14ac:dyDescent="0.2">
      <c r="A20" s="71">
        <f t="shared" si="0"/>
        <v>13</v>
      </c>
      <c r="B20" s="66">
        <f>+B19+31</f>
        <v>39172</v>
      </c>
      <c r="D20" s="67">
        <v>-27705.22</v>
      </c>
      <c r="E20" s="67">
        <v>826323.97</v>
      </c>
      <c r="F20" s="67">
        <f t="shared" si="1"/>
        <v>798618.75</v>
      </c>
      <c r="G20" s="75">
        <f t="shared" si="2"/>
        <v>-44030.030000000028</v>
      </c>
    </row>
    <row r="21" spans="1:7" hidden="1" outlineLevel="1" x14ac:dyDescent="0.2">
      <c r="A21" s="71">
        <f t="shared" si="0"/>
        <v>14</v>
      </c>
      <c r="B21" s="66">
        <f>+B20+30</f>
        <v>39202</v>
      </c>
      <c r="D21" s="67">
        <v>-168164</v>
      </c>
      <c r="F21" s="67">
        <f t="shared" si="1"/>
        <v>-168164</v>
      </c>
      <c r="G21" s="75">
        <f t="shared" si="2"/>
        <v>-212194.03000000003</v>
      </c>
    </row>
    <row r="22" spans="1:7" hidden="1" outlineLevel="1" x14ac:dyDescent="0.2">
      <c r="A22" s="71">
        <f t="shared" si="0"/>
        <v>15</v>
      </c>
      <c r="B22" s="66">
        <f>+B21+31</f>
        <v>39233</v>
      </c>
      <c r="D22" s="67">
        <v>-128946.73</v>
      </c>
      <c r="F22" s="67">
        <f t="shared" si="1"/>
        <v>-128946.73</v>
      </c>
      <c r="G22" s="75">
        <f t="shared" si="2"/>
        <v>-341140.76</v>
      </c>
    </row>
    <row r="23" spans="1:7" hidden="1" outlineLevel="1" x14ac:dyDescent="0.2">
      <c r="A23" s="71">
        <f t="shared" si="0"/>
        <v>16</v>
      </c>
      <c r="B23" s="66">
        <f>+B22+30</f>
        <v>39263</v>
      </c>
      <c r="D23" s="67">
        <v>-147753.85</v>
      </c>
      <c r="F23" s="67">
        <f t="shared" si="1"/>
        <v>-147753.85</v>
      </c>
      <c r="G23" s="75">
        <f t="shared" si="2"/>
        <v>-488894.61</v>
      </c>
    </row>
    <row r="24" spans="1:7" hidden="1" outlineLevel="1" x14ac:dyDescent="0.2">
      <c r="A24" s="71">
        <f t="shared" si="0"/>
        <v>17</v>
      </c>
      <c r="B24" s="66">
        <f>+B23+31</f>
        <v>39294</v>
      </c>
      <c r="D24" s="67">
        <v>-140874.92000000001</v>
      </c>
      <c r="F24" s="67">
        <f t="shared" si="1"/>
        <v>-140874.92000000001</v>
      </c>
      <c r="G24" s="75">
        <f t="shared" si="2"/>
        <v>-629769.53</v>
      </c>
    </row>
    <row r="25" spans="1:7" hidden="1" outlineLevel="1" x14ac:dyDescent="0.2">
      <c r="A25" s="71">
        <f t="shared" si="0"/>
        <v>18</v>
      </c>
      <c r="B25" s="66">
        <f>+B24+30</f>
        <v>39324</v>
      </c>
      <c r="D25" s="67">
        <v>-140740.95000000001</v>
      </c>
      <c r="F25" s="67">
        <f t="shared" si="1"/>
        <v>-140740.95000000001</v>
      </c>
      <c r="G25" s="75">
        <f t="shared" si="2"/>
        <v>-770510.48</v>
      </c>
    </row>
    <row r="26" spans="1:7" hidden="1" outlineLevel="1" x14ac:dyDescent="0.2">
      <c r="A26" s="71">
        <f t="shared" si="0"/>
        <v>19</v>
      </c>
      <c r="B26" s="66">
        <f>+B25+30</f>
        <v>39354</v>
      </c>
      <c r="D26" s="67">
        <v>-144958.13</v>
      </c>
      <c r="F26" s="67">
        <f t="shared" si="1"/>
        <v>-144958.13</v>
      </c>
      <c r="G26" s="75">
        <f t="shared" si="2"/>
        <v>-915468.61</v>
      </c>
    </row>
    <row r="27" spans="1:7" hidden="1" outlineLevel="1" x14ac:dyDescent="0.2">
      <c r="A27" s="71">
        <f t="shared" si="0"/>
        <v>20</v>
      </c>
      <c r="B27" s="66">
        <f>+B26+31</f>
        <v>39385</v>
      </c>
      <c r="D27" s="67">
        <v>-120597.2</v>
      </c>
      <c r="F27" s="67">
        <f t="shared" si="1"/>
        <v>-120597.2</v>
      </c>
      <c r="G27" s="75">
        <f t="shared" si="2"/>
        <v>-1036065.8099999999</v>
      </c>
    </row>
    <row r="28" spans="1:7" hidden="1" outlineLevel="1" x14ac:dyDescent="0.2">
      <c r="A28" s="71">
        <f t="shared" si="0"/>
        <v>21</v>
      </c>
      <c r="B28" s="66">
        <f>+B27+30</f>
        <v>39415</v>
      </c>
      <c r="D28" s="67">
        <v>-80829.55</v>
      </c>
      <c r="F28" s="67">
        <f t="shared" si="1"/>
        <v>-80829.55</v>
      </c>
      <c r="G28" s="75">
        <f t="shared" si="2"/>
        <v>-1116895.3599999999</v>
      </c>
    </row>
    <row r="29" spans="1:7" hidden="1" outlineLevel="1" x14ac:dyDescent="0.2">
      <c r="A29" s="71">
        <f t="shared" si="0"/>
        <v>22</v>
      </c>
      <c r="B29" s="66">
        <f>+B28+31</f>
        <v>39446</v>
      </c>
      <c r="D29" s="67">
        <v>-103048.21</v>
      </c>
      <c r="F29" s="67">
        <f t="shared" si="1"/>
        <v>-103048.21</v>
      </c>
      <c r="G29" s="75">
        <f t="shared" si="2"/>
        <v>-1219943.5699999998</v>
      </c>
    </row>
    <row r="30" spans="1:7" hidden="1" outlineLevel="1" x14ac:dyDescent="0.2">
      <c r="A30" s="71">
        <f t="shared" si="0"/>
        <v>23</v>
      </c>
      <c r="B30" s="66">
        <f>+B29+31</f>
        <v>39477</v>
      </c>
      <c r="D30" s="67">
        <v>-2506.92</v>
      </c>
      <c r="F30" s="67">
        <f t="shared" si="1"/>
        <v>-2506.92</v>
      </c>
      <c r="G30" s="75">
        <f t="shared" si="2"/>
        <v>-1222450.4899999998</v>
      </c>
    </row>
    <row r="31" spans="1:7" hidden="1" outlineLevel="1" x14ac:dyDescent="0.2">
      <c r="A31" s="71">
        <f t="shared" si="0"/>
        <v>24</v>
      </c>
      <c r="B31" s="66">
        <f>+B30+29</f>
        <v>39506</v>
      </c>
      <c r="D31" s="67">
        <v>-30715.03</v>
      </c>
      <c r="F31" s="67">
        <f t="shared" si="1"/>
        <v>-30715.03</v>
      </c>
      <c r="G31" s="75">
        <f t="shared" si="2"/>
        <v>-1253165.5199999998</v>
      </c>
    </row>
    <row r="32" spans="1:7" hidden="1" outlineLevel="1" x14ac:dyDescent="0.2">
      <c r="A32" s="71">
        <f t="shared" si="0"/>
        <v>25</v>
      </c>
      <c r="B32" s="66">
        <f>+B31+31</f>
        <v>39537</v>
      </c>
      <c r="C32" s="66" t="s">
        <v>359</v>
      </c>
      <c r="D32" s="67">
        <v>-153747.93</v>
      </c>
      <c r="E32" s="67">
        <f>-G29</f>
        <v>1219943.5699999998</v>
      </c>
      <c r="F32" s="67">
        <f t="shared" si="1"/>
        <v>1066195.6399999999</v>
      </c>
      <c r="G32" s="75">
        <f t="shared" si="2"/>
        <v>-186969.87999999989</v>
      </c>
    </row>
    <row r="33" spans="1:12" hidden="1" outlineLevel="1" x14ac:dyDescent="0.2">
      <c r="A33" s="71">
        <f t="shared" si="0"/>
        <v>26</v>
      </c>
      <c r="B33" s="66">
        <f>+B32+30</f>
        <v>39567</v>
      </c>
      <c r="D33" s="67">
        <v>-179368.01</v>
      </c>
      <c r="F33" s="67">
        <f t="shared" si="1"/>
        <v>-179368.01</v>
      </c>
      <c r="G33" s="75">
        <f t="shared" si="2"/>
        <v>-366337.8899999999</v>
      </c>
    </row>
    <row r="34" spans="1:12" hidden="1" outlineLevel="1" x14ac:dyDescent="0.2">
      <c r="A34" s="71">
        <f t="shared" si="0"/>
        <v>27</v>
      </c>
      <c r="B34" s="66">
        <f>+B33+31</f>
        <v>39598</v>
      </c>
      <c r="D34" s="67">
        <v>-115484.51</v>
      </c>
      <c r="F34" s="67">
        <f t="shared" si="1"/>
        <v>-115484.51</v>
      </c>
      <c r="G34" s="75">
        <f t="shared" si="2"/>
        <v>-481822.39999999991</v>
      </c>
    </row>
    <row r="35" spans="1:12" hidden="1" outlineLevel="1" x14ac:dyDescent="0.2">
      <c r="A35" s="71">
        <f t="shared" si="0"/>
        <v>28</v>
      </c>
      <c r="B35" s="66">
        <f>+B34+30</f>
        <v>39628</v>
      </c>
      <c r="D35" s="67">
        <v>-116186</v>
      </c>
      <c r="F35" s="67">
        <f t="shared" si="1"/>
        <v>-116186</v>
      </c>
      <c r="G35" s="75">
        <f t="shared" si="2"/>
        <v>-598008.39999999991</v>
      </c>
    </row>
    <row r="36" spans="1:12" hidden="1" outlineLevel="1" x14ac:dyDescent="0.2">
      <c r="A36" s="71">
        <f t="shared" si="0"/>
        <v>29</v>
      </c>
      <c r="B36" s="66">
        <f>+B35+31</f>
        <v>39659</v>
      </c>
      <c r="D36" s="67">
        <v>-112953.9</v>
      </c>
      <c r="F36" s="67">
        <f t="shared" si="1"/>
        <v>-112953.9</v>
      </c>
      <c r="G36" s="75">
        <f t="shared" si="2"/>
        <v>-710962.29999999993</v>
      </c>
    </row>
    <row r="37" spans="1:12" hidden="1" outlineLevel="1" x14ac:dyDescent="0.2">
      <c r="A37" s="71">
        <f t="shared" si="0"/>
        <v>30</v>
      </c>
      <c r="B37" s="66">
        <f>+B36+30</f>
        <v>39689</v>
      </c>
      <c r="C37" s="117"/>
      <c r="D37" s="67">
        <v>-116692.32</v>
      </c>
      <c r="E37" s="98"/>
      <c r="F37" s="67">
        <f t="shared" si="1"/>
        <v>-116692.32</v>
      </c>
      <c r="G37" s="75">
        <f t="shared" si="2"/>
        <v>-827654.61999999988</v>
      </c>
      <c r="H37" s="117"/>
      <c r="I37" s="117"/>
    </row>
    <row r="38" spans="1:12" hidden="1" outlineLevel="1" x14ac:dyDescent="0.2">
      <c r="A38" s="71">
        <f t="shared" si="0"/>
        <v>31</v>
      </c>
      <c r="B38" s="66">
        <f>+B37+30</f>
        <v>39719</v>
      </c>
      <c r="C38" s="117"/>
      <c r="D38" s="67">
        <v>-114916.47</v>
      </c>
      <c r="E38" s="98"/>
      <c r="F38" s="67">
        <f t="shared" si="1"/>
        <v>-114916.47</v>
      </c>
      <c r="G38" s="75">
        <f t="shared" si="2"/>
        <v>-942571.08999999985</v>
      </c>
      <c r="H38" s="117"/>
      <c r="I38" s="117"/>
    </row>
    <row r="39" spans="1:12" hidden="1" outlineLevel="1" x14ac:dyDescent="0.2">
      <c r="A39" s="71">
        <f t="shared" si="0"/>
        <v>32</v>
      </c>
      <c r="B39" s="66">
        <f>+B38+31</f>
        <v>39750</v>
      </c>
      <c r="C39" s="117"/>
      <c r="D39" s="129">
        <v>-110379.74</v>
      </c>
      <c r="E39" s="98"/>
      <c r="F39" s="67">
        <f t="shared" si="1"/>
        <v>-110379.74</v>
      </c>
      <c r="G39" s="75">
        <f t="shared" si="2"/>
        <v>-1052950.8299999998</v>
      </c>
      <c r="H39" s="117"/>
      <c r="I39" s="117"/>
    </row>
    <row r="40" spans="1:12" hidden="1" outlineLevel="1" x14ac:dyDescent="0.2">
      <c r="A40" s="71">
        <f t="shared" si="0"/>
        <v>33</v>
      </c>
      <c r="B40" s="66">
        <f>+B39+30</f>
        <v>39780</v>
      </c>
      <c r="C40" s="117"/>
      <c r="D40" s="129">
        <v>-90739.09</v>
      </c>
      <c r="E40" s="98"/>
      <c r="F40" s="67">
        <f t="shared" si="1"/>
        <v>-90739.09</v>
      </c>
      <c r="G40" s="75">
        <f t="shared" si="2"/>
        <v>-1143689.92</v>
      </c>
      <c r="H40" s="117"/>
      <c r="I40" s="117"/>
    </row>
    <row r="41" spans="1:12" hidden="1" outlineLevel="1" x14ac:dyDescent="0.2">
      <c r="A41" s="71">
        <f t="shared" si="0"/>
        <v>34</v>
      </c>
      <c r="B41" s="66">
        <f>+B40+31</f>
        <v>39811</v>
      </c>
      <c r="C41" s="117"/>
      <c r="D41" s="129">
        <v>-89647.78</v>
      </c>
      <c r="E41" s="98"/>
      <c r="F41" s="67">
        <f t="shared" si="1"/>
        <v>-89647.78</v>
      </c>
      <c r="G41" s="75">
        <f t="shared" si="2"/>
        <v>-1233337.7</v>
      </c>
      <c r="H41" s="117"/>
      <c r="I41" s="117"/>
    </row>
    <row r="42" spans="1:12" hidden="1" outlineLevel="1" x14ac:dyDescent="0.2">
      <c r="A42" s="71">
        <f t="shared" si="0"/>
        <v>35</v>
      </c>
      <c r="B42" s="66">
        <f>+B41+31</f>
        <v>39842</v>
      </c>
      <c r="C42" s="117"/>
      <c r="D42" s="129">
        <v>-1532.26</v>
      </c>
      <c r="E42" s="98">
        <f>-G41</f>
        <v>1233337.7</v>
      </c>
      <c r="F42" s="67">
        <f t="shared" si="1"/>
        <v>1231805.4399999999</v>
      </c>
      <c r="G42" s="75">
        <f t="shared" si="2"/>
        <v>-1532.2600000000093</v>
      </c>
      <c r="H42" s="117"/>
      <c r="I42" s="117"/>
    </row>
    <row r="43" spans="1:12" hidden="1" outlineLevel="1" x14ac:dyDescent="0.2">
      <c r="A43" s="71">
        <f t="shared" si="0"/>
        <v>36</v>
      </c>
      <c r="B43" s="66">
        <f>+B42+28</f>
        <v>39870</v>
      </c>
      <c r="C43" s="117"/>
      <c r="D43" s="129">
        <v>-32881.89</v>
      </c>
      <c r="E43" s="98"/>
      <c r="F43" s="67">
        <f t="shared" si="1"/>
        <v>-32881.89</v>
      </c>
      <c r="G43" s="75">
        <f t="shared" si="2"/>
        <v>-34414.150000000009</v>
      </c>
      <c r="H43" s="117"/>
      <c r="I43" s="117"/>
    </row>
    <row r="44" spans="1:12" hidden="1" outlineLevel="1" x14ac:dyDescent="0.2">
      <c r="A44" s="71">
        <f t="shared" si="0"/>
        <v>37</v>
      </c>
      <c r="B44" s="66">
        <f>+B43+31</f>
        <v>39901</v>
      </c>
      <c r="C44" s="117"/>
      <c r="D44" s="129">
        <v>-116990.39</v>
      </c>
      <c r="E44" s="98"/>
      <c r="F44" s="67">
        <f t="shared" si="1"/>
        <v>-116990.39</v>
      </c>
      <c r="G44" s="75">
        <f t="shared" si="2"/>
        <v>-151404.54</v>
      </c>
      <c r="H44" s="117"/>
      <c r="I44" s="117"/>
    </row>
    <row r="45" spans="1:12" hidden="1" outlineLevel="1" x14ac:dyDescent="0.2">
      <c r="A45" s="71">
        <f t="shared" si="0"/>
        <v>38</v>
      </c>
      <c r="B45" s="66">
        <f>+B44+30</f>
        <v>39931</v>
      </c>
      <c r="C45" s="117"/>
      <c r="D45" s="98">
        <v>-193079.95</v>
      </c>
      <c r="E45" s="98"/>
      <c r="F45" s="67">
        <f t="shared" si="1"/>
        <v>-193079.95</v>
      </c>
      <c r="G45" s="75">
        <f t="shared" si="2"/>
        <v>-344484.49</v>
      </c>
      <c r="H45" s="117"/>
      <c r="I45" s="117"/>
    </row>
    <row r="46" spans="1:12" hidden="1" outlineLevel="1" x14ac:dyDescent="0.2">
      <c r="A46" s="71">
        <f t="shared" si="0"/>
        <v>39</v>
      </c>
      <c r="B46" s="66">
        <f>+B45+31</f>
        <v>39962</v>
      </c>
      <c r="C46" s="117"/>
      <c r="D46" s="98">
        <v>-172362.08</v>
      </c>
      <c r="E46" s="98"/>
      <c r="F46" s="98">
        <f t="shared" si="1"/>
        <v>-172362.08</v>
      </c>
      <c r="G46" s="75">
        <f t="shared" si="2"/>
        <v>-516846.56999999995</v>
      </c>
      <c r="H46" s="117"/>
      <c r="I46" s="117"/>
    </row>
    <row r="47" spans="1:12" hidden="1" outlineLevel="1" x14ac:dyDescent="0.2">
      <c r="A47" s="71">
        <f t="shared" si="0"/>
        <v>40</v>
      </c>
      <c r="B47" s="66">
        <f>+B46+30</f>
        <v>39992</v>
      </c>
      <c r="C47" s="117"/>
      <c r="D47" s="98">
        <v>-154740.95000000001</v>
      </c>
      <c r="E47" s="98"/>
      <c r="F47" s="98">
        <f t="shared" si="1"/>
        <v>-154740.95000000001</v>
      </c>
      <c r="G47" s="75">
        <f t="shared" si="2"/>
        <v>-671587.52</v>
      </c>
      <c r="H47" s="98"/>
      <c r="I47" s="98"/>
      <c r="J47" s="67"/>
      <c r="K47" s="67"/>
      <c r="L47" s="67"/>
    </row>
    <row r="48" spans="1:12" hidden="1" outlineLevel="1" x14ac:dyDescent="0.2">
      <c r="A48" s="71">
        <f t="shared" si="0"/>
        <v>41</v>
      </c>
      <c r="B48" s="66">
        <f>+B47+31</f>
        <v>40023</v>
      </c>
      <c r="C48" s="117"/>
      <c r="D48" s="98">
        <v>-154085.70000000001</v>
      </c>
      <c r="E48" s="98"/>
      <c r="F48" s="98">
        <f t="shared" si="1"/>
        <v>-154085.70000000001</v>
      </c>
      <c r="G48" s="75">
        <f t="shared" ref="G48:G79" si="3">+G47+F48</f>
        <v>-825673.22</v>
      </c>
      <c r="H48" s="98"/>
      <c r="I48" s="98"/>
      <c r="J48" s="67"/>
      <c r="K48" s="67"/>
      <c r="L48" s="67"/>
    </row>
    <row r="49" spans="1:12" hidden="1" outlineLevel="1" x14ac:dyDescent="0.2">
      <c r="A49" s="71">
        <f t="shared" si="0"/>
        <v>42</v>
      </c>
      <c r="B49" s="66">
        <f>+B48+30</f>
        <v>40053</v>
      </c>
      <c r="C49" s="117"/>
      <c r="D49" s="98">
        <v>-156512.72</v>
      </c>
      <c r="E49" s="98"/>
      <c r="F49" s="98">
        <f t="shared" si="1"/>
        <v>-156512.72</v>
      </c>
      <c r="G49" s="75">
        <f t="shared" si="3"/>
        <v>-982185.94</v>
      </c>
      <c r="H49" s="98"/>
      <c r="I49" s="98"/>
      <c r="J49" s="67"/>
      <c r="K49" s="67"/>
      <c r="L49" s="67"/>
    </row>
    <row r="50" spans="1:12" hidden="1" outlineLevel="1" x14ac:dyDescent="0.2">
      <c r="A50" s="71">
        <f t="shared" si="0"/>
        <v>43</v>
      </c>
      <c r="B50" s="66">
        <f>+B49+30</f>
        <v>40083</v>
      </c>
      <c r="C50" s="117"/>
      <c r="D50" s="98">
        <v>-157895.51</v>
      </c>
      <c r="E50" s="98"/>
      <c r="F50" s="98">
        <f t="shared" si="1"/>
        <v>-157895.51</v>
      </c>
      <c r="G50" s="75">
        <f t="shared" si="3"/>
        <v>-1140081.45</v>
      </c>
      <c r="H50" s="98"/>
      <c r="I50" s="98"/>
      <c r="J50" s="67"/>
      <c r="K50" s="67"/>
      <c r="L50" s="67"/>
    </row>
    <row r="51" spans="1:12" hidden="1" outlineLevel="1" x14ac:dyDescent="0.2">
      <c r="A51" s="71">
        <f t="shared" si="0"/>
        <v>44</v>
      </c>
      <c r="B51" s="66">
        <f>+B50+31</f>
        <v>40114</v>
      </c>
      <c r="C51" s="117"/>
      <c r="D51" s="98">
        <v>-153009.31</v>
      </c>
      <c r="E51" s="98"/>
      <c r="F51" s="98">
        <f t="shared" si="1"/>
        <v>-153009.31</v>
      </c>
      <c r="G51" s="75">
        <f t="shared" si="3"/>
        <v>-1293090.76</v>
      </c>
      <c r="H51" s="98"/>
      <c r="I51" s="98"/>
      <c r="J51" s="67"/>
      <c r="K51" s="67"/>
      <c r="L51" s="67"/>
    </row>
    <row r="52" spans="1:12" hidden="1" outlineLevel="1" x14ac:dyDescent="0.2">
      <c r="A52" s="71">
        <f t="shared" si="0"/>
        <v>45</v>
      </c>
      <c r="B52" s="66">
        <f>+B51+30</f>
        <v>40144</v>
      </c>
      <c r="C52" s="117"/>
      <c r="D52" s="98">
        <v>-91712.54</v>
      </c>
      <c r="E52" s="98"/>
      <c r="F52" s="98">
        <f t="shared" si="1"/>
        <v>-91712.54</v>
      </c>
      <c r="G52" s="75">
        <f t="shared" si="3"/>
        <v>-1384803.3</v>
      </c>
      <c r="H52" s="98"/>
      <c r="I52" s="98"/>
      <c r="J52" s="67"/>
      <c r="K52" s="67"/>
      <c r="L52" s="67"/>
    </row>
    <row r="53" spans="1:12" hidden="1" outlineLevel="1" x14ac:dyDescent="0.2">
      <c r="A53" s="71">
        <f t="shared" si="0"/>
        <v>46</v>
      </c>
      <c r="B53" s="66">
        <f>+B52+31</f>
        <v>40175</v>
      </c>
      <c r="C53" s="117"/>
      <c r="D53" s="98">
        <v>-116023.76</v>
      </c>
      <c r="E53" s="98"/>
      <c r="F53" s="98">
        <f t="shared" si="1"/>
        <v>-116023.76</v>
      </c>
      <c r="G53" s="75">
        <f t="shared" si="3"/>
        <v>-1500827.06</v>
      </c>
      <c r="H53" s="98"/>
      <c r="I53" s="98"/>
      <c r="J53" s="67"/>
      <c r="K53" s="67"/>
      <c r="L53" s="67"/>
    </row>
    <row r="54" spans="1:12" hidden="1" outlineLevel="1" x14ac:dyDescent="0.2">
      <c r="A54" s="71">
        <f t="shared" si="0"/>
        <v>47</v>
      </c>
      <c r="B54" s="66">
        <f>+B53+31</f>
        <v>40206</v>
      </c>
      <c r="C54" s="117"/>
      <c r="D54" s="98">
        <v>-10799.92</v>
      </c>
      <c r="E54" s="98">
        <f>-G53</f>
        <v>1500827.06</v>
      </c>
      <c r="F54" s="98">
        <f t="shared" si="1"/>
        <v>1490027.1400000001</v>
      </c>
      <c r="G54" s="75">
        <f t="shared" si="3"/>
        <v>-10799.919999999925</v>
      </c>
      <c r="H54" s="98"/>
      <c r="I54" s="98"/>
      <c r="J54" s="67"/>
      <c r="K54" s="67"/>
      <c r="L54" s="67"/>
    </row>
    <row r="55" spans="1:12" hidden="1" outlineLevel="1" x14ac:dyDescent="0.2">
      <c r="A55" s="71">
        <f t="shared" si="0"/>
        <v>48</v>
      </c>
      <c r="B55" s="66">
        <f>+B54+28</f>
        <v>40234</v>
      </c>
      <c r="C55" s="117"/>
      <c r="D55" s="98">
        <v>-50560.67</v>
      </c>
      <c r="E55" s="98"/>
      <c r="F55" s="98">
        <f t="shared" si="1"/>
        <v>-50560.67</v>
      </c>
      <c r="G55" s="75">
        <f t="shared" si="3"/>
        <v>-61360.589999999924</v>
      </c>
      <c r="H55" s="98"/>
      <c r="I55" s="98"/>
      <c r="J55" s="67"/>
      <c r="K55" s="67"/>
      <c r="L55" s="67"/>
    </row>
    <row r="56" spans="1:12" hidden="1" outlineLevel="1" x14ac:dyDescent="0.2">
      <c r="A56" s="71">
        <f t="shared" si="0"/>
        <v>49</v>
      </c>
      <c r="B56" s="66">
        <f>+B55+31</f>
        <v>40265</v>
      </c>
      <c r="C56" s="117"/>
      <c r="D56" s="98">
        <v>-232221.72</v>
      </c>
      <c r="E56" s="98"/>
      <c r="F56" s="98">
        <f t="shared" si="1"/>
        <v>-232221.72</v>
      </c>
      <c r="G56" s="75">
        <f t="shared" si="3"/>
        <v>-293582.30999999994</v>
      </c>
      <c r="H56" s="98"/>
      <c r="I56" s="98"/>
      <c r="J56" s="67"/>
      <c r="K56" s="67"/>
      <c r="L56" s="67"/>
    </row>
    <row r="57" spans="1:12" hidden="1" outlineLevel="1" x14ac:dyDescent="0.2">
      <c r="A57" s="71">
        <f t="shared" si="0"/>
        <v>50</v>
      </c>
      <c r="B57" s="66">
        <f>+B56+30</f>
        <v>40295</v>
      </c>
      <c r="C57" s="117"/>
      <c r="D57" s="98">
        <v>-191430.37</v>
      </c>
      <c r="E57" s="98"/>
      <c r="F57" s="98">
        <f t="shared" si="1"/>
        <v>-191430.37</v>
      </c>
      <c r="G57" s="75">
        <f t="shared" si="3"/>
        <v>-485012.67999999993</v>
      </c>
      <c r="H57" s="98"/>
      <c r="I57" s="98"/>
      <c r="J57" s="67"/>
      <c r="K57" s="67"/>
      <c r="L57" s="67"/>
    </row>
    <row r="58" spans="1:12" hidden="1" outlineLevel="1" x14ac:dyDescent="0.2">
      <c r="A58" s="71">
        <f t="shared" si="0"/>
        <v>51</v>
      </c>
      <c r="B58" s="66">
        <f>+B57+31</f>
        <v>40326</v>
      </c>
      <c r="C58" s="117"/>
      <c r="D58" s="98">
        <v>-126222.13000000006</v>
      </c>
      <c r="E58" s="98"/>
      <c r="F58" s="98">
        <f t="shared" si="1"/>
        <v>-126222.13000000006</v>
      </c>
      <c r="G58" s="75">
        <f t="shared" si="3"/>
        <v>-611234.81000000006</v>
      </c>
      <c r="H58" s="98"/>
      <c r="I58" s="98"/>
      <c r="J58" s="67"/>
      <c r="K58" s="67"/>
      <c r="L58" s="67"/>
    </row>
    <row r="59" spans="1:12" hidden="1" outlineLevel="1" x14ac:dyDescent="0.2">
      <c r="A59" s="71">
        <f t="shared" si="0"/>
        <v>52</v>
      </c>
      <c r="B59" s="66">
        <f>+B58+30</f>
        <v>40356</v>
      </c>
      <c r="C59" s="117"/>
      <c r="D59" s="98">
        <v>-133661.92999999993</v>
      </c>
      <c r="E59" s="98"/>
      <c r="F59" s="98">
        <f t="shared" si="1"/>
        <v>-133661.92999999993</v>
      </c>
      <c r="G59" s="75">
        <f t="shared" si="3"/>
        <v>-744896.74</v>
      </c>
      <c r="H59" s="98"/>
      <c r="I59" s="98"/>
      <c r="J59" s="67"/>
      <c r="K59" s="67"/>
      <c r="L59" s="67"/>
    </row>
    <row r="60" spans="1:12" hidden="1" outlineLevel="1" x14ac:dyDescent="0.2">
      <c r="A60" s="71">
        <f t="shared" si="0"/>
        <v>53</v>
      </c>
      <c r="B60" s="66">
        <f>+B59+31</f>
        <v>40387</v>
      </c>
      <c r="C60" s="117"/>
      <c r="D60" s="98">
        <v>-154562.03</v>
      </c>
      <c r="E60" s="98"/>
      <c r="F60" s="98">
        <f t="shared" si="1"/>
        <v>-154562.03</v>
      </c>
      <c r="G60" s="75">
        <f t="shared" si="3"/>
        <v>-899458.77</v>
      </c>
      <c r="H60" s="98"/>
      <c r="I60" s="98"/>
      <c r="J60" s="67"/>
      <c r="K60" s="67"/>
      <c r="L60" s="67"/>
    </row>
    <row r="61" spans="1:12" hidden="1" outlineLevel="1" x14ac:dyDescent="0.2">
      <c r="A61" s="71">
        <f t="shared" si="0"/>
        <v>54</v>
      </c>
      <c r="B61" s="66">
        <f>+B60+30</f>
        <v>40417</v>
      </c>
      <c r="C61" s="117"/>
      <c r="D61" s="98">
        <v>-152963.70000000001</v>
      </c>
      <c r="E61" s="98"/>
      <c r="F61" s="98">
        <f t="shared" si="1"/>
        <v>-152963.70000000001</v>
      </c>
      <c r="G61" s="75">
        <f t="shared" si="3"/>
        <v>-1052422.47</v>
      </c>
      <c r="H61" s="98"/>
      <c r="I61" s="98"/>
      <c r="J61" s="67"/>
      <c r="K61" s="67"/>
      <c r="L61" s="67"/>
    </row>
    <row r="62" spans="1:12" hidden="1" outlineLevel="1" x14ac:dyDescent="0.2">
      <c r="A62" s="71">
        <f t="shared" si="0"/>
        <v>55</v>
      </c>
      <c r="B62" s="66">
        <f>+B61+30</f>
        <v>40447</v>
      </c>
      <c r="C62" s="117"/>
      <c r="D62" s="98">
        <v>-146233.82999999999</v>
      </c>
      <c r="E62" s="98"/>
      <c r="F62" s="98">
        <f t="shared" si="1"/>
        <v>-146233.82999999999</v>
      </c>
      <c r="G62" s="75">
        <f t="shared" si="3"/>
        <v>-1198656.3</v>
      </c>
      <c r="H62" s="98"/>
      <c r="I62" s="98"/>
      <c r="J62" s="67"/>
      <c r="K62" s="67"/>
      <c r="L62" s="67"/>
    </row>
    <row r="63" spans="1:12" hidden="1" outlineLevel="1" x14ac:dyDescent="0.2">
      <c r="A63" s="71">
        <f t="shared" si="0"/>
        <v>56</v>
      </c>
      <c r="B63" s="66">
        <f>+B62+31</f>
        <v>40478</v>
      </c>
      <c r="C63" s="117"/>
      <c r="D63" s="98">
        <v>-143263.57</v>
      </c>
      <c r="E63" s="98"/>
      <c r="F63" s="98">
        <f t="shared" si="1"/>
        <v>-143263.57</v>
      </c>
      <c r="G63" s="75">
        <f t="shared" si="3"/>
        <v>-1341919.8700000001</v>
      </c>
      <c r="H63" s="98"/>
      <c r="I63" s="98"/>
      <c r="J63" s="67"/>
      <c r="K63" s="67"/>
      <c r="L63" s="67"/>
    </row>
    <row r="64" spans="1:12" hidden="1" outlineLevel="1" x14ac:dyDescent="0.2">
      <c r="A64" s="71">
        <f t="shared" si="0"/>
        <v>57</v>
      </c>
      <c r="B64" s="66">
        <f>+B63+30</f>
        <v>40508</v>
      </c>
      <c r="C64" s="117"/>
      <c r="D64" s="67">
        <v>-131269.85</v>
      </c>
      <c r="E64" s="98"/>
      <c r="F64" s="98">
        <f t="shared" si="1"/>
        <v>-131269.85</v>
      </c>
      <c r="G64" s="75">
        <f t="shared" si="3"/>
        <v>-1473189.7200000002</v>
      </c>
      <c r="H64" s="98"/>
      <c r="I64" s="98"/>
      <c r="J64" s="67"/>
      <c r="K64" s="67"/>
      <c r="L64" s="67"/>
    </row>
    <row r="65" spans="1:14" hidden="1" outlineLevel="1" x14ac:dyDescent="0.2">
      <c r="A65" s="71">
        <f t="shared" si="0"/>
        <v>58</v>
      </c>
      <c r="B65" s="66">
        <f>+B64+31</f>
        <v>40539</v>
      </c>
      <c r="C65" s="117"/>
      <c r="D65" s="67">
        <v>-138694.66</v>
      </c>
      <c r="E65" s="98"/>
      <c r="F65" s="98">
        <f t="shared" si="1"/>
        <v>-138694.66</v>
      </c>
      <c r="G65" s="75">
        <f t="shared" si="3"/>
        <v>-1611884.3800000001</v>
      </c>
      <c r="H65" s="98"/>
      <c r="I65" s="98"/>
      <c r="J65" s="67"/>
      <c r="K65" s="67"/>
      <c r="L65" s="67"/>
    </row>
    <row r="66" spans="1:14" hidden="1" outlineLevel="1" x14ac:dyDescent="0.2">
      <c r="A66" s="71">
        <f t="shared" si="0"/>
        <v>59</v>
      </c>
      <c r="B66" s="66">
        <f>+B65+31</f>
        <v>40570</v>
      </c>
      <c r="C66" s="87">
        <v>1</v>
      </c>
      <c r="D66" s="67">
        <v>-20085.68</v>
      </c>
      <c r="E66" s="98">
        <f>-G65</f>
        <v>1611884.3800000001</v>
      </c>
      <c r="F66" s="98">
        <f t="shared" si="1"/>
        <v>1591798.7000000002</v>
      </c>
      <c r="G66" s="75">
        <f t="shared" si="3"/>
        <v>-20085.679999999935</v>
      </c>
      <c r="H66" s="98"/>
      <c r="I66" s="98"/>
      <c r="J66" s="67"/>
      <c r="K66" s="67"/>
      <c r="L66" s="67"/>
    </row>
    <row r="67" spans="1:14" hidden="1" outlineLevel="1" x14ac:dyDescent="0.2">
      <c r="A67" s="71">
        <f t="shared" si="0"/>
        <v>60</v>
      </c>
      <c r="B67" s="66">
        <f>+B66+28</f>
        <v>40598</v>
      </c>
      <c r="C67" s="117"/>
      <c r="D67" s="98">
        <v>-90721</v>
      </c>
      <c r="E67" s="98"/>
      <c r="F67" s="98">
        <f t="shared" si="1"/>
        <v>-90721</v>
      </c>
      <c r="G67" s="75">
        <f t="shared" si="3"/>
        <v>-110806.67999999993</v>
      </c>
      <c r="H67" s="98"/>
      <c r="I67" s="98"/>
      <c r="J67" s="67"/>
      <c r="K67" s="67"/>
      <c r="L67" s="67"/>
    </row>
    <row r="68" spans="1:14" hidden="1" outlineLevel="1" x14ac:dyDescent="0.2">
      <c r="A68" s="71">
        <f t="shared" si="0"/>
        <v>61</v>
      </c>
      <c r="B68" s="66">
        <f>+B67+31</f>
        <v>40629</v>
      </c>
      <c r="C68" s="117"/>
      <c r="D68" s="98">
        <v>-137446.82</v>
      </c>
      <c r="E68" s="98"/>
      <c r="F68" s="98">
        <f t="shared" si="1"/>
        <v>-137446.82</v>
      </c>
      <c r="G68" s="75">
        <f t="shared" si="3"/>
        <v>-248253.49999999994</v>
      </c>
      <c r="H68" s="98"/>
      <c r="I68" s="98"/>
      <c r="J68" s="67"/>
      <c r="K68" s="67"/>
      <c r="L68" s="67"/>
    </row>
    <row r="69" spans="1:14" hidden="1" outlineLevel="1" x14ac:dyDescent="0.2">
      <c r="A69" s="71">
        <f t="shared" si="0"/>
        <v>62</v>
      </c>
      <c r="B69" s="66">
        <f>+B68+30</f>
        <v>40659</v>
      </c>
      <c r="C69" s="117"/>
      <c r="D69" s="98">
        <v>-94993.73</v>
      </c>
      <c r="E69" s="98"/>
      <c r="F69" s="98">
        <f t="shared" si="1"/>
        <v>-94993.73</v>
      </c>
      <c r="G69" s="75">
        <f t="shared" si="3"/>
        <v>-343247.22999999992</v>
      </c>
      <c r="H69" s="98"/>
      <c r="I69" s="98"/>
      <c r="J69" s="67"/>
      <c r="K69" s="67"/>
      <c r="L69" s="67"/>
    </row>
    <row r="70" spans="1:14" hidden="1" outlineLevel="1" x14ac:dyDescent="0.2">
      <c r="A70" s="71">
        <f t="shared" si="0"/>
        <v>63</v>
      </c>
      <c r="B70" s="66">
        <f>+B69+31</f>
        <v>40690</v>
      </c>
      <c r="C70" s="117"/>
      <c r="D70" s="98">
        <v>-101290.28</v>
      </c>
      <c r="E70" s="98"/>
      <c r="F70" s="98">
        <f t="shared" si="1"/>
        <v>-101290.28</v>
      </c>
      <c r="G70" s="75">
        <f t="shared" si="3"/>
        <v>-444537.50999999989</v>
      </c>
      <c r="H70" s="98"/>
      <c r="I70" s="98"/>
      <c r="J70" s="67"/>
      <c r="K70" s="67"/>
      <c r="L70" s="67"/>
    </row>
    <row r="71" spans="1:14" hidden="1" outlineLevel="1" x14ac:dyDescent="0.2">
      <c r="A71" s="71">
        <f t="shared" si="0"/>
        <v>64</v>
      </c>
      <c r="B71" s="66">
        <f>+B70+30</f>
        <v>40720</v>
      </c>
      <c r="C71" s="117"/>
      <c r="D71" s="98">
        <v>-100868.56</v>
      </c>
      <c r="E71" s="98"/>
      <c r="F71" s="98">
        <f t="shared" si="1"/>
        <v>-100868.56</v>
      </c>
      <c r="G71" s="75">
        <f t="shared" si="3"/>
        <v>-545406.06999999983</v>
      </c>
      <c r="H71" s="98"/>
      <c r="I71" s="98"/>
      <c r="J71" s="67"/>
      <c r="K71" s="67"/>
      <c r="L71" s="67"/>
    </row>
    <row r="72" spans="1:14" hidden="1" outlineLevel="1" x14ac:dyDescent="0.2">
      <c r="A72" s="71">
        <f t="shared" si="0"/>
        <v>65</v>
      </c>
      <c r="B72" s="66">
        <f>+B71+31</f>
        <v>40751</v>
      </c>
      <c r="C72" s="117"/>
      <c r="D72" s="98">
        <v>-111706.17</v>
      </c>
      <c r="E72" s="98"/>
      <c r="F72" s="98">
        <f t="shared" si="1"/>
        <v>-111706.17</v>
      </c>
      <c r="G72" s="75">
        <f t="shared" si="3"/>
        <v>-657112.23999999987</v>
      </c>
      <c r="H72" s="98"/>
      <c r="I72" s="98"/>
      <c r="J72" s="128"/>
      <c r="L72" s="67"/>
      <c r="M72" s="123"/>
    </row>
    <row r="73" spans="1:14" hidden="1" outlineLevel="1" x14ac:dyDescent="0.2">
      <c r="A73" s="71">
        <f t="shared" ref="A73:A136" si="4">+A72+1</f>
        <v>66</v>
      </c>
      <c r="B73" s="66">
        <f>+B72+30</f>
        <v>40781</v>
      </c>
      <c r="C73" s="117"/>
      <c r="D73" s="98">
        <v>-114063.55</v>
      </c>
      <c r="E73" s="98"/>
      <c r="F73" s="98">
        <f t="shared" si="1"/>
        <v>-114063.55</v>
      </c>
      <c r="G73" s="75">
        <f t="shared" si="3"/>
        <v>-771175.78999999992</v>
      </c>
      <c r="H73" s="98"/>
      <c r="I73" s="128"/>
    </row>
    <row r="74" spans="1:14" hidden="1" outlineLevel="1" x14ac:dyDescent="0.2">
      <c r="A74" s="71">
        <f t="shared" si="4"/>
        <v>67</v>
      </c>
      <c r="B74" s="66">
        <f>+B73+30</f>
        <v>40811</v>
      </c>
      <c r="C74" s="117"/>
      <c r="D74" s="98">
        <v>-109076.46</v>
      </c>
      <c r="E74" s="98"/>
      <c r="F74" s="98">
        <f t="shared" si="1"/>
        <v>-109076.46</v>
      </c>
      <c r="G74" s="75">
        <f t="shared" si="3"/>
        <v>-880252.24999999988</v>
      </c>
      <c r="H74" s="98"/>
      <c r="I74" s="98"/>
      <c r="J74" s="86"/>
      <c r="K74" s="86"/>
      <c r="L74" s="86"/>
      <c r="M74" s="86"/>
      <c r="N74" s="86"/>
    </row>
    <row r="75" spans="1:14" hidden="1" outlineLevel="1" x14ac:dyDescent="0.2">
      <c r="A75" s="71">
        <f t="shared" si="4"/>
        <v>68</v>
      </c>
      <c r="B75" s="66">
        <f>+B74+31</f>
        <v>40842</v>
      </c>
      <c r="C75" s="117"/>
      <c r="D75" s="98">
        <v>-115942.59</v>
      </c>
      <c r="E75" s="98"/>
      <c r="F75" s="98">
        <f t="shared" si="1"/>
        <v>-115942.59</v>
      </c>
      <c r="G75" s="75">
        <f t="shared" si="3"/>
        <v>-996194.83999999985</v>
      </c>
      <c r="H75" s="98"/>
      <c r="I75" s="98"/>
      <c r="J75" s="86"/>
      <c r="K75" s="86"/>
      <c r="L75" s="86"/>
      <c r="M75" s="86"/>
      <c r="N75" s="86"/>
    </row>
    <row r="76" spans="1:14" hidden="1" outlineLevel="1" x14ac:dyDescent="0.2">
      <c r="A76" s="71">
        <f t="shared" si="4"/>
        <v>69</v>
      </c>
      <c r="B76" s="66">
        <f>+B75+30</f>
        <v>40872</v>
      </c>
      <c r="C76" s="117"/>
      <c r="D76" s="98">
        <v>-115913.65</v>
      </c>
      <c r="E76" s="98"/>
      <c r="F76" s="98">
        <f t="shared" si="1"/>
        <v>-115913.65</v>
      </c>
      <c r="G76" s="75">
        <f t="shared" si="3"/>
        <v>-1112108.4899999998</v>
      </c>
      <c r="H76" s="98"/>
      <c r="I76" s="98"/>
      <c r="J76" s="86"/>
      <c r="K76" s="86"/>
      <c r="L76" s="86"/>
      <c r="M76" s="86"/>
      <c r="N76" s="86"/>
    </row>
    <row r="77" spans="1:14" hidden="1" outlineLevel="1" x14ac:dyDescent="0.2">
      <c r="A77" s="71">
        <f t="shared" si="4"/>
        <v>70</v>
      </c>
      <c r="B77" s="66">
        <f>+B76+31</f>
        <v>40903</v>
      </c>
      <c r="C77" s="87"/>
      <c r="D77" s="98">
        <v>-109969.08</v>
      </c>
      <c r="E77" s="98"/>
      <c r="F77" s="98">
        <f t="shared" si="1"/>
        <v>-109969.08</v>
      </c>
      <c r="G77" s="75">
        <f t="shared" si="3"/>
        <v>-1222077.5699999998</v>
      </c>
      <c r="H77" s="98"/>
      <c r="I77" s="98"/>
      <c r="J77" s="86"/>
      <c r="K77" s="86"/>
      <c r="L77" s="86"/>
      <c r="M77" s="86"/>
      <c r="N77" s="86"/>
    </row>
    <row r="78" spans="1:14" hidden="1" outlineLevel="1" x14ac:dyDescent="0.2">
      <c r="A78" s="71">
        <f t="shared" si="4"/>
        <v>71</v>
      </c>
      <c r="B78" s="66">
        <f>+B77+31</f>
        <v>40934</v>
      </c>
      <c r="C78" s="87">
        <v>1</v>
      </c>
      <c r="D78" s="98">
        <v>-14090.24</v>
      </c>
      <c r="E78" s="98">
        <f>-G77</f>
        <v>1222077.5699999998</v>
      </c>
      <c r="F78" s="98">
        <f t="shared" si="1"/>
        <v>1207987.3299999998</v>
      </c>
      <c r="G78" s="75">
        <f t="shared" si="3"/>
        <v>-14090.239999999991</v>
      </c>
      <c r="H78" s="98"/>
      <c r="I78" s="98"/>
      <c r="J78" s="86"/>
      <c r="K78" s="86"/>
      <c r="L78" s="86"/>
      <c r="M78" s="86"/>
      <c r="N78" s="86"/>
    </row>
    <row r="79" spans="1:14" hidden="1" outlineLevel="1" x14ac:dyDescent="0.2">
      <c r="A79" s="71">
        <f t="shared" si="4"/>
        <v>72</v>
      </c>
      <c r="B79" s="66">
        <f>+B78+29</f>
        <v>40963</v>
      </c>
      <c r="C79" s="117"/>
      <c r="D79" s="98">
        <v>-50280.82</v>
      </c>
      <c r="E79" s="98"/>
      <c r="F79" s="98">
        <f t="shared" si="1"/>
        <v>-50280.82</v>
      </c>
      <c r="G79" s="75">
        <f t="shared" si="3"/>
        <v>-64371.05999999999</v>
      </c>
      <c r="H79" s="98"/>
      <c r="I79" s="98"/>
      <c r="J79" s="86"/>
      <c r="K79" s="86"/>
      <c r="L79" s="86"/>
      <c r="M79" s="86"/>
      <c r="N79" s="86"/>
    </row>
    <row r="80" spans="1:14" hidden="1" outlineLevel="1" x14ac:dyDescent="0.2">
      <c r="A80" s="71">
        <f t="shared" si="4"/>
        <v>73</v>
      </c>
      <c r="B80" s="66">
        <f>+B79+31</f>
        <v>40994</v>
      </c>
      <c r="C80" s="117"/>
      <c r="D80" s="98">
        <v>-97286.399999999994</v>
      </c>
      <c r="E80" s="98"/>
      <c r="F80" s="98">
        <f t="shared" ref="F80:F143" si="5">SUM(D80:E80)</f>
        <v>-97286.399999999994</v>
      </c>
      <c r="G80" s="75">
        <f t="shared" ref="G80:G111" si="6">+G79+F80</f>
        <v>-161657.46</v>
      </c>
      <c r="H80" s="98"/>
      <c r="I80" s="98"/>
      <c r="J80" s="67"/>
      <c r="K80" s="67"/>
      <c r="L80" s="67"/>
    </row>
    <row r="81" spans="1:12" hidden="1" outlineLevel="1" x14ac:dyDescent="0.2">
      <c r="A81" s="71">
        <f t="shared" si="4"/>
        <v>74</v>
      </c>
      <c r="B81" s="66">
        <f>+B80+30</f>
        <v>41024</v>
      </c>
      <c r="C81" s="117"/>
      <c r="D81" s="98">
        <v>-113375.7</v>
      </c>
      <c r="E81" s="98"/>
      <c r="F81" s="98">
        <f t="shared" si="5"/>
        <v>-113375.7</v>
      </c>
      <c r="G81" s="75">
        <f t="shared" si="6"/>
        <v>-275033.15999999997</v>
      </c>
      <c r="H81" s="98"/>
      <c r="I81" s="98"/>
      <c r="J81" s="67"/>
      <c r="K81" s="67"/>
      <c r="L81" s="67"/>
    </row>
    <row r="82" spans="1:12" hidden="1" outlineLevel="1" x14ac:dyDescent="0.2">
      <c r="A82" s="71">
        <f t="shared" si="4"/>
        <v>75</v>
      </c>
      <c r="B82" s="66">
        <f>+B81+31</f>
        <v>41055</v>
      </c>
      <c r="C82" s="117"/>
      <c r="D82" s="98">
        <f>-98741-14882.84</f>
        <v>-113623.84</v>
      </c>
      <c r="E82" s="98"/>
      <c r="F82" s="98">
        <f t="shared" si="5"/>
        <v>-113623.84</v>
      </c>
      <c r="G82" s="75">
        <f t="shared" si="6"/>
        <v>-388657</v>
      </c>
      <c r="H82" s="67"/>
      <c r="I82" s="98"/>
      <c r="J82" s="67"/>
      <c r="K82" s="67"/>
      <c r="L82" s="67"/>
    </row>
    <row r="83" spans="1:12" hidden="1" outlineLevel="1" x14ac:dyDescent="0.2">
      <c r="A83" s="71">
        <f t="shared" si="4"/>
        <v>76</v>
      </c>
      <c r="B83" s="66">
        <f>+B82+30</f>
        <v>41085</v>
      </c>
      <c r="C83" s="117"/>
      <c r="D83" s="98">
        <v>-102269.3</v>
      </c>
      <c r="E83" s="98"/>
      <c r="F83" s="98">
        <f t="shared" si="5"/>
        <v>-102269.3</v>
      </c>
      <c r="G83" s="75">
        <f t="shared" si="6"/>
        <v>-490926.3</v>
      </c>
      <c r="H83" s="98"/>
      <c r="I83" s="98"/>
      <c r="J83" s="67"/>
      <c r="K83" s="67"/>
      <c r="L83" s="67"/>
    </row>
    <row r="84" spans="1:12" hidden="1" outlineLevel="1" x14ac:dyDescent="0.2">
      <c r="A84" s="71">
        <f t="shared" si="4"/>
        <v>77</v>
      </c>
      <c r="B84" s="66">
        <f>+B83+31</f>
        <v>41116</v>
      </c>
      <c r="C84" s="117"/>
      <c r="D84" s="98">
        <v>-121526.05</v>
      </c>
      <c r="E84" s="98"/>
      <c r="F84" s="98">
        <f t="shared" si="5"/>
        <v>-121526.05</v>
      </c>
      <c r="G84" s="75">
        <f t="shared" si="6"/>
        <v>-612452.35</v>
      </c>
      <c r="H84" s="98"/>
      <c r="I84" s="98"/>
      <c r="J84" s="67"/>
      <c r="K84" s="67"/>
      <c r="L84" s="67"/>
    </row>
    <row r="85" spans="1:12" hidden="1" outlineLevel="1" x14ac:dyDescent="0.2">
      <c r="A85" s="71">
        <f t="shared" si="4"/>
        <v>78</v>
      </c>
      <c r="B85" s="66">
        <f>+B84+30</f>
        <v>41146</v>
      </c>
      <c r="C85" s="117"/>
      <c r="D85" s="98">
        <v>-122121.93</v>
      </c>
      <c r="E85" s="98"/>
      <c r="F85" s="98">
        <f t="shared" si="5"/>
        <v>-122121.93</v>
      </c>
      <c r="G85" s="75">
        <f t="shared" si="6"/>
        <v>-734574.28</v>
      </c>
      <c r="H85" s="98"/>
      <c r="I85" s="124"/>
      <c r="J85" s="67"/>
      <c r="K85" s="67"/>
      <c r="L85" s="67"/>
    </row>
    <row r="86" spans="1:12" hidden="1" outlineLevel="1" x14ac:dyDescent="0.2">
      <c r="A86" s="71">
        <f t="shared" si="4"/>
        <v>79</v>
      </c>
      <c r="B86" s="66">
        <f>+B85+30</f>
        <v>41176</v>
      </c>
      <c r="C86" s="117"/>
      <c r="D86" s="98">
        <v>-112520.67</v>
      </c>
      <c r="E86" s="98"/>
      <c r="F86" s="98">
        <f t="shared" si="5"/>
        <v>-112520.67</v>
      </c>
      <c r="G86" s="75">
        <f t="shared" si="6"/>
        <v>-847094.95000000007</v>
      </c>
      <c r="H86" s="98"/>
      <c r="I86" s="124"/>
      <c r="J86" s="67"/>
      <c r="K86" s="67"/>
      <c r="L86" s="67"/>
    </row>
    <row r="87" spans="1:12" hidden="1" outlineLevel="1" x14ac:dyDescent="0.2">
      <c r="A87" s="71">
        <f t="shared" si="4"/>
        <v>80</v>
      </c>
      <c r="B87" s="66">
        <f>+B86+31</f>
        <v>41207</v>
      </c>
      <c r="C87" s="117"/>
      <c r="D87" s="98">
        <v>-106341.86</v>
      </c>
      <c r="E87" s="98"/>
      <c r="F87" s="98">
        <f t="shared" si="5"/>
        <v>-106341.86</v>
      </c>
      <c r="G87" s="75">
        <f t="shared" si="6"/>
        <v>-953436.81</v>
      </c>
      <c r="H87" s="98"/>
      <c r="I87" s="124"/>
      <c r="J87" s="67"/>
      <c r="K87" s="67"/>
      <c r="L87" s="67"/>
    </row>
    <row r="88" spans="1:12" hidden="1" outlineLevel="1" x14ac:dyDescent="0.2">
      <c r="A88" s="71">
        <f t="shared" si="4"/>
        <v>81</v>
      </c>
      <c r="B88" s="66">
        <f>+B87+30</f>
        <v>41237</v>
      </c>
      <c r="C88" s="117"/>
      <c r="D88" s="98">
        <v>-118921.4</v>
      </c>
      <c r="E88" s="98"/>
      <c r="F88" s="98">
        <f t="shared" si="5"/>
        <v>-118921.4</v>
      </c>
      <c r="G88" s="75">
        <f t="shared" si="6"/>
        <v>-1072358.21</v>
      </c>
      <c r="H88" s="98"/>
      <c r="I88" s="124"/>
      <c r="J88" s="67"/>
      <c r="K88" s="67"/>
      <c r="L88" s="67"/>
    </row>
    <row r="89" spans="1:12" hidden="1" outlineLevel="1" x14ac:dyDescent="0.2">
      <c r="A89" s="71">
        <f t="shared" si="4"/>
        <v>82</v>
      </c>
      <c r="B89" s="66">
        <f>+B88+31</f>
        <v>41268</v>
      </c>
      <c r="C89" s="117"/>
      <c r="D89" s="98">
        <v>-127191.63</v>
      </c>
      <c r="E89" s="98"/>
      <c r="F89" s="98">
        <f t="shared" si="5"/>
        <v>-127191.63</v>
      </c>
      <c r="G89" s="75">
        <f t="shared" si="6"/>
        <v>-1199549.8399999999</v>
      </c>
      <c r="H89" s="98"/>
      <c r="I89" s="124"/>
      <c r="J89" s="67"/>
      <c r="K89" s="67"/>
      <c r="L89" s="67"/>
    </row>
    <row r="90" spans="1:12" hidden="1" outlineLevel="1" x14ac:dyDescent="0.2">
      <c r="A90" s="71">
        <f t="shared" si="4"/>
        <v>83</v>
      </c>
      <c r="B90" s="66">
        <f>+B89+31</f>
        <v>41299</v>
      </c>
      <c r="C90" s="87">
        <v>1</v>
      </c>
      <c r="D90" s="98">
        <v>-24381.279999999999</v>
      </c>
      <c r="E90" s="98">
        <f>-G89</f>
        <v>1199549.8399999999</v>
      </c>
      <c r="F90" s="98">
        <f t="shared" si="5"/>
        <v>1175168.5599999998</v>
      </c>
      <c r="G90" s="75">
        <f t="shared" si="6"/>
        <v>-24381.280000000028</v>
      </c>
      <c r="H90" s="98"/>
      <c r="I90" s="124"/>
      <c r="J90" s="67"/>
      <c r="K90" s="67"/>
      <c r="L90" s="67"/>
    </row>
    <row r="91" spans="1:12" hidden="1" outlineLevel="1" x14ac:dyDescent="0.2">
      <c r="A91" s="71">
        <f t="shared" si="4"/>
        <v>84</v>
      </c>
      <c r="B91" s="66">
        <f>+B90+28</f>
        <v>41327</v>
      </c>
      <c r="C91" s="117"/>
      <c r="D91" s="98">
        <v>-83537.95</v>
      </c>
      <c r="E91" s="98"/>
      <c r="F91" s="98">
        <f t="shared" si="5"/>
        <v>-83537.95</v>
      </c>
      <c r="G91" s="75">
        <f t="shared" si="6"/>
        <v>-107919.23000000003</v>
      </c>
      <c r="H91" s="98"/>
      <c r="I91" s="124"/>
      <c r="J91" s="67"/>
      <c r="K91" s="67"/>
      <c r="L91" s="67"/>
    </row>
    <row r="92" spans="1:12" hidden="1" outlineLevel="1" x14ac:dyDescent="0.2">
      <c r="A92" s="71">
        <f t="shared" si="4"/>
        <v>85</v>
      </c>
      <c r="B92" s="66">
        <f>+B91+31</f>
        <v>41358</v>
      </c>
      <c r="C92" s="117"/>
      <c r="D92" s="98">
        <v>-127523.72</v>
      </c>
      <c r="E92" s="98"/>
      <c r="F92" s="98">
        <f t="shared" si="5"/>
        <v>-127523.72</v>
      </c>
      <c r="G92" s="75">
        <f t="shared" si="6"/>
        <v>-235442.95</v>
      </c>
      <c r="H92" s="98"/>
      <c r="I92" s="124"/>
      <c r="J92" s="67"/>
      <c r="K92" s="67"/>
      <c r="L92" s="67"/>
    </row>
    <row r="93" spans="1:12" hidden="1" outlineLevel="1" x14ac:dyDescent="0.2">
      <c r="A93" s="71">
        <f t="shared" si="4"/>
        <v>86</v>
      </c>
      <c r="B93" s="66">
        <f>+B92+30</f>
        <v>41388</v>
      </c>
      <c r="C93" s="117"/>
      <c r="D93" s="98">
        <v>-107817.05</v>
      </c>
      <c r="E93" s="98"/>
      <c r="F93" s="98">
        <f t="shared" si="5"/>
        <v>-107817.05</v>
      </c>
      <c r="G93" s="75">
        <f t="shared" si="6"/>
        <v>-343260</v>
      </c>
      <c r="H93" s="98"/>
      <c r="I93" s="124"/>
      <c r="J93" s="67"/>
      <c r="K93" s="67"/>
      <c r="L93" s="67"/>
    </row>
    <row r="94" spans="1:12" hidden="1" outlineLevel="1" x14ac:dyDescent="0.2">
      <c r="A94" s="71">
        <f t="shared" si="4"/>
        <v>87</v>
      </c>
      <c r="B94" s="66">
        <f>+B93+31</f>
        <v>41419</v>
      </c>
      <c r="C94" s="117"/>
      <c r="D94" s="98">
        <v>-127189.64</v>
      </c>
      <c r="E94" s="98"/>
      <c r="F94" s="98">
        <f t="shared" si="5"/>
        <v>-127189.64</v>
      </c>
      <c r="G94" s="75">
        <f t="shared" si="6"/>
        <v>-470449.64</v>
      </c>
      <c r="H94" s="98"/>
      <c r="I94" s="124"/>
      <c r="J94" s="67"/>
      <c r="K94" s="67"/>
      <c r="L94" s="67"/>
    </row>
    <row r="95" spans="1:12" hidden="1" outlineLevel="1" x14ac:dyDescent="0.2">
      <c r="A95" s="71">
        <f t="shared" si="4"/>
        <v>88</v>
      </c>
      <c r="B95" s="66">
        <f>+B94+30</f>
        <v>41449</v>
      </c>
      <c r="C95" s="117"/>
      <c r="D95" s="98">
        <v>-127041.69</v>
      </c>
      <c r="E95" s="98"/>
      <c r="F95" s="98">
        <f t="shared" si="5"/>
        <v>-127041.69</v>
      </c>
      <c r="G95" s="75">
        <f t="shared" si="6"/>
        <v>-597491.33000000007</v>
      </c>
      <c r="H95" s="98"/>
      <c r="I95" s="124"/>
      <c r="J95" s="67"/>
      <c r="K95" s="67"/>
      <c r="L95" s="67"/>
    </row>
    <row r="96" spans="1:12" hidden="1" outlineLevel="1" x14ac:dyDescent="0.2">
      <c r="A96" s="71">
        <f t="shared" si="4"/>
        <v>89</v>
      </c>
      <c r="B96" s="66">
        <f>+B95+31</f>
        <v>41480</v>
      </c>
      <c r="C96" s="117"/>
      <c r="D96" s="98">
        <v>-130600.41</v>
      </c>
      <c r="E96" s="98"/>
      <c r="F96" s="98">
        <f t="shared" si="5"/>
        <v>-130600.41</v>
      </c>
      <c r="G96" s="75">
        <f t="shared" si="6"/>
        <v>-728091.74000000011</v>
      </c>
      <c r="H96" s="98"/>
      <c r="I96" s="124"/>
      <c r="J96" s="67"/>
      <c r="K96" s="67"/>
      <c r="L96" s="67"/>
    </row>
    <row r="97" spans="1:12" hidden="1" outlineLevel="1" x14ac:dyDescent="0.2">
      <c r="A97" s="71">
        <f t="shared" si="4"/>
        <v>90</v>
      </c>
      <c r="B97" s="66">
        <f>+B96+30</f>
        <v>41510</v>
      </c>
      <c r="C97" s="117"/>
      <c r="D97" s="98">
        <v>-117623.85</v>
      </c>
      <c r="E97" s="98"/>
      <c r="F97" s="98">
        <f t="shared" si="5"/>
        <v>-117623.85</v>
      </c>
      <c r="G97" s="75">
        <f t="shared" si="6"/>
        <v>-845715.59000000008</v>
      </c>
      <c r="H97" s="98"/>
      <c r="I97" s="124"/>
      <c r="J97" s="67"/>
      <c r="K97" s="67"/>
      <c r="L97" s="67"/>
    </row>
    <row r="98" spans="1:12" hidden="1" outlineLevel="1" x14ac:dyDescent="0.2">
      <c r="A98" s="71">
        <f t="shared" si="4"/>
        <v>91</v>
      </c>
      <c r="B98" s="66">
        <f>+B97+30</f>
        <v>41540</v>
      </c>
      <c r="C98" s="117"/>
      <c r="D98" s="98">
        <v>-141304.70000000001</v>
      </c>
      <c r="E98" s="98"/>
      <c r="F98" s="98">
        <f t="shared" si="5"/>
        <v>-141304.70000000001</v>
      </c>
      <c r="G98" s="75">
        <f t="shared" si="6"/>
        <v>-987020.29</v>
      </c>
      <c r="H98" s="98"/>
      <c r="I98" s="124"/>
      <c r="J98" s="67"/>
      <c r="K98" s="67"/>
      <c r="L98" s="67"/>
    </row>
    <row r="99" spans="1:12" hidden="1" outlineLevel="1" x14ac:dyDescent="0.2">
      <c r="A99" s="71">
        <f t="shared" si="4"/>
        <v>92</v>
      </c>
      <c r="B99" s="66">
        <f>+B98+31</f>
        <v>41571</v>
      </c>
      <c r="C99" s="117"/>
      <c r="D99" s="98">
        <v>-130857.36</v>
      </c>
      <c r="E99" s="98"/>
      <c r="F99" s="98">
        <f t="shared" si="5"/>
        <v>-130857.36</v>
      </c>
      <c r="G99" s="75">
        <f t="shared" si="6"/>
        <v>-1117877.6500000001</v>
      </c>
      <c r="H99" s="98"/>
      <c r="I99" s="124"/>
      <c r="J99" s="67"/>
      <c r="K99" s="67"/>
      <c r="L99" s="67"/>
    </row>
    <row r="100" spans="1:12" hidden="1" outlineLevel="1" x14ac:dyDescent="0.2">
      <c r="A100" s="71">
        <f t="shared" si="4"/>
        <v>93</v>
      </c>
      <c r="B100" s="66">
        <f>+B99+30</f>
        <v>41601</v>
      </c>
      <c r="C100" s="117"/>
      <c r="D100" s="98">
        <v>-120145.27</v>
      </c>
      <c r="E100" s="98"/>
      <c r="F100" s="98">
        <f t="shared" si="5"/>
        <v>-120145.27</v>
      </c>
      <c r="G100" s="75">
        <f t="shared" si="6"/>
        <v>-1238022.9200000002</v>
      </c>
      <c r="H100" s="98"/>
      <c r="I100" s="124"/>
      <c r="J100" s="67"/>
      <c r="K100" s="67"/>
      <c r="L100" s="67"/>
    </row>
    <row r="101" spans="1:12" hidden="1" outlineLevel="1" x14ac:dyDescent="0.2">
      <c r="A101" s="71">
        <f t="shared" si="4"/>
        <v>94</v>
      </c>
      <c r="B101" s="66">
        <f>+B100+31</f>
        <v>41632</v>
      </c>
      <c r="C101" s="117"/>
      <c r="D101" s="98">
        <v>-140030.45000000001</v>
      </c>
      <c r="E101" s="98"/>
      <c r="F101" s="98">
        <f t="shared" si="5"/>
        <v>-140030.45000000001</v>
      </c>
      <c r="G101" s="75">
        <f t="shared" si="6"/>
        <v>-1378053.37</v>
      </c>
      <c r="H101" s="98"/>
      <c r="I101" s="124"/>
      <c r="J101" s="67"/>
      <c r="K101" s="67"/>
      <c r="L101" s="67"/>
    </row>
    <row r="102" spans="1:12" hidden="1" outlineLevel="1" x14ac:dyDescent="0.2">
      <c r="A102" s="71">
        <f t="shared" si="4"/>
        <v>95</v>
      </c>
      <c r="B102" s="66">
        <f>+B101+31</f>
        <v>41663</v>
      </c>
      <c r="C102" s="87">
        <v>1</v>
      </c>
      <c r="D102" s="98">
        <v>-19544.39</v>
      </c>
      <c r="E102" s="98">
        <v>1378053.37</v>
      </c>
      <c r="F102" s="98">
        <f t="shared" si="5"/>
        <v>1358508.9800000002</v>
      </c>
      <c r="G102" s="75">
        <f t="shared" si="6"/>
        <v>-19544.389999999898</v>
      </c>
      <c r="H102" s="98"/>
      <c r="I102" s="124"/>
      <c r="J102" s="67"/>
      <c r="K102" s="67"/>
      <c r="L102" s="67"/>
    </row>
    <row r="103" spans="1:12" hidden="1" outlineLevel="1" x14ac:dyDescent="0.2">
      <c r="A103" s="71">
        <f t="shared" si="4"/>
        <v>96</v>
      </c>
      <c r="B103" s="66">
        <f>+B102+28</f>
        <v>41691</v>
      </c>
      <c r="C103" s="117"/>
      <c r="D103" s="98">
        <v>-79292.61</v>
      </c>
      <c r="E103" s="98"/>
      <c r="F103" s="98">
        <f t="shared" si="5"/>
        <v>-79292.61</v>
      </c>
      <c r="G103" s="75">
        <f t="shared" si="6"/>
        <v>-98836.999999999898</v>
      </c>
      <c r="H103" s="98"/>
      <c r="I103" s="124"/>
      <c r="J103" s="67"/>
      <c r="K103" s="67"/>
      <c r="L103" s="67"/>
    </row>
    <row r="104" spans="1:12" hidden="1" outlineLevel="1" x14ac:dyDescent="0.2">
      <c r="A104" s="71">
        <f t="shared" si="4"/>
        <v>97</v>
      </c>
      <c r="B104" s="66">
        <f>+B103+31</f>
        <v>41722</v>
      </c>
      <c r="C104" s="117"/>
      <c r="D104" s="98">
        <v>-121738.85</v>
      </c>
      <c r="E104" s="98"/>
      <c r="F104" s="98">
        <f t="shared" si="5"/>
        <v>-121738.85</v>
      </c>
      <c r="G104" s="75">
        <f t="shared" si="6"/>
        <v>-220575.84999999992</v>
      </c>
      <c r="H104" s="98"/>
      <c r="I104" s="124"/>
      <c r="J104" s="67"/>
      <c r="K104" s="67"/>
      <c r="L104" s="67"/>
    </row>
    <row r="105" spans="1:12" hidden="1" outlineLevel="1" x14ac:dyDescent="0.2">
      <c r="A105" s="71">
        <f t="shared" si="4"/>
        <v>98</v>
      </c>
      <c r="B105" s="66">
        <f>+B104+30</f>
        <v>41752</v>
      </c>
      <c r="C105" s="117"/>
      <c r="D105" s="98">
        <v>-98582.62</v>
      </c>
      <c r="E105" s="98"/>
      <c r="F105" s="98">
        <f t="shared" si="5"/>
        <v>-98582.62</v>
      </c>
      <c r="G105" s="75">
        <f t="shared" si="6"/>
        <v>-319158.46999999991</v>
      </c>
      <c r="H105" s="98"/>
      <c r="I105" s="124"/>
      <c r="J105" s="67"/>
      <c r="K105" s="67"/>
      <c r="L105" s="67"/>
    </row>
    <row r="106" spans="1:12" hidden="1" outlineLevel="1" x14ac:dyDescent="0.2">
      <c r="A106" s="71">
        <f t="shared" si="4"/>
        <v>99</v>
      </c>
      <c r="B106" s="66">
        <f>+B105+31</f>
        <v>41783</v>
      </c>
      <c r="C106" s="117"/>
      <c r="D106" s="98">
        <v>-108876.86</v>
      </c>
      <c r="E106" s="98"/>
      <c r="F106" s="98">
        <f t="shared" si="5"/>
        <v>-108876.86</v>
      </c>
      <c r="G106" s="75">
        <f t="shared" si="6"/>
        <v>-428035.3299999999</v>
      </c>
      <c r="H106" s="98"/>
      <c r="I106" s="124"/>
      <c r="J106" s="67"/>
      <c r="K106" s="67"/>
      <c r="L106" s="67"/>
    </row>
    <row r="107" spans="1:12" hidden="1" outlineLevel="1" x14ac:dyDescent="0.2">
      <c r="A107" s="71">
        <f t="shared" si="4"/>
        <v>100</v>
      </c>
      <c r="B107" s="66">
        <f>+B106+30</f>
        <v>41813</v>
      </c>
      <c r="C107" s="117"/>
      <c r="D107" s="98">
        <v>-121459.66</v>
      </c>
      <c r="E107" s="98"/>
      <c r="F107" s="98">
        <f t="shared" si="5"/>
        <v>-121459.66</v>
      </c>
      <c r="G107" s="75">
        <f t="shared" si="6"/>
        <v>-549494.98999999987</v>
      </c>
      <c r="H107" s="98"/>
      <c r="I107" s="124"/>
      <c r="J107" s="67"/>
      <c r="K107" s="67"/>
      <c r="L107" s="67"/>
    </row>
    <row r="108" spans="1:12" hidden="1" outlineLevel="1" x14ac:dyDescent="0.2">
      <c r="A108" s="71">
        <f t="shared" si="4"/>
        <v>101</v>
      </c>
      <c r="B108" s="66">
        <f>+B107+31</f>
        <v>41844</v>
      </c>
      <c r="C108" s="117"/>
      <c r="D108" s="98">
        <v>-120145.04</v>
      </c>
      <c r="E108" s="98"/>
      <c r="F108" s="98">
        <f t="shared" si="5"/>
        <v>-120145.04</v>
      </c>
      <c r="G108" s="75">
        <f t="shared" si="6"/>
        <v>-669640.02999999991</v>
      </c>
      <c r="H108" s="98"/>
      <c r="I108" s="124"/>
      <c r="J108" s="67"/>
      <c r="K108" s="67"/>
      <c r="L108" s="67"/>
    </row>
    <row r="109" spans="1:12" hidden="1" outlineLevel="1" x14ac:dyDescent="0.2">
      <c r="A109" s="71">
        <f t="shared" si="4"/>
        <v>102</v>
      </c>
      <c r="B109" s="66">
        <f>+B108+31</f>
        <v>41875</v>
      </c>
      <c r="C109" s="117"/>
      <c r="D109" s="98">
        <v>-118748.83</v>
      </c>
      <c r="E109" s="98"/>
      <c r="F109" s="98">
        <f t="shared" si="5"/>
        <v>-118748.83</v>
      </c>
      <c r="G109" s="75">
        <f t="shared" si="6"/>
        <v>-788388.85999999987</v>
      </c>
      <c r="H109" s="98"/>
      <c r="I109" s="124"/>
      <c r="J109" s="67"/>
      <c r="K109" s="67"/>
      <c r="L109" s="67"/>
    </row>
    <row r="110" spans="1:12" hidden="1" outlineLevel="1" x14ac:dyDescent="0.2">
      <c r="A110" s="71">
        <f t="shared" si="4"/>
        <v>103</v>
      </c>
      <c r="B110" s="66">
        <f>+B109+30</f>
        <v>41905</v>
      </c>
      <c r="C110" s="117"/>
      <c r="D110" s="98">
        <v>-119041.05</v>
      </c>
      <c r="E110" s="98"/>
      <c r="F110" s="98">
        <f t="shared" si="5"/>
        <v>-119041.05</v>
      </c>
      <c r="G110" s="75">
        <f t="shared" si="6"/>
        <v>-907429.90999999992</v>
      </c>
      <c r="H110" s="98"/>
      <c r="I110" s="124"/>
      <c r="J110" s="67"/>
      <c r="K110" s="67"/>
      <c r="L110" s="67"/>
    </row>
    <row r="111" spans="1:12" hidden="1" outlineLevel="1" x14ac:dyDescent="0.2">
      <c r="A111" s="71">
        <f t="shared" si="4"/>
        <v>104</v>
      </c>
      <c r="B111" s="66">
        <f>+B110+31</f>
        <v>41936</v>
      </c>
      <c r="C111" s="117"/>
      <c r="D111" s="98">
        <v>-108666.14</v>
      </c>
      <c r="E111" s="98"/>
      <c r="F111" s="98">
        <f t="shared" si="5"/>
        <v>-108666.14</v>
      </c>
      <c r="G111" s="75">
        <f t="shared" si="6"/>
        <v>-1016096.0499999999</v>
      </c>
      <c r="H111" s="98"/>
      <c r="I111" s="124"/>
      <c r="J111" s="67"/>
      <c r="K111" s="67"/>
      <c r="L111" s="67"/>
    </row>
    <row r="112" spans="1:12" hidden="1" outlineLevel="1" x14ac:dyDescent="0.2">
      <c r="A112" s="71">
        <f t="shared" si="4"/>
        <v>105</v>
      </c>
      <c r="B112" s="66">
        <f>+B111+31</f>
        <v>41967</v>
      </c>
      <c r="C112" s="117"/>
      <c r="D112" s="98">
        <v>-107433.34</v>
      </c>
      <c r="E112" s="98"/>
      <c r="F112" s="98">
        <f t="shared" si="5"/>
        <v>-107433.34</v>
      </c>
      <c r="G112" s="75">
        <f t="shared" ref="G112:G143" si="7">+G111+F112</f>
        <v>-1123529.3899999999</v>
      </c>
      <c r="H112" s="98"/>
      <c r="I112" s="124"/>
      <c r="J112" s="67"/>
      <c r="K112" s="67"/>
      <c r="L112" s="67"/>
    </row>
    <row r="113" spans="1:12" hidden="1" outlineLevel="1" x14ac:dyDescent="0.2">
      <c r="A113" s="71">
        <f t="shared" si="4"/>
        <v>106</v>
      </c>
      <c r="B113" s="66">
        <f>+B112+30</f>
        <v>41997</v>
      </c>
      <c r="C113" s="117"/>
      <c r="D113" s="98">
        <v>-99921.32</v>
      </c>
      <c r="E113" s="98"/>
      <c r="F113" s="98">
        <f t="shared" si="5"/>
        <v>-99921.32</v>
      </c>
      <c r="G113" s="75">
        <f t="shared" si="7"/>
        <v>-1223450.71</v>
      </c>
      <c r="H113" s="98"/>
      <c r="I113" s="124"/>
      <c r="J113" s="67"/>
      <c r="K113" s="67"/>
      <c r="L113" s="67"/>
    </row>
    <row r="114" spans="1:12" hidden="1" outlineLevel="1" x14ac:dyDescent="0.2">
      <c r="A114" s="71">
        <f t="shared" si="4"/>
        <v>107</v>
      </c>
      <c r="B114" s="66">
        <f>+B113+31</f>
        <v>42028</v>
      </c>
      <c r="C114" s="87">
        <v>1</v>
      </c>
      <c r="D114" s="98">
        <v>-11470.88</v>
      </c>
      <c r="E114" s="98">
        <v>1223450.71</v>
      </c>
      <c r="F114" s="98">
        <f t="shared" si="5"/>
        <v>1211979.83</v>
      </c>
      <c r="G114" s="75">
        <f t="shared" si="7"/>
        <v>-11470.879999999888</v>
      </c>
      <c r="H114" s="98"/>
      <c r="I114" s="124"/>
      <c r="J114" s="67"/>
      <c r="K114" s="67"/>
      <c r="L114" s="67"/>
    </row>
    <row r="115" spans="1:12" hidden="1" outlineLevel="1" x14ac:dyDescent="0.2">
      <c r="A115" s="71">
        <f t="shared" si="4"/>
        <v>108</v>
      </c>
      <c r="B115" s="66">
        <f>+B114+29</f>
        <v>42057</v>
      </c>
      <c r="C115" s="117"/>
      <c r="D115" s="98">
        <v>-48599.01</v>
      </c>
      <c r="E115" s="98"/>
      <c r="F115" s="98">
        <f t="shared" si="5"/>
        <v>-48599.01</v>
      </c>
      <c r="G115" s="75">
        <f t="shared" si="7"/>
        <v>-60069.88999999989</v>
      </c>
      <c r="H115" s="98"/>
      <c r="I115" s="124"/>
      <c r="J115" s="67"/>
      <c r="K115" s="67"/>
      <c r="L115" s="67"/>
    </row>
    <row r="116" spans="1:12" hidden="1" outlineLevel="1" x14ac:dyDescent="0.2">
      <c r="A116" s="71">
        <f t="shared" si="4"/>
        <v>109</v>
      </c>
      <c r="B116" s="66">
        <f>+B115+31</f>
        <v>42088</v>
      </c>
      <c r="C116" s="117"/>
      <c r="D116" s="98">
        <v>-122965.61</v>
      </c>
      <c r="E116" s="98"/>
      <c r="F116" s="98">
        <f t="shared" si="5"/>
        <v>-122965.61</v>
      </c>
      <c r="G116" s="75">
        <f t="shared" si="7"/>
        <v>-183035.49999999988</v>
      </c>
      <c r="H116" s="98"/>
      <c r="I116" s="124"/>
      <c r="J116" s="67"/>
      <c r="K116" s="67"/>
      <c r="L116" s="67"/>
    </row>
    <row r="117" spans="1:12" hidden="1" outlineLevel="1" x14ac:dyDescent="0.2">
      <c r="A117" s="71">
        <f t="shared" si="4"/>
        <v>110</v>
      </c>
      <c r="B117" s="66">
        <f>+B116+30</f>
        <v>42118</v>
      </c>
      <c r="C117" s="117"/>
      <c r="D117" s="98">
        <v>-96042.06</v>
      </c>
      <c r="E117" s="98"/>
      <c r="F117" s="98">
        <f t="shared" si="5"/>
        <v>-96042.06</v>
      </c>
      <c r="G117" s="75">
        <f t="shared" si="7"/>
        <v>-279077.55999999988</v>
      </c>
      <c r="H117" s="98"/>
      <c r="I117" s="124"/>
      <c r="J117" s="67"/>
      <c r="K117" s="67"/>
      <c r="L117" s="67"/>
    </row>
    <row r="118" spans="1:12" hidden="1" outlineLevel="1" x14ac:dyDescent="0.2">
      <c r="A118" s="71">
        <f t="shared" si="4"/>
        <v>111</v>
      </c>
      <c r="B118" s="66">
        <f>+B117+31</f>
        <v>42149</v>
      </c>
      <c r="C118" s="117"/>
      <c r="D118" s="98">
        <v>-111739.55</v>
      </c>
      <c r="E118" s="98"/>
      <c r="F118" s="98">
        <f t="shared" si="5"/>
        <v>-111739.55</v>
      </c>
      <c r="G118" s="75">
        <f t="shared" si="7"/>
        <v>-390817.10999999987</v>
      </c>
      <c r="H118" s="98"/>
      <c r="I118" s="124"/>
      <c r="J118" s="67"/>
      <c r="K118" s="67"/>
      <c r="L118" s="67"/>
    </row>
    <row r="119" spans="1:12" hidden="1" outlineLevel="1" x14ac:dyDescent="0.2">
      <c r="A119" s="71">
        <f t="shared" si="4"/>
        <v>112</v>
      </c>
      <c r="B119" s="66">
        <f>+B118+30</f>
        <v>42179</v>
      </c>
      <c r="C119" s="117"/>
      <c r="D119" s="98">
        <v>-119912.74</v>
      </c>
      <c r="E119" s="98"/>
      <c r="F119" s="98">
        <f t="shared" si="5"/>
        <v>-119912.74</v>
      </c>
      <c r="G119" s="75">
        <f t="shared" si="7"/>
        <v>-510729.84999999986</v>
      </c>
      <c r="H119" s="98"/>
      <c r="I119" s="124"/>
      <c r="J119" s="67"/>
      <c r="K119" s="67"/>
      <c r="L119" s="67"/>
    </row>
    <row r="120" spans="1:12" hidden="1" outlineLevel="1" x14ac:dyDescent="0.2">
      <c r="A120" s="71">
        <f t="shared" si="4"/>
        <v>113</v>
      </c>
      <c r="B120" s="66">
        <f>+B119+31</f>
        <v>42210</v>
      </c>
      <c r="C120" s="117"/>
      <c r="D120" s="98">
        <v>-129628.83</v>
      </c>
      <c r="E120" s="98"/>
      <c r="F120" s="98">
        <f t="shared" si="5"/>
        <v>-129628.83</v>
      </c>
      <c r="G120" s="75">
        <f t="shared" si="7"/>
        <v>-640358.67999999982</v>
      </c>
      <c r="H120" s="98"/>
      <c r="I120" s="116"/>
      <c r="J120" s="67"/>
      <c r="K120" s="67"/>
      <c r="L120" s="67"/>
    </row>
    <row r="121" spans="1:12" hidden="1" outlineLevel="1" x14ac:dyDescent="0.2">
      <c r="A121" s="71">
        <f t="shared" si="4"/>
        <v>114</v>
      </c>
      <c r="B121" s="66">
        <f>+B120+31</f>
        <v>42241</v>
      </c>
      <c r="C121" s="117"/>
      <c r="D121" s="98">
        <v>-137708.62</v>
      </c>
      <c r="E121" s="98"/>
      <c r="F121" s="98">
        <f t="shared" si="5"/>
        <v>-137708.62</v>
      </c>
      <c r="G121" s="75">
        <f t="shared" si="7"/>
        <v>-778067.29999999981</v>
      </c>
      <c r="H121" s="98"/>
      <c r="I121" s="124"/>
      <c r="J121" s="67"/>
      <c r="K121" s="67"/>
      <c r="L121" s="67"/>
    </row>
    <row r="122" spans="1:12" hidden="1" outlineLevel="1" x14ac:dyDescent="0.2">
      <c r="A122" s="71">
        <f t="shared" si="4"/>
        <v>115</v>
      </c>
      <c r="B122" s="66">
        <f>+B121+30</f>
        <v>42271</v>
      </c>
      <c r="C122" s="89"/>
      <c r="D122" s="98">
        <v>-122425.77</v>
      </c>
      <c r="E122" s="98"/>
      <c r="F122" s="98">
        <f t="shared" si="5"/>
        <v>-122425.77</v>
      </c>
      <c r="G122" s="75">
        <f t="shared" si="7"/>
        <v>-900493.06999999983</v>
      </c>
      <c r="H122" s="98"/>
      <c r="I122" s="124"/>
      <c r="J122" s="67"/>
      <c r="K122" s="67"/>
      <c r="L122" s="67"/>
    </row>
    <row r="123" spans="1:12" hidden="1" outlineLevel="1" x14ac:dyDescent="0.2">
      <c r="A123" s="71">
        <f t="shared" si="4"/>
        <v>116</v>
      </c>
      <c r="B123" s="66">
        <f>+B122+31</f>
        <v>42302</v>
      </c>
      <c r="C123" s="89"/>
      <c r="D123" s="98">
        <v>-116739.69</v>
      </c>
      <c r="E123" s="98"/>
      <c r="F123" s="98">
        <f t="shared" si="5"/>
        <v>-116739.69</v>
      </c>
      <c r="G123" s="75">
        <f t="shared" si="7"/>
        <v>-1017232.7599999998</v>
      </c>
      <c r="H123" s="98"/>
      <c r="I123" s="124"/>
      <c r="J123" s="67"/>
      <c r="K123" s="67"/>
      <c r="L123" s="67"/>
    </row>
    <row r="124" spans="1:12" hidden="1" outlineLevel="1" x14ac:dyDescent="0.2">
      <c r="A124" s="71">
        <f t="shared" si="4"/>
        <v>117</v>
      </c>
      <c r="B124" s="66">
        <f>B123+30</f>
        <v>42332</v>
      </c>
      <c r="C124" s="89"/>
      <c r="D124" s="98">
        <v>-97111.23</v>
      </c>
      <c r="E124" s="98"/>
      <c r="F124" s="98">
        <f t="shared" si="5"/>
        <v>-97111.23</v>
      </c>
      <c r="G124" s="75">
        <f t="shared" si="7"/>
        <v>-1114343.9899999998</v>
      </c>
      <c r="H124" s="98"/>
      <c r="I124" s="124"/>
      <c r="J124" s="67"/>
      <c r="K124" s="67"/>
      <c r="L124" s="67"/>
    </row>
    <row r="125" spans="1:12" hidden="1" outlineLevel="1" x14ac:dyDescent="0.2">
      <c r="A125" s="71">
        <f t="shared" si="4"/>
        <v>118</v>
      </c>
      <c r="B125" s="66">
        <f>B124+31</f>
        <v>42363</v>
      </c>
      <c r="C125" s="89"/>
      <c r="D125" s="98">
        <f>-104462.33</f>
        <v>-104462.33</v>
      </c>
      <c r="E125" s="98"/>
      <c r="F125" s="98">
        <f t="shared" si="5"/>
        <v>-104462.33</v>
      </c>
      <c r="G125" s="75">
        <f t="shared" si="7"/>
        <v>-1218806.3199999998</v>
      </c>
      <c r="H125" s="98"/>
      <c r="I125" s="124"/>
      <c r="J125" s="67"/>
      <c r="K125" s="67"/>
      <c r="L125" s="67"/>
    </row>
    <row r="126" spans="1:12" hidden="1" outlineLevel="1" x14ac:dyDescent="0.2">
      <c r="A126" s="71">
        <f t="shared" si="4"/>
        <v>119</v>
      </c>
      <c r="B126" s="66">
        <f>B125+31</f>
        <v>42394</v>
      </c>
      <c r="C126" s="87">
        <v>1</v>
      </c>
      <c r="D126" s="98">
        <v>-7449.15</v>
      </c>
      <c r="E126" s="98">
        <v>1218806.32</v>
      </c>
      <c r="F126" s="98">
        <f t="shared" si="5"/>
        <v>1211357.1700000002</v>
      </c>
      <c r="G126" s="75">
        <f t="shared" si="7"/>
        <v>-7449.149999999674</v>
      </c>
      <c r="H126" s="98"/>
      <c r="I126" s="124"/>
      <c r="J126" s="67"/>
      <c r="K126" s="67"/>
      <c r="L126" s="67"/>
    </row>
    <row r="127" spans="1:12" hidden="1" outlineLevel="1" x14ac:dyDescent="0.2">
      <c r="A127" s="71">
        <f t="shared" si="4"/>
        <v>120</v>
      </c>
      <c r="B127" s="66">
        <f>B126+29</f>
        <v>42423</v>
      </c>
      <c r="C127" s="89"/>
      <c r="D127" s="98">
        <v>-42848.68</v>
      </c>
      <c r="E127" s="98"/>
      <c r="F127" s="98">
        <f t="shared" si="5"/>
        <v>-42848.68</v>
      </c>
      <c r="G127" s="75">
        <f t="shared" si="7"/>
        <v>-50297.829999999674</v>
      </c>
      <c r="H127" s="98"/>
      <c r="I127" s="124"/>
      <c r="J127" s="67"/>
      <c r="K127" s="67"/>
      <c r="L127" s="67"/>
    </row>
    <row r="128" spans="1:12" hidden="1" outlineLevel="1" x14ac:dyDescent="0.2">
      <c r="A128" s="71">
        <f t="shared" si="4"/>
        <v>121</v>
      </c>
      <c r="B128" s="66">
        <f>B127+31</f>
        <v>42454</v>
      </c>
      <c r="C128" s="89"/>
      <c r="D128" s="98">
        <v>-109518.66</v>
      </c>
      <c r="E128" s="98"/>
      <c r="F128" s="98">
        <f t="shared" si="5"/>
        <v>-109518.66</v>
      </c>
      <c r="G128" s="75">
        <f t="shared" si="7"/>
        <v>-159816.48999999967</v>
      </c>
      <c r="H128" s="98"/>
      <c r="I128" s="124"/>
      <c r="J128" s="67"/>
      <c r="K128" s="67"/>
      <c r="L128" s="67"/>
    </row>
    <row r="129" spans="1:12" hidden="1" outlineLevel="1" x14ac:dyDescent="0.2">
      <c r="A129" s="71">
        <f t="shared" si="4"/>
        <v>122</v>
      </c>
      <c r="B129" s="66">
        <f>B128+30</f>
        <v>42484</v>
      </c>
      <c r="C129" s="89"/>
      <c r="D129" s="98">
        <v>-140623.31</v>
      </c>
      <c r="E129" s="98"/>
      <c r="F129" s="98">
        <f t="shared" si="5"/>
        <v>-140623.31</v>
      </c>
      <c r="G129" s="75">
        <f t="shared" si="7"/>
        <v>-300439.7999999997</v>
      </c>
      <c r="H129" s="98"/>
      <c r="I129" s="124"/>
      <c r="J129" s="67"/>
      <c r="K129" s="67"/>
      <c r="L129" s="67"/>
    </row>
    <row r="130" spans="1:12" hidden="1" outlineLevel="1" x14ac:dyDescent="0.2">
      <c r="A130" s="71">
        <f t="shared" si="4"/>
        <v>123</v>
      </c>
      <c r="B130" s="66">
        <f>B129+31</f>
        <v>42515</v>
      </c>
      <c r="C130" s="89"/>
      <c r="D130" s="98">
        <v>-174781.63</v>
      </c>
      <c r="E130" s="98"/>
      <c r="F130" s="98">
        <f t="shared" si="5"/>
        <v>-174781.63</v>
      </c>
      <c r="G130" s="75">
        <f t="shared" si="7"/>
        <v>-475221.4299999997</v>
      </c>
      <c r="H130" s="98"/>
      <c r="I130" s="124"/>
      <c r="J130" s="67"/>
      <c r="K130" s="67"/>
      <c r="L130" s="67"/>
    </row>
    <row r="131" spans="1:12" hidden="1" outlineLevel="1" x14ac:dyDescent="0.2">
      <c r="A131" s="71">
        <f t="shared" si="4"/>
        <v>124</v>
      </c>
      <c r="B131" s="66">
        <f>B130+30</f>
        <v>42545</v>
      </c>
      <c r="C131" s="89"/>
      <c r="D131" s="98">
        <v>-179254.96</v>
      </c>
      <c r="E131" s="98"/>
      <c r="F131" s="98">
        <f t="shared" si="5"/>
        <v>-179254.96</v>
      </c>
      <c r="G131" s="75">
        <f t="shared" si="7"/>
        <v>-654476.38999999966</v>
      </c>
      <c r="H131" s="98"/>
      <c r="I131" s="124"/>
      <c r="J131" s="67"/>
      <c r="K131" s="67"/>
      <c r="L131" s="67"/>
    </row>
    <row r="132" spans="1:12" hidden="1" outlineLevel="1" x14ac:dyDescent="0.2">
      <c r="A132" s="71">
        <f t="shared" si="4"/>
        <v>125</v>
      </c>
      <c r="B132" s="66">
        <f>B131+31</f>
        <v>42576</v>
      </c>
      <c r="C132" s="89"/>
      <c r="D132" s="98">
        <v>-163068.18</v>
      </c>
      <c r="E132" s="98"/>
      <c r="F132" s="98">
        <f t="shared" si="5"/>
        <v>-163068.18</v>
      </c>
      <c r="G132" s="75">
        <f t="shared" si="7"/>
        <v>-817544.5699999996</v>
      </c>
      <c r="H132" s="98"/>
      <c r="I132" s="124"/>
      <c r="J132" s="67"/>
      <c r="K132" s="67"/>
      <c r="L132" s="67"/>
    </row>
    <row r="133" spans="1:12" hidden="1" outlineLevel="1" x14ac:dyDescent="0.2">
      <c r="A133" s="71">
        <f t="shared" si="4"/>
        <v>126</v>
      </c>
      <c r="B133" s="66">
        <f>B132+31</f>
        <v>42607</v>
      </c>
      <c r="C133" s="89"/>
      <c r="D133" s="98">
        <v>-129621.45</v>
      </c>
      <c r="E133" s="98"/>
      <c r="F133" s="98">
        <f t="shared" si="5"/>
        <v>-129621.45</v>
      </c>
      <c r="G133" s="75">
        <f t="shared" si="7"/>
        <v>-947166.01999999955</v>
      </c>
      <c r="H133" s="98"/>
      <c r="I133" s="124"/>
      <c r="J133" s="67"/>
      <c r="K133" s="67"/>
      <c r="L133" s="67"/>
    </row>
    <row r="134" spans="1:12" hidden="1" outlineLevel="1" x14ac:dyDescent="0.2">
      <c r="A134" s="71">
        <f t="shared" si="4"/>
        <v>127</v>
      </c>
      <c r="B134" s="66">
        <f>B133+30</f>
        <v>42637</v>
      </c>
      <c r="C134" s="89"/>
      <c r="D134" s="98">
        <v>-154719.19</v>
      </c>
      <c r="E134" s="98"/>
      <c r="F134" s="98">
        <f t="shared" si="5"/>
        <v>-154719.19</v>
      </c>
      <c r="G134" s="75">
        <f t="shared" si="7"/>
        <v>-1101885.2099999995</v>
      </c>
      <c r="H134" s="98"/>
      <c r="I134" s="124"/>
      <c r="J134" s="67"/>
      <c r="K134" s="67"/>
      <c r="L134" s="67"/>
    </row>
    <row r="135" spans="1:12" hidden="1" outlineLevel="1" x14ac:dyDescent="0.2">
      <c r="A135" s="71">
        <f t="shared" si="4"/>
        <v>128</v>
      </c>
      <c r="B135" s="66">
        <f>B134+31</f>
        <v>42668</v>
      </c>
      <c r="C135" s="89"/>
      <c r="D135" s="98">
        <v>-129136.34</v>
      </c>
      <c r="E135" s="98"/>
      <c r="F135" s="98">
        <f t="shared" si="5"/>
        <v>-129136.34</v>
      </c>
      <c r="G135" s="75">
        <f t="shared" si="7"/>
        <v>-1231021.5499999996</v>
      </c>
      <c r="H135" s="98"/>
      <c r="I135" s="124"/>
      <c r="J135" s="67"/>
      <c r="K135" s="67"/>
      <c r="L135" s="67"/>
    </row>
    <row r="136" spans="1:12" hidden="1" outlineLevel="1" x14ac:dyDescent="0.2">
      <c r="A136" s="71">
        <f t="shared" si="4"/>
        <v>129</v>
      </c>
      <c r="B136" s="66">
        <f>B135+30</f>
        <v>42698</v>
      </c>
      <c r="C136" s="89"/>
      <c r="D136" s="98">
        <v>-90004.41</v>
      </c>
      <c r="E136" s="98"/>
      <c r="F136" s="98">
        <f t="shared" si="5"/>
        <v>-90004.41</v>
      </c>
      <c r="G136" s="75">
        <f t="shared" si="7"/>
        <v>-1321025.9599999995</v>
      </c>
      <c r="H136" s="98"/>
      <c r="I136" s="124"/>
      <c r="J136" s="67"/>
      <c r="K136" s="67"/>
      <c r="L136" s="67"/>
    </row>
    <row r="137" spans="1:12" hidden="1" outlineLevel="1" x14ac:dyDescent="0.2">
      <c r="A137" s="71">
        <f t="shared" ref="A137:A200" si="8">+A136+1</f>
        <v>130</v>
      </c>
      <c r="B137" s="66">
        <f t="shared" ref="B137:B147" si="9">B136+31</f>
        <v>42729</v>
      </c>
      <c r="C137" s="117"/>
      <c r="D137" s="98">
        <v>-109930.55</v>
      </c>
      <c r="E137" s="98"/>
      <c r="F137" s="98">
        <f t="shared" si="5"/>
        <v>-109930.55</v>
      </c>
      <c r="G137" s="75">
        <f t="shared" si="7"/>
        <v>-1430956.5099999995</v>
      </c>
      <c r="H137" s="98"/>
      <c r="I137" s="124"/>
      <c r="J137" s="67"/>
      <c r="K137" s="67"/>
      <c r="L137" s="67"/>
    </row>
    <row r="138" spans="1:12" hidden="1" outlineLevel="1" x14ac:dyDescent="0.2">
      <c r="A138" s="71">
        <f t="shared" si="8"/>
        <v>131</v>
      </c>
      <c r="B138" s="66">
        <f t="shared" si="9"/>
        <v>42760</v>
      </c>
      <c r="C138" s="87">
        <v>1</v>
      </c>
      <c r="D138" s="98">
        <v>0</v>
      </c>
      <c r="E138" s="98">
        <v>1430956.51</v>
      </c>
      <c r="F138" s="98">
        <f t="shared" si="5"/>
        <v>1430956.51</v>
      </c>
      <c r="G138" s="75">
        <f t="shared" si="7"/>
        <v>0</v>
      </c>
      <c r="H138" s="98"/>
      <c r="I138" s="124"/>
      <c r="J138" s="67"/>
      <c r="K138" s="67"/>
      <c r="L138" s="67"/>
    </row>
    <row r="139" spans="1:12" hidden="1" outlineLevel="1" x14ac:dyDescent="0.2">
      <c r="A139" s="71">
        <f t="shared" si="8"/>
        <v>132</v>
      </c>
      <c r="B139" s="66">
        <f t="shared" si="9"/>
        <v>42791</v>
      </c>
      <c r="C139" s="117"/>
      <c r="D139" s="98">
        <v>-41988.9</v>
      </c>
      <c r="E139" s="98"/>
      <c r="F139" s="98">
        <f t="shared" si="5"/>
        <v>-41988.9</v>
      </c>
      <c r="G139" s="75">
        <f t="shared" si="7"/>
        <v>-41988.9</v>
      </c>
      <c r="H139" s="98"/>
      <c r="I139" s="124"/>
      <c r="J139" s="67"/>
      <c r="K139" s="67"/>
      <c r="L139" s="67"/>
    </row>
    <row r="140" spans="1:12" hidden="1" outlineLevel="1" x14ac:dyDescent="0.2">
      <c r="A140" s="71">
        <f t="shared" si="8"/>
        <v>133</v>
      </c>
      <c r="B140" s="66">
        <f t="shared" si="9"/>
        <v>42822</v>
      </c>
      <c r="C140" s="117"/>
      <c r="D140" s="98">
        <v>-79377.490000000005</v>
      </c>
      <c r="E140" s="98"/>
      <c r="F140" s="98">
        <f t="shared" si="5"/>
        <v>-79377.490000000005</v>
      </c>
      <c r="G140" s="75">
        <f t="shared" si="7"/>
        <v>-121366.39000000001</v>
      </c>
      <c r="H140" s="98"/>
      <c r="I140" s="124"/>
      <c r="J140" s="67"/>
      <c r="K140" s="67"/>
      <c r="L140" s="67"/>
    </row>
    <row r="141" spans="1:12" hidden="1" outlineLevel="1" x14ac:dyDescent="0.2">
      <c r="A141" s="71">
        <f t="shared" si="8"/>
        <v>134</v>
      </c>
      <c r="B141" s="66">
        <f t="shared" si="9"/>
        <v>42853</v>
      </c>
      <c r="C141" s="117"/>
      <c r="D141" s="98">
        <v>-132510.79</v>
      </c>
      <c r="E141" s="98"/>
      <c r="F141" s="98">
        <f t="shared" si="5"/>
        <v>-132510.79</v>
      </c>
      <c r="G141" s="75">
        <f t="shared" si="7"/>
        <v>-253877.18000000002</v>
      </c>
      <c r="H141" s="98"/>
      <c r="I141" s="124"/>
      <c r="J141" s="67"/>
      <c r="K141" s="67"/>
      <c r="L141" s="67"/>
    </row>
    <row r="142" spans="1:12" hidden="1" outlineLevel="1" x14ac:dyDescent="0.2">
      <c r="A142" s="71">
        <f t="shared" si="8"/>
        <v>135</v>
      </c>
      <c r="B142" s="66">
        <f t="shared" si="9"/>
        <v>42884</v>
      </c>
      <c r="C142" s="117"/>
      <c r="D142" s="98">
        <v>-145262.17000000001</v>
      </c>
      <c r="E142" s="98"/>
      <c r="F142" s="98">
        <f t="shared" si="5"/>
        <v>-145262.17000000001</v>
      </c>
      <c r="G142" s="75">
        <f t="shared" si="7"/>
        <v>-399139.35000000003</v>
      </c>
      <c r="H142" s="98"/>
      <c r="I142" s="124"/>
      <c r="J142" s="67"/>
      <c r="K142" s="67"/>
      <c r="L142" s="67"/>
    </row>
    <row r="143" spans="1:12" hidden="1" outlineLevel="1" x14ac:dyDescent="0.2">
      <c r="A143" s="71">
        <f t="shared" si="8"/>
        <v>136</v>
      </c>
      <c r="B143" s="66">
        <f t="shared" si="9"/>
        <v>42915</v>
      </c>
      <c r="C143" s="117"/>
      <c r="D143" s="98">
        <v>-154709.62</v>
      </c>
      <c r="E143" s="98"/>
      <c r="F143" s="98">
        <f t="shared" si="5"/>
        <v>-154709.62</v>
      </c>
      <c r="G143" s="75">
        <f t="shared" si="7"/>
        <v>-553848.97</v>
      </c>
      <c r="H143" s="98"/>
      <c r="I143" s="124"/>
      <c r="J143" s="67"/>
      <c r="K143" s="67"/>
      <c r="L143" s="67"/>
    </row>
    <row r="144" spans="1:12" hidden="1" outlineLevel="1" x14ac:dyDescent="0.2">
      <c r="A144" s="71">
        <f t="shared" si="8"/>
        <v>137</v>
      </c>
      <c r="B144" s="66">
        <f t="shared" si="9"/>
        <v>42946</v>
      </c>
      <c r="C144" s="117"/>
      <c r="D144" s="98">
        <v>-203656.9</v>
      </c>
      <c r="E144" s="98"/>
      <c r="F144" s="98">
        <f t="shared" ref="F144:F207" si="10">SUM(D144:E144)</f>
        <v>-203656.9</v>
      </c>
      <c r="G144" s="75">
        <f t="shared" ref="G144:G175" si="11">+G143+F144</f>
        <v>-757505.87</v>
      </c>
      <c r="H144" s="98"/>
      <c r="I144" s="124"/>
      <c r="J144" s="67"/>
      <c r="K144" s="67"/>
      <c r="L144" s="67"/>
    </row>
    <row r="145" spans="1:12" hidden="1" outlineLevel="1" x14ac:dyDescent="0.2">
      <c r="A145" s="71">
        <f t="shared" si="8"/>
        <v>138</v>
      </c>
      <c r="B145" s="66">
        <f t="shared" si="9"/>
        <v>42977</v>
      </c>
      <c r="C145" s="117"/>
      <c r="D145" s="98">
        <v>-201865.84</v>
      </c>
      <c r="E145" s="98"/>
      <c r="F145" s="98">
        <f t="shared" si="10"/>
        <v>-201865.84</v>
      </c>
      <c r="G145" s="75">
        <f t="shared" si="11"/>
        <v>-959371.71</v>
      </c>
      <c r="H145" s="98"/>
      <c r="I145" s="124"/>
      <c r="J145" s="67"/>
      <c r="K145" s="67"/>
      <c r="L145" s="67"/>
    </row>
    <row r="146" spans="1:12" hidden="1" outlineLevel="1" x14ac:dyDescent="0.2">
      <c r="A146" s="71">
        <f t="shared" si="8"/>
        <v>139</v>
      </c>
      <c r="B146" s="66">
        <f t="shared" si="9"/>
        <v>43008</v>
      </c>
      <c r="C146" s="117"/>
      <c r="D146" s="98">
        <v>-149386.67000000001</v>
      </c>
      <c r="E146" s="98"/>
      <c r="F146" s="98">
        <f t="shared" si="10"/>
        <v>-149386.67000000001</v>
      </c>
      <c r="G146" s="75">
        <f t="shared" si="11"/>
        <v>-1108758.3799999999</v>
      </c>
      <c r="H146" s="98"/>
      <c r="I146" s="124"/>
      <c r="J146" s="67"/>
      <c r="K146" s="67"/>
      <c r="L146" s="67"/>
    </row>
    <row r="147" spans="1:12" hidden="1" outlineLevel="1" x14ac:dyDescent="0.2">
      <c r="A147" s="71">
        <f t="shared" si="8"/>
        <v>140</v>
      </c>
      <c r="B147" s="66">
        <f t="shared" si="9"/>
        <v>43039</v>
      </c>
      <c r="C147" s="117"/>
      <c r="D147" s="98">
        <v>-155966.21</v>
      </c>
      <c r="E147" s="98"/>
      <c r="F147" s="98">
        <f t="shared" si="10"/>
        <v>-155966.21</v>
      </c>
      <c r="G147" s="75">
        <f t="shared" si="11"/>
        <v>-1264724.5899999999</v>
      </c>
      <c r="H147" s="98"/>
      <c r="I147" s="124"/>
      <c r="J147" s="67"/>
      <c r="K147" s="67"/>
      <c r="L147" s="67"/>
    </row>
    <row r="148" spans="1:12" hidden="1" outlineLevel="1" x14ac:dyDescent="0.2">
      <c r="A148" s="71">
        <f t="shared" si="8"/>
        <v>141</v>
      </c>
      <c r="B148" s="66">
        <f>B147+30</f>
        <v>43069</v>
      </c>
      <c r="C148" s="117"/>
      <c r="D148" s="98">
        <v>-95615.84</v>
      </c>
      <c r="E148" s="98"/>
      <c r="F148" s="98">
        <f t="shared" si="10"/>
        <v>-95615.84</v>
      </c>
      <c r="G148" s="75">
        <f t="shared" si="11"/>
        <v>-1360340.43</v>
      </c>
      <c r="H148" s="98"/>
      <c r="I148" s="124"/>
      <c r="J148" s="67"/>
      <c r="K148" s="67"/>
      <c r="L148" s="67"/>
    </row>
    <row r="149" spans="1:12" hidden="1" outlineLevel="1" x14ac:dyDescent="0.2">
      <c r="A149" s="71">
        <f t="shared" si="8"/>
        <v>142</v>
      </c>
      <c r="B149" s="66">
        <f>B148+31</f>
        <v>43100</v>
      </c>
      <c r="C149" s="117"/>
      <c r="D149" s="98">
        <v>-101370.55</v>
      </c>
      <c r="E149" s="98"/>
      <c r="F149" s="98">
        <f t="shared" si="10"/>
        <v>-101370.55</v>
      </c>
      <c r="G149" s="75">
        <f t="shared" si="11"/>
        <v>-1461710.98</v>
      </c>
      <c r="H149" s="98"/>
      <c r="I149" s="124"/>
      <c r="J149" s="67"/>
      <c r="K149" s="67"/>
      <c r="L149" s="67"/>
    </row>
    <row r="150" spans="1:12" hidden="1" outlineLevel="1" x14ac:dyDescent="0.2">
      <c r="A150" s="71">
        <f t="shared" si="8"/>
        <v>143</v>
      </c>
      <c r="B150" s="66">
        <f>B149+31</f>
        <v>43131</v>
      </c>
      <c r="C150" s="87">
        <v>1</v>
      </c>
      <c r="D150" s="98">
        <v>-14681.84</v>
      </c>
      <c r="E150" s="98">
        <v>1461710.98</v>
      </c>
      <c r="F150" s="98">
        <f t="shared" si="10"/>
        <v>1447029.14</v>
      </c>
      <c r="G150" s="75">
        <f t="shared" si="11"/>
        <v>-14681.840000000084</v>
      </c>
      <c r="H150" s="98"/>
      <c r="I150" s="124"/>
      <c r="J150" s="67"/>
      <c r="K150" s="67"/>
      <c r="L150" s="67"/>
    </row>
    <row r="151" spans="1:12" hidden="1" outlineLevel="1" x14ac:dyDescent="0.2">
      <c r="A151" s="71">
        <f t="shared" si="8"/>
        <v>144</v>
      </c>
      <c r="B151" s="66">
        <f>B150+28</f>
        <v>43159</v>
      </c>
      <c r="C151" s="117"/>
      <c r="D151" s="98">
        <v>-53128.97</v>
      </c>
      <c r="E151" s="98"/>
      <c r="F151" s="98">
        <f t="shared" si="10"/>
        <v>-53128.97</v>
      </c>
      <c r="G151" s="75">
        <f t="shared" si="11"/>
        <v>-67810.810000000085</v>
      </c>
      <c r="H151" s="98"/>
      <c r="I151" s="124"/>
      <c r="J151" s="67"/>
      <c r="K151" s="67"/>
      <c r="L151" s="67"/>
    </row>
    <row r="152" spans="1:12" hidden="1" outlineLevel="1" x14ac:dyDescent="0.2">
      <c r="A152" s="71">
        <f t="shared" si="8"/>
        <v>145</v>
      </c>
      <c r="B152" s="66">
        <f>B151+31</f>
        <v>43190</v>
      </c>
      <c r="C152" s="117"/>
      <c r="D152" s="98">
        <v>-126286.12</v>
      </c>
      <c r="E152" s="98"/>
      <c r="F152" s="98">
        <f t="shared" si="10"/>
        <v>-126286.12</v>
      </c>
      <c r="G152" s="75">
        <f t="shared" si="11"/>
        <v>-194096.93000000008</v>
      </c>
      <c r="H152" s="98"/>
      <c r="I152" s="124"/>
      <c r="J152" s="67"/>
      <c r="K152" s="67"/>
      <c r="L152" s="67"/>
    </row>
    <row r="153" spans="1:12" hidden="1" outlineLevel="1" x14ac:dyDescent="0.2">
      <c r="A153" s="71">
        <f t="shared" si="8"/>
        <v>146</v>
      </c>
      <c r="B153" s="66">
        <f>B152+30</f>
        <v>43220</v>
      </c>
      <c r="C153" s="117"/>
      <c r="D153" s="98">
        <v>-127937.31</v>
      </c>
      <c r="E153" s="98"/>
      <c r="F153" s="98">
        <f t="shared" si="10"/>
        <v>-127937.31</v>
      </c>
      <c r="G153" s="75">
        <f t="shared" si="11"/>
        <v>-322034.24000000011</v>
      </c>
      <c r="H153" s="98"/>
      <c r="I153" s="124"/>
      <c r="J153" s="67"/>
      <c r="K153" s="67"/>
      <c r="L153" s="67"/>
    </row>
    <row r="154" spans="1:12" hidden="1" outlineLevel="1" x14ac:dyDescent="0.2">
      <c r="A154" s="71">
        <f t="shared" si="8"/>
        <v>147</v>
      </c>
      <c r="B154" s="66">
        <f>B153+31</f>
        <v>43251</v>
      </c>
      <c r="C154" s="117"/>
      <c r="D154" s="98">
        <v>-162656.76999999999</v>
      </c>
      <c r="E154" s="98"/>
      <c r="F154" s="98">
        <f t="shared" si="10"/>
        <v>-162656.76999999999</v>
      </c>
      <c r="G154" s="75">
        <f t="shared" si="11"/>
        <v>-484691.01000000013</v>
      </c>
      <c r="H154" s="98"/>
      <c r="I154" s="124"/>
      <c r="J154" s="67"/>
      <c r="K154" s="67"/>
      <c r="L154" s="67"/>
    </row>
    <row r="155" spans="1:12" hidden="1" outlineLevel="1" x14ac:dyDescent="0.2">
      <c r="A155" s="71">
        <f t="shared" si="8"/>
        <v>148</v>
      </c>
      <c r="B155" s="66">
        <f>B154+30</f>
        <v>43281</v>
      </c>
      <c r="C155" s="117"/>
      <c r="D155" s="98">
        <v>-173423.23</v>
      </c>
      <c r="E155" s="98"/>
      <c r="F155" s="98">
        <f t="shared" si="10"/>
        <v>-173423.23</v>
      </c>
      <c r="G155" s="75">
        <f t="shared" si="11"/>
        <v>-658114.24000000011</v>
      </c>
      <c r="H155" s="98"/>
      <c r="I155" s="124"/>
      <c r="J155" s="67"/>
      <c r="K155" s="67"/>
      <c r="L155" s="67"/>
    </row>
    <row r="156" spans="1:12" hidden="1" outlineLevel="1" x14ac:dyDescent="0.2">
      <c r="A156" s="71">
        <f t="shared" si="8"/>
        <v>149</v>
      </c>
      <c r="B156" s="66">
        <f>B155+31</f>
        <v>43312</v>
      </c>
      <c r="C156" s="117"/>
      <c r="D156" s="98">
        <v>-190293.18</v>
      </c>
      <c r="E156" s="98"/>
      <c r="F156" s="98">
        <f t="shared" si="10"/>
        <v>-190293.18</v>
      </c>
      <c r="G156" s="75">
        <f t="shared" si="11"/>
        <v>-848407.42000000016</v>
      </c>
      <c r="H156" s="98"/>
      <c r="I156" s="124"/>
      <c r="J156" s="67"/>
      <c r="K156" s="67"/>
      <c r="L156" s="67"/>
    </row>
    <row r="157" spans="1:12" hidden="1" outlineLevel="1" x14ac:dyDescent="0.2">
      <c r="A157" s="71">
        <f t="shared" si="8"/>
        <v>150</v>
      </c>
      <c r="B157" s="66">
        <f>B156+31</f>
        <v>43343</v>
      </c>
      <c r="C157" s="117"/>
      <c r="D157" s="98">
        <v>-185700.67</v>
      </c>
      <c r="E157" s="98"/>
      <c r="F157" s="98">
        <f t="shared" si="10"/>
        <v>-185700.67</v>
      </c>
      <c r="G157" s="75">
        <f t="shared" si="11"/>
        <v>-1034108.0900000002</v>
      </c>
      <c r="H157" s="98"/>
      <c r="I157" s="124"/>
      <c r="J157" s="67"/>
      <c r="K157" s="67"/>
      <c r="L157" s="67"/>
    </row>
    <row r="158" spans="1:12" hidden="1" outlineLevel="1" x14ac:dyDescent="0.2">
      <c r="A158" s="71">
        <f t="shared" si="8"/>
        <v>151</v>
      </c>
      <c r="B158" s="66">
        <v>43344</v>
      </c>
      <c r="C158" s="117"/>
      <c r="D158" s="98">
        <v>-169584.61</v>
      </c>
      <c r="E158" s="98"/>
      <c r="F158" s="98">
        <f t="shared" si="10"/>
        <v>-169584.61</v>
      </c>
      <c r="G158" s="75">
        <f t="shared" si="11"/>
        <v>-1203692.7000000002</v>
      </c>
      <c r="H158" s="98"/>
      <c r="I158" s="124"/>
      <c r="J158" s="67"/>
      <c r="K158" s="67"/>
      <c r="L158" s="67"/>
    </row>
    <row r="159" spans="1:12" hidden="1" outlineLevel="1" x14ac:dyDescent="0.2">
      <c r="A159" s="71">
        <f t="shared" si="8"/>
        <v>152</v>
      </c>
      <c r="B159" s="66">
        <v>43374</v>
      </c>
      <c r="C159" s="117"/>
      <c r="D159" s="98">
        <v>-243304.19</v>
      </c>
      <c r="E159" s="98"/>
      <c r="F159" s="98">
        <f t="shared" si="10"/>
        <v>-243304.19</v>
      </c>
      <c r="G159" s="75">
        <f t="shared" si="11"/>
        <v>-1446996.8900000001</v>
      </c>
      <c r="H159" s="98"/>
      <c r="I159" s="124"/>
      <c r="J159" s="67"/>
      <c r="K159" s="67"/>
      <c r="L159" s="67"/>
    </row>
    <row r="160" spans="1:12" hidden="1" outlineLevel="1" x14ac:dyDescent="0.2">
      <c r="A160" s="71">
        <f t="shared" si="8"/>
        <v>153</v>
      </c>
      <c r="B160" s="66">
        <v>43405</v>
      </c>
      <c r="C160" s="117"/>
      <c r="D160" s="98">
        <v>-269853.25</v>
      </c>
      <c r="E160" s="98"/>
      <c r="F160" s="98">
        <f t="shared" si="10"/>
        <v>-269853.25</v>
      </c>
      <c r="G160" s="75">
        <f t="shared" si="11"/>
        <v>-1716850.1400000001</v>
      </c>
      <c r="H160" s="98"/>
      <c r="I160" s="124"/>
      <c r="J160" s="67"/>
      <c r="K160" s="67"/>
      <c r="L160" s="67"/>
    </row>
    <row r="161" spans="1:12" hidden="1" outlineLevel="1" x14ac:dyDescent="0.2">
      <c r="A161" s="71">
        <f t="shared" si="8"/>
        <v>154</v>
      </c>
      <c r="B161" s="66">
        <v>43435</v>
      </c>
      <c r="C161" s="117"/>
      <c r="D161" s="98">
        <v>-147226.66</v>
      </c>
      <c r="E161" s="98"/>
      <c r="F161" s="98">
        <f t="shared" si="10"/>
        <v>-147226.66</v>
      </c>
      <c r="G161" s="75">
        <f t="shared" si="11"/>
        <v>-1864076.8</v>
      </c>
      <c r="H161" s="98"/>
      <c r="I161" s="124"/>
      <c r="J161" s="67"/>
      <c r="K161" s="67"/>
      <c r="L161" s="67"/>
    </row>
    <row r="162" spans="1:12" hidden="1" outlineLevel="1" x14ac:dyDescent="0.2">
      <c r="A162" s="71">
        <f t="shared" si="8"/>
        <v>155</v>
      </c>
      <c r="B162" s="66">
        <v>43466</v>
      </c>
      <c r="C162" s="87">
        <v>1</v>
      </c>
      <c r="D162" s="98">
        <v>0</v>
      </c>
      <c r="E162" s="98">
        <v>1864076.8</v>
      </c>
      <c r="F162" s="98">
        <f t="shared" si="10"/>
        <v>1864076.8</v>
      </c>
      <c r="G162" s="75">
        <f t="shared" si="11"/>
        <v>0</v>
      </c>
      <c r="H162" s="98"/>
      <c r="I162" s="124"/>
      <c r="J162" s="67"/>
      <c r="K162" s="67"/>
      <c r="L162" s="67"/>
    </row>
    <row r="163" spans="1:12" hidden="1" outlineLevel="1" x14ac:dyDescent="0.2">
      <c r="A163" s="71">
        <f t="shared" si="8"/>
        <v>156</v>
      </c>
      <c r="B163" s="66">
        <v>43497</v>
      </c>
      <c r="C163" s="117"/>
      <c r="D163" s="98">
        <v>-111838.75</v>
      </c>
      <c r="E163" s="98"/>
      <c r="F163" s="98">
        <f t="shared" si="10"/>
        <v>-111838.75</v>
      </c>
      <c r="G163" s="75">
        <f t="shared" si="11"/>
        <v>-111838.75</v>
      </c>
      <c r="H163" s="98"/>
      <c r="I163" s="124"/>
      <c r="J163" s="67"/>
      <c r="K163" s="67"/>
      <c r="L163" s="67"/>
    </row>
    <row r="164" spans="1:12" hidden="1" outlineLevel="1" x14ac:dyDescent="0.2">
      <c r="A164" s="71">
        <f t="shared" si="8"/>
        <v>157</v>
      </c>
      <c r="B164" s="66">
        <v>43525</v>
      </c>
      <c r="D164" s="98">
        <v>-238085.76000000001</v>
      </c>
      <c r="E164" s="66"/>
      <c r="F164" s="98">
        <f t="shared" si="10"/>
        <v>-238085.76000000001</v>
      </c>
      <c r="G164" s="75">
        <f t="shared" si="11"/>
        <v>-349924.51</v>
      </c>
      <c r="H164" s="98"/>
      <c r="I164" s="124"/>
      <c r="J164" s="67"/>
      <c r="K164" s="67"/>
      <c r="L164" s="67"/>
    </row>
    <row r="165" spans="1:12" hidden="1" outlineLevel="1" x14ac:dyDescent="0.2">
      <c r="A165" s="71">
        <f t="shared" si="8"/>
        <v>158</v>
      </c>
      <c r="B165" s="66">
        <v>43556</v>
      </c>
      <c r="C165" s="117"/>
      <c r="D165" s="98">
        <v>-171982.36</v>
      </c>
      <c r="E165" s="98"/>
      <c r="F165" s="98">
        <f t="shared" si="10"/>
        <v>-171982.36</v>
      </c>
      <c r="G165" s="75">
        <f t="shared" si="11"/>
        <v>-521906.87</v>
      </c>
      <c r="H165" s="98"/>
      <c r="I165" s="124"/>
      <c r="J165" s="67"/>
      <c r="K165" s="67"/>
      <c r="L165" s="67"/>
    </row>
    <row r="166" spans="1:12" hidden="1" outlineLevel="1" x14ac:dyDescent="0.2">
      <c r="A166" s="71">
        <f t="shared" si="8"/>
        <v>159</v>
      </c>
      <c r="B166" s="66">
        <v>43586</v>
      </c>
      <c r="C166" s="117"/>
      <c r="D166" s="98">
        <v>-186244.52</v>
      </c>
      <c r="E166" s="98"/>
      <c r="F166" s="98">
        <f t="shared" si="10"/>
        <v>-186244.52</v>
      </c>
      <c r="G166" s="75">
        <f t="shared" si="11"/>
        <v>-708151.39</v>
      </c>
      <c r="H166" s="98"/>
      <c r="I166" s="124"/>
      <c r="J166" s="67"/>
      <c r="K166" s="67"/>
      <c r="L166" s="67"/>
    </row>
    <row r="167" spans="1:12" hidden="1" outlineLevel="1" x14ac:dyDescent="0.2">
      <c r="A167" s="71">
        <f t="shared" si="8"/>
        <v>160</v>
      </c>
      <c r="B167" s="66">
        <v>43617</v>
      </c>
      <c r="C167" s="117"/>
      <c r="D167" s="98">
        <v>-161919.73000000001</v>
      </c>
      <c r="E167" s="98"/>
      <c r="F167" s="98">
        <f t="shared" si="10"/>
        <v>-161919.73000000001</v>
      </c>
      <c r="G167" s="75">
        <f t="shared" si="11"/>
        <v>-870071.12</v>
      </c>
      <c r="H167" s="98"/>
      <c r="I167" s="124"/>
      <c r="J167" s="67"/>
      <c r="K167" s="67"/>
      <c r="L167" s="67"/>
    </row>
    <row r="168" spans="1:12" hidden="1" outlineLevel="1" x14ac:dyDescent="0.2">
      <c r="A168" s="71">
        <f t="shared" si="8"/>
        <v>161</v>
      </c>
      <c r="B168" s="66">
        <v>43647</v>
      </c>
      <c r="C168" s="117"/>
      <c r="D168" s="98">
        <v>-153500.01</v>
      </c>
      <c r="E168" s="98"/>
      <c r="F168" s="98">
        <f t="shared" si="10"/>
        <v>-153500.01</v>
      </c>
      <c r="G168" s="75">
        <f t="shared" si="11"/>
        <v>-1023571.13</v>
      </c>
      <c r="H168" s="98"/>
      <c r="I168" s="124"/>
      <c r="J168" s="67"/>
      <c r="K168" s="67"/>
      <c r="L168" s="67"/>
    </row>
    <row r="169" spans="1:12" hidden="1" outlineLevel="1" x14ac:dyDescent="0.2">
      <c r="A169" s="71">
        <f t="shared" si="8"/>
        <v>162</v>
      </c>
      <c r="B169" s="66">
        <v>43678</v>
      </c>
      <c r="C169" s="117"/>
      <c r="D169" s="98">
        <v>-141134.82</v>
      </c>
      <c r="E169" s="98"/>
      <c r="F169" s="98">
        <f t="shared" si="10"/>
        <v>-141134.82</v>
      </c>
      <c r="G169" s="75">
        <f t="shared" si="11"/>
        <v>-1164705.95</v>
      </c>
      <c r="H169" s="98"/>
      <c r="I169" s="124"/>
      <c r="J169" s="67"/>
      <c r="K169" s="67"/>
      <c r="L169" s="67"/>
    </row>
    <row r="170" spans="1:12" hidden="1" outlineLevel="1" x14ac:dyDescent="0.2">
      <c r="A170" s="71">
        <f t="shared" si="8"/>
        <v>163</v>
      </c>
      <c r="B170" s="66">
        <v>43709</v>
      </c>
      <c r="C170" s="117"/>
      <c r="D170" s="98">
        <v>-138441.60000000001</v>
      </c>
      <c r="E170" s="98"/>
      <c r="F170" s="98">
        <f t="shared" si="10"/>
        <v>-138441.60000000001</v>
      </c>
      <c r="G170" s="75">
        <f t="shared" si="11"/>
        <v>-1303147.55</v>
      </c>
      <c r="H170" s="98"/>
      <c r="I170" s="124"/>
      <c r="J170" s="67"/>
      <c r="K170" s="67"/>
      <c r="L170" s="67"/>
    </row>
    <row r="171" spans="1:12" hidden="1" outlineLevel="1" x14ac:dyDescent="0.2">
      <c r="A171" s="71">
        <f t="shared" si="8"/>
        <v>164</v>
      </c>
      <c r="B171" s="66">
        <v>43739</v>
      </c>
      <c r="C171" s="117"/>
      <c r="D171" s="98">
        <v>-148918.88</v>
      </c>
      <c r="E171" s="98"/>
      <c r="F171" s="98">
        <f t="shared" si="10"/>
        <v>-148918.88</v>
      </c>
      <c r="G171" s="75">
        <f t="shared" si="11"/>
        <v>-1452066.4300000002</v>
      </c>
      <c r="H171" s="98"/>
      <c r="I171" s="124"/>
      <c r="J171" s="67"/>
      <c r="K171" s="67"/>
      <c r="L171" s="67"/>
    </row>
    <row r="172" spans="1:12" hidden="1" outlineLevel="1" x14ac:dyDescent="0.2">
      <c r="A172" s="71">
        <f t="shared" si="8"/>
        <v>165</v>
      </c>
      <c r="B172" s="66">
        <v>43770</v>
      </c>
      <c r="C172" s="117"/>
      <c r="D172" s="98">
        <v>-95213.93</v>
      </c>
      <c r="E172" s="98"/>
      <c r="F172" s="98">
        <f t="shared" si="10"/>
        <v>-95213.93</v>
      </c>
      <c r="G172" s="75">
        <f t="shared" si="11"/>
        <v>-1547280.36</v>
      </c>
      <c r="H172" s="98"/>
      <c r="I172" s="124"/>
      <c r="J172" s="67"/>
      <c r="K172" s="67"/>
      <c r="L172" s="67"/>
    </row>
    <row r="173" spans="1:12" hidden="1" outlineLevel="1" x14ac:dyDescent="0.2">
      <c r="A173" s="71">
        <f t="shared" si="8"/>
        <v>166</v>
      </c>
      <c r="B173" s="66">
        <v>43800</v>
      </c>
      <c r="C173" s="117"/>
      <c r="D173" s="98">
        <v>-96038.92</v>
      </c>
      <c r="E173" s="98"/>
      <c r="F173" s="98">
        <f t="shared" si="10"/>
        <v>-96038.92</v>
      </c>
      <c r="G173" s="75">
        <f t="shared" si="11"/>
        <v>-1643319.28</v>
      </c>
      <c r="H173" s="98"/>
      <c r="I173" s="124"/>
      <c r="J173" s="67"/>
      <c r="K173" s="67"/>
      <c r="L173" s="67"/>
    </row>
    <row r="174" spans="1:12" hidden="1" outlineLevel="1" x14ac:dyDescent="0.2">
      <c r="A174" s="71">
        <f t="shared" si="8"/>
        <v>167</v>
      </c>
      <c r="B174" s="66">
        <v>43831</v>
      </c>
      <c r="C174" s="117"/>
      <c r="D174" s="98">
        <v>-2939.66</v>
      </c>
      <c r="E174" s="98">
        <v>1643319.28</v>
      </c>
      <c r="F174" s="98">
        <f t="shared" si="10"/>
        <v>1640379.62</v>
      </c>
      <c r="G174" s="75">
        <f t="shared" si="11"/>
        <v>-2939.6599999999162</v>
      </c>
      <c r="H174" s="98"/>
      <c r="I174" s="124"/>
      <c r="J174" s="67"/>
      <c r="K174" s="67"/>
      <c r="L174" s="67"/>
    </row>
    <row r="175" spans="1:12" hidden="1" outlineLevel="1" x14ac:dyDescent="0.2">
      <c r="A175" s="71">
        <f t="shared" si="8"/>
        <v>168</v>
      </c>
      <c r="B175" s="66">
        <v>43862</v>
      </c>
      <c r="C175" s="117"/>
      <c r="D175" s="98">
        <v>-37975.93</v>
      </c>
      <c r="E175" s="98"/>
      <c r="F175" s="98">
        <f t="shared" si="10"/>
        <v>-37975.93</v>
      </c>
      <c r="G175" s="75">
        <f t="shared" si="11"/>
        <v>-40915.589999999916</v>
      </c>
      <c r="H175" s="98"/>
      <c r="I175" s="124"/>
      <c r="J175" s="67"/>
      <c r="K175" s="67"/>
      <c r="L175" s="67"/>
    </row>
    <row r="176" spans="1:12" hidden="1" outlineLevel="1" x14ac:dyDescent="0.2">
      <c r="A176" s="71">
        <f t="shared" si="8"/>
        <v>169</v>
      </c>
      <c r="B176" s="66">
        <v>43891</v>
      </c>
      <c r="C176" s="117"/>
      <c r="D176" s="98">
        <v>-69841.070000000007</v>
      </c>
      <c r="E176" s="98"/>
      <c r="F176" s="98">
        <f t="shared" si="10"/>
        <v>-69841.070000000007</v>
      </c>
      <c r="G176" s="75">
        <f t="shared" ref="G176:G196" si="12">+G175+F176</f>
        <v>-110756.65999999992</v>
      </c>
      <c r="H176" s="98"/>
      <c r="I176" s="124"/>
      <c r="J176" s="67"/>
      <c r="K176" s="67"/>
      <c r="L176" s="67"/>
    </row>
    <row r="177" spans="1:12" hidden="1" outlineLevel="1" x14ac:dyDescent="0.2">
      <c r="A177" s="71">
        <f t="shared" si="8"/>
        <v>170</v>
      </c>
      <c r="B177" s="66">
        <v>43922</v>
      </c>
      <c r="C177" s="117"/>
      <c r="D177" s="98">
        <v>-123285.38</v>
      </c>
      <c r="E177" s="98"/>
      <c r="F177" s="98">
        <f t="shared" si="10"/>
        <v>-123285.38</v>
      </c>
      <c r="G177" s="75">
        <f t="shared" si="12"/>
        <v>-234042.03999999992</v>
      </c>
      <c r="H177" s="98"/>
      <c r="I177" s="124"/>
      <c r="J177" s="67"/>
      <c r="K177" s="67"/>
      <c r="L177" s="67"/>
    </row>
    <row r="178" spans="1:12" hidden="1" outlineLevel="1" x14ac:dyDescent="0.2">
      <c r="A178" s="71">
        <f t="shared" si="8"/>
        <v>171</v>
      </c>
      <c r="B178" s="66">
        <v>43952</v>
      </c>
      <c r="C178" s="117"/>
      <c r="D178" s="98">
        <v>-125564.47</v>
      </c>
      <c r="E178" s="98"/>
      <c r="F178" s="98">
        <f t="shared" si="10"/>
        <v>-125564.47</v>
      </c>
      <c r="G178" s="75">
        <f t="shared" si="12"/>
        <v>-359606.50999999989</v>
      </c>
      <c r="H178" s="98"/>
      <c r="I178" s="124"/>
      <c r="J178" s="67"/>
      <c r="K178" s="67"/>
      <c r="L178" s="67"/>
    </row>
    <row r="179" spans="1:12" hidden="1" outlineLevel="1" x14ac:dyDescent="0.2">
      <c r="A179" s="71">
        <f t="shared" si="8"/>
        <v>172</v>
      </c>
      <c r="B179" s="66">
        <v>43983</v>
      </c>
      <c r="C179" s="117"/>
      <c r="D179" s="98">
        <v>-123243.84</v>
      </c>
      <c r="E179" s="98"/>
      <c r="F179" s="98">
        <f t="shared" si="10"/>
        <v>-123243.84</v>
      </c>
      <c r="G179" s="75">
        <f t="shared" si="12"/>
        <v>-482850.34999999986</v>
      </c>
      <c r="H179" s="98"/>
      <c r="I179" s="124"/>
      <c r="J179" s="67"/>
      <c r="K179" s="67"/>
      <c r="L179" s="67"/>
    </row>
    <row r="180" spans="1:12" hidden="1" outlineLevel="1" x14ac:dyDescent="0.2">
      <c r="A180" s="71">
        <f t="shared" si="8"/>
        <v>173</v>
      </c>
      <c r="B180" s="66">
        <v>44013</v>
      </c>
      <c r="C180" s="117"/>
      <c r="D180" s="98">
        <v>-126704.18</v>
      </c>
      <c r="E180" s="98"/>
      <c r="F180" s="98">
        <f t="shared" si="10"/>
        <v>-126704.18</v>
      </c>
      <c r="G180" s="75">
        <f t="shared" si="12"/>
        <v>-609554.5299999998</v>
      </c>
      <c r="H180" s="98"/>
      <c r="I180" s="124"/>
      <c r="J180" s="67"/>
      <c r="K180" s="67"/>
      <c r="L180" s="67"/>
    </row>
    <row r="181" spans="1:12" hidden="1" outlineLevel="1" x14ac:dyDescent="0.2">
      <c r="A181" s="71">
        <f t="shared" si="8"/>
        <v>174</v>
      </c>
      <c r="B181" s="66">
        <v>44044</v>
      </c>
      <c r="C181" s="117"/>
      <c r="D181" s="98">
        <v>-128593.8</v>
      </c>
      <c r="E181" s="98"/>
      <c r="F181" s="98">
        <f t="shared" si="10"/>
        <v>-128593.8</v>
      </c>
      <c r="G181" s="75">
        <f t="shared" si="12"/>
        <v>-738148.32999999984</v>
      </c>
      <c r="H181" s="98"/>
      <c r="I181" s="124"/>
      <c r="J181" s="67"/>
      <c r="K181" s="67"/>
      <c r="L181" s="67"/>
    </row>
    <row r="182" spans="1:12" hidden="1" outlineLevel="1" x14ac:dyDescent="0.2">
      <c r="A182" s="71">
        <f t="shared" si="8"/>
        <v>175</v>
      </c>
      <c r="B182" s="66">
        <v>44075</v>
      </c>
      <c r="C182" s="117"/>
      <c r="D182" s="98">
        <v>-130136.42</v>
      </c>
      <c r="E182" s="98"/>
      <c r="F182" s="98">
        <f t="shared" si="10"/>
        <v>-130136.42</v>
      </c>
      <c r="G182" s="75">
        <f t="shared" si="12"/>
        <v>-868284.74999999988</v>
      </c>
      <c r="H182" s="98"/>
      <c r="I182" s="124"/>
      <c r="J182" s="67"/>
      <c r="K182" s="67"/>
      <c r="L182" s="67"/>
    </row>
    <row r="183" spans="1:12" hidden="1" outlineLevel="1" x14ac:dyDescent="0.2">
      <c r="A183" s="71">
        <f t="shared" si="8"/>
        <v>176</v>
      </c>
      <c r="B183" s="66">
        <v>44105</v>
      </c>
      <c r="C183" s="117"/>
      <c r="D183" s="98">
        <v>-119605.9</v>
      </c>
      <c r="E183" s="98"/>
      <c r="F183" s="98">
        <f t="shared" si="10"/>
        <v>-119605.9</v>
      </c>
      <c r="G183" s="75">
        <f t="shared" si="12"/>
        <v>-987890.64999999991</v>
      </c>
      <c r="H183" s="98"/>
      <c r="I183" s="124"/>
      <c r="J183" s="67"/>
      <c r="K183" s="67"/>
      <c r="L183" s="67"/>
    </row>
    <row r="184" spans="1:12" hidden="1" outlineLevel="1" x14ac:dyDescent="0.2">
      <c r="A184" s="71">
        <f t="shared" si="8"/>
        <v>177</v>
      </c>
      <c r="B184" s="66">
        <v>44136</v>
      </c>
      <c r="C184" s="117"/>
      <c r="D184" s="98">
        <v>-93924.65</v>
      </c>
      <c r="E184" s="98"/>
      <c r="F184" s="98">
        <f t="shared" si="10"/>
        <v>-93924.65</v>
      </c>
      <c r="G184" s="75">
        <f t="shared" si="12"/>
        <v>-1081815.2999999998</v>
      </c>
      <c r="H184" s="98"/>
      <c r="I184" s="124"/>
      <c r="J184" s="67"/>
      <c r="K184" s="67"/>
      <c r="L184" s="67"/>
    </row>
    <row r="185" spans="1:12" hidden="1" outlineLevel="1" collapsed="1" x14ac:dyDescent="0.2">
      <c r="A185" s="71">
        <f t="shared" si="8"/>
        <v>178</v>
      </c>
      <c r="B185" s="66">
        <v>44166</v>
      </c>
      <c r="C185" s="117"/>
      <c r="D185" s="98">
        <v>-99751.76</v>
      </c>
      <c r="E185" s="98"/>
      <c r="F185" s="98">
        <f t="shared" si="10"/>
        <v>-99751.76</v>
      </c>
      <c r="G185" s="75">
        <f t="shared" si="12"/>
        <v>-1181567.0599999998</v>
      </c>
      <c r="H185" s="98"/>
      <c r="I185" s="124"/>
      <c r="J185" s="67"/>
      <c r="K185" s="67"/>
      <c r="L185" s="67"/>
    </row>
    <row r="186" spans="1:12" hidden="1" outlineLevel="1" x14ac:dyDescent="0.2">
      <c r="A186" s="71">
        <f t="shared" si="8"/>
        <v>179</v>
      </c>
      <c r="B186" s="66">
        <v>44197</v>
      </c>
      <c r="C186" s="117"/>
      <c r="D186" s="98">
        <v>-2285.65</v>
      </c>
      <c r="E186" s="98"/>
      <c r="F186" s="98">
        <f t="shared" si="10"/>
        <v>-2285.65</v>
      </c>
      <c r="G186" s="75">
        <f t="shared" si="12"/>
        <v>-1183852.7099999997</v>
      </c>
      <c r="H186" s="98"/>
      <c r="I186" s="124"/>
      <c r="J186" s="67"/>
      <c r="K186" s="67"/>
      <c r="L186" s="67"/>
    </row>
    <row r="187" spans="1:12" hidden="1" outlineLevel="1" x14ac:dyDescent="0.2">
      <c r="A187" s="71">
        <f t="shared" si="8"/>
        <v>180</v>
      </c>
      <c r="B187" s="66">
        <v>44228</v>
      </c>
      <c r="C187" s="127" t="s">
        <v>321</v>
      </c>
      <c r="D187" s="98">
        <v>-2282435.79</v>
      </c>
      <c r="E187" s="98">
        <v>1181567.06</v>
      </c>
      <c r="F187" s="98">
        <f t="shared" si="10"/>
        <v>-1100868.73</v>
      </c>
      <c r="G187" s="75">
        <f t="shared" si="12"/>
        <v>-2284721.4399999995</v>
      </c>
      <c r="H187" s="98"/>
      <c r="I187" s="124"/>
      <c r="J187" s="67"/>
      <c r="K187" s="67"/>
      <c r="L187" s="67"/>
    </row>
    <row r="188" spans="1:12" hidden="1" outlineLevel="1" x14ac:dyDescent="0.2">
      <c r="A188" s="71">
        <f t="shared" si="8"/>
        <v>181</v>
      </c>
      <c r="B188" s="66">
        <v>44256</v>
      </c>
      <c r="C188" s="117"/>
      <c r="D188" s="98">
        <v>-110621.62</v>
      </c>
      <c r="E188" s="98"/>
      <c r="F188" s="98">
        <f t="shared" si="10"/>
        <v>-110621.62</v>
      </c>
      <c r="G188" s="75">
        <f t="shared" si="12"/>
        <v>-2395343.0599999996</v>
      </c>
      <c r="H188" s="98"/>
      <c r="I188" s="124"/>
      <c r="J188" s="67"/>
      <c r="K188" s="67"/>
      <c r="L188" s="67"/>
    </row>
    <row r="189" spans="1:12" hidden="1" outlineLevel="1" x14ac:dyDescent="0.2">
      <c r="A189" s="71">
        <f t="shared" si="8"/>
        <v>182</v>
      </c>
      <c r="B189" s="66">
        <v>44287</v>
      </c>
      <c r="C189" s="117"/>
      <c r="D189" s="98">
        <v>-117459.84</v>
      </c>
      <c r="E189" s="98"/>
      <c r="F189" s="98">
        <f t="shared" si="10"/>
        <v>-117459.84</v>
      </c>
      <c r="G189" s="75">
        <f t="shared" si="12"/>
        <v>-2512802.8999999994</v>
      </c>
      <c r="H189" s="98"/>
      <c r="I189" s="124"/>
      <c r="J189" s="67"/>
      <c r="K189" s="67"/>
      <c r="L189" s="67"/>
    </row>
    <row r="190" spans="1:12" hidden="1" outlineLevel="1" x14ac:dyDescent="0.2">
      <c r="A190" s="71">
        <f t="shared" si="8"/>
        <v>183</v>
      </c>
      <c r="B190" s="66">
        <v>44317</v>
      </c>
      <c r="C190" s="117"/>
      <c r="D190" s="98">
        <v>-140963.94</v>
      </c>
      <c r="E190" s="98"/>
      <c r="F190" s="98">
        <f t="shared" si="10"/>
        <v>-140963.94</v>
      </c>
      <c r="G190" s="75">
        <f t="shared" si="12"/>
        <v>-2653766.8399999994</v>
      </c>
      <c r="H190" s="98"/>
      <c r="I190" s="124"/>
      <c r="J190" s="67"/>
      <c r="K190" s="67"/>
      <c r="L190" s="67"/>
    </row>
    <row r="191" spans="1:12" hidden="1" outlineLevel="1" x14ac:dyDescent="0.2">
      <c r="A191" s="71">
        <f t="shared" si="8"/>
        <v>184</v>
      </c>
      <c r="B191" s="66">
        <v>44348</v>
      </c>
      <c r="C191" s="117"/>
      <c r="D191" s="98">
        <v>-143329.03</v>
      </c>
      <c r="E191" s="98"/>
      <c r="F191" s="98">
        <f t="shared" si="10"/>
        <v>-143329.03</v>
      </c>
      <c r="G191" s="75">
        <f t="shared" si="12"/>
        <v>-2797095.8699999992</v>
      </c>
      <c r="H191" s="98"/>
      <c r="I191" s="124"/>
      <c r="J191" s="67"/>
      <c r="K191" s="67"/>
      <c r="L191" s="67"/>
    </row>
    <row r="192" spans="1:12" hidden="1" outlineLevel="1" x14ac:dyDescent="0.2">
      <c r="A192" s="71">
        <f t="shared" si="8"/>
        <v>185</v>
      </c>
      <c r="B192" s="66">
        <v>44378</v>
      </c>
      <c r="C192" s="117"/>
      <c r="D192" s="98">
        <v>-149010.67000000001</v>
      </c>
      <c r="E192" s="98"/>
      <c r="F192" s="98">
        <f t="shared" si="10"/>
        <v>-149010.67000000001</v>
      </c>
      <c r="G192" s="75">
        <f t="shared" si="12"/>
        <v>-2946106.5399999991</v>
      </c>
      <c r="H192" s="98"/>
      <c r="I192" s="124"/>
      <c r="J192" s="67"/>
      <c r="K192" s="67"/>
      <c r="L192" s="67"/>
    </row>
    <row r="193" spans="1:12" hidden="1" outlineLevel="1" x14ac:dyDescent="0.2">
      <c r="A193" s="71">
        <f t="shared" si="8"/>
        <v>186</v>
      </c>
      <c r="B193" s="66">
        <v>44409</v>
      </c>
      <c r="C193" s="117"/>
      <c r="D193" s="98">
        <v>-161288.79</v>
      </c>
      <c r="E193" s="98"/>
      <c r="F193" s="98">
        <f t="shared" si="10"/>
        <v>-161288.79</v>
      </c>
      <c r="G193" s="75">
        <f t="shared" si="12"/>
        <v>-3107395.3299999991</v>
      </c>
      <c r="H193" s="98"/>
      <c r="I193" s="124"/>
      <c r="J193" s="67"/>
      <c r="K193" s="67"/>
      <c r="L193" s="67"/>
    </row>
    <row r="194" spans="1:12" hidden="1" outlineLevel="1" x14ac:dyDescent="0.2">
      <c r="A194" s="71">
        <f t="shared" si="8"/>
        <v>187</v>
      </c>
      <c r="B194" s="66">
        <v>44440</v>
      </c>
      <c r="C194" s="117"/>
      <c r="D194" s="98">
        <v>-168211.14</v>
      </c>
      <c r="E194" s="98"/>
      <c r="F194" s="98">
        <f t="shared" si="10"/>
        <v>-168211.14</v>
      </c>
      <c r="G194" s="75">
        <f t="shared" si="12"/>
        <v>-3275606.4699999993</v>
      </c>
      <c r="H194" s="98"/>
      <c r="I194" s="124"/>
      <c r="J194" s="67"/>
      <c r="K194" s="67"/>
      <c r="L194" s="67"/>
    </row>
    <row r="195" spans="1:12" hidden="1" outlineLevel="1" x14ac:dyDescent="0.2">
      <c r="A195" s="71">
        <f t="shared" si="8"/>
        <v>188</v>
      </c>
      <c r="B195" s="66">
        <v>44470</v>
      </c>
      <c r="C195" s="117"/>
      <c r="D195" s="98">
        <v>-122764.84</v>
      </c>
      <c r="E195" s="98"/>
      <c r="F195" s="98">
        <f t="shared" si="10"/>
        <v>-122764.84</v>
      </c>
      <c r="G195" s="75">
        <f t="shared" si="12"/>
        <v>-3398371.3099999991</v>
      </c>
      <c r="H195" s="98"/>
      <c r="I195" s="124"/>
      <c r="J195" s="67"/>
      <c r="K195" s="67"/>
      <c r="L195" s="67"/>
    </row>
    <row r="196" spans="1:12" hidden="1" outlineLevel="1" collapsed="1" x14ac:dyDescent="0.2">
      <c r="A196" s="71">
        <f t="shared" si="8"/>
        <v>189</v>
      </c>
      <c r="B196" s="66">
        <v>44501</v>
      </c>
      <c r="C196" s="117"/>
      <c r="D196" s="98">
        <v>-113168.27</v>
      </c>
      <c r="E196" s="98"/>
      <c r="F196" s="98">
        <f t="shared" si="10"/>
        <v>-113168.27</v>
      </c>
      <c r="G196" s="75">
        <f t="shared" si="12"/>
        <v>-3511539.5799999991</v>
      </c>
      <c r="H196" s="98"/>
      <c r="I196" s="124"/>
      <c r="J196" s="67"/>
      <c r="K196" s="67"/>
      <c r="L196" s="67"/>
    </row>
    <row r="197" spans="1:12" hidden="1" outlineLevel="1" x14ac:dyDescent="0.2">
      <c r="A197" s="71">
        <f t="shared" si="8"/>
        <v>190</v>
      </c>
      <c r="B197" s="66">
        <v>44531</v>
      </c>
      <c r="C197" s="117"/>
      <c r="D197" s="98">
        <v>-134945.14000000001</v>
      </c>
      <c r="E197" s="98"/>
      <c r="F197" s="98">
        <f t="shared" si="10"/>
        <v>-134945.14000000001</v>
      </c>
      <c r="G197" s="75">
        <f>+G196+F197-1</f>
        <v>-3646485.7199999993</v>
      </c>
      <c r="H197" s="98"/>
      <c r="I197" s="124"/>
      <c r="J197" s="67"/>
      <c r="K197" s="67"/>
      <c r="L197" s="67"/>
    </row>
    <row r="198" spans="1:12" hidden="1" outlineLevel="1" x14ac:dyDescent="0.2">
      <c r="A198" s="71">
        <f t="shared" si="8"/>
        <v>191</v>
      </c>
      <c r="B198" s="66">
        <v>44562</v>
      </c>
      <c r="C198" s="127" t="s">
        <v>321</v>
      </c>
      <c r="D198" s="98">
        <v>-11722.76</v>
      </c>
      <c r="E198" s="98">
        <v>3646485.72</v>
      </c>
      <c r="F198" s="98">
        <f t="shared" si="10"/>
        <v>3634762.9600000004</v>
      </c>
      <c r="G198" s="75">
        <f t="shared" ref="G198:G243" si="13">+G197+F198</f>
        <v>-11722.759999998845</v>
      </c>
      <c r="H198" s="98"/>
      <c r="I198" s="124"/>
      <c r="J198" s="67"/>
      <c r="K198" s="67"/>
      <c r="L198" s="67"/>
    </row>
    <row r="199" spans="1:12" hidden="1" outlineLevel="1" x14ac:dyDescent="0.2">
      <c r="A199" s="71">
        <f t="shared" si="8"/>
        <v>192</v>
      </c>
      <c r="B199" s="66">
        <v>44593</v>
      </c>
      <c r="C199" s="117"/>
      <c r="D199" s="98">
        <v>-49990.81</v>
      </c>
      <c r="E199" s="98"/>
      <c r="F199" s="98">
        <f t="shared" si="10"/>
        <v>-49990.81</v>
      </c>
      <c r="G199" s="75">
        <f t="shared" si="13"/>
        <v>-61713.569999998843</v>
      </c>
      <c r="H199" s="98"/>
      <c r="I199" s="124"/>
      <c r="J199" s="67"/>
      <c r="K199" s="67"/>
      <c r="L199" s="67"/>
    </row>
    <row r="200" spans="1:12" hidden="1" outlineLevel="1" x14ac:dyDescent="0.2">
      <c r="A200" s="71">
        <f t="shared" si="8"/>
        <v>193</v>
      </c>
      <c r="B200" s="66">
        <v>44621</v>
      </c>
      <c r="C200" s="117"/>
      <c r="D200" s="98">
        <v>-139455.28</v>
      </c>
      <c r="E200" s="98"/>
      <c r="F200" s="98">
        <f t="shared" si="10"/>
        <v>-139455.28</v>
      </c>
      <c r="G200" s="75">
        <f t="shared" si="13"/>
        <v>-201168.84999999884</v>
      </c>
      <c r="H200" s="98"/>
      <c r="I200" s="124"/>
      <c r="J200" s="67"/>
      <c r="K200" s="67"/>
      <c r="L200" s="67"/>
    </row>
    <row r="201" spans="1:12" hidden="1" outlineLevel="1" x14ac:dyDescent="0.2">
      <c r="A201" s="71">
        <f t="shared" ref="A201:A248" si="14">+A200+1</f>
        <v>194</v>
      </c>
      <c r="B201" s="66">
        <v>44652</v>
      </c>
      <c r="C201" s="117"/>
      <c r="D201" s="98">
        <v>-132335.95000000001</v>
      </c>
      <c r="E201" s="98"/>
      <c r="F201" s="98">
        <f t="shared" si="10"/>
        <v>-132335.95000000001</v>
      </c>
      <c r="G201" s="75">
        <f t="shared" si="13"/>
        <v>-333504.79999999888</v>
      </c>
      <c r="H201" s="98"/>
      <c r="I201" s="124"/>
      <c r="J201" s="67"/>
      <c r="K201" s="67"/>
      <c r="L201" s="67"/>
    </row>
    <row r="202" spans="1:12" hidden="1" outlineLevel="1" x14ac:dyDescent="0.2">
      <c r="A202" s="71">
        <f t="shared" si="14"/>
        <v>195</v>
      </c>
      <c r="B202" s="66">
        <v>44682</v>
      </c>
      <c r="C202" s="117"/>
      <c r="D202" s="98">
        <v>-160287.85999999999</v>
      </c>
      <c r="E202" s="98"/>
      <c r="F202" s="98">
        <f t="shared" si="10"/>
        <v>-160287.85999999999</v>
      </c>
      <c r="G202" s="75">
        <f t="shared" si="13"/>
        <v>-493792.65999999887</v>
      </c>
      <c r="H202" s="98"/>
      <c r="I202" s="124"/>
      <c r="J202" s="67"/>
      <c r="K202" s="67"/>
      <c r="L202" s="67"/>
    </row>
    <row r="203" spans="1:12" hidden="1" outlineLevel="1" x14ac:dyDescent="0.2">
      <c r="A203" s="71">
        <f t="shared" si="14"/>
        <v>196</v>
      </c>
      <c r="B203" s="66">
        <v>44713</v>
      </c>
      <c r="C203" s="117"/>
      <c r="D203" s="98">
        <v>-208071.18</v>
      </c>
      <c r="E203" s="98"/>
      <c r="F203" s="98">
        <f t="shared" si="10"/>
        <v>-208071.18</v>
      </c>
      <c r="G203" s="75">
        <f t="shared" si="13"/>
        <v>-701863.83999999892</v>
      </c>
      <c r="H203" s="98"/>
      <c r="I203" s="124"/>
      <c r="J203" s="67"/>
      <c r="K203" s="67"/>
      <c r="L203" s="67"/>
    </row>
    <row r="204" spans="1:12" hidden="1" outlineLevel="1" x14ac:dyDescent="0.2">
      <c r="A204" s="71">
        <f t="shared" si="14"/>
        <v>197</v>
      </c>
      <c r="B204" s="66">
        <v>44743</v>
      </c>
      <c r="C204" s="117"/>
      <c r="D204" s="98">
        <v>-356421.55</v>
      </c>
      <c r="E204" s="98"/>
      <c r="F204" s="98">
        <f t="shared" si="10"/>
        <v>-356421.55</v>
      </c>
      <c r="G204" s="75">
        <f t="shared" si="13"/>
        <v>-1058285.389999999</v>
      </c>
      <c r="H204" s="98"/>
      <c r="I204" s="124"/>
      <c r="J204" s="67"/>
      <c r="K204" s="67"/>
      <c r="L204" s="67"/>
    </row>
    <row r="205" spans="1:12" hidden="1" outlineLevel="1" x14ac:dyDescent="0.2">
      <c r="A205" s="71">
        <f t="shared" si="14"/>
        <v>198</v>
      </c>
      <c r="B205" s="66">
        <v>44774</v>
      </c>
      <c r="C205" s="117"/>
      <c r="D205" s="98">
        <v>-432157.49</v>
      </c>
      <c r="E205" s="98"/>
      <c r="F205" s="98">
        <f t="shared" si="10"/>
        <v>-432157.49</v>
      </c>
      <c r="G205" s="75">
        <f t="shared" si="13"/>
        <v>-1490442.879999999</v>
      </c>
      <c r="H205" s="98"/>
      <c r="I205" s="124"/>
      <c r="J205" s="67"/>
      <c r="K205" s="67"/>
      <c r="L205" s="67"/>
    </row>
    <row r="206" spans="1:12" hidden="1" outlineLevel="1" x14ac:dyDescent="0.2">
      <c r="A206" s="71">
        <f t="shared" si="14"/>
        <v>199</v>
      </c>
      <c r="B206" s="66">
        <v>44805</v>
      </c>
      <c r="C206" s="117"/>
      <c r="D206" s="98">
        <v>-368261.26</v>
      </c>
      <c r="E206" s="98"/>
      <c r="F206" s="98">
        <f t="shared" si="10"/>
        <v>-368261.26</v>
      </c>
      <c r="G206" s="75">
        <f t="shared" si="13"/>
        <v>-1858704.139999999</v>
      </c>
      <c r="H206" s="98"/>
      <c r="I206" s="124"/>
      <c r="J206" s="67"/>
      <c r="K206" s="67"/>
      <c r="L206" s="67"/>
    </row>
    <row r="207" spans="1:12" hidden="1" outlineLevel="1" x14ac:dyDescent="0.2">
      <c r="A207" s="71">
        <f t="shared" si="14"/>
        <v>200</v>
      </c>
      <c r="B207" s="66">
        <v>44835</v>
      </c>
      <c r="C207" s="117"/>
      <c r="D207" s="98">
        <v>-209012.47</v>
      </c>
      <c r="E207" s="98"/>
      <c r="F207" s="98">
        <f t="shared" si="10"/>
        <v>-209012.47</v>
      </c>
      <c r="G207" s="75">
        <f t="shared" si="13"/>
        <v>-2067716.6099999989</v>
      </c>
      <c r="H207" s="98"/>
      <c r="I207" s="124"/>
      <c r="J207" s="67"/>
      <c r="K207" s="67"/>
      <c r="L207" s="67"/>
    </row>
    <row r="208" spans="1:12" hidden="1" outlineLevel="1" x14ac:dyDescent="0.2">
      <c r="A208" s="71">
        <f t="shared" si="14"/>
        <v>201</v>
      </c>
      <c r="B208" s="66">
        <v>44866</v>
      </c>
      <c r="C208" s="117"/>
      <c r="D208" s="98">
        <v>-153636.87</v>
      </c>
      <c r="E208" s="98"/>
      <c r="F208" s="98">
        <f t="shared" ref="F208:F243" si="15">SUM(D208:E208)</f>
        <v>-153636.87</v>
      </c>
      <c r="G208" s="75">
        <f t="shared" si="13"/>
        <v>-2221353.4799999991</v>
      </c>
      <c r="H208" s="98"/>
      <c r="I208" s="124"/>
      <c r="J208" s="67"/>
      <c r="K208" s="67"/>
      <c r="L208" s="67"/>
    </row>
    <row r="209" spans="1:12" hidden="1" outlineLevel="1" x14ac:dyDescent="0.2">
      <c r="A209" s="71">
        <f t="shared" si="14"/>
        <v>202</v>
      </c>
      <c r="B209" s="66">
        <v>44896</v>
      </c>
      <c r="C209" s="117"/>
      <c r="D209" s="98">
        <v>-605805.25</v>
      </c>
      <c r="E209" s="98"/>
      <c r="F209" s="98">
        <f t="shared" si="15"/>
        <v>-605805.25</v>
      </c>
      <c r="G209" s="75">
        <f t="shared" si="13"/>
        <v>-2827158.7299999991</v>
      </c>
      <c r="H209" s="98"/>
      <c r="I209" s="124"/>
      <c r="J209" s="67"/>
      <c r="K209" s="67"/>
      <c r="L209" s="67"/>
    </row>
    <row r="210" spans="1:12" hidden="1" outlineLevel="1" x14ac:dyDescent="0.2">
      <c r="A210" s="71">
        <f t="shared" si="14"/>
        <v>203</v>
      </c>
      <c r="B210" s="66">
        <v>44927</v>
      </c>
      <c r="C210" s="127" t="s">
        <v>321</v>
      </c>
      <c r="D210" s="98">
        <f>-228960.66+33937.61</f>
        <v>-195023.05</v>
      </c>
      <c r="E210" s="98">
        <v>2827158.73</v>
      </c>
      <c r="F210" s="98">
        <f t="shared" si="15"/>
        <v>2632135.6800000002</v>
      </c>
      <c r="G210" s="75">
        <f t="shared" si="13"/>
        <v>-195023.04999999888</v>
      </c>
      <c r="H210" s="98"/>
      <c r="I210" s="124"/>
      <c r="J210" s="67"/>
      <c r="K210" s="67"/>
      <c r="L210" s="67"/>
    </row>
    <row r="211" spans="1:12" hidden="1" outlineLevel="1" x14ac:dyDescent="0.2">
      <c r="A211" s="71">
        <f t="shared" si="14"/>
        <v>204</v>
      </c>
      <c r="B211" s="66">
        <v>44958</v>
      </c>
      <c r="C211" s="117"/>
      <c r="D211" s="98">
        <v>-319378.34000000003</v>
      </c>
      <c r="E211" s="98"/>
      <c r="F211" s="98">
        <f t="shared" si="15"/>
        <v>-319378.34000000003</v>
      </c>
      <c r="G211" s="75">
        <f t="shared" si="13"/>
        <v>-514401.38999999891</v>
      </c>
      <c r="H211" s="98"/>
      <c r="I211" s="124"/>
      <c r="J211" s="67"/>
      <c r="K211" s="67"/>
      <c r="L211" s="67"/>
    </row>
    <row r="212" spans="1:12" hidden="1" outlineLevel="1" x14ac:dyDescent="0.2">
      <c r="A212" s="71">
        <f t="shared" si="14"/>
        <v>205</v>
      </c>
      <c r="B212" s="66">
        <v>44986</v>
      </c>
      <c r="C212" s="117"/>
      <c r="D212" s="98">
        <v>-245670.55</v>
      </c>
      <c r="E212" s="98"/>
      <c r="F212" s="98">
        <f t="shared" si="15"/>
        <v>-245670.55</v>
      </c>
      <c r="G212" s="75">
        <f t="shared" si="13"/>
        <v>-760071.9399999989</v>
      </c>
      <c r="H212" s="98"/>
      <c r="I212" s="124"/>
      <c r="J212" s="67"/>
      <c r="K212" s="67"/>
      <c r="L212" s="67"/>
    </row>
    <row r="213" spans="1:12" hidden="1" outlineLevel="1" x14ac:dyDescent="0.2">
      <c r="A213" s="71">
        <f t="shared" si="14"/>
        <v>206</v>
      </c>
      <c r="B213" s="66">
        <v>45017</v>
      </c>
      <c r="C213" s="117"/>
      <c r="D213" s="98">
        <v>-203273.4</v>
      </c>
      <c r="E213" s="98"/>
      <c r="F213" s="98">
        <f t="shared" si="15"/>
        <v>-203273.4</v>
      </c>
      <c r="G213" s="75">
        <f t="shared" si="13"/>
        <v>-963345.33999999892</v>
      </c>
      <c r="H213" s="98"/>
      <c r="I213" s="124"/>
      <c r="J213" s="67"/>
      <c r="K213" s="67"/>
      <c r="L213" s="67"/>
    </row>
    <row r="214" spans="1:12" hidden="1" outlineLevel="1" x14ac:dyDescent="0.2">
      <c r="A214" s="71">
        <f t="shared" si="14"/>
        <v>207</v>
      </c>
      <c r="B214" s="66">
        <v>45047</v>
      </c>
      <c r="C214" s="117"/>
      <c r="D214" s="98">
        <v>-147450.76</v>
      </c>
      <c r="E214" s="98"/>
      <c r="F214" s="98">
        <f t="shared" si="15"/>
        <v>-147450.76</v>
      </c>
      <c r="G214" s="75">
        <f t="shared" si="13"/>
        <v>-1110796.0999999989</v>
      </c>
      <c r="H214" s="98"/>
      <c r="I214" s="124"/>
      <c r="J214" s="67"/>
      <c r="K214" s="67"/>
      <c r="L214" s="67"/>
    </row>
    <row r="215" spans="1:12" hidden="1" outlineLevel="1" x14ac:dyDescent="0.2">
      <c r="A215" s="71">
        <f t="shared" si="14"/>
        <v>208</v>
      </c>
      <c r="B215" s="66">
        <v>45078</v>
      </c>
      <c r="C215" s="117"/>
      <c r="D215" s="98">
        <v>-146901.29</v>
      </c>
      <c r="E215" s="98"/>
      <c r="F215" s="98">
        <f t="shared" si="15"/>
        <v>-146901.29</v>
      </c>
      <c r="G215" s="75">
        <f t="shared" si="13"/>
        <v>-1257697.389999999</v>
      </c>
      <c r="H215" s="98"/>
      <c r="I215" s="124"/>
      <c r="J215" s="67"/>
      <c r="K215" s="67"/>
      <c r="L215" s="67"/>
    </row>
    <row r="216" spans="1:12" hidden="1" outlineLevel="1" x14ac:dyDescent="0.2">
      <c r="A216" s="71">
        <f t="shared" si="14"/>
        <v>209</v>
      </c>
      <c r="B216" s="66">
        <v>45108</v>
      </c>
      <c r="C216" s="117"/>
      <c r="D216" s="98">
        <v>-251617.27</v>
      </c>
      <c r="E216" s="98"/>
      <c r="F216" s="98">
        <f t="shared" si="15"/>
        <v>-251617.27</v>
      </c>
      <c r="G216" s="75">
        <f t="shared" si="13"/>
        <v>-1509314.659999999</v>
      </c>
      <c r="H216" s="98"/>
      <c r="I216" s="124"/>
      <c r="J216" s="67"/>
      <c r="K216" s="67"/>
      <c r="L216" s="67"/>
    </row>
    <row r="217" spans="1:12" hidden="1" outlineLevel="1" x14ac:dyDescent="0.2">
      <c r="A217" s="71">
        <f t="shared" si="14"/>
        <v>210</v>
      </c>
      <c r="B217" s="66">
        <v>45139</v>
      </c>
      <c r="C217" s="117"/>
      <c r="D217" s="98">
        <v>-264436.34999999998</v>
      </c>
      <c r="E217" s="98"/>
      <c r="F217" s="98">
        <f t="shared" si="15"/>
        <v>-264436.34999999998</v>
      </c>
      <c r="G217" s="75">
        <f t="shared" si="13"/>
        <v>-1773751.0099999988</v>
      </c>
      <c r="H217" s="98"/>
      <c r="I217" s="124"/>
      <c r="J217" s="67"/>
      <c r="K217" s="67"/>
      <c r="L217" s="67"/>
    </row>
    <row r="218" spans="1:12" hidden="1" outlineLevel="1" x14ac:dyDescent="0.2">
      <c r="A218" s="71">
        <f t="shared" si="14"/>
        <v>211</v>
      </c>
      <c r="B218" s="66">
        <v>45170</v>
      </c>
      <c r="C218" s="117"/>
      <c r="D218" s="98">
        <v>-158299.44</v>
      </c>
      <c r="E218" s="98"/>
      <c r="F218" s="98">
        <f t="shared" si="15"/>
        <v>-158299.44</v>
      </c>
      <c r="G218" s="75">
        <f t="shared" si="13"/>
        <v>-1932050.4499999988</v>
      </c>
      <c r="H218" s="98"/>
      <c r="I218" s="124"/>
      <c r="J218" s="67"/>
      <c r="K218" s="67"/>
      <c r="L218" s="67"/>
    </row>
    <row r="219" spans="1:12" hidden="1" outlineLevel="1" x14ac:dyDescent="0.2">
      <c r="A219" s="71">
        <f t="shared" si="14"/>
        <v>212</v>
      </c>
      <c r="B219" s="66">
        <v>45200</v>
      </c>
      <c r="C219" s="117"/>
      <c r="D219" s="98">
        <v>-158870.09</v>
      </c>
      <c r="E219" s="98"/>
      <c r="F219" s="98">
        <f t="shared" si="15"/>
        <v>-158870.09</v>
      </c>
      <c r="G219" s="75">
        <f t="shared" si="13"/>
        <v>-2090920.5399999989</v>
      </c>
      <c r="H219" s="98"/>
      <c r="I219" s="124"/>
      <c r="J219" s="67"/>
      <c r="K219" s="67"/>
      <c r="L219" s="67"/>
    </row>
    <row r="220" spans="1:12" hidden="1" outlineLevel="1" collapsed="1" x14ac:dyDescent="0.2">
      <c r="A220" s="71">
        <f t="shared" si="14"/>
        <v>213</v>
      </c>
      <c r="B220" s="66">
        <v>45231</v>
      </c>
      <c r="C220" s="117"/>
      <c r="D220" s="98">
        <v>-173339.68</v>
      </c>
      <c r="E220" s="98"/>
      <c r="F220" s="98">
        <f t="shared" si="15"/>
        <v>-173339.68</v>
      </c>
      <c r="G220" s="75">
        <f t="shared" si="13"/>
        <v>-2264260.2199999988</v>
      </c>
      <c r="H220" s="98"/>
      <c r="I220" s="124"/>
      <c r="J220" s="67"/>
      <c r="K220" s="67"/>
      <c r="L220" s="67"/>
    </row>
    <row r="221" spans="1:12" hidden="1" outlineLevel="1" x14ac:dyDescent="0.2">
      <c r="A221" s="71">
        <f t="shared" si="14"/>
        <v>214</v>
      </c>
      <c r="B221" s="66">
        <v>45261</v>
      </c>
      <c r="C221" s="117"/>
      <c r="D221" s="98">
        <v>-150585.42000000001</v>
      </c>
      <c r="E221" s="98"/>
      <c r="F221" s="98">
        <f t="shared" si="15"/>
        <v>-150585.42000000001</v>
      </c>
      <c r="G221" s="75">
        <f t="shared" si="13"/>
        <v>-2414845.6399999987</v>
      </c>
      <c r="H221" s="98"/>
      <c r="I221" s="124"/>
      <c r="J221" s="67"/>
      <c r="K221" s="67"/>
      <c r="L221" s="67"/>
    </row>
    <row r="222" spans="1:12" hidden="1" outlineLevel="1" x14ac:dyDescent="0.2">
      <c r="A222" s="71">
        <f t="shared" si="14"/>
        <v>215</v>
      </c>
      <c r="B222" s="66">
        <v>45292</v>
      </c>
      <c r="C222" s="126">
        <v>1</v>
      </c>
      <c r="D222" s="98">
        <v>-5925.94</v>
      </c>
      <c r="E222" s="98">
        <v>2414845.64</v>
      </c>
      <c r="F222" s="98">
        <f t="shared" si="15"/>
        <v>2408919.7000000002</v>
      </c>
      <c r="G222" s="75">
        <f t="shared" si="13"/>
        <v>-5925.9399999985471</v>
      </c>
      <c r="H222" s="98"/>
      <c r="I222" s="124"/>
      <c r="J222" s="67"/>
      <c r="K222" s="67"/>
      <c r="L222" s="67"/>
    </row>
    <row r="223" spans="1:12" hidden="1" outlineLevel="1" x14ac:dyDescent="0.2">
      <c r="A223" s="71">
        <f t="shared" si="14"/>
        <v>216</v>
      </c>
      <c r="B223" s="66">
        <v>45323</v>
      </c>
      <c r="C223" s="117"/>
      <c r="D223" s="98">
        <v>-43229.89</v>
      </c>
      <c r="E223" s="98"/>
      <c r="F223" s="98">
        <f t="shared" si="15"/>
        <v>-43229.89</v>
      </c>
      <c r="G223" s="75">
        <f t="shared" si="13"/>
        <v>-49155.829999998547</v>
      </c>
      <c r="H223" s="98"/>
      <c r="I223" s="124"/>
      <c r="J223" s="67"/>
      <c r="K223" s="67"/>
      <c r="L223" s="67"/>
    </row>
    <row r="224" spans="1:12" hidden="1" outlineLevel="1" x14ac:dyDescent="0.2">
      <c r="A224" s="71">
        <f t="shared" si="14"/>
        <v>217</v>
      </c>
      <c r="B224" s="66">
        <v>45352</v>
      </c>
      <c r="C224" s="117"/>
      <c r="D224" s="98">
        <v>-121337.52</v>
      </c>
      <c r="E224" s="98"/>
      <c r="F224" s="98">
        <f t="shared" si="15"/>
        <v>-121337.52</v>
      </c>
      <c r="G224" s="75">
        <f t="shared" si="13"/>
        <v>-170493.34999999855</v>
      </c>
      <c r="H224" s="98"/>
      <c r="I224" s="124"/>
      <c r="J224" s="67"/>
      <c r="K224" s="67"/>
      <c r="L224" s="67"/>
    </row>
    <row r="225" spans="1:12" hidden="1" outlineLevel="1" x14ac:dyDescent="0.2">
      <c r="A225" s="71">
        <f t="shared" si="14"/>
        <v>218</v>
      </c>
      <c r="B225" s="66">
        <v>45383</v>
      </c>
      <c r="C225" s="117"/>
      <c r="D225" s="98">
        <v>-149758.03</v>
      </c>
      <c r="E225" s="98"/>
      <c r="F225" s="98">
        <f t="shared" si="15"/>
        <v>-149758.03</v>
      </c>
      <c r="G225" s="75">
        <f t="shared" si="13"/>
        <v>-320251.37999999855</v>
      </c>
      <c r="H225" s="98"/>
      <c r="I225" s="124"/>
      <c r="J225" s="67"/>
      <c r="K225" s="67"/>
      <c r="L225" s="67"/>
    </row>
    <row r="226" spans="1:12" hidden="1" outlineLevel="1" x14ac:dyDescent="0.2">
      <c r="A226" s="71">
        <f t="shared" si="14"/>
        <v>219</v>
      </c>
      <c r="B226" s="66">
        <v>45413</v>
      </c>
      <c r="C226" s="117"/>
      <c r="D226" s="98">
        <v>-134816.20000000001</v>
      </c>
      <c r="E226" s="98"/>
      <c r="F226" s="98">
        <f t="shared" si="15"/>
        <v>-134816.20000000001</v>
      </c>
      <c r="G226" s="75">
        <f t="shared" si="13"/>
        <v>-455067.57999999856</v>
      </c>
      <c r="H226" s="98"/>
      <c r="I226" s="124"/>
      <c r="J226" s="67"/>
      <c r="K226" s="67"/>
      <c r="L226" s="67"/>
    </row>
    <row r="227" spans="1:12" hidden="1" outlineLevel="1" x14ac:dyDescent="0.2">
      <c r="A227" s="71">
        <f t="shared" si="14"/>
        <v>220</v>
      </c>
      <c r="B227" s="66">
        <v>45444</v>
      </c>
      <c r="C227" s="117"/>
      <c r="D227" s="98">
        <v>-224751.34</v>
      </c>
      <c r="E227" s="98"/>
      <c r="F227" s="98">
        <f t="shared" si="15"/>
        <v>-224751.34</v>
      </c>
      <c r="G227" s="75">
        <f t="shared" si="13"/>
        <v>-679818.91999999853</v>
      </c>
      <c r="H227" s="98"/>
      <c r="I227" s="124"/>
      <c r="J227" s="67"/>
      <c r="K227" s="67"/>
      <c r="L227" s="67"/>
    </row>
    <row r="228" spans="1:12" hidden="1" outlineLevel="1" x14ac:dyDescent="0.2">
      <c r="A228" s="71">
        <f t="shared" si="14"/>
        <v>221</v>
      </c>
      <c r="B228" s="66">
        <v>45474</v>
      </c>
      <c r="C228" s="117"/>
      <c r="D228" s="98">
        <v>-267573.71999999997</v>
      </c>
      <c r="E228" s="98"/>
      <c r="F228" s="98">
        <f t="shared" si="15"/>
        <v>-267573.71999999997</v>
      </c>
      <c r="G228" s="75">
        <f t="shared" si="13"/>
        <v>-947392.6399999985</v>
      </c>
      <c r="H228" s="98"/>
      <c r="I228" s="124"/>
      <c r="J228" s="67"/>
      <c r="K228" s="67"/>
      <c r="L228" s="67"/>
    </row>
    <row r="229" spans="1:12" hidden="1" outlineLevel="1" x14ac:dyDescent="0.2">
      <c r="A229" s="71">
        <f t="shared" si="14"/>
        <v>222</v>
      </c>
      <c r="B229" s="66">
        <v>45505</v>
      </c>
      <c r="C229" s="117"/>
      <c r="D229" s="98">
        <v>-244602.8</v>
      </c>
      <c r="E229" s="98"/>
      <c r="F229" s="98">
        <f t="shared" si="15"/>
        <v>-244602.8</v>
      </c>
      <c r="G229" s="75">
        <f t="shared" si="13"/>
        <v>-1191995.4399999985</v>
      </c>
      <c r="H229" s="98"/>
      <c r="I229" s="124"/>
      <c r="J229" s="67"/>
      <c r="K229" s="67"/>
      <c r="L229" s="67"/>
    </row>
    <row r="230" spans="1:12" hidden="1" outlineLevel="1" x14ac:dyDescent="0.2">
      <c r="A230" s="71">
        <f t="shared" si="14"/>
        <v>223</v>
      </c>
      <c r="B230" s="66">
        <v>45536</v>
      </c>
      <c r="C230" s="117"/>
      <c r="D230" s="98">
        <v>-251928.95999999999</v>
      </c>
      <c r="E230" s="98"/>
      <c r="F230" s="98">
        <f t="shared" si="15"/>
        <v>-251928.95999999999</v>
      </c>
      <c r="G230" s="75">
        <f t="shared" si="13"/>
        <v>-1443924.3999999985</v>
      </c>
      <c r="H230" s="98"/>
      <c r="I230" s="124"/>
      <c r="J230" s="67"/>
      <c r="K230" s="67"/>
      <c r="L230" s="67"/>
    </row>
    <row r="231" spans="1:12" hidden="1" outlineLevel="1" x14ac:dyDescent="0.2">
      <c r="A231" s="71">
        <f t="shared" si="14"/>
        <v>224</v>
      </c>
      <c r="B231" s="66">
        <v>45566</v>
      </c>
      <c r="C231" s="117"/>
      <c r="D231" s="98">
        <v>-215301.05</v>
      </c>
      <c r="E231" s="98"/>
      <c r="F231" s="98">
        <f t="shared" si="15"/>
        <v>-215301.05</v>
      </c>
      <c r="G231" s="75">
        <f t="shared" si="13"/>
        <v>-1659225.4499999986</v>
      </c>
      <c r="H231" s="98"/>
      <c r="I231" s="124"/>
      <c r="J231" s="67"/>
      <c r="K231" s="67"/>
      <c r="L231" s="67"/>
    </row>
    <row r="232" spans="1:12" collapsed="1" x14ac:dyDescent="0.2">
      <c r="A232" s="71">
        <f t="shared" si="14"/>
        <v>225</v>
      </c>
      <c r="B232" s="66">
        <v>45597</v>
      </c>
      <c r="C232" s="117"/>
      <c r="D232" s="98">
        <v>-181570.14</v>
      </c>
      <c r="E232" s="98"/>
      <c r="F232" s="98">
        <f t="shared" si="15"/>
        <v>-181570.14</v>
      </c>
      <c r="G232" s="75">
        <f t="shared" si="13"/>
        <v>-1840795.5899999985</v>
      </c>
      <c r="H232" s="98"/>
      <c r="I232" s="124"/>
      <c r="J232" s="67"/>
      <c r="K232" s="67"/>
      <c r="L232" s="67"/>
    </row>
    <row r="233" spans="1:12" x14ac:dyDescent="0.2">
      <c r="A233" s="71">
        <f t="shared" si="14"/>
        <v>226</v>
      </c>
      <c r="B233" s="66">
        <v>45627</v>
      </c>
      <c r="C233" s="117"/>
      <c r="D233" s="98">
        <v>-187860.38</v>
      </c>
      <c r="E233" s="98"/>
      <c r="F233" s="98">
        <f t="shared" si="15"/>
        <v>-187860.38</v>
      </c>
      <c r="G233" s="75">
        <f t="shared" si="13"/>
        <v>-2028655.9699999983</v>
      </c>
      <c r="H233" s="98"/>
      <c r="I233" s="124"/>
      <c r="J233" s="67"/>
      <c r="K233" s="67"/>
      <c r="L233" s="67"/>
    </row>
    <row r="234" spans="1:12" x14ac:dyDescent="0.2">
      <c r="A234" s="71">
        <f t="shared" si="14"/>
        <v>227</v>
      </c>
      <c r="B234" s="66">
        <v>45658</v>
      </c>
      <c r="C234" s="117"/>
      <c r="D234" s="98">
        <v>-54811.86</v>
      </c>
      <c r="E234" s="98">
        <f>-G233</f>
        <v>2028655.9699999983</v>
      </c>
      <c r="F234" s="98">
        <f t="shared" si="15"/>
        <v>1973844.1099999982</v>
      </c>
      <c r="G234" s="75">
        <f t="shared" si="13"/>
        <v>-54811.860000000102</v>
      </c>
      <c r="H234" s="98"/>
      <c r="I234" s="124"/>
      <c r="J234" s="67"/>
      <c r="K234" s="67"/>
      <c r="L234" s="67"/>
    </row>
    <row r="235" spans="1:12" x14ac:dyDescent="0.2">
      <c r="A235" s="71">
        <f t="shared" si="14"/>
        <v>228</v>
      </c>
      <c r="B235" s="66">
        <v>45689</v>
      </c>
      <c r="C235" s="117"/>
      <c r="D235" s="98">
        <v>-218657.96</v>
      </c>
      <c r="E235" s="98"/>
      <c r="F235" s="98">
        <f t="shared" si="15"/>
        <v>-218657.96</v>
      </c>
      <c r="G235" s="75">
        <f t="shared" si="13"/>
        <v>-273469.82000000007</v>
      </c>
      <c r="H235" s="98"/>
      <c r="I235" s="124"/>
      <c r="J235" s="67"/>
      <c r="K235" s="67"/>
      <c r="L235" s="67"/>
    </row>
    <row r="236" spans="1:12" x14ac:dyDescent="0.2">
      <c r="A236" s="71">
        <f t="shared" si="14"/>
        <v>229</v>
      </c>
      <c r="B236" s="66">
        <v>45717</v>
      </c>
      <c r="C236" s="117"/>
      <c r="D236" s="98">
        <v>-293484.12</v>
      </c>
      <c r="E236" s="98"/>
      <c r="F236" s="98">
        <f t="shared" si="15"/>
        <v>-293484.12</v>
      </c>
      <c r="G236" s="75">
        <f t="shared" si="13"/>
        <v>-566953.94000000006</v>
      </c>
      <c r="H236" s="98"/>
      <c r="I236" s="124"/>
      <c r="J236" s="67"/>
      <c r="K236" s="67"/>
      <c r="L236" s="67"/>
    </row>
    <row r="237" spans="1:12" x14ac:dyDescent="0.2">
      <c r="A237" s="71">
        <f t="shared" si="14"/>
        <v>230</v>
      </c>
      <c r="B237" s="66">
        <v>45748</v>
      </c>
      <c r="C237" s="117"/>
      <c r="D237" s="98">
        <v>-229146.04</v>
      </c>
      <c r="E237" s="98"/>
      <c r="F237" s="98">
        <f t="shared" si="15"/>
        <v>-229146.04</v>
      </c>
      <c r="G237" s="75">
        <f t="shared" si="13"/>
        <v>-796099.9800000001</v>
      </c>
      <c r="H237" s="98"/>
      <c r="I237" s="124"/>
      <c r="J237" s="67"/>
      <c r="K237" s="67"/>
      <c r="L237" s="67"/>
    </row>
    <row r="238" spans="1:12" x14ac:dyDescent="0.2">
      <c r="A238" s="71">
        <f t="shared" si="14"/>
        <v>231</v>
      </c>
      <c r="B238" s="66">
        <v>45778</v>
      </c>
      <c r="C238" s="117"/>
      <c r="D238" s="98">
        <v>-226579.5</v>
      </c>
      <c r="E238" s="98"/>
      <c r="F238" s="98">
        <f t="shared" si="15"/>
        <v>-226579.5</v>
      </c>
      <c r="G238" s="75">
        <f t="shared" si="13"/>
        <v>-1022679.4800000001</v>
      </c>
      <c r="H238" s="98"/>
      <c r="I238" s="124"/>
      <c r="J238" s="67"/>
      <c r="K238" s="67"/>
      <c r="L238" s="67"/>
    </row>
    <row r="239" spans="1:12" x14ac:dyDescent="0.2">
      <c r="A239" s="71">
        <f t="shared" si="14"/>
        <v>232</v>
      </c>
      <c r="B239" s="66">
        <v>45809</v>
      </c>
      <c r="C239" s="117"/>
      <c r="D239" s="98">
        <v>-230642.26</v>
      </c>
      <c r="E239" s="98"/>
      <c r="F239" s="98">
        <f t="shared" si="15"/>
        <v>-230642.26</v>
      </c>
      <c r="G239" s="75">
        <f t="shared" si="13"/>
        <v>-1253321.7400000002</v>
      </c>
      <c r="H239" s="98"/>
      <c r="I239" s="124"/>
      <c r="J239" s="67"/>
      <c r="K239" s="67"/>
      <c r="L239" s="67"/>
    </row>
    <row r="240" spans="1:12" x14ac:dyDescent="0.2">
      <c r="A240" s="71">
        <f t="shared" si="14"/>
        <v>233</v>
      </c>
      <c r="B240" s="66">
        <v>45839</v>
      </c>
      <c r="C240" s="117"/>
      <c r="D240" s="98">
        <v>-317693.48</v>
      </c>
      <c r="E240" s="98"/>
      <c r="F240" s="98">
        <f t="shared" si="15"/>
        <v>-317693.48</v>
      </c>
      <c r="G240" s="75">
        <f t="shared" si="13"/>
        <v>-1571015.2200000002</v>
      </c>
      <c r="H240" s="98"/>
      <c r="I240" s="124"/>
      <c r="J240" s="67"/>
      <c r="K240" s="67"/>
      <c r="L240" s="67"/>
    </row>
    <row r="241" spans="1:12" x14ac:dyDescent="0.2">
      <c r="A241" s="71">
        <f t="shared" si="14"/>
        <v>234</v>
      </c>
      <c r="B241" s="66">
        <v>45870</v>
      </c>
      <c r="C241" s="117"/>
      <c r="D241" s="125">
        <v>-341894.62</v>
      </c>
      <c r="E241" s="98"/>
      <c r="F241" s="98">
        <f t="shared" si="15"/>
        <v>-341894.62</v>
      </c>
      <c r="G241" s="75">
        <f t="shared" si="13"/>
        <v>-1912909.8400000003</v>
      </c>
      <c r="H241" s="98"/>
      <c r="I241" s="124"/>
      <c r="J241" s="67"/>
      <c r="K241" s="67"/>
      <c r="L241" s="67"/>
    </row>
    <row r="242" spans="1:12" x14ac:dyDescent="0.2">
      <c r="A242" s="71">
        <f t="shared" si="14"/>
        <v>235</v>
      </c>
      <c r="B242" s="66">
        <v>45901</v>
      </c>
      <c r="C242" s="117"/>
      <c r="D242" s="98"/>
      <c r="E242" s="98"/>
      <c r="F242" s="98">
        <f t="shared" si="15"/>
        <v>0</v>
      </c>
      <c r="G242" s="75">
        <f t="shared" si="13"/>
        <v>-1912909.8400000003</v>
      </c>
      <c r="H242" s="98"/>
      <c r="I242" s="124"/>
      <c r="J242" s="67"/>
      <c r="K242" s="67"/>
      <c r="L242" s="67"/>
    </row>
    <row r="243" spans="1:12" x14ac:dyDescent="0.2">
      <c r="A243" s="71">
        <f t="shared" si="14"/>
        <v>236</v>
      </c>
      <c r="B243" s="66">
        <v>45931</v>
      </c>
      <c r="C243" s="117"/>
      <c r="D243" s="98"/>
      <c r="E243" s="98"/>
      <c r="F243" s="98">
        <f t="shared" si="15"/>
        <v>0</v>
      </c>
      <c r="G243" s="75">
        <f t="shared" si="13"/>
        <v>-1912909.8400000003</v>
      </c>
      <c r="H243" s="98"/>
      <c r="I243" s="124"/>
      <c r="J243" s="67"/>
      <c r="K243" s="67"/>
      <c r="L243" s="67"/>
    </row>
    <row r="244" spans="1:12" x14ac:dyDescent="0.2">
      <c r="A244" s="71">
        <f t="shared" si="14"/>
        <v>237</v>
      </c>
      <c r="C244" s="117"/>
      <c r="D244" s="98"/>
      <c r="E244" s="98"/>
      <c r="F244" s="98"/>
      <c r="G244" s="98"/>
      <c r="H244" s="98"/>
      <c r="I244" s="124"/>
      <c r="J244" s="67"/>
      <c r="K244" s="67"/>
      <c r="L244" s="67"/>
    </row>
    <row r="245" spans="1:12" x14ac:dyDescent="0.2">
      <c r="A245" s="71">
        <f t="shared" si="14"/>
        <v>238</v>
      </c>
      <c r="B245" s="74" t="s">
        <v>320</v>
      </c>
      <c r="C245" s="117"/>
      <c r="D245" s="98"/>
      <c r="E245" s="98"/>
      <c r="F245" s="98"/>
      <c r="G245" s="98"/>
      <c r="H245" s="98"/>
      <c r="I245" s="124"/>
      <c r="J245" s="67"/>
      <c r="K245" s="67"/>
      <c r="L245" s="67"/>
    </row>
    <row r="246" spans="1:12" x14ac:dyDescent="0.2">
      <c r="A246" s="71">
        <f t="shared" si="14"/>
        <v>239</v>
      </c>
      <c r="B246" s="73"/>
      <c r="C246" s="117"/>
      <c r="D246" s="98"/>
      <c r="E246" s="98"/>
      <c r="F246" s="98"/>
      <c r="G246" s="98"/>
      <c r="H246" s="98"/>
      <c r="I246" s="124"/>
      <c r="J246" s="67"/>
      <c r="K246" s="67"/>
      <c r="L246" s="67"/>
    </row>
    <row r="247" spans="1:12" x14ac:dyDescent="0.2">
      <c r="A247" s="71">
        <f t="shared" si="14"/>
        <v>240</v>
      </c>
      <c r="B247" s="72" t="s">
        <v>318</v>
      </c>
      <c r="C247" s="117"/>
      <c r="D247" s="98"/>
      <c r="E247" s="98"/>
      <c r="F247" s="98"/>
      <c r="G247" s="98"/>
      <c r="H247" s="98"/>
      <c r="I247" s="124"/>
      <c r="J247" s="67"/>
      <c r="K247" s="67"/>
      <c r="L247" s="67"/>
    </row>
    <row r="248" spans="1:12" x14ac:dyDescent="0.2">
      <c r="A248" s="71">
        <f t="shared" si="14"/>
        <v>241</v>
      </c>
      <c r="B248" s="117" t="s">
        <v>369</v>
      </c>
      <c r="C248" s="117"/>
      <c r="D248" s="98"/>
      <c r="E248" s="98"/>
      <c r="F248" s="98"/>
      <c r="G248" s="98"/>
      <c r="H248" s="98"/>
      <c r="I248" s="124"/>
      <c r="J248" s="67"/>
      <c r="K248" s="67"/>
      <c r="L248" s="67"/>
    </row>
    <row r="249" spans="1:12" x14ac:dyDescent="0.2">
      <c r="A249" s="71"/>
      <c r="C249" s="117"/>
      <c r="D249" s="98"/>
      <c r="E249" s="98"/>
      <c r="F249" s="98"/>
      <c r="G249" s="98"/>
      <c r="H249" s="98"/>
      <c r="I249" s="98"/>
      <c r="J249" s="67"/>
      <c r="K249" s="67"/>
      <c r="L249" s="67"/>
    </row>
    <row r="250" spans="1:12" x14ac:dyDescent="0.2">
      <c r="A250" s="71"/>
      <c r="H250" s="67"/>
      <c r="I250" s="67"/>
      <c r="J250" s="67"/>
      <c r="K250" s="67"/>
      <c r="L250" s="67"/>
    </row>
    <row r="251" spans="1:12" x14ac:dyDescent="0.2">
      <c r="A251" s="71"/>
      <c r="H251" s="67"/>
      <c r="I251" s="67"/>
      <c r="J251" s="67"/>
      <c r="K251" s="67"/>
      <c r="L251" s="67"/>
    </row>
    <row r="252" spans="1:12" x14ac:dyDescent="0.2">
      <c r="A252" s="71"/>
    </row>
    <row r="253" spans="1:12" x14ac:dyDescent="0.2">
      <c r="A253" s="71"/>
    </row>
    <row r="254" spans="1:12" x14ac:dyDescent="0.2">
      <c r="A254" s="71"/>
      <c r="B254" s="73"/>
    </row>
    <row r="255" spans="1:12" x14ac:dyDescent="0.2">
      <c r="A255" s="71"/>
    </row>
  </sheetData>
  <printOptions horizontalCentered="1"/>
  <pageMargins left="0.5" right="0.5" top="0.5" bottom="0.5" header="0.25" footer="0.25"/>
  <pageSetup orientation="landscape" r:id="rId1"/>
  <headerFooter alignWithMargins="0">
    <oddHeader>&amp;R&amp;"Arial,Regular"NWN WUTC Advice 25-08
Exhibit A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FCEB923708B7B4099D88D1B5B6B758F" ma:contentTypeVersion="19" ma:contentTypeDescription="" ma:contentTypeScope="" ma:versionID="71a5d8e7c144933170a58869533625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1529366-0F74-4B2F-BC16-8FE2B6F8C8AB}"/>
</file>

<file path=customXml/itemProps2.xml><?xml version="1.0" encoding="utf-8"?>
<ds:datastoreItem xmlns:ds="http://schemas.openxmlformats.org/officeDocument/2006/customXml" ds:itemID="{27051CAE-79BD-40D6-88BD-0541BEA5618F}"/>
</file>

<file path=customXml/itemProps3.xml><?xml version="1.0" encoding="utf-8"?>
<ds:datastoreItem xmlns:ds="http://schemas.openxmlformats.org/officeDocument/2006/customXml" ds:itemID="{46E7DDA5-2A11-47EC-A45A-339B2FAE902C}"/>
</file>

<file path=customXml/itemProps4.xml><?xml version="1.0" encoding="utf-8"?>
<ds:datastoreItem xmlns:ds="http://schemas.openxmlformats.org/officeDocument/2006/customXml" ds:itemID="{5D0CED49-7234-4243-8CDF-2C2885495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Summary of Temporaries </vt:lpstr>
      <vt:lpstr> Increments  equal ¢ per therm</vt:lpstr>
      <vt:lpstr>Effect on Cust Avg Bill by RS1</vt:lpstr>
      <vt:lpstr>Summary of Deferrred Acccounts</vt:lpstr>
      <vt:lpstr>151540 WACOG Deferral</vt:lpstr>
      <vt:lpstr>151545 WACOG Amortization </vt:lpstr>
      <vt:lpstr>151550 Demand Accrual</vt:lpstr>
      <vt:lpstr>151555 Demand Amortization</vt:lpstr>
      <vt:lpstr>232035 Storage Sharing</vt:lpstr>
      <vt:lpstr>Total Commodity Summary</vt:lpstr>
      <vt:lpstr>Demand Charges</vt:lpstr>
      <vt:lpstr>Derivation of Demand rates WA</vt:lpstr>
      <vt:lpstr>Winter WACOG </vt:lpstr>
      <vt:lpstr>Effects on Revenue</vt:lpstr>
      <vt:lpstr>' Increments  equal ¢ per therm'!Print_Area</vt:lpstr>
      <vt:lpstr>'151545 WACOG Amortization '!Print_Area</vt:lpstr>
      <vt:lpstr>'151550 Demand Accrual'!Print_Area</vt:lpstr>
      <vt:lpstr>'151555 Demand Amortization'!Print_Area</vt:lpstr>
      <vt:lpstr>'232035 Storage Sharing'!Print_Area</vt:lpstr>
      <vt:lpstr>'Demand Charges'!Print_Area</vt:lpstr>
      <vt:lpstr>'Derivation of Demand rates WA'!Print_Area</vt:lpstr>
      <vt:lpstr>'Effect on Cust Avg Bill by RS1'!Print_Area</vt:lpstr>
      <vt:lpstr>'Effects on Revenue'!Print_Area</vt:lpstr>
      <vt:lpstr>'Summary of Deferrred Acccounts'!Print_Area</vt:lpstr>
      <vt:lpstr>'Summary of Temporaries '!Print_Area</vt:lpstr>
      <vt:lpstr>'Total Commodity Summary'!Print_Area</vt:lpstr>
      <vt:lpstr>'Winter WACOG '!Print_Area</vt:lpstr>
      <vt:lpstr>' Increments  equal ¢ per therm'!Print_Titles</vt:lpstr>
      <vt:lpstr>'Effect on Cust Avg Bill by RS1'!Print_Titles</vt:lpstr>
      <vt:lpstr>'Summary of Temporaries '!Print_Titles</vt:lpstr>
      <vt:lpstr>'Total Commodity Summary'!Print_Titles</vt:lpstr>
      <vt:lpstr>'Demand Charges'!revsens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Michael</dc:creator>
  <cp:lastModifiedBy>Lee-Pella, Erica</cp:lastModifiedBy>
  <cp:lastPrinted>2025-09-15T04:48:20Z</cp:lastPrinted>
  <dcterms:created xsi:type="dcterms:W3CDTF">2025-09-14T03:38:00Z</dcterms:created>
  <dcterms:modified xsi:type="dcterms:W3CDTF">2025-09-15T04:48:30Z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0x0101006E56B4D1795A2E4DB2F0B01679ED314A00CFCEB923708B7B4099D88D1B5B6B758F</vt:lpwstr>
  </property>
  <property fmtid="{D5CDD505-2E9C-101B-9397-08002B2CF9AE}" pid="3" name="_docset_NoMedatataSyncRequired">
    <vt:lpwstr>False</vt:lpwstr>
  </property>
</Properties>
</file>