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795" yWindow="2715" windowWidth="16335" windowHeight="4320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externalReferences>
    <externalReference r:id="rId8"/>
  </externalReference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'!$A$1:$V$36</definedName>
    <definedName name="_xlnm.Print_Area" localSheetId="6">'Pg 7 Reacquired Debt'!$A$1:$J$42</definedName>
    <definedName name="_xlnm.Print_Titles" localSheetId="6">'Pg 7 Reacquired Debt'!$1:$7</definedName>
    <definedName name="tblAmount">OFFSET([1]Amount_Data!$E$2,0,0,COUNTA([1]Amount_Data!$A:$A)-1-COUNTIF([1]Amount_Data!$A:$A,TODAY()),COUNTA([1]Amount_Data!$2:$2)-4)</definedName>
  </definedNames>
  <calcPr calcId="162913" concurrentManualCount="8"/>
</workbook>
</file>

<file path=xl/calcChain.xml><?xml version="1.0" encoding="utf-8"?>
<calcChain xmlns="http://schemas.openxmlformats.org/spreadsheetml/2006/main">
  <c r="Q20" i="1" l="1"/>
  <c r="J31" i="21" l="1"/>
  <c r="I6" i="7" l="1"/>
  <c r="J32" i="21" l="1"/>
  <c r="J33" i="21" s="1"/>
  <c r="F15" i="21" s="1"/>
  <c r="G32" i="21"/>
  <c r="N42" i="1"/>
  <c r="N40" i="1"/>
  <c r="M40" i="1"/>
  <c r="M42" i="1"/>
  <c r="L40" i="1" l="1"/>
  <c r="K40" i="1"/>
  <c r="J40" i="1"/>
  <c r="I40" i="1"/>
  <c r="H40" i="1"/>
  <c r="G40" i="1"/>
  <c r="F40" i="1"/>
  <c r="C24" i="1"/>
  <c r="C22" i="1"/>
  <c r="Q12" i="1"/>
  <c r="Q7" i="1"/>
  <c r="Q10" i="1"/>
  <c r="J27" i="21" l="1"/>
  <c r="E11" i="21"/>
  <c r="X25" i="7"/>
  <c r="H29" i="7"/>
  <c r="G29" i="7"/>
  <c r="H6" i="7" l="1"/>
  <c r="F27" i="7"/>
  <c r="I32" i="29" l="1"/>
  <c r="F29" i="71" l="1"/>
  <c r="O40" i="1" l="1"/>
  <c r="I42" i="1"/>
  <c r="G42" i="1"/>
  <c r="E42" i="1"/>
  <c r="D42" i="1"/>
  <c r="C42" i="1"/>
  <c r="E40" i="1"/>
  <c r="D40" i="1"/>
  <c r="C40" i="1"/>
  <c r="G27" i="71" l="1"/>
  <c r="G31" i="71" l="1"/>
  <c r="F27" i="71"/>
  <c r="F31" i="71" l="1"/>
  <c r="J43" i="1"/>
  <c r="A31" i="29" l="1"/>
  <c r="A32" i="29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C13" i="2"/>
  <c r="D16" i="71" l="1"/>
  <c r="D15" i="71"/>
  <c r="F23" i="7" l="1"/>
  <c r="D18" i="71" l="1"/>
  <c r="D17" i="71"/>
  <c r="Q9" i="1" l="1"/>
  <c r="O43" i="1"/>
  <c r="M43" i="1"/>
  <c r="I24" i="29"/>
  <c r="E27" i="71"/>
  <c r="E31" i="71" s="1"/>
  <c r="C27" i="71"/>
  <c r="C31" i="71" s="1"/>
  <c r="C14" i="2"/>
  <c r="C17" i="2" s="1"/>
  <c r="F31" i="7" s="1"/>
  <c r="H23" i="7"/>
  <c r="X23" i="7" s="1"/>
  <c r="Q36" i="1"/>
  <c r="Q34" i="1"/>
  <c r="E38" i="1"/>
  <c r="D38" i="1"/>
  <c r="C38" i="1"/>
  <c r="F22" i="7"/>
  <c r="F6" i="7"/>
  <c r="B3" i="29"/>
  <c r="A2" i="7"/>
  <c r="B3" i="71"/>
  <c r="B3" i="21"/>
  <c r="B4" i="2"/>
  <c r="E26" i="21"/>
  <c r="G26" i="21"/>
  <c r="H26" i="21"/>
  <c r="J26" i="21" s="1"/>
  <c r="F13" i="21" s="1"/>
  <c r="A27" i="21"/>
  <c r="A28" i="2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V27" i="7"/>
  <c r="U27" i="7"/>
  <c r="T27" i="7"/>
  <c r="G27" i="21"/>
  <c r="H27" i="21" s="1"/>
  <c r="Q41" i="1"/>
  <c r="Q14" i="1"/>
  <c r="M38" i="1"/>
  <c r="N38" i="1"/>
  <c r="O38" i="1"/>
  <c r="O16" i="1"/>
  <c r="N16" i="1"/>
  <c r="M16" i="1"/>
  <c r="M10" i="1"/>
  <c r="N10" i="1"/>
  <c r="O10" i="1"/>
  <c r="Q8" i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G31" i="21" s="1"/>
  <c r="E12" i="21"/>
  <c r="F7" i="7"/>
  <c r="F8" i="7"/>
  <c r="F9" i="7"/>
  <c r="F10" i="7"/>
  <c r="F11" i="7"/>
  <c r="F12" i="7"/>
  <c r="F13" i="7"/>
  <c r="F14" i="7"/>
  <c r="F29" i="7" s="1"/>
  <c r="F15" i="7"/>
  <c r="F16" i="7"/>
  <c r="F17" i="7"/>
  <c r="F18" i="7"/>
  <c r="F19" i="7"/>
  <c r="F20" i="7"/>
  <c r="F21" i="7"/>
  <c r="T5" i="7"/>
  <c r="U5" i="7"/>
  <c r="V5" i="7"/>
  <c r="C16" i="1"/>
  <c r="D16" i="1"/>
  <c r="E16" i="1"/>
  <c r="F16" i="1"/>
  <c r="H16" i="1"/>
  <c r="I16" i="1"/>
  <c r="J16" i="1"/>
  <c r="L43" i="1"/>
  <c r="K43" i="1"/>
  <c r="L16" i="1"/>
  <c r="K16" i="1"/>
  <c r="Q42" i="1"/>
  <c r="I43" i="1"/>
  <c r="I38" i="1"/>
  <c r="H43" i="1"/>
  <c r="G43" i="1"/>
  <c r="F43" i="1"/>
  <c r="G16" i="1"/>
  <c r="E43" i="1"/>
  <c r="A9" i="83"/>
  <c r="A10" i="83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 s="1"/>
  <c r="L38" i="1"/>
  <c r="L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X8" i="7"/>
  <c r="H9" i="7"/>
  <c r="X9" i="7" s="1"/>
  <c r="H12" i="7"/>
  <c r="H13" i="7"/>
  <c r="H14" i="7"/>
  <c r="I14" i="7" s="1"/>
  <c r="H15" i="7"/>
  <c r="X15" i="7" s="1"/>
  <c r="D20" i="29"/>
  <c r="D19" i="29"/>
  <c r="D18" i="29"/>
  <c r="H13" i="29"/>
  <c r="H12" i="29"/>
  <c r="S27" i="7"/>
  <c r="X28" i="7"/>
  <c r="A6" i="21"/>
  <c r="A7" i="21"/>
  <c r="A8" i="21" s="1"/>
  <c r="A9" i="21" s="1"/>
  <c r="A10" i="2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/>
  <c r="A18" i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D43" i="1"/>
  <c r="I18" i="7"/>
  <c r="I8" i="7"/>
  <c r="I19" i="7"/>
  <c r="C43" i="1"/>
  <c r="C44" i="1" l="1"/>
  <c r="C46" i="1" s="1"/>
  <c r="J22" i="1"/>
  <c r="J27" i="1" s="1"/>
  <c r="J44" i="1"/>
  <c r="J46" i="1" s="1"/>
  <c r="C28" i="1"/>
  <c r="D27" i="71"/>
  <c r="H27" i="71" s="1"/>
  <c r="F44" i="1"/>
  <c r="F46" i="1" s="1"/>
  <c r="I11" i="7"/>
  <c r="I9" i="7"/>
  <c r="I21" i="7"/>
  <c r="X14" i="7"/>
  <c r="I17" i="7"/>
  <c r="I15" i="7"/>
  <c r="I7" i="7"/>
  <c r="E17" i="2"/>
  <c r="L22" i="1"/>
  <c r="L28" i="1" s="1"/>
  <c r="X10" i="7"/>
  <c r="X20" i="7"/>
  <c r="I20" i="7"/>
  <c r="X6" i="7"/>
  <c r="X12" i="7"/>
  <c r="I12" i="7"/>
  <c r="X13" i="7"/>
  <c r="I13" i="7"/>
  <c r="I22" i="7"/>
  <c r="I16" i="7"/>
  <c r="K44" i="1"/>
  <c r="K46" i="1" s="1"/>
  <c r="H44" i="1"/>
  <c r="H46" i="1" s="1"/>
  <c r="D44" i="1"/>
  <c r="D46" i="1" s="1"/>
  <c r="I44" i="1"/>
  <c r="I46" i="1" s="1"/>
  <c r="K22" i="1"/>
  <c r="K25" i="1" s="1"/>
  <c r="Q16" i="1"/>
  <c r="E44" i="1"/>
  <c r="E46" i="1" s="1"/>
  <c r="J28" i="21"/>
  <c r="M22" i="1"/>
  <c r="M28" i="1" s="1"/>
  <c r="N22" i="1"/>
  <c r="N25" i="1" s="1"/>
  <c r="I23" i="7"/>
  <c r="E16" i="21"/>
  <c r="F33" i="7"/>
  <c r="C23" i="2"/>
  <c r="O44" i="1"/>
  <c r="O46" i="1" s="1"/>
  <c r="O22" i="1"/>
  <c r="O28" i="1" s="1"/>
  <c r="C14" i="83"/>
  <c r="M44" i="1"/>
  <c r="M46" i="1" s="1"/>
  <c r="Q38" i="1"/>
  <c r="G44" i="1"/>
  <c r="G46" i="1" s="1"/>
  <c r="D22" i="1"/>
  <c r="D25" i="1" s="1"/>
  <c r="H22" i="1"/>
  <c r="H27" i="1" s="1"/>
  <c r="G22" i="1"/>
  <c r="G24" i="1" s="1"/>
  <c r="L44" i="1"/>
  <c r="L46" i="1" s="1"/>
  <c r="F22" i="1"/>
  <c r="E22" i="1"/>
  <c r="E24" i="1" s="1"/>
  <c r="C28" i="83"/>
  <c r="I22" i="1"/>
  <c r="I28" i="1" s="1"/>
  <c r="G31" i="7" l="1"/>
  <c r="H31" i="7" s="1"/>
  <c r="E14" i="83" s="1"/>
  <c r="F17" i="2"/>
  <c r="I26" i="7"/>
  <c r="X26" i="7" s="1"/>
  <c r="X27" i="7" s="1"/>
  <c r="J28" i="1"/>
  <c r="J25" i="1"/>
  <c r="J26" i="1" s="1"/>
  <c r="J30" i="1" s="1"/>
  <c r="J24" i="1"/>
  <c r="D31" i="71"/>
  <c r="E21" i="2"/>
  <c r="F21" i="2" s="1"/>
  <c r="L27" i="1"/>
  <c r="K27" i="1"/>
  <c r="L24" i="1"/>
  <c r="C16" i="83"/>
  <c r="D17" i="2"/>
  <c r="L25" i="1"/>
  <c r="K28" i="1"/>
  <c r="K24" i="1"/>
  <c r="K26" i="1" s="1"/>
  <c r="F14" i="21"/>
  <c r="F16" i="21" s="1"/>
  <c r="E19" i="2" s="1"/>
  <c r="F19" i="2" s="1"/>
  <c r="M24" i="1"/>
  <c r="M27" i="1"/>
  <c r="M25" i="1"/>
  <c r="H25" i="1"/>
  <c r="N27" i="1"/>
  <c r="N28" i="1"/>
  <c r="N24" i="1"/>
  <c r="N26" i="1" s="1"/>
  <c r="G25" i="1"/>
  <c r="G26" i="1" s="1"/>
  <c r="D24" i="1"/>
  <c r="D26" i="1" s="1"/>
  <c r="O25" i="1"/>
  <c r="D28" i="1"/>
  <c r="D27" i="1"/>
  <c r="O27" i="1"/>
  <c r="O24" i="1"/>
  <c r="H24" i="1"/>
  <c r="H28" i="1"/>
  <c r="Q22" i="1"/>
  <c r="I27" i="1"/>
  <c r="C27" i="1"/>
  <c r="G28" i="1"/>
  <c r="G27" i="1"/>
  <c r="C25" i="1"/>
  <c r="E25" i="1"/>
  <c r="E26" i="1" s="1"/>
  <c r="I25" i="1"/>
  <c r="E27" i="1"/>
  <c r="F25" i="1"/>
  <c r="F27" i="1"/>
  <c r="E28" i="1"/>
  <c r="I24" i="1"/>
  <c r="F28" i="1"/>
  <c r="F24" i="1"/>
  <c r="I27" i="7" l="1"/>
  <c r="H27" i="7" s="1"/>
  <c r="C26" i="83"/>
  <c r="Q25" i="1"/>
  <c r="Q24" i="1"/>
  <c r="Y27" i="7"/>
  <c r="L26" i="1"/>
  <c r="L30" i="1" s="1"/>
  <c r="E23" i="2"/>
  <c r="K30" i="1"/>
  <c r="M26" i="1"/>
  <c r="M30" i="1" s="1"/>
  <c r="H26" i="1"/>
  <c r="H30" i="1" s="1"/>
  <c r="O26" i="1"/>
  <c r="O30" i="1" s="1"/>
  <c r="N30" i="1"/>
  <c r="D30" i="1"/>
  <c r="G33" i="7"/>
  <c r="E16" i="83"/>
  <c r="Q26" i="1"/>
  <c r="Q28" i="1"/>
  <c r="Q27" i="1"/>
  <c r="I26" i="1"/>
  <c r="I30" i="1" s="1"/>
  <c r="G30" i="1"/>
  <c r="E30" i="1"/>
  <c r="F26" i="1"/>
  <c r="F30" i="1" s="1"/>
  <c r="C26" i="1"/>
  <c r="C30" i="1" s="1"/>
  <c r="H33" i="7" l="1"/>
  <c r="E18" i="83" s="1"/>
  <c r="C30" i="83"/>
  <c r="F23" i="2"/>
  <c r="Q30" i="1"/>
  <c r="D28" i="83" l="1"/>
  <c r="D14" i="83"/>
  <c r="F14" i="83" s="1"/>
  <c r="D18" i="83"/>
  <c r="D26" i="83" s="1"/>
  <c r="I34" i="29"/>
  <c r="I36" i="29" s="1"/>
  <c r="F24" i="83" s="1"/>
  <c r="H33" i="71"/>
  <c r="D16" i="83"/>
  <c r="F16" i="83" s="1"/>
  <c r="F18" i="83" s="1"/>
  <c r="F18" i="21"/>
  <c r="F20" i="83" l="1"/>
  <c r="F26" i="83" s="1"/>
  <c r="F20" i="21"/>
  <c r="H35" i="71"/>
  <c r="F22" i="83" s="1"/>
  <c r="F28" i="83"/>
  <c r="D30" i="83"/>
  <c r="Q40" i="1"/>
  <c r="N43" i="1"/>
  <c r="N44" i="1" s="1"/>
  <c r="E26" i="83" l="1"/>
  <c r="F30" i="83"/>
  <c r="N46" i="1"/>
  <c r="Q44" i="1"/>
  <c r="Q43" i="1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2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<sst xmlns="http://schemas.openxmlformats.org/spreadsheetml/2006/main" count="332" uniqueCount="209">
  <si>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</si>
  <si>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</si>
  <si>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</si>
  <si>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</si>
  <si>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</si>
  <si>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</si>
  <si>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</si>
  <si>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</si>
  <si>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</si>
  <si>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</si>
  <si>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</si>
  <si>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</si>
  <si>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</si>
  <si>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</si>
  <si>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</si>
  <si>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</si>
  <si>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</si>
  <si>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</si>
  <si>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</si>
  <si>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</si>
  <si>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</si>
  <si>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</si>
  <si>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</si>
  <si>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</si>
  <si>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</si>
  <si>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</si>
  <si>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</si>
  <si>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</si>
  <si>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</si>
  <si>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</si>
  <si>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</si>
  <si>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</si>
  <si>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</si>
  <si>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</si>
  <si>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</si>
  <si>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</si>
  <si>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</si>
  <si>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</si>
  <si>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</si>
  <si>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</si>
  <si>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</si>
  <si>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</si>
  <si>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</si>
  <si>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</si>
  <si>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</si>
  <si>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</si>
  <si>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</si>
  <si>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</si>
  <si>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</si>
  <si>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</si>
  <si>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</si>
  <si>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</si>
  <si>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</si>
  <si>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</si>
  <si>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</si>
  <si>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</si>
  <si>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</si>
  <si>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</si>
  <si>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</si>
  <si>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</si>
  <si>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</si>
  <si>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</si>
  <si>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</si>
  <si>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</si>
  <si>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</si>
  <si>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</si>
  <si>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</si>
  <si>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</si>
  <si>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</si>
  <si>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</si>
  <si>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</si>
  <si>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</si>
  <si>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</si>
  <si>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</si>
  <si>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</si>
  <si>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</si>
  <si>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</si>
  <si>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</si>
  <si>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</si>
  <si>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</si>
  <si>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</si>
  <si>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</si>
  <si>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</si>
  <si>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</si>
  <si>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</si>
  <si>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</si>
  <si>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</si>
  <si>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</si>
  <si>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</si>
  <si>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</si>
  <si>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</si>
  <si>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</si>
  <si>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</si>
  <si>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</si>
  <si>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</si>
  <si>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</si>
  <si>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</si>
  <si>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</si>
  <si>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</si>
  <si>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</si>
  <si>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</si>
  <si>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</si>
  <si>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</si>
  <si>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</si>
  <si>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</si>
  <si>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</si>
  <si>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</si>
  <si>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</si>
  <si>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</si>
  <si>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</si>
  <si>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</si>
  <si>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</si>
  <si>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</si>
  <si>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</si>
  <si>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</si>
  <si>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</si>
  <si>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</si>
  <si>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</si>
  <si>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</si>
  <si>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</si>
  <si>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</si>
  <si>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</si>
  <si>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</si>
  <si>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</si>
  <si>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</si>
  <si>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</si>
  <si>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</si>
  <si>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</si>
  <si>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</si>
  <si>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</si>
  <si>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</si>
  <si>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</si>
  <si>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</si>
  <si>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</si>
  <si>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</si>
  <si>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</si>
  <si>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</si>
  <si>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</si>
  <si>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</si>
  <si>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</si>
  <si>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</si>
  <si>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</si>
  <si>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</si>
  <si>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</si>
  <si>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</si>
  <si>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</si>
  <si>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</si>
  <si>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</si>
  <si>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</si>
  <si>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</si>
  <si>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</si>
  <si>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</si>
  <si>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</si>
  <si>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</si>
  <si>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</si>
  <si>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</si>
  <si>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</si>
  <si>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</si>
  <si>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</si>
  <si>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</si>
  <si>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</si>
  <si>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</si>
  <si>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</si>
  <si>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</si>
  <si>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</si>
  <si>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</si>
  <si>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</si>
  <si>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</si>
  <si>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</si>
  <si>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</si>
  <si>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</si>
  <si>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</si>
  <si>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</si>
  <si>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</si>
  <si>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</si>
  <si>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</si>
  <si>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</si>
  <si>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</si>
  <si>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</si>
  <si>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</si>
  <si>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</si>
  <si>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</si>
  <si>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</si>
  <si>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</si>
  <si>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</si>
  <si>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</si>
  <si>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</si>
  <si>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</si>
  <si>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</si>
  <si>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</si>
  <si>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</si>
  <si>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</si>
  <si>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</si>
  <si>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</si>
  <si>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</si>
  <si>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</si>
  <si>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</si>
  <si>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</si>
  <si>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</si>
  <si>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</si>
  <si>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</si>
  <si>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</si>
  <si>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December 31, 2021 Through December 31, 2022</t>
  </si>
  <si>
    <t>As of: 12/31/21</t>
  </si>
  <si>
    <t>For The 12 Months Ending December 31, 2022</t>
  </si>
  <si>
    <t>Total Amortization for 12 months ended 12/31/22</t>
  </si>
  <si>
    <t>SAP zfr00016</t>
  </si>
  <si>
    <t>ICE NGX Collateral</t>
  </si>
  <si>
    <t>TD (not within facility)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</si>
</sst>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9" formatCode="_(* #,##0.000_);_(* \(#,##0.000\);_(* &quot;-&quot;??_);_(@_)"/>
    <numFmt numFmtId="190" formatCode="[$-409]mmm\-yy;@"/>
  </numFmts>
  <fonts count="75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1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16" fillId="0" borderId="0" xfId="0" applyFont="1" applyBorder="1"/>
    <xf numFmtId="37" fontId="20" fillId="0" borderId="0" xfId="0" applyFont="1" applyBorder="1" applyAlignment="1">
      <alignment horizontal="right"/>
    </xf>
    <xf numFmtId="37" fontId="20" fillId="0" borderId="0" xfId="0" applyFont="1" applyBorder="1" applyAlignment="1">
      <alignment horizontal="center"/>
    </xf>
    <xf numFmtId="14" fontId="16" fillId="0" borderId="0" xfId="0" applyNumberFormat="1" applyFont="1" applyFill="1" applyBorder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2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6" fillId="0" borderId="0" xfId="93" applyFont="1"/>
    <xf numFmtId="0" fontId="17" fillId="0" borderId="0" xfId="93" quotePrefix="1" applyFont="1" applyFill="1" applyAlignment="1" applyProtection="1">
      <alignment horizontal="center"/>
    </xf>
    <xf numFmtId="0" fontId="16" fillId="0" borderId="0" xfId="93" applyFont="1" applyFill="1"/>
    <xf numFmtId="0" fontId="18" fillId="0" borderId="0" xfId="93" applyFont="1" applyFill="1" applyAlignment="1" applyProtection="1">
      <alignment horizontal="center"/>
    </xf>
    <xf numFmtId="14" fontId="16" fillId="0" borderId="0" xfId="93" applyNumberFormat="1" applyFont="1" applyFill="1"/>
    <xf numFmtId="0" fontId="24" fillId="0" borderId="10" xfId="93" applyFont="1" applyFill="1" applyBorder="1" applyAlignment="1" applyProtection="1">
      <alignment horizontal="center" wrapText="1"/>
    </xf>
    <xf numFmtId="0" fontId="23" fillId="0" borderId="10" xfId="93" applyFont="1" applyFill="1" applyBorder="1" applyAlignment="1">
      <alignment horizontal="center"/>
    </xf>
    <xf numFmtId="7" fontId="16" fillId="0" borderId="0" xfId="93" applyNumberFormat="1" applyFont="1" applyFill="1"/>
    <xf numFmtId="0" fontId="18" fillId="0" borderId="0" xfId="93" quotePrefix="1" applyFont="1" applyFill="1" applyAlignment="1" applyProtection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 applyProtection="1">
      <alignment horizontal="center"/>
    </xf>
    <xf numFmtId="37" fontId="27" fillId="0" borderId="0" xfId="89" applyFont="1" applyAlignment="1" applyProtection="1">
      <alignment horizontal="center"/>
    </xf>
    <xf numFmtId="37" fontId="13" fillId="0" borderId="0" xfId="89" applyFont="1" applyAlignment="1" applyProtection="1">
      <alignment horizontal="left"/>
    </xf>
    <xf numFmtId="37" fontId="13" fillId="0" borderId="0" xfId="89" applyFont="1" applyAlignment="1" applyProtection="1">
      <alignment horizontal="fill"/>
    </xf>
    <xf numFmtId="37" fontId="13" fillId="0" borderId="0" xfId="89" applyFont="1" applyAlignment="1" applyProtection="1">
      <alignment horizontal="center"/>
    </xf>
    <xf numFmtId="10" fontId="13" fillId="0" borderId="0" xfId="89" applyNumberFormat="1" applyFont="1" applyProtection="1"/>
    <xf numFmtId="37" fontId="13" fillId="0" borderId="0" xfId="89" applyNumberFormat="1" applyFont="1" applyProtection="1"/>
    <xf numFmtId="5" fontId="13" fillId="0" borderId="0" xfId="89" applyNumberFormat="1" applyFont="1" applyProtection="1"/>
    <xf numFmtId="5" fontId="13" fillId="0" borderId="0" xfId="89" applyNumberFormat="1" applyFont="1"/>
    <xf numFmtId="5" fontId="29" fillId="0" borderId="0" xfId="89" applyNumberFormat="1" applyFont="1"/>
    <xf numFmtId="5" fontId="29" fillId="0" borderId="0" xfId="89" applyNumberFormat="1" applyFont="1" applyProtection="1"/>
    <xf numFmtId="37" fontId="15" fillId="0" borderId="11" xfId="89" applyFont="1" applyBorder="1" applyAlignment="1" applyProtection="1">
      <alignment horizontal="left"/>
    </xf>
    <xf numFmtId="5" fontId="15" fillId="0" borderId="12" xfId="89" applyNumberFormat="1" applyFont="1" applyBorder="1" applyProtection="1"/>
    <xf numFmtId="5" fontId="15" fillId="0" borderId="12" xfId="89" applyNumberFormat="1" applyFont="1" applyBorder="1"/>
    <xf numFmtId="5" fontId="30" fillId="0" borderId="0" xfId="89" applyNumberFormat="1" applyFont="1" applyFill="1" applyProtection="1"/>
    <xf numFmtId="5" fontId="30" fillId="0" borderId="0" xfId="89" applyNumberFormat="1" applyFont="1" applyProtection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5" fontId="31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4" fillId="0" borderId="0" xfId="88" applyNumberFormat="1" applyFont="1" applyFill="1" applyProtection="1"/>
    <xf numFmtId="175" fontId="34" fillId="0" borderId="0" xfId="88" applyNumberFormat="1" applyFont="1" applyFill="1" applyProtection="1"/>
    <xf numFmtId="164" fontId="34" fillId="0" borderId="0" xfId="88" applyNumberFormat="1" applyFont="1" applyFill="1" applyBorder="1" applyProtection="1"/>
    <xf numFmtId="175" fontId="34" fillId="0" borderId="0" xfId="88" applyNumberFormat="1" applyFont="1" applyFill="1" applyBorder="1" applyProtection="1"/>
    <xf numFmtId="17" fontId="19" fillId="0" borderId="0" xfId="88" applyNumberFormat="1" applyFont="1" applyFill="1" applyAlignment="1" applyProtection="1">
      <alignment horizontal="center"/>
    </xf>
    <xf numFmtId="0" fontId="19" fillId="0" borderId="0" xfId="88" applyFont="1" applyAlignment="1" applyProtection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15" fillId="0" borderId="0" xfId="92" applyFont="1" applyAlignment="1" applyProtection="1">
      <alignment horizontal="center"/>
    </xf>
    <xf numFmtId="10" fontId="27" fillId="0" borderId="0" xfId="92" applyFont="1" applyAlignment="1" applyProtection="1">
      <alignment horizontal="center"/>
    </xf>
    <xf numFmtId="10" fontId="13" fillId="0" borderId="0" xfId="92" applyFont="1" applyAlignment="1" applyProtection="1">
      <alignment horizontal="left"/>
    </xf>
    <xf numFmtId="10" fontId="15" fillId="0" borderId="0" xfId="92" applyFont="1" applyAlignment="1" applyProtection="1">
      <alignment horizontal="left"/>
    </xf>
    <xf numFmtId="10" fontId="15" fillId="0" borderId="0" xfId="92" applyFont="1"/>
    <xf numFmtId="10" fontId="13" fillId="0" borderId="0" xfId="92" applyFont="1" applyBorder="1"/>
    <xf numFmtId="0" fontId="18" fillId="0" borderId="0" xfId="93" quotePrefix="1" applyFont="1" applyFill="1" applyBorder="1" applyAlignment="1" applyProtection="1">
      <alignment horizontal="left"/>
    </xf>
    <xf numFmtId="0" fontId="24" fillId="0" borderId="10" xfId="93" applyFont="1" applyFill="1" applyBorder="1" applyAlignment="1" applyProtection="1">
      <alignment horizontal="left"/>
    </xf>
    <xf numFmtId="168" fontId="16" fillId="0" borderId="0" xfId="93" applyNumberFormat="1" applyFont="1" applyFill="1" applyAlignment="1">
      <alignment horizontal="left"/>
    </xf>
    <xf numFmtId="15" fontId="16" fillId="0" borderId="0" xfId="93" applyNumberFormat="1" applyFont="1" applyFill="1" applyAlignment="1">
      <alignment horizontal="center"/>
    </xf>
    <xf numFmtId="174" fontId="16" fillId="0" borderId="0" xfId="93" applyNumberFormat="1" applyFont="1" applyFill="1"/>
    <xf numFmtId="15" fontId="33" fillId="0" borderId="0" xfId="93" applyNumberFormat="1" applyFont="1" applyBorder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 applyBorder="1"/>
    <xf numFmtId="37" fontId="22" fillId="0" borderId="0" xfId="0" applyFont="1" applyBorder="1"/>
    <xf numFmtId="0" fontId="35" fillId="0" borderId="0" xfId="88" applyFont="1" applyAlignment="1" applyProtection="1">
      <alignment horizontal="center" wrapText="1"/>
    </xf>
    <xf numFmtId="172" fontId="18" fillId="0" borderId="0" xfId="93" applyNumberFormat="1" applyFont="1" applyFill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Border="1" applyAlignment="1">
      <alignment horizontal="left"/>
    </xf>
    <xf numFmtId="37" fontId="24" fillId="0" borderId="0" xfId="89" applyFont="1" applyAlignment="1" applyProtection="1">
      <alignment horizontal="center"/>
    </xf>
    <xf numFmtId="37" fontId="25" fillId="0" borderId="0" xfId="91" applyFont="1" applyBorder="1" applyAlignment="1" applyProtection="1">
      <alignment horizontal="left"/>
    </xf>
    <xf numFmtId="1" fontId="16" fillId="0" borderId="0" xfId="92" applyNumberFormat="1" applyFont="1" applyAlignment="1" applyProtection="1">
      <alignment horizontal="center"/>
    </xf>
    <xf numFmtId="37" fontId="18" fillId="0" borderId="0" xfId="89" applyFont="1" applyAlignment="1" applyProtection="1">
      <alignment horizontal="left"/>
    </xf>
    <xf numFmtId="37" fontId="26" fillId="0" borderId="0" xfId="89" applyFont="1" applyAlignment="1" applyProtection="1">
      <alignment horizontal="left"/>
    </xf>
    <xf numFmtId="37" fontId="25" fillId="0" borderId="0" xfId="90" applyNumberFormat="1" applyFont="1" applyAlignment="1">
      <alignment horizontal="center"/>
    </xf>
    <xf numFmtId="37" fontId="37" fillId="0" borderId="0" xfId="90" applyFont="1"/>
    <xf numFmtId="37" fontId="24" fillId="0" borderId="0" xfId="90" applyNumberFormat="1" applyFont="1"/>
    <xf numFmtId="37" fontId="25" fillId="0" borderId="0" xfId="90" applyNumberFormat="1" applyFont="1"/>
    <xf numFmtId="37" fontId="25" fillId="0" borderId="0" xfId="0" applyNumberFormat="1" applyFont="1"/>
    <xf numFmtId="171" fontId="25" fillId="0" borderId="0" xfId="0" applyNumberFormat="1" applyFont="1"/>
    <xf numFmtId="37" fontId="24" fillId="0" borderId="0" xfId="90" applyNumberFormat="1" applyFont="1" applyAlignment="1" applyProtection="1">
      <alignment horizontal="left"/>
    </xf>
    <xf numFmtId="38" fontId="13" fillId="0" borderId="0" xfId="92" applyNumberFormat="1" applyFont="1"/>
    <xf numFmtId="0" fontId="25" fillId="0" borderId="0" xfId="88" applyFont="1" applyAlignment="1" applyProtection="1">
      <alignment horizontal="left"/>
    </xf>
    <xf numFmtId="0" fontId="25" fillId="0" borderId="0" xfId="88" applyFont="1"/>
    <xf numFmtId="0" fontId="24" fillId="0" borderId="0" xfId="88" applyFont="1" applyAlignment="1" applyProtection="1">
      <alignment horizontal="left"/>
    </xf>
    <xf numFmtId="0" fontId="24" fillId="0" borderId="0" xfId="88" applyFont="1" applyAlignment="1" applyProtection="1">
      <alignment horizontal="centerContinuous"/>
    </xf>
    <xf numFmtId="0" fontId="37" fillId="0" borderId="0" xfId="88" applyFont="1" applyFill="1" applyAlignment="1">
      <alignment horizontal="centerContinuous"/>
    </xf>
    <xf numFmtId="0" fontId="37" fillId="0" borderId="0" xfId="88" applyFont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NumberFormat="1" applyFont="1" applyAlignment="1" applyProtection="1">
      <alignment horizontal="centerContinuous"/>
    </xf>
    <xf numFmtId="37" fontId="25" fillId="0" borderId="0" xfId="90" applyNumberFormat="1" applyFont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166" fontId="25" fillId="0" borderId="0" xfId="90" applyNumberFormat="1" applyFont="1" applyFill="1" applyAlignment="1">
      <alignment horizontal="centerContinuous"/>
    </xf>
    <xf numFmtId="166" fontId="25" fillId="0" borderId="0" xfId="0" applyNumberFormat="1" applyFont="1" applyFill="1" applyAlignment="1">
      <alignment horizontal="centerContinuous"/>
    </xf>
    <xf numFmtId="166" fontId="25" fillId="0" borderId="0" xfId="90" applyNumberFormat="1" applyFont="1" applyFill="1" applyAlignment="1" applyProtection="1">
      <alignment horizontal="centerContinuous"/>
    </xf>
    <xf numFmtId="37" fontId="25" fillId="0" borderId="0" xfId="0" applyFont="1"/>
    <xf numFmtId="14" fontId="25" fillId="0" borderId="0" xfId="0" applyNumberFormat="1" applyFont="1" applyBorder="1"/>
    <xf numFmtId="37" fontId="24" fillId="0" borderId="0" xfId="0" applyFont="1" applyBorder="1"/>
    <xf numFmtId="175" fontId="34" fillId="0" borderId="19" xfId="88" applyNumberFormat="1" applyFont="1" applyFill="1" applyBorder="1" applyProtection="1"/>
    <xf numFmtId="164" fontId="34" fillId="0" borderId="19" xfId="88" applyNumberFormat="1" applyFont="1" applyFill="1" applyBorder="1" applyProtection="1"/>
    <xf numFmtId="175" fontId="34" fillId="0" borderId="20" xfId="88" applyNumberFormat="1" applyFont="1" applyFill="1" applyBorder="1" applyProtection="1"/>
    <xf numFmtId="5" fontId="13" fillId="0" borderId="0" xfId="55" applyNumberFormat="1" applyFont="1" applyAlignment="1" applyProtection="1"/>
    <xf numFmtId="10" fontId="13" fillId="0" borderId="0" xfId="92" applyFont="1" applyAlignment="1" applyProtection="1"/>
    <xf numFmtId="5" fontId="13" fillId="0" borderId="0" xfId="92" applyNumberFormat="1" applyFont="1" applyAlignment="1" applyProtection="1"/>
    <xf numFmtId="10" fontId="13" fillId="0" borderId="0" xfId="92" applyFont="1" applyBorder="1" applyAlignment="1" applyProtection="1"/>
    <xf numFmtId="5" fontId="13" fillId="0" borderId="0" xfId="92" applyNumberFormat="1" applyFont="1" applyAlignment="1"/>
    <xf numFmtId="165" fontId="13" fillId="0" borderId="0" xfId="92" applyNumberFormat="1" applyFont="1" applyBorder="1" applyAlignment="1" applyProtection="1"/>
    <xf numFmtId="5" fontId="36" fillId="0" borderId="0" xfId="92" applyNumberFormat="1" applyFont="1" applyBorder="1" applyAlignment="1" applyProtection="1"/>
    <xf numFmtId="10" fontId="36" fillId="0" borderId="0" xfId="92" applyFont="1" applyBorder="1" applyAlignment="1"/>
    <xf numFmtId="5" fontId="34" fillId="0" borderId="0" xfId="88" applyNumberFormat="1" applyFont="1" applyFill="1" applyProtection="1"/>
    <xf numFmtId="37" fontId="25" fillId="0" borderId="0" xfId="90" applyNumberFormat="1" applyFont="1" applyAlignment="1">
      <alignment horizontal="right"/>
    </xf>
    <xf numFmtId="37" fontId="39" fillId="0" borderId="0" xfId="89" applyFont="1" applyAlignment="1" applyProtection="1">
      <alignment horizontal="center"/>
    </xf>
    <xf numFmtId="37" fontId="34" fillId="0" borderId="0" xfId="88" applyNumberFormat="1" applyFont="1" applyFill="1" applyProtection="1"/>
    <xf numFmtId="10" fontId="13" fillId="0" borderId="0" xfId="92" applyNumberFormat="1" applyFont="1" applyAlignment="1" applyProtection="1"/>
    <xf numFmtId="10" fontId="25" fillId="0" borderId="0" xfId="0" applyNumberFormat="1" applyFont="1"/>
    <xf numFmtId="37" fontId="18" fillId="0" borderId="0" xfId="0" applyFont="1" applyFill="1" applyBorder="1" applyAlignment="1">
      <alignment horizontal="left"/>
    </xf>
    <xf numFmtId="37" fontId="16" fillId="0" borderId="15" xfId="0" applyFont="1" applyBorder="1" applyAlignment="1">
      <alignment horizontal="centerContinuous"/>
    </xf>
    <xf numFmtId="37" fontId="18" fillId="0" borderId="16" xfId="0" applyFont="1" applyFill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Fill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 applyProtection="1"/>
    <xf numFmtId="37" fontId="25" fillId="0" borderId="0" xfId="89" applyFont="1" applyAlignment="1" applyProtection="1">
      <alignment horizontal="center"/>
    </xf>
    <xf numFmtId="1" fontId="25" fillId="0" borderId="0" xfId="92" applyNumberFormat="1" applyFont="1" applyAlignment="1" applyProtection="1">
      <alignment horizontal="center"/>
    </xf>
    <xf numFmtId="5" fontId="13" fillId="0" borderId="0" xfId="92" applyNumberFormat="1" applyFont="1"/>
    <xf numFmtId="10" fontId="5" fillId="0" borderId="0" xfId="92" applyFont="1" applyBorder="1"/>
    <xf numFmtId="1" fontId="16" fillId="0" borderId="0" xfId="92" applyNumberFormat="1" applyFont="1" applyFill="1" applyAlignment="1" applyProtection="1">
      <alignment horizontal="center"/>
    </xf>
    <xf numFmtId="164" fontId="34" fillId="0" borderId="22" xfId="88" applyNumberFormat="1" applyFont="1" applyFill="1" applyBorder="1" applyProtection="1"/>
    <xf numFmtId="17" fontId="44" fillId="0" borderId="0" xfId="88" applyNumberFormat="1" applyFont="1" applyFill="1" applyAlignment="1" applyProtection="1">
      <alignment horizontal="center"/>
    </xf>
    <xf numFmtId="175" fontId="43" fillId="0" borderId="0" xfId="88" applyNumberFormat="1" applyFont="1" applyFill="1" applyBorder="1" applyProtection="1"/>
    <xf numFmtId="164" fontId="25" fillId="0" borderId="0" xfId="88" applyNumberFormat="1" applyFont="1" applyFill="1" applyBorder="1" applyProtection="1"/>
    <xf numFmtId="0" fontId="18" fillId="0" borderId="0" xfId="93" quotePrefix="1" applyFont="1" applyFill="1" applyBorder="1" applyAlignment="1" applyProtection="1">
      <alignment horizontal="centerContinuous" vertical="center" wrapText="1"/>
    </xf>
    <xf numFmtId="172" fontId="44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Fill="1" applyBorder="1"/>
    <xf numFmtId="37" fontId="16" fillId="0" borderId="0" xfId="0" applyFont="1" applyFill="1" applyBorder="1"/>
    <xf numFmtId="44" fontId="21" fillId="0" borderId="0" xfId="59" applyFont="1" applyFill="1" applyBorder="1"/>
    <xf numFmtId="167" fontId="21" fillId="0" borderId="0" xfId="0" applyNumberFormat="1" applyFont="1" applyFill="1" applyBorder="1"/>
    <xf numFmtId="37" fontId="16" fillId="0" borderId="18" xfId="0" applyFont="1" applyFill="1" applyBorder="1"/>
    <xf numFmtId="170" fontId="16" fillId="0" borderId="0" xfId="55" applyNumberFormat="1" applyFont="1" applyFill="1" applyBorder="1"/>
    <xf numFmtId="168" fontId="30" fillId="0" borderId="0" xfId="89" applyNumberFormat="1" applyFont="1" applyProtection="1"/>
    <xf numFmtId="168" fontId="30" fillId="0" borderId="0" xfId="89" applyNumberFormat="1" applyFont="1"/>
    <xf numFmtId="37" fontId="16" fillId="0" borderId="0" xfId="0" applyFont="1" applyFill="1" applyBorder="1" applyAlignment="1">
      <alignment horizontal="center"/>
    </xf>
    <xf numFmtId="37" fontId="20" fillId="0" borderId="0" xfId="0" applyFont="1" applyFill="1" applyBorder="1" applyAlignment="1">
      <alignment horizontal="center"/>
    </xf>
    <xf numFmtId="10" fontId="24" fillId="18" borderId="23" xfId="90" applyNumberFormat="1" applyFont="1" applyFill="1" applyBorder="1" applyProtection="1"/>
    <xf numFmtId="10" fontId="15" fillId="18" borderId="23" xfId="89" applyNumberFormat="1" applyFont="1" applyFill="1" applyBorder="1" applyAlignment="1" applyProtection="1">
      <alignment horizontal="center"/>
    </xf>
    <xf numFmtId="175" fontId="35" fillId="18" borderId="23" xfId="88" applyNumberFormat="1" applyFont="1" applyFill="1" applyBorder="1" applyProtection="1"/>
    <xf numFmtId="164" fontId="35" fillId="18" borderId="23" xfId="88" applyNumberFormat="1" applyFont="1" applyFill="1" applyBorder="1" applyProtection="1"/>
    <xf numFmtId="37" fontId="16" fillId="0" borderId="0" xfId="0" applyFont="1" applyBorder="1" applyAlignment="1">
      <alignment horizontal="center"/>
    </xf>
    <xf numFmtId="37" fontId="12" fillId="0" borderId="0" xfId="90" applyFont="1" applyAlignment="1">
      <alignment horizontal="center"/>
    </xf>
    <xf numFmtId="37" fontId="38" fillId="0" borderId="0" xfId="0" applyFont="1" applyAlignment="1">
      <alignment horizontal="right"/>
    </xf>
    <xf numFmtId="0" fontId="24" fillId="0" borderId="0" xfId="93" applyFont="1" applyFill="1" applyBorder="1" applyAlignment="1" applyProtection="1">
      <alignment horizontal="center" wrapText="1"/>
    </xf>
    <xf numFmtId="37" fontId="24" fillId="0" borderId="0" xfId="0" applyFont="1" applyFill="1" applyBorder="1"/>
    <xf numFmtId="0" fontId="48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6" fillId="0" borderId="0" xfId="92" applyNumberFormat="1" applyFont="1" applyBorder="1" applyAlignment="1" applyProtection="1"/>
    <xf numFmtId="0" fontId="25" fillId="0" borderId="12" xfId="88" applyFont="1" applyBorder="1" applyAlignment="1" applyProtection="1">
      <alignment horizontal="left"/>
    </xf>
    <xf numFmtId="0" fontId="25" fillId="0" borderId="0" xfId="88" applyFont="1" applyBorder="1" applyAlignment="1" applyProtection="1">
      <alignment horizontal="left"/>
    </xf>
    <xf numFmtId="175" fontId="25" fillId="0" borderId="12" xfId="88" applyNumberFormat="1" applyFont="1" applyFill="1" applyBorder="1" applyProtection="1"/>
    <xf numFmtId="0" fontId="25" fillId="0" borderId="0" xfId="88" applyFont="1" applyBorder="1" applyAlignment="1" applyProtection="1">
      <alignment horizontal="left" indent="1"/>
    </xf>
    <xf numFmtId="0" fontId="25" fillId="0" borderId="12" xfId="88" applyFont="1" applyBorder="1" applyAlignment="1" applyProtection="1">
      <alignment horizontal="left" indent="2"/>
    </xf>
    <xf numFmtId="37" fontId="18" fillId="0" borderId="0" xfId="90" applyNumberFormat="1" applyFont="1" applyAlignment="1" applyProtection="1">
      <alignment horizontal="centerContinuous"/>
    </xf>
    <xf numFmtId="0" fontId="18" fillId="0" borderId="0" xfId="93" applyFont="1" applyFill="1" applyAlignment="1" applyProtection="1">
      <alignment horizontal="left"/>
    </xf>
    <xf numFmtId="0" fontId="6" fillId="0" borderId="0" xfId="93" applyFont="1" applyFill="1"/>
    <xf numFmtId="1" fontId="16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Fill="1" applyBorder="1"/>
    <xf numFmtId="10" fontId="36" fillId="0" borderId="0" xfId="92" applyNumberFormat="1" applyFont="1" applyFill="1" applyBorder="1" applyAlignment="1" applyProtection="1"/>
    <xf numFmtId="10" fontId="24" fillId="0" borderId="0" xfId="90" applyNumberFormat="1" applyFont="1" applyFill="1" applyBorder="1" applyProtection="1"/>
    <xf numFmtId="175" fontId="35" fillId="0" borderId="19" xfId="88" applyNumberFormat="1" applyFont="1" applyFill="1" applyBorder="1" applyProtection="1"/>
    <xf numFmtId="164" fontId="35" fillId="0" borderId="24" xfId="88" applyNumberFormat="1" applyFont="1" applyFill="1" applyBorder="1" applyProtection="1"/>
    <xf numFmtId="0" fontId="24" fillId="0" borderId="0" xfId="93" applyFont="1" applyFill="1" applyAlignment="1" applyProtection="1">
      <alignment horizontal="center"/>
    </xf>
    <xf numFmtId="0" fontId="24" fillId="0" borderId="0" xfId="93" applyFont="1" applyFill="1" applyAlignment="1">
      <alignment horizontal="center"/>
    </xf>
    <xf numFmtId="10" fontId="45" fillId="0" borderId="0" xfId="92" applyFont="1" applyBorder="1"/>
    <xf numFmtId="37" fontId="5" fillId="0" borderId="0" xfId="92" applyNumberFormat="1" applyFont="1" applyBorder="1"/>
    <xf numFmtId="182" fontId="28" fillId="0" borderId="0" xfId="92" applyNumberFormat="1" applyFont="1" applyBorder="1" applyAlignment="1">
      <alignment horizontal="center"/>
    </xf>
    <xf numFmtId="37" fontId="13" fillId="0" borderId="0" xfId="92" applyNumberFormat="1" applyFont="1" applyBorder="1" applyAlignment="1">
      <alignment horizontal="center"/>
    </xf>
    <xf numFmtId="10" fontId="28" fillId="0" borderId="0" xfId="92" applyFont="1" applyBorder="1" applyAlignment="1" applyProtection="1"/>
    <xf numFmtId="10" fontId="13" fillId="0" borderId="0" xfId="92" applyNumberFormat="1" applyFont="1" applyBorder="1" applyAlignment="1" applyProtection="1"/>
    <xf numFmtId="181" fontId="41" fillId="0" borderId="0" xfId="92" applyNumberFormat="1" applyFont="1" applyBorder="1" applyAlignment="1" applyProtection="1">
      <alignment horizontal="centerContinuous" vertical="center" wrapText="1"/>
    </xf>
    <xf numFmtId="166" fontId="18" fillId="0" borderId="0" xfId="0" applyNumberFormat="1" applyFont="1" applyFill="1" applyBorder="1" applyAlignment="1">
      <alignment horizontal="centerContinuous" vertical="center" wrapText="1"/>
    </xf>
    <xf numFmtId="37" fontId="16" fillId="0" borderId="0" xfId="0" applyFont="1" applyFill="1" applyBorder="1" applyAlignment="1">
      <alignment horizontal="centerContinuous" vertical="center" wrapText="1"/>
    </xf>
    <xf numFmtId="37" fontId="16" fillId="0" borderId="0" xfId="0" applyFont="1" applyBorder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 applyFill="1" applyProtection="1"/>
    <xf numFmtId="37" fontId="24" fillId="0" borderId="0" xfId="89" quotePrefix="1" applyFont="1" applyAlignment="1" applyProtection="1">
      <alignment horizontal="center"/>
    </xf>
    <xf numFmtId="14" fontId="18" fillId="0" borderId="16" xfId="0" applyNumberFormat="1" applyFont="1" applyFill="1" applyBorder="1"/>
    <xf numFmtId="14" fontId="16" fillId="0" borderId="16" xfId="0" applyNumberFormat="1" applyFont="1" applyFill="1" applyBorder="1" applyAlignment="1">
      <alignment horizontal="left" indent="1"/>
    </xf>
    <xf numFmtId="0" fontId="18" fillId="0" borderId="0" xfId="93" applyFont="1" applyAlignment="1" applyProtection="1">
      <alignment horizontal="left"/>
    </xf>
    <xf numFmtId="181" fontId="15" fillId="0" borderId="0" xfId="92" applyNumberFormat="1" applyFont="1" applyBorder="1" applyAlignment="1" applyProtection="1">
      <alignment horizontal="centerContinuous" vertical="center" wrapText="1"/>
    </xf>
    <xf numFmtId="181" fontId="18" fillId="0" borderId="0" xfId="90" applyNumberFormat="1" applyFont="1" applyFill="1" applyAlignment="1" applyProtection="1">
      <alignment horizontal="centerContinuous"/>
    </xf>
    <xf numFmtId="168" fontId="16" fillId="0" borderId="0" xfId="0" applyNumberFormat="1" applyFont="1" applyFill="1" applyBorder="1" applyAlignment="1">
      <alignment horizontal="center"/>
    </xf>
    <xf numFmtId="183" fontId="34" fillId="0" borderId="0" xfId="88" applyNumberFormat="1" applyFont="1" applyFill="1" applyProtection="1"/>
    <xf numFmtId="5" fontId="37" fillId="0" borderId="0" xfId="90" applyNumberFormat="1" applyFont="1" applyFill="1"/>
    <xf numFmtId="5" fontId="5" fillId="0" borderId="0" xfId="90" applyNumberFormat="1" applyFont="1" applyFill="1"/>
    <xf numFmtId="175" fontId="25" fillId="0" borderId="0" xfId="88" applyNumberFormat="1" applyFont="1" applyFill="1" applyProtection="1"/>
    <xf numFmtId="175" fontId="24" fillId="0" borderId="0" xfId="88" applyNumberFormat="1" applyFont="1" applyFill="1" applyProtection="1"/>
    <xf numFmtId="37" fontId="46" fillId="0" borderId="0" xfId="0" applyFont="1"/>
    <xf numFmtId="175" fontId="25" fillId="0" borderId="0" xfId="88" applyNumberFormat="1" applyFont="1" applyFill="1" applyBorder="1" applyProtection="1"/>
    <xf numFmtId="37" fontId="25" fillId="0" borderId="0" xfId="0" applyFont="1" applyFill="1" applyBorder="1"/>
    <xf numFmtId="37" fontId="26" fillId="0" borderId="0" xfId="0" applyNumberFormat="1" applyFont="1" applyFill="1" applyBorder="1" applyAlignment="1">
      <alignment horizontal="center"/>
    </xf>
    <xf numFmtId="37" fontId="47" fillId="0" borderId="0" xfId="0" applyFont="1" applyFill="1" applyBorder="1"/>
    <xf numFmtId="170" fontId="26" fillId="0" borderId="0" xfId="59" applyNumberFormat="1" applyFont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Fill="1" applyAlignment="1">
      <alignment horizontal="center"/>
    </xf>
    <xf numFmtId="171" fontId="25" fillId="0" borderId="0" xfId="0" applyNumberFormat="1" applyFont="1" applyFill="1" applyAlignment="1">
      <alignment horizontal="center"/>
    </xf>
    <xf numFmtId="175" fontId="24" fillId="0" borderId="12" xfId="88" applyNumberFormat="1" applyFont="1" applyFill="1" applyBorder="1" applyProtection="1"/>
    <xf numFmtId="171" fontId="25" fillId="0" borderId="0" xfId="0" applyNumberFormat="1" applyFont="1" applyFill="1"/>
    <xf numFmtId="175" fontId="24" fillId="0" borderId="0" xfId="88" applyNumberFormat="1" applyFont="1" applyFill="1" applyBorder="1" applyProtection="1"/>
    <xf numFmtId="2" fontId="25" fillId="0" borderId="0" xfId="0" applyNumberFormat="1" applyFont="1" applyFill="1" applyBorder="1" applyAlignment="1">
      <alignment horizontal="center"/>
    </xf>
    <xf numFmtId="175" fontId="24" fillId="0" borderId="25" xfId="88" applyNumberFormat="1" applyFont="1" applyFill="1" applyBorder="1" applyProtection="1"/>
    <xf numFmtId="37" fontId="47" fillId="0" borderId="0" xfId="90" applyNumberFormat="1" applyFont="1"/>
    <xf numFmtId="37" fontId="47" fillId="0" borderId="0" xfId="90" applyNumberFormat="1" applyFont="1" applyAlignment="1">
      <alignment horizontal="right"/>
    </xf>
    <xf numFmtId="175" fontId="47" fillId="0" borderId="0" xfId="88" applyNumberFormat="1" applyFont="1" applyFill="1" applyProtection="1"/>
    <xf numFmtId="37" fontId="5" fillId="0" borderId="0" xfId="90" applyFont="1" applyFill="1"/>
    <xf numFmtId="37" fontId="25" fillId="0" borderId="0" xfId="0" applyNumberFormat="1" applyFont="1" applyFill="1"/>
    <xf numFmtId="15" fontId="16" fillId="0" borderId="0" xfId="93" applyNumberFormat="1" applyFont="1" applyFill="1" applyAlignment="1">
      <alignment horizontal="right"/>
    </xf>
    <xf numFmtId="5" fontId="16" fillId="0" borderId="0" xfId="93" applyNumberFormat="1" applyFont="1" applyFill="1"/>
    <xf numFmtId="168" fontId="16" fillId="0" borderId="0" xfId="93" applyNumberFormat="1" applyFont="1" applyFill="1" applyAlignment="1" applyProtection="1">
      <alignment horizontal="left"/>
    </xf>
    <xf numFmtId="15" fontId="16" fillId="0" borderId="0" xfId="93" applyNumberFormat="1" applyFont="1" applyFill="1" applyAlignment="1" applyProtection="1">
      <alignment horizontal="center"/>
    </xf>
    <xf numFmtId="5" fontId="20" fillId="0" borderId="0" xfId="93" applyNumberFormat="1" applyFont="1" applyFill="1"/>
    <xf numFmtId="174" fontId="26" fillId="0" borderId="0" xfId="93" applyNumberFormat="1" applyFont="1" applyFill="1"/>
    <xf numFmtId="5" fontId="18" fillId="0" borderId="25" xfId="93" applyNumberFormat="1" applyFont="1" applyFill="1" applyBorder="1" applyAlignment="1" applyProtection="1">
      <alignment horizontal="right"/>
    </xf>
    <xf numFmtId="43" fontId="43" fillId="0" borderId="0" xfId="88" applyNumberFormat="1" applyFont="1" applyFill="1" applyProtection="1"/>
    <xf numFmtId="164" fontId="34" fillId="0" borderId="26" xfId="88" applyNumberFormat="1" applyFont="1" applyFill="1" applyBorder="1" applyProtection="1"/>
    <xf numFmtId="164" fontId="34" fillId="0" borderId="25" xfId="88" applyNumberFormat="1" applyFont="1" applyFill="1" applyBorder="1" applyProtection="1"/>
    <xf numFmtId="165" fontId="34" fillId="0" borderId="0" xfId="88" applyNumberFormat="1" applyFont="1" applyFill="1" applyProtection="1"/>
    <xf numFmtId="165" fontId="34" fillId="0" borderId="19" xfId="88" applyNumberFormat="1" applyFont="1" applyFill="1" applyBorder="1" applyProtection="1"/>
    <xf numFmtId="165" fontId="34" fillId="0" borderId="10" xfId="88" applyNumberFormat="1" applyFont="1" applyFill="1" applyBorder="1" applyProtection="1"/>
    <xf numFmtId="165" fontId="34" fillId="0" borderId="20" xfId="88" applyNumberFormat="1" applyFont="1" applyFill="1" applyBorder="1" applyProtection="1"/>
    <xf numFmtId="0" fontId="34" fillId="0" borderId="0" xfId="88" applyFont="1" applyFill="1"/>
    <xf numFmtId="37" fontId="24" fillId="0" borderId="0" xfId="89" applyFont="1" applyFill="1" applyAlignment="1" applyProtection="1">
      <alignment horizontal="center"/>
    </xf>
    <xf numFmtId="165" fontId="34" fillId="0" borderId="0" xfId="88" applyNumberFormat="1" applyFont="1" applyFill="1"/>
    <xf numFmtId="0" fontId="34" fillId="0" borderId="19" xfId="88" applyFont="1" applyFill="1" applyBorder="1"/>
    <xf numFmtId="165" fontId="34" fillId="0" borderId="27" xfId="88" applyNumberFormat="1" applyFont="1" applyFill="1" applyBorder="1" applyProtection="1"/>
    <xf numFmtId="165" fontId="34" fillId="0" borderId="28" xfId="88" applyNumberFormat="1" applyFont="1" applyFill="1" applyBorder="1" applyProtection="1"/>
    <xf numFmtId="164" fontId="43" fillId="0" borderId="0" xfId="88" applyNumberFormat="1" applyFont="1" applyFill="1" applyBorder="1" applyProtection="1"/>
    <xf numFmtId="164" fontId="25" fillId="0" borderId="12" xfId="88" applyNumberFormat="1" applyFont="1" applyFill="1" applyBorder="1" applyProtection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 applyFill="1" applyBorder="1"/>
    <xf numFmtId="169" fontId="46" fillId="0" borderId="0" xfId="0" applyNumberFormat="1" applyFont="1" applyFill="1" applyBorder="1"/>
    <xf numFmtId="10" fontId="4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 applyProtection="1"/>
    <xf numFmtId="5" fontId="30" fillId="0" borderId="26" xfId="89" applyNumberFormat="1" applyFont="1" applyBorder="1"/>
    <xf numFmtId="168" fontId="30" fillId="0" borderId="26" xfId="89" applyNumberFormat="1" applyFont="1" applyBorder="1" applyProtection="1"/>
    <xf numFmtId="14" fontId="18" fillId="0" borderId="16" xfId="0" applyNumberFormat="1" applyFont="1" applyFill="1" applyBorder="1" applyAlignment="1">
      <alignment horizontal="left" indent="2"/>
    </xf>
    <xf numFmtId="37" fontId="18" fillId="0" borderId="16" xfId="0" applyFont="1" applyFill="1" applyBorder="1" applyAlignment="1">
      <alignment horizontal="left" indent="1"/>
    </xf>
    <xf numFmtId="0" fontId="15" fillId="0" borderId="0" xfId="93" quotePrefix="1" applyFont="1" applyFill="1" applyBorder="1" applyAlignment="1" applyProtection="1">
      <alignment horizontal="centerContinuous" vertical="center" wrapText="1"/>
    </xf>
    <xf numFmtId="181" fontId="15" fillId="0" borderId="0" xfId="93" quotePrefix="1" applyNumberFormat="1" applyFont="1" applyFill="1" applyBorder="1" applyAlignment="1" applyProtection="1">
      <alignment horizontal="centerContinuous" vertical="center" wrapText="1"/>
    </xf>
    <xf numFmtId="37" fontId="49" fillId="0" borderId="0" xfId="0" applyFont="1" applyBorder="1" applyAlignment="1">
      <alignment horizontal="center"/>
    </xf>
    <xf numFmtId="10" fontId="29" fillId="0" borderId="0" xfId="92" applyNumberFormat="1" applyFont="1" applyFill="1" applyAlignment="1" applyProtection="1"/>
    <xf numFmtId="10" fontId="34" fillId="0" borderId="0" xfId="98" applyNumberFormat="1" applyFont="1" applyFill="1" applyBorder="1" applyProtection="1"/>
    <xf numFmtId="10" fontId="34" fillId="0" borderId="10" xfId="88" applyNumberFormat="1" applyFont="1" applyFill="1" applyBorder="1" applyProtection="1"/>
    <xf numFmtId="184" fontId="34" fillId="0" borderId="0" xfId="88" applyNumberFormat="1" applyFont="1" applyFill="1" applyBorder="1" applyProtection="1"/>
    <xf numFmtId="0" fontId="32" fillId="0" borderId="0" xfId="88" applyFont="1" applyBorder="1" applyAlignment="1" applyProtection="1">
      <alignment horizontal="centerContinuous" vertical="center" wrapText="1"/>
    </xf>
    <xf numFmtId="10" fontId="32" fillId="0" borderId="0" xfId="92" applyFont="1" applyBorder="1" applyAlignment="1" applyProtection="1">
      <alignment horizontal="centerContinuous" vertical="center" wrapText="1"/>
    </xf>
    <xf numFmtId="172" fontId="32" fillId="0" borderId="0" xfId="92" applyNumberFormat="1" applyFont="1" applyBorder="1" applyAlignment="1" applyProtection="1">
      <alignment horizontal="centerContinuous" vertical="center" wrapText="1"/>
    </xf>
    <xf numFmtId="180" fontId="49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center"/>
    </xf>
    <xf numFmtId="37" fontId="24" fillId="0" borderId="13" xfId="0" applyFont="1" applyFill="1" applyBorder="1"/>
    <xf numFmtId="5" fontId="13" fillId="0" borderId="0" xfId="89" applyNumberFormat="1" applyFont="1" applyFill="1" applyProtection="1"/>
    <xf numFmtId="10" fontId="13" fillId="0" borderId="0" xfId="92" applyFont="1" applyFill="1" applyAlignment="1" applyProtection="1"/>
    <xf numFmtId="37" fontId="15" fillId="0" borderId="0" xfId="89" applyFont="1" applyBorder="1" applyAlignment="1" applyProtection="1">
      <alignment horizontal="center"/>
    </xf>
    <xf numFmtId="37" fontId="40" fillId="0" borderId="29" xfId="0" applyFont="1" applyFill="1" applyBorder="1"/>
    <xf numFmtId="37" fontId="16" fillId="0" borderId="15" xfId="0" applyFont="1" applyFill="1" applyBorder="1"/>
    <xf numFmtId="37" fontId="0" fillId="0" borderId="14" xfId="0" applyBorder="1"/>
    <xf numFmtId="37" fontId="16" fillId="0" borderId="17" xfId="0" applyFont="1" applyBorder="1"/>
    <xf numFmtId="37" fontId="16" fillId="0" borderId="18" xfId="0" applyFont="1" applyBorder="1"/>
    <xf numFmtId="37" fontId="16" fillId="0" borderId="21" xfId="0" applyFont="1" applyBorder="1"/>
    <xf numFmtId="10" fontId="13" fillId="0" borderId="0" xfId="92" applyNumberFormat="1" applyFont="1" applyAlignment="1"/>
    <xf numFmtId="10" fontId="29" fillId="0" borderId="0" xfId="92" applyNumberFormat="1" applyFont="1" applyAlignment="1" applyProtection="1"/>
    <xf numFmtId="37" fontId="25" fillId="0" borderId="0" xfId="90" applyNumberFormat="1" applyFont="1" applyBorder="1" applyAlignment="1">
      <alignment horizontal="center"/>
    </xf>
    <xf numFmtId="37" fontId="24" fillId="0" borderId="0" xfId="90" applyNumberFormat="1" applyFont="1" applyBorder="1" applyAlignment="1" applyProtection="1">
      <alignment horizontal="center" wrapText="1"/>
    </xf>
    <xf numFmtId="17" fontId="18" fillId="0" borderId="0" xfId="88" applyNumberFormat="1" applyFont="1" applyFill="1" applyAlignment="1" applyProtection="1">
      <alignment horizontal="right"/>
    </xf>
    <xf numFmtId="164" fontId="25" fillId="0" borderId="0" xfId="88" applyNumberFormat="1" applyFont="1" applyFill="1" applyProtection="1"/>
    <xf numFmtId="164" fontId="25" fillId="0" borderId="26" xfId="88" applyNumberFormat="1" applyFont="1" applyFill="1" applyBorder="1" applyProtection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Fill="1" applyBorder="1" applyAlignment="1">
      <alignment horizontal="center"/>
    </xf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 applyProtection="1">
      <alignment horizontal="left"/>
    </xf>
    <xf numFmtId="176" fontId="43" fillId="0" borderId="0" xfId="88" applyNumberFormat="1" applyFont="1" applyFill="1" applyProtection="1"/>
    <xf numFmtId="164" fontId="43" fillId="0" borderId="0" xfId="88" applyNumberFormat="1" applyFont="1" applyFill="1" applyProtection="1"/>
    <xf numFmtId="175" fontId="43" fillId="0" borderId="0" xfId="88" applyNumberFormat="1" applyFont="1" applyFill="1" applyProtection="1"/>
    <xf numFmtId="0" fontId="43" fillId="0" borderId="0" xfId="88" applyFont="1" applyFill="1"/>
    <xf numFmtId="5" fontId="46" fillId="0" borderId="0" xfId="55" applyNumberFormat="1" applyFont="1" applyFill="1" applyBorder="1"/>
    <xf numFmtId="168" fontId="46" fillId="0" borderId="0" xfId="0" applyNumberFormat="1" applyFont="1" applyFill="1" applyBorder="1" applyAlignment="1">
      <alignment horizontal="center"/>
    </xf>
    <xf numFmtId="37" fontId="26" fillId="0" borderId="0" xfId="0" applyFont="1"/>
    <xf numFmtId="37" fontId="18" fillId="0" borderId="0" xfId="89" applyFont="1" applyAlignment="1" applyProtection="1">
      <alignment horizontal="center"/>
    </xf>
    <xf numFmtId="37" fontId="18" fillId="0" borderId="10" xfId="0" applyFont="1" applyBorder="1"/>
    <xf numFmtId="37" fontId="18" fillId="0" borderId="0" xfId="0" applyFont="1" applyBorder="1"/>
    <xf numFmtId="37" fontId="18" fillId="0" borderId="0" xfId="0" applyFont="1" applyFill="1" applyBorder="1" applyAlignment="1">
      <alignment horizontal="center"/>
    </xf>
    <xf numFmtId="37" fontId="18" fillId="0" borderId="0" xfId="0" applyFont="1" applyBorder="1" applyAlignment="1">
      <alignment horizontal="center"/>
    </xf>
    <xf numFmtId="37" fontId="18" fillId="0" borderId="0" xfId="0" applyFont="1" applyAlignment="1">
      <alignment horizontal="center"/>
    </xf>
    <xf numFmtId="174" fontId="18" fillId="0" borderId="10" xfId="93" applyNumberFormat="1" applyFont="1" applyFill="1" applyBorder="1" applyAlignment="1">
      <alignment horizontal="center"/>
    </xf>
    <xf numFmtId="37" fontId="26" fillId="0" borderId="0" xfId="0" applyFont="1" applyFill="1" applyBorder="1"/>
    <xf numFmtId="37" fontId="26" fillId="0" borderId="0" xfId="0" applyNumberFormat="1" applyFont="1"/>
    <xf numFmtId="37" fontId="46" fillId="0" borderId="0" xfId="0" applyNumberFormat="1" applyFont="1"/>
    <xf numFmtId="37" fontId="16" fillId="0" borderId="0" xfId="0" applyNumberFormat="1" applyFont="1"/>
    <xf numFmtId="37" fontId="46" fillId="0" borderId="0" xfId="0" applyNumberFormat="1" applyFont="1" applyFill="1"/>
    <xf numFmtId="37" fontId="26" fillId="0" borderId="0" xfId="0" applyNumberFormat="1" applyFont="1" applyBorder="1"/>
    <xf numFmtId="37" fontId="26" fillId="0" borderId="0" xfId="0" applyFont="1" applyFill="1" applyBorder="1" applyAlignment="1">
      <alignment horizontal="left" indent="1"/>
    </xf>
    <xf numFmtId="37" fontId="16" fillId="0" borderId="0" xfId="0" applyFont="1" applyFill="1" applyBorder="1" applyAlignment="1">
      <alignment horizontal="left" indent="1"/>
    </xf>
    <xf numFmtId="37" fontId="18" fillId="0" borderId="0" xfId="0" applyFont="1" applyFill="1" applyBorder="1"/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Border="1" applyAlignment="1">
      <alignment horizontal="left" indent="1"/>
    </xf>
    <xf numFmtId="37" fontId="24" fillId="0" borderId="0" xfId="89" applyFont="1" applyAlignment="1" applyProtection="1">
      <alignment horizontal="left"/>
    </xf>
    <xf numFmtId="37" fontId="24" fillId="0" borderId="10" xfId="90" applyNumberFormat="1" applyFont="1" applyBorder="1" applyAlignment="1" applyProtection="1">
      <alignment horizontal="center" wrapText="1"/>
    </xf>
    <xf numFmtId="175" fontId="35" fillId="0" borderId="12" xfId="88" applyNumberFormat="1" applyFont="1" applyFill="1" applyBorder="1" applyProtection="1"/>
    <xf numFmtId="10" fontId="24" fillId="19" borderId="23" xfId="90" applyNumberFormat="1" applyFont="1" applyFill="1" applyBorder="1" applyProtection="1"/>
    <xf numFmtId="186" fontId="43" fillId="0" borderId="0" xfId="88" applyNumberFormat="1" applyFont="1" applyFill="1" applyBorder="1" applyProtection="1"/>
    <xf numFmtId="10" fontId="13" fillId="0" borderId="0" xfId="92" applyNumberFormat="1" applyFont="1" applyFill="1" applyAlignment="1" applyProtection="1"/>
    <xf numFmtId="5" fontId="16" fillId="0" borderId="0" xfId="55" applyNumberFormat="1" applyFont="1" applyFill="1" applyBorder="1"/>
    <xf numFmtId="176" fontId="19" fillId="0" borderId="0" xfId="88" applyNumberFormat="1" applyFont="1" applyAlignment="1" applyProtection="1">
      <alignment horizontal="center" wrapText="1"/>
    </xf>
    <xf numFmtId="0" fontId="66" fillId="0" borderId="0" xfId="88" applyFont="1"/>
    <xf numFmtId="10" fontId="28" fillId="0" borderId="0" xfId="92" applyNumberFormat="1" applyFont="1" applyFill="1" applyBorder="1" applyAlignment="1" applyProtection="1"/>
    <xf numFmtId="10" fontId="67" fillId="0" borderId="0" xfId="92" applyNumberFormat="1" applyFont="1" applyFill="1" applyAlignment="1" applyProtection="1"/>
    <xf numFmtId="10" fontId="9" fillId="0" borderId="0" xfId="98" applyNumberFormat="1" applyFont="1"/>
    <xf numFmtId="10" fontId="13" fillId="0" borderId="0" xfId="89" applyNumberFormat="1" applyFont="1"/>
    <xf numFmtId="5" fontId="46" fillId="0" borderId="0" xfId="59" applyNumberFormat="1" applyFont="1" applyFill="1"/>
    <xf numFmtId="189" fontId="13" fillId="0" borderId="0" xfId="55" applyNumberFormat="1" applyFont="1" applyBorder="1" applyAlignment="1"/>
    <xf numFmtId="37" fontId="68" fillId="0" borderId="0" xfId="0" applyFont="1"/>
    <xf numFmtId="37" fontId="0" fillId="0" borderId="0" xfId="0" applyNumberFormat="1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 applyBorder="1"/>
    <xf numFmtId="5" fontId="19" fillId="0" borderId="0" xfId="59" applyNumberFormat="1" applyFont="1" applyFill="1" applyBorder="1"/>
    <xf numFmtId="37" fontId="18" fillId="0" borderId="16" xfId="0" applyFont="1" applyFill="1" applyBorder="1"/>
    <xf numFmtId="10" fontId="25" fillId="0" borderId="0" xfId="99" applyNumberFormat="1" applyFont="1" applyFill="1"/>
    <xf numFmtId="37" fontId="24" fillId="0" borderId="0" xfId="87" applyNumberFormat="1" applyFont="1" applyFill="1" applyBorder="1"/>
    <xf numFmtId="37" fontId="47" fillId="0" borderId="0" xfId="0" applyFont="1" applyBorder="1"/>
    <xf numFmtId="37" fontId="16" fillId="0" borderId="0" xfId="0" applyFont="1" applyBorder="1" applyAlignment="1">
      <alignment horizontal="right"/>
    </xf>
    <xf numFmtId="37" fontId="47" fillId="0" borderId="0" xfId="0" applyFont="1" applyFill="1" applyBorder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 applyFill="1" applyBorder="1" applyProtection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37" fontId="25" fillId="0" borderId="0" xfId="90" applyNumberFormat="1" applyFont="1" applyFill="1" applyAlignment="1">
      <alignment horizontal="center"/>
    </xf>
    <xf numFmtId="168" fontId="25" fillId="0" borderId="0" xfId="0" applyNumberFormat="1" applyFont="1" applyFill="1"/>
    <xf numFmtId="17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3" fillId="0" borderId="0" xfId="92" applyNumberFormat="1" applyFont="1" applyAlignment="1" applyProtection="1"/>
    <xf numFmtId="0" fontId="25" fillId="0" borderId="0" xfId="88" applyFont="1" applyFill="1" applyBorder="1" applyAlignment="1" applyProtection="1">
      <alignment horizontal="left" indent="1"/>
    </xf>
    <xf numFmtId="164" fontId="35" fillId="0" borderId="23" xfId="88" applyNumberFormat="1" applyFont="1" applyFill="1" applyBorder="1" applyProtection="1"/>
    <xf numFmtId="0" fontId="66" fillId="0" borderId="0" xfId="88" applyFont="1" applyFill="1"/>
    <xf numFmtId="0" fontId="5" fillId="0" borderId="0" xfId="88" applyFont="1" applyFill="1" applyBorder="1"/>
    <xf numFmtId="37" fontId="25" fillId="0" borderId="0" xfId="90" applyNumberFormat="1" applyFont="1" applyFill="1" applyBorder="1" applyAlignment="1">
      <alignment horizontal="center"/>
    </xf>
    <xf numFmtId="37" fontId="25" fillId="0" borderId="0" xfId="90" applyNumberFormat="1" applyFont="1" applyFill="1" applyAlignment="1" applyProtection="1"/>
    <xf numFmtId="17" fontId="25" fillId="0" borderId="0" xfId="90" applyNumberFormat="1" applyFont="1" applyFill="1" applyProtection="1"/>
    <xf numFmtId="17" fontId="25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4" fillId="0" borderId="0" xfId="88" applyFont="1" applyAlignment="1" applyProtection="1">
      <alignment horizontal="right"/>
    </xf>
    <xf numFmtId="190" fontId="43" fillId="0" borderId="0" xfId="88" applyNumberFormat="1" applyFont="1" applyFill="1" applyBorder="1" applyProtection="1"/>
    <xf numFmtId="0" fontId="24" fillId="0" borderId="0" xfId="88" applyFont="1" applyBorder="1" applyAlignment="1" applyProtection="1">
      <alignment horizontal="right"/>
    </xf>
    <xf numFmtId="0" fontId="24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3" fillId="0" borderId="0" xfId="88" applyNumberFormat="1" applyFont="1" applyFill="1" applyBorder="1" applyProtection="1"/>
    <xf numFmtId="0" fontId="7" fillId="0" borderId="0" xfId="88" applyFont="1" applyBorder="1"/>
    <xf numFmtId="37" fontId="71" fillId="0" borderId="0" xfId="90" applyFont="1" applyFill="1" applyAlignment="1">
      <alignment horizontal="right"/>
    </xf>
    <xf numFmtId="166" fontId="73" fillId="0" borderId="0" xfId="90" applyNumberFormat="1" applyFont="1" applyFill="1" applyAlignment="1">
      <alignment horizontal="centerContinuous"/>
    </xf>
    <xf numFmtId="166" fontId="73" fillId="0" borderId="0" xfId="0" applyNumberFormat="1" applyFont="1" applyFill="1" applyAlignment="1">
      <alignment horizontal="centerContinuous"/>
    </xf>
    <xf numFmtId="166" fontId="73" fillId="0" borderId="0" xfId="90" applyNumberFormat="1" applyFont="1" applyFill="1" applyAlignment="1" applyProtection="1">
      <alignment horizontal="centerContinuous"/>
    </xf>
    <xf numFmtId="17" fontId="72" fillId="0" borderId="0" xfId="88" applyNumberFormat="1" applyFont="1" applyFill="1" applyAlignment="1" applyProtection="1">
      <alignment horizontal="center"/>
    </xf>
    <xf numFmtId="166" fontId="74" fillId="0" borderId="0" xfId="90" applyNumberFormat="1" applyFont="1" applyFill="1"/>
    <xf numFmtId="9" fontId="43" fillId="0" borderId="0" xfId="98" applyFont="1" applyFill="1" applyBorder="1" applyProtection="1"/>
    <xf numFmtId="168" fontId="0" fillId="0" borderId="0" xfId="98" applyNumberFormat="1" applyFont="1"/>
    <xf numFmtId="37" fontId="18" fillId="0" borderId="12" xfId="0" applyFont="1" applyFill="1" applyBorder="1"/>
    <xf numFmtId="181" fontId="18" fillId="0" borderId="0" xfId="0" applyNumberFormat="1" applyFont="1" applyBorder="1" applyAlignment="1">
      <alignment horizontal="left"/>
    </xf>
    <xf numFmtId="10" fontId="74" fillId="0" borderId="0" xfId="92" applyFont="1"/>
    <xf numFmtId="5" fontId="13" fillId="0" borderId="0" xfId="92" applyNumberFormat="1" applyFont="1" applyFill="1" applyAlignment="1"/>
    <xf numFmtId="10" fontId="2" fillId="0" borderId="0" xfId="0" applyNumberFormat="1" applyFont="1" applyFill="1" applyAlignment="1" applyProtection="1"/>
    <xf numFmtId="10" fontId="13" fillId="0" borderId="0" xfId="92" applyFont="1" applyFill="1" applyBorder="1" applyAlignment="1" applyProtection="1"/>
    <xf numFmtId="5" fontId="29" fillId="0" borderId="0" xfId="92" applyNumberFormat="1" applyFont="1" applyFill="1" applyBorder="1" applyAlignment="1" applyProtection="1"/>
    <xf numFmtId="0" fontId="24" fillId="0" borderId="0" xfId="88" applyFont="1" applyAlignment="1" applyProtection="1">
      <alignment horizontal="center"/>
    </xf>
    <xf numFmtId="0" fontId="42" fillId="0" borderId="0" xfId="88" applyFont="1" applyFill="1" applyBorder="1" applyAlignment="1" applyProtection="1">
      <alignment horizontal="center" vertical="center" wrapText="1"/>
    </xf>
    <xf numFmtId="37" fontId="18" fillId="0" borderId="16" xfId="0" applyFont="1" applyFill="1" applyBorder="1" applyAlignment="1">
      <alignment horizontal="left"/>
    </xf>
    <xf numFmtId="37" fontId="18" fillId="0" borderId="0" xfId="0" applyFont="1" applyFill="1" applyBorder="1" applyAlignment="1">
      <alignment horizontal="left"/>
    </xf>
    <xf numFmtId="37" fontId="40" fillId="0" borderId="29" xfId="0" applyFont="1" applyFill="1" applyBorder="1" applyAlignment="1">
      <alignment horizontal="left"/>
    </xf>
    <xf numFmtId="37" fontId="40" fillId="0" borderId="15" xfId="0" applyFont="1" applyFill="1" applyBorder="1" applyAlignment="1">
      <alignment horizontal="left"/>
    </xf>
    <xf numFmtId="181" fontId="18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MENT%20PROCESSING/Wong%20Matthew/Reports/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M20" sqref="M20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1640625" style="16" customWidth="1"/>
    <col min="4" max="4" width="13.5" style="16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7.6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31" t="s">
        <v>4</v>
      </c>
      <c r="C1" s="331"/>
      <c r="D1" s="331"/>
      <c r="E1" s="331"/>
      <c r="F1" s="331"/>
    </row>
    <row r="2" spans="1:12">
      <c r="A2" s="102"/>
      <c r="B2" s="17"/>
      <c r="C2" s="17"/>
      <c r="D2" s="17"/>
      <c r="E2" s="17"/>
      <c r="F2" s="17"/>
    </row>
    <row r="3" spans="1:12" ht="15.75">
      <c r="B3" s="332" t="s">
        <v>6</v>
      </c>
      <c r="C3" s="332"/>
      <c r="D3" s="332"/>
      <c r="E3" s="332"/>
      <c r="F3" s="332"/>
    </row>
    <row r="4" spans="1:12" ht="15.75">
      <c r="B4" s="333" t="s">
        <v>58</v>
      </c>
      <c r="C4" s="333"/>
      <c r="D4" s="333"/>
      <c r="E4" s="333"/>
      <c r="F4" s="333"/>
      <c r="H4" s="234"/>
      <c r="L4" s="236"/>
    </row>
    <row r="5" spans="1:12">
      <c r="A5" s="103"/>
      <c r="B5" s="251" t="s">
        <v>204</v>
      </c>
      <c r="C5" s="251"/>
      <c r="D5" s="251"/>
      <c r="E5" s="251"/>
      <c r="F5" s="251"/>
      <c r="H5" s="234"/>
      <c r="L5" s="236"/>
    </row>
    <row r="6" spans="1:12">
      <c r="A6" s="18"/>
      <c r="C6" s="19"/>
      <c r="F6" s="459"/>
      <c r="H6" s="234"/>
      <c r="L6" s="236"/>
    </row>
    <row r="7" spans="1:12">
      <c r="A7" s="18"/>
      <c r="B7" s="103"/>
      <c r="C7" s="103"/>
      <c r="D7" s="103"/>
      <c r="E7" s="103"/>
      <c r="F7" s="103"/>
      <c r="H7" s="234"/>
      <c r="L7" s="236"/>
    </row>
    <row r="8" spans="1:12">
      <c r="A8" s="189">
        <v>1</v>
      </c>
      <c r="B8" s="127" t="s">
        <v>5</v>
      </c>
      <c r="C8" s="127" t="s">
        <v>27</v>
      </c>
      <c r="D8" s="127" t="s">
        <v>52</v>
      </c>
      <c r="E8" s="127" t="s">
        <v>64</v>
      </c>
      <c r="F8" s="127" t="s">
        <v>65</v>
      </c>
      <c r="H8" s="234"/>
      <c r="L8" s="236"/>
    </row>
    <row r="9" spans="1:12">
      <c r="A9" s="189">
        <f>+A8+1</f>
        <v>2</v>
      </c>
      <c r="B9" s="103"/>
      <c r="C9" s="103"/>
      <c r="D9" s="103"/>
      <c r="E9" s="103"/>
      <c r="F9" s="103"/>
      <c r="H9" s="234"/>
      <c r="L9" s="236"/>
    </row>
    <row r="10" spans="1:12">
      <c r="A10" s="189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4"/>
      <c r="L10" s="236"/>
    </row>
    <row r="11" spans="1:12">
      <c r="A11" s="189">
        <f t="shared" si="0"/>
        <v>4</v>
      </c>
      <c r="B11" s="105"/>
      <c r="C11" s="106"/>
      <c r="D11" s="105"/>
      <c r="E11" s="105"/>
      <c r="F11" s="106" t="s">
        <v>8</v>
      </c>
      <c r="H11" s="234"/>
      <c r="L11" s="236"/>
    </row>
    <row r="12" spans="1:12">
      <c r="A12" s="189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4"/>
      <c r="L12" s="236"/>
    </row>
    <row r="13" spans="1:12">
      <c r="A13" s="189">
        <f t="shared" si="0"/>
        <v>6</v>
      </c>
      <c r="B13" s="108"/>
      <c r="C13" s="108"/>
      <c r="D13" s="108"/>
      <c r="E13" s="108"/>
      <c r="F13" s="108"/>
      <c r="H13" s="234"/>
      <c r="L13" s="236"/>
    </row>
    <row r="14" spans="1:12">
      <c r="A14" s="189">
        <f t="shared" si="0"/>
        <v>7</v>
      </c>
      <c r="B14" s="108" t="s">
        <v>13</v>
      </c>
      <c r="C14" s="165">
        <f>'Pg 2 CapStructure'!Q10</f>
        <v>97854167</v>
      </c>
      <c r="D14" s="431">
        <f>ROUND(C14/$C$30,4)</f>
        <v>1.03E-2</v>
      </c>
      <c r="E14" s="338">
        <f>'Pg 6 LTD Cost '!H31</f>
        <v>3.3099999999999997E-2</v>
      </c>
      <c r="F14" s="177">
        <f>ROUND(D14*E14,4)</f>
        <v>2.9999999999999997E-4</v>
      </c>
      <c r="L14" s="234"/>
    </row>
    <row r="15" spans="1:12">
      <c r="A15" s="189">
        <f t="shared" si="0"/>
        <v>8</v>
      </c>
      <c r="B15" s="108"/>
      <c r="C15" s="167"/>
      <c r="D15" s="177"/>
      <c r="E15" s="166"/>
      <c r="F15" s="177"/>
      <c r="L15" s="234"/>
    </row>
    <row r="16" spans="1:12">
      <c r="A16" s="189">
        <f t="shared" si="0"/>
        <v>9</v>
      </c>
      <c r="B16" s="108" t="s">
        <v>14</v>
      </c>
      <c r="C16" s="167">
        <f>'Pg 2 CapStructure'!Q16</f>
        <v>4785750642</v>
      </c>
      <c r="D16" s="399">
        <f>ROUND(C16/$C$30,4)</f>
        <v>0.50290000000000001</v>
      </c>
      <c r="E16" s="168">
        <f>'Pg 6 LTD Cost '!H29</f>
        <v>5.0700000000000002E-2</v>
      </c>
      <c r="F16" s="177">
        <f>ROUND(D16*E16,4)</f>
        <v>2.5499999999999998E-2</v>
      </c>
      <c r="L16" s="234"/>
    </row>
    <row r="17" spans="1:12">
      <c r="A17" s="189">
        <f t="shared" si="0"/>
        <v>10</v>
      </c>
      <c r="B17" s="110"/>
      <c r="C17" s="169"/>
      <c r="D17" s="177"/>
      <c r="E17" s="168"/>
      <c r="F17" s="346"/>
      <c r="H17" s="245"/>
      <c r="I17" s="191"/>
      <c r="J17" s="191"/>
      <c r="K17" s="191"/>
      <c r="L17" s="246"/>
    </row>
    <row r="18" spans="1:12">
      <c r="A18" s="189">
        <v>11</v>
      </c>
      <c r="B18" s="103" t="s">
        <v>189</v>
      </c>
      <c r="C18" s="169"/>
      <c r="D18" s="177">
        <f>ROUND((C14+C16)/C30,4)</f>
        <v>0.51319999999999999</v>
      </c>
      <c r="E18" s="168">
        <f>'Pg 6 LTD Cost '!H33</f>
        <v>5.04E-2</v>
      </c>
      <c r="F18" s="346">
        <f>F16+F14</f>
        <v>2.58E-2</v>
      </c>
      <c r="H18" s="409"/>
      <c r="I18" s="191"/>
      <c r="J18" s="191"/>
      <c r="K18" s="191"/>
      <c r="L18" s="246"/>
    </row>
    <row r="19" spans="1:12">
      <c r="A19" s="189">
        <v>12</v>
      </c>
      <c r="B19" s="110"/>
      <c r="C19" s="169"/>
      <c r="D19" s="177"/>
      <c r="E19" s="168"/>
      <c r="F19" s="346"/>
      <c r="H19" s="245"/>
      <c r="I19" s="191"/>
      <c r="J19" s="191"/>
      <c r="K19" s="191"/>
      <c r="L19" s="246"/>
    </row>
    <row r="20" spans="1:12">
      <c r="A20" s="189">
        <v>13</v>
      </c>
      <c r="B20" s="103" t="s">
        <v>54</v>
      </c>
      <c r="C20" s="169"/>
      <c r="D20" s="177"/>
      <c r="E20" s="168"/>
      <c r="F20" s="346">
        <f>'Pg 4 STD OS &amp; Comm Fees'!F20</f>
        <v>2.0000000000000001E-4</v>
      </c>
      <c r="H20" s="245"/>
      <c r="I20" s="191"/>
      <c r="J20" s="191"/>
      <c r="K20" s="191"/>
      <c r="L20" s="246"/>
    </row>
    <row r="21" spans="1:12">
      <c r="A21" s="189">
        <v>14</v>
      </c>
      <c r="B21" s="110"/>
      <c r="C21" s="169"/>
      <c r="D21" s="177"/>
      <c r="E21" s="168"/>
      <c r="F21" s="346"/>
      <c r="H21" s="245"/>
      <c r="I21" s="191"/>
      <c r="J21" s="191"/>
      <c r="K21" s="191"/>
      <c r="L21" s="246"/>
    </row>
    <row r="22" spans="1:12">
      <c r="A22" s="189">
        <v>15</v>
      </c>
      <c r="B22" s="103" t="s">
        <v>190</v>
      </c>
      <c r="C22" s="169"/>
      <c r="D22" s="177"/>
      <c r="E22" s="168"/>
      <c r="F22" s="346">
        <f>'Pg 5 STD Amort'!H35</f>
        <v>1E-4</v>
      </c>
      <c r="H22" s="245"/>
      <c r="I22" s="191"/>
      <c r="J22" s="191"/>
      <c r="K22" s="191"/>
      <c r="L22" s="246"/>
    </row>
    <row r="23" spans="1:12">
      <c r="A23" s="189">
        <v>16</v>
      </c>
      <c r="B23" s="110"/>
      <c r="C23" s="169"/>
      <c r="D23" s="177"/>
      <c r="E23" s="168"/>
      <c r="F23" s="346"/>
      <c r="H23" s="245"/>
      <c r="I23" s="191"/>
      <c r="J23" s="191"/>
      <c r="K23" s="191"/>
      <c r="L23" s="246"/>
    </row>
    <row r="24" spans="1:12">
      <c r="A24" s="189">
        <v>17</v>
      </c>
      <c r="B24" s="103" t="s">
        <v>191</v>
      </c>
      <c r="C24" s="169"/>
      <c r="D24" s="177"/>
      <c r="E24" s="168"/>
      <c r="F24" s="346">
        <f>'Pg 7 Reacquired Debt'!I36</f>
        <v>2.0000000000000001E-4</v>
      </c>
      <c r="H24" s="245"/>
      <c r="I24" s="191"/>
      <c r="J24" s="191"/>
      <c r="K24" s="191"/>
      <c r="L24" s="246"/>
    </row>
    <row r="25" spans="1:12">
      <c r="A25" s="189">
        <v>18</v>
      </c>
      <c r="B25" s="110"/>
      <c r="C25" s="169"/>
      <c r="D25" s="177"/>
      <c r="E25" s="168"/>
      <c r="F25" s="346"/>
      <c r="H25" s="245"/>
      <c r="I25" s="191"/>
      <c r="J25" s="191"/>
      <c r="K25" s="191"/>
      <c r="L25" s="246"/>
    </row>
    <row r="26" spans="1:12">
      <c r="A26" s="189">
        <v>19</v>
      </c>
      <c r="B26" s="110" t="s">
        <v>192</v>
      </c>
      <c r="C26" s="460">
        <f>C16+C14</f>
        <v>4883604809</v>
      </c>
      <c r="D26" s="394">
        <f>D18</f>
        <v>0.51319999999999999</v>
      </c>
      <c r="E26" s="461">
        <f>F26/D26</f>
        <v>5.1247077162899453E-2</v>
      </c>
      <c r="F26" s="462">
        <f>SUM(F18:F25)</f>
        <v>2.6299999999999997E-2</v>
      </c>
      <c r="G26" s="423"/>
      <c r="H26" s="245"/>
      <c r="I26" s="191"/>
      <c r="J26" s="191"/>
      <c r="K26" s="191"/>
      <c r="L26" s="246"/>
    </row>
    <row r="27" spans="1:12">
      <c r="A27" s="189">
        <v>20</v>
      </c>
      <c r="B27" s="110"/>
      <c r="C27" s="169"/>
      <c r="D27" s="177"/>
      <c r="E27" s="168"/>
      <c r="F27" s="346"/>
      <c r="H27" s="245"/>
      <c r="I27" s="191"/>
      <c r="J27" s="191"/>
      <c r="K27" s="191"/>
      <c r="L27" s="246"/>
    </row>
    <row r="28" spans="1:12">
      <c r="A28" s="189">
        <v>21</v>
      </c>
      <c r="B28" s="109" t="s">
        <v>15</v>
      </c>
      <c r="C28" s="463">
        <f>'Pg 2 CapStructure'!Q20</f>
        <v>4632159583</v>
      </c>
      <c r="D28" s="327">
        <f>ROUND(C28/$C$30,4)</f>
        <v>0.48680000000000001</v>
      </c>
      <c r="E28" s="430">
        <v>9.4E-2</v>
      </c>
      <c r="F28" s="347">
        <f>ROUND(D28*E28,4)</f>
        <v>4.58E-2</v>
      </c>
      <c r="H28" s="247"/>
      <c r="I28" s="430"/>
      <c r="J28" s="248"/>
      <c r="K28" s="249"/>
      <c r="L28" s="168"/>
    </row>
    <row r="29" spans="1:12">
      <c r="A29" s="189">
        <v>22</v>
      </c>
      <c r="B29" s="110"/>
      <c r="C29" s="168"/>
      <c r="D29" s="170"/>
      <c r="E29" s="398"/>
      <c r="F29" s="168"/>
      <c r="H29" s="247"/>
      <c r="I29" s="430"/>
      <c r="J29" s="248"/>
      <c r="K29" s="249"/>
      <c r="L29" s="168"/>
    </row>
    <row r="30" spans="1:12">
      <c r="A30" s="189">
        <v>23</v>
      </c>
      <c r="B30" s="109" t="s">
        <v>16</v>
      </c>
      <c r="C30" s="171">
        <f>C28+C26</f>
        <v>9515764392</v>
      </c>
      <c r="D30" s="239">
        <f>D28+D18</f>
        <v>1</v>
      </c>
      <c r="E30" s="403"/>
      <c r="F30" s="223">
        <f>F28+F26</f>
        <v>7.2099999999999997E-2</v>
      </c>
      <c r="H30" s="111"/>
      <c r="I30" s="111"/>
      <c r="J30" s="248"/>
      <c r="K30" s="168"/>
      <c r="L30" s="250"/>
    </row>
    <row r="31" spans="1:12">
      <c r="A31" s="189">
        <v>24</v>
      </c>
      <c r="B31" s="103"/>
      <c r="C31" s="111"/>
      <c r="D31" s="111"/>
      <c r="E31" s="172"/>
      <c r="F31" s="111"/>
      <c r="H31" s="103"/>
      <c r="I31" s="103"/>
      <c r="J31" s="103"/>
    </row>
    <row r="32" spans="1:12">
      <c r="A32" s="189">
        <v>25</v>
      </c>
      <c r="B32" s="103"/>
      <c r="C32" s="103"/>
      <c r="D32" s="103"/>
      <c r="E32" s="111"/>
      <c r="F32" s="103"/>
    </row>
    <row r="33" spans="1:7">
      <c r="A33" s="189">
        <v>26</v>
      </c>
      <c r="B33" s="360" t="s">
        <v>171</v>
      </c>
      <c r="C33" s="103"/>
      <c r="D33" s="103"/>
      <c r="E33" s="139"/>
      <c r="F33" s="103"/>
      <c r="G33" s="237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7"/>
      <c r="D35" s="103"/>
      <c r="E35" s="103"/>
      <c r="F35" s="103"/>
    </row>
    <row r="36" spans="1:7">
      <c r="A36" s="15"/>
      <c r="B36" s="103"/>
      <c r="C36" s="167"/>
      <c r="D36" s="103"/>
      <c r="E36" s="103"/>
      <c r="F36" s="103"/>
    </row>
    <row r="37" spans="1:7">
      <c r="A37" s="15"/>
      <c r="B37" s="103"/>
      <c r="C37" s="167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90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Normal="100" workbookViewId="0">
      <pane xSplit="2" ySplit="6" topLeftCell="C7" activePane="bottomRight" state="frozen"/>
      <selection activeCell="C28" sqref="C28"/>
      <selection pane="topRight" activeCell="C28" sqref="C28"/>
      <selection pane="bottomLeft" activeCell="C28" sqref="C28"/>
      <selection pane="bottomRight" activeCell="U22" sqref="U22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4.1640625" style="2" customWidth="1"/>
    <col min="4" max="4" width="11" style="2" customWidth="1"/>
    <col min="5" max="5" width="11.1640625" style="2" customWidth="1"/>
    <col min="6" max="7" width="10.83203125" style="2" customWidth="1"/>
    <col min="8" max="9" width="10.5" style="2" customWidth="1"/>
    <col min="10" max="11" width="10.83203125" style="2" customWidth="1"/>
    <col min="12" max="14" width="10.6640625" style="2" customWidth="1"/>
    <col min="15" max="15" width="11.5" style="2" customWidth="1"/>
    <col min="16" max="16" width="2.6640625" style="2" customWidth="1"/>
    <col min="17" max="17" width="12.5" style="1" customWidth="1"/>
    <col min="18" max="18" width="10.33203125" style="1" customWidth="1"/>
    <col min="19" max="19" width="17.83203125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</row>
    <row r="2" spans="1:53">
      <c r="B2" s="143" t="s">
        <v>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53" ht="12.75" customHeight="1">
      <c r="B3" s="465" t="s">
        <v>202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53">
      <c r="B4" s="464" t="s">
        <v>59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</row>
    <row r="5" spans="1:53">
      <c r="A5" s="129">
        <v>1</v>
      </c>
      <c r="B5" s="127" t="s">
        <v>5</v>
      </c>
      <c r="C5" s="304" t="s">
        <v>27</v>
      </c>
      <c r="D5" s="304" t="s">
        <v>52</v>
      </c>
      <c r="E5" s="304" t="s">
        <v>64</v>
      </c>
      <c r="F5" s="304" t="s">
        <v>65</v>
      </c>
      <c r="G5" s="304" t="s">
        <v>66</v>
      </c>
      <c r="H5" s="304" t="s">
        <v>67</v>
      </c>
      <c r="I5" s="304" t="s">
        <v>68</v>
      </c>
      <c r="J5" s="304" t="s">
        <v>69</v>
      </c>
      <c r="K5" s="304" t="s">
        <v>71</v>
      </c>
      <c r="L5" s="304" t="s">
        <v>72</v>
      </c>
      <c r="M5" s="304" t="s">
        <v>73</v>
      </c>
      <c r="N5" s="304" t="s">
        <v>74</v>
      </c>
      <c r="O5" s="304" t="s">
        <v>75</v>
      </c>
      <c r="P5" s="304"/>
      <c r="Q5" s="127" t="s">
        <v>76</v>
      </c>
    </row>
    <row r="6" spans="1:53" ht="35.1" customHeight="1">
      <c r="A6" s="129">
        <f>+A5+1</f>
        <v>2</v>
      </c>
      <c r="B6" s="101" t="s">
        <v>1</v>
      </c>
      <c r="C6" s="194">
        <v>44561</v>
      </c>
      <c r="D6" s="194">
        <v>44592</v>
      </c>
      <c r="E6" s="194">
        <v>44620</v>
      </c>
      <c r="F6" s="194">
        <v>44651</v>
      </c>
      <c r="G6" s="194">
        <v>44681</v>
      </c>
      <c r="H6" s="194">
        <v>44712</v>
      </c>
      <c r="I6" s="194">
        <v>44742</v>
      </c>
      <c r="J6" s="194">
        <v>44773</v>
      </c>
      <c r="K6" s="194">
        <v>44804</v>
      </c>
      <c r="L6" s="194">
        <v>44834</v>
      </c>
      <c r="M6" s="194">
        <v>44865</v>
      </c>
      <c r="N6" s="194">
        <v>44895</v>
      </c>
      <c r="O6" s="194">
        <v>44926</v>
      </c>
      <c r="P6" s="194"/>
      <c r="Q6" s="122" t="s">
        <v>113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9">
        <f>+A6+1</f>
        <v>3</v>
      </c>
      <c r="B7" s="141" t="s">
        <v>36</v>
      </c>
      <c r="C7" s="361">
        <v>140000000</v>
      </c>
      <c r="D7" s="361">
        <v>115000000</v>
      </c>
      <c r="E7" s="361">
        <v>35000000</v>
      </c>
      <c r="F7" s="361">
        <v>69750000</v>
      </c>
      <c r="G7" s="361">
        <v>0</v>
      </c>
      <c r="H7" s="361">
        <v>0</v>
      </c>
      <c r="I7" s="361">
        <v>55000000</v>
      </c>
      <c r="J7" s="361">
        <v>70000000</v>
      </c>
      <c r="K7" s="361">
        <v>54000000</v>
      </c>
      <c r="L7" s="361">
        <v>102000000</v>
      </c>
      <c r="M7" s="361">
        <v>160000000</v>
      </c>
      <c r="N7" s="361">
        <v>265000000</v>
      </c>
      <c r="O7" s="361">
        <v>357000000</v>
      </c>
      <c r="P7" s="361"/>
      <c r="Q7" s="162">
        <f>ROUND(((C7+O7)+(SUM(D7:N7)*2))/24,0)</f>
        <v>97854167</v>
      </c>
      <c r="R7" s="396"/>
      <c r="S7" s="397"/>
      <c r="T7" s="397" t="s">
        <v>206</v>
      </c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9">
        <f>+A7+1</f>
        <v>4</v>
      </c>
      <c r="B8" s="141" t="s">
        <v>167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162">
        <f>ROUND(((C8+L8)+(SUM(D8:N8)*2))/24,0)</f>
        <v>0</v>
      </c>
      <c r="R8" s="396"/>
      <c r="S8" s="397"/>
      <c r="T8" s="397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5" thickBot="1">
      <c r="A9" s="129">
        <f>+A8+1</f>
        <v>5</v>
      </c>
      <c r="B9" s="141" t="s">
        <v>154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162">
        <f>ROUND(((C9+O9)+(SUM(D9:N9)*2))/24,0)</f>
        <v>0</v>
      </c>
      <c r="R9" s="100"/>
      <c r="T9" s="1" t="s">
        <v>201</v>
      </c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5" thickBot="1">
      <c r="A10" s="129">
        <f>+A9+1</f>
        <v>6</v>
      </c>
      <c r="B10" s="142" t="s">
        <v>30</v>
      </c>
      <c r="C10" s="352">
        <f t="shared" ref="C10:H10" si="0">SUM(C7:C9)</f>
        <v>140000000</v>
      </c>
      <c r="D10" s="352">
        <f t="shared" si="0"/>
        <v>115000000</v>
      </c>
      <c r="E10" s="352">
        <f t="shared" si="0"/>
        <v>35000000</v>
      </c>
      <c r="F10" s="352">
        <f t="shared" si="0"/>
        <v>69750000</v>
      </c>
      <c r="G10" s="352">
        <f t="shared" si="0"/>
        <v>0</v>
      </c>
      <c r="H10" s="352">
        <f t="shared" si="0"/>
        <v>0</v>
      </c>
      <c r="I10" s="352">
        <f t="shared" ref="I10:O10" si="1">SUM(I7:I9)</f>
        <v>55000000</v>
      </c>
      <c r="J10" s="352">
        <f t="shared" si="1"/>
        <v>70000000</v>
      </c>
      <c r="K10" s="352">
        <f t="shared" si="1"/>
        <v>54000000</v>
      </c>
      <c r="L10" s="352">
        <f t="shared" si="1"/>
        <v>102000000</v>
      </c>
      <c r="M10" s="352">
        <f t="shared" si="1"/>
        <v>160000000</v>
      </c>
      <c r="N10" s="352">
        <f t="shared" si="1"/>
        <v>265000000</v>
      </c>
      <c r="O10" s="352">
        <f t="shared" si="1"/>
        <v>357000000</v>
      </c>
      <c r="P10" s="196"/>
      <c r="Q10" s="214">
        <f>SUM(Q7:Q9)</f>
        <v>97854167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5" customHeight="1" thickBot="1">
      <c r="A11" s="129"/>
      <c r="B11" s="140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162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5" thickBot="1">
      <c r="A12" s="129">
        <f>+A10+1</f>
        <v>7</v>
      </c>
      <c r="B12" s="142" t="s">
        <v>127</v>
      </c>
      <c r="C12" s="362">
        <v>4784716734</v>
      </c>
      <c r="D12" s="362">
        <v>4784890693</v>
      </c>
      <c r="E12" s="362">
        <v>4785056218</v>
      </c>
      <c r="F12" s="362">
        <v>4785230201</v>
      </c>
      <c r="G12" s="362">
        <v>4785404183</v>
      </c>
      <c r="H12" s="362">
        <v>4785578166</v>
      </c>
      <c r="I12" s="362">
        <v>4785752149</v>
      </c>
      <c r="J12" s="362">
        <v>4785926132</v>
      </c>
      <c r="K12" s="362">
        <v>4786100115</v>
      </c>
      <c r="L12" s="362">
        <v>4786274098</v>
      </c>
      <c r="M12" s="362">
        <v>4786448080</v>
      </c>
      <c r="N12" s="362">
        <v>4786606668</v>
      </c>
      <c r="O12" s="362">
        <v>4786765256</v>
      </c>
      <c r="P12" s="362"/>
      <c r="Q12" s="214">
        <f>ROUND(((C12+O12)+(SUM(D12:N12)*2))/24,0)</f>
        <v>4785750642</v>
      </c>
      <c r="R12" s="96"/>
      <c r="S12" s="397"/>
      <c r="T12" s="397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9"/>
      <c r="B13" s="142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163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9">
        <f>+A12+1</f>
        <v>8</v>
      </c>
      <c r="B14" s="142" t="s">
        <v>122</v>
      </c>
      <c r="C14" s="363"/>
      <c r="D14" s="363">
        <v>0</v>
      </c>
      <c r="E14" s="363">
        <v>0</v>
      </c>
      <c r="F14" s="363">
        <v>0</v>
      </c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241">
        <f>ROUND(((C14+O14)+(SUM(D14:N14)*2))/24,0)</f>
        <v>0</v>
      </c>
      <c r="R14" s="96"/>
      <c r="S14" s="397"/>
      <c r="T14" s="397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9"/>
      <c r="B15" s="14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3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9">
        <f>+A14+1</f>
        <v>9</v>
      </c>
      <c r="B16" s="142" t="s">
        <v>14</v>
      </c>
      <c r="C16" s="297">
        <f>SUM(C12:C14)</f>
        <v>4784716734</v>
      </c>
      <c r="D16" s="297">
        <f>SUM(D12:D14)</f>
        <v>4784890693</v>
      </c>
      <c r="E16" s="297">
        <f>SUM(E12:E14)</f>
        <v>4785056218</v>
      </c>
      <c r="F16" s="297">
        <f>SUM(F12:F14)</f>
        <v>4785230201</v>
      </c>
      <c r="G16" s="297">
        <f t="shared" ref="G16:O16" si="2">SUM(G12:G14)</f>
        <v>4785404183</v>
      </c>
      <c r="H16" s="297">
        <f t="shared" si="2"/>
        <v>4785578166</v>
      </c>
      <c r="I16" s="297">
        <f t="shared" si="2"/>
        <v>4785752149</v>
      </c>
      <c r="J16" s="297">
        <f t="shared" si="2"/>
        <v>4785926132</v>
      </c>
      <c r="K16" s="297">
        <f t="shared" si="2"/>
        <v>4786100115</v>
      </c>
      <c r="L16" s="297">
        <f t="shared" si="2"/>
        <v>4786274098</v>
      </c>
      <c r="M16" s="297">
        <f t="shared" si="2"/>
        <v>4786448080</v>
      </c>
      <c r="N16" s="297">
        <f t="shared" si="2"/>
        <v>4786606668</v>
      </c>
      <c r="O16" s="297">
        <f t="shared" si="2"/>
        <v>4786765256</v>
      </c>
      <c r="P16" s="97"/>
      <c r="Q16" s="214">
        <f>SUM(Q12:Q14)</f>
        <v>4785750642</v>
      </c>
      <c r="R16" s="96"/>
      <c r="S16" s="264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9"/>
      <c r="B17" s="142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3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5" thickBot="1">
      <c r="A18" s="129">
        <f>+A16+1</f>
        <v>10</v>
      </c>
      <c r="B18" s="142" t="s">
        <v>82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/>
      <c r="Q18" s="213"/>
      <c r="R18" s="96"/>
      <c r="S18" s="176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5" customHeight="1" thickBot="1">
      <c r="A19" s="129"/>
      <c r="B19" s="142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2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5" thickBot="1">
      <c r="A20" s="129">
        <f>+A18+1</f>
        <v>11</v>
      </c>
      <c r="B20" s="142" t="s">
        <v>103</v>
      </c>
      <c r="C20" s="309">
        <v>4460161000</v>
      </c>
      <c r="D20" s="309">
        <v>4536767000</v>
      </c>
      <c r="E20" s="309">
        <v>4589732000</v>
      </c>
      <c r="F20" s="309">
        <v>4633485000</v>
      </c>
      <c r="G20" s="309">
        <v>4649477000</v>
      </c>
      <c r="H20" s="309">
        <v>4642224000</v>
      </c>
      <c r="I20" s="309">
        <v>4631868000</v>
      </c>
      <c r="J20" s="309">
        <v>4632679000</v>
      </c>
      <c r="K20" s="309">
        <v>4625201000</v>
      </c>
      <c r="L20" s="309">
        <v>4659226000</v>
      </c>
      <c r="M20" s="309">
        <v>4671741000</v>
      </c>
      <c r="N20" s="309">
        <v>4697533000</v>
      </c>
      <c r="O20" s="309">
        <v>4771803000</v>
      </c>
      <c r="P20" s="270"/>
      <c r="Q20" s="213">
        <f>ROUND(((C20+O20)+(SUM(D20:N20)*2))/24,0)</f>
        <v>4632159583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5" customHeight="1">
      <c r="A21" s="129"/>
      <c r="B21" s="142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4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5" thickBot="1">
      <c r="A22" s="129">
        <f>+A20+1</f>
        <v>12</v>
      </c>
      <c r="B22" s="142" t="s">
        <v>86</v>
      </c>
      <c r="C22" s="298">
        <f>C10+C16+C18+C20</f>
        <v>9384877734</v>
      </c>
      <c r="D22" s="298">
        <f t="shared" ref="D22:O22" si="3">D10+D16+D18+D20</f>
        <v>9436657693</v>
      </c>
      <c r="E22" s="298">
        <f t="shared" si="3"/>
        <v>9409788218</v>
      </c>
      <c r="F22" s="298">
        <f t="shared" si="3"/>
        <v>9488465201</v>
      </c>
      <c r="G22" s="298">
        <f t="shared" si="3"/>
        <v>9434881183</v>
      </c>
      <c r="H22" s="298">
        <f t="shared" si="3"/>
        <v>9427802166</v>
      </c>
      <c r="I22" s="298">
        <f t="shared" si="3"/>
        <v>9472620149</v>
      </c>
      <c r="J22" s="298">
        <f t="shared" si="3"/>
        <v>9488605132</v>
      </c>
      <c r="K22" s="298">
        <f t="shared" si="3"/>
        <v>9465301115</v>
      </c>
      <c r="L22" s="298">
        <f t="shared" si="3"/>
        <v>9547500098</v>
      </c>
      <c r="M22" s="298">
        <f t="shared" si="3"/>
        <v>9618189080</v>
      </c>
      <c r="N22" s="298">
        <f t="shared" si="3"/>
        <v>9749139668</v>
      </c>
      <c r="O22" s="298">
        <f t="shared" si="3"/>
        <v>9915568256</v>
      </c>
      <c r="P22" s="298"/>
      <c r="Q22" s="242">
        <f>Q10+Q16+Q18+Q20</f>
        <v>9515764392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5" thickTop="1">
      <c r="A23" s="129"/>
      <c r="B23" s="142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3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9">
        <f>+A22+1</f>
        <v>13</v>
      </c>
      <c r="B24" s="128" t="s">
        <v>30</v>
      </c>
      <c r="C24" s="299">
        <f>C10/C$22</f>
        <v>1.4917615761023829E-2</v>
      </c>
      <c r="D24" s="299">
        <f t="shared" ref="D24:H24" si="4">D10/D$22</f>
        <v>1.2186518123392949E-2</v>
      </c>
      <c r="E24" s="299">
        <f t="shared" si="4"/>
        <v>3.7195311083673957E-3</v>
      </c>
      <c r="F24" s="299">
        <f t="shared" si="4"/>
        <v>7.3510308066102167E-3</v>
      </c>
      <c r="G24" s="299">
        <f t="shared" si="4"/>
        <v>0</v>
      </c>
      <c r="H24" s="299">
        <f t="shared" si="4"/>
        <v>0</v>
      </c>
      <c r="I24" s="299">
        <f t="shared" ref="I24:O24" si="5">I10/I$22</f>
        <v>5.806207694901205E-3</v>
      </c>
      <c r="J24" s="299">
        <f t="shared" si="5"/>
        <v>7.3772697911021045E-3</v>
      </c>
      <c r="K24" s="299">
        <f t="shared" si="5"/>
        <v>5.705048296289727E-3</v>
      </c>
      <c r="L24" s="299">
        <f t="shared" si="5"/>
        <v>1.0683424870701688E-2</v>
      </c>
      <c r="M24" s="299">
        <f t="shared" si="5"/>
        <v>1.6635148120835237E-2</v>
      </c>
      <c r="N24" s="299">
        <f t="shared" si="5"/>
        <v>2.7181885686777096E-2</v>
      </c>
      <c r="O24" s="299">
        <f t="shared" si="5"/>
        <v>3.6003987949351876E-2</v>
      </c>
      <c r="P24" s="299"/>
      <c r="Q24" s="300">
        <f>Q10/Q$22</f>
        <v>1.0283374300678041E-2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9">
        <f>+A24+1</f>
        <v>14</v>
      </c>
      <c r="B25" s="128" t="s">
        <v>31</v>
      </c>
      <c r="C25" s="301">
        <f t="shared" ref="C25:H25" si="6">C16/C$22</f>
        <v>0.50983261259394896</v>
      </c>
      <c r="D25" s="301">
        <f t="shared" si="6"/>
        <v>0.5070535404234674</v>
      </c>
      <c r="E25" s="301">
        <f t="shared" si="6"/>
        <v>0.50851901308965253</v>
      </c>
      <c r="F25" s="301">
        <f t="shared" si="6"/>
        <v>0.50432078314369322</v>
      </c>
      <c r="G25" s="301">
        <f t="shared" si="6"/>
        <v>0.50720343904515286</v>
      </c>
      <c r="H25" s="301">
        <f t="shared" si="6"/>
        <v>0.5076027351590483</v>
      </c>
      <c r="I25" s="301">
        <f t="shared" ref="I25:O25" si="7">I16/I$22</f>
        <v>0.50521947188025051</v>
      </c>
      <c r="J25" s="301">
        <f t="shared" si="7"/>
        <v>0.50438668965785349</v>
      </c>
      <c r="K25" s="301">
        <f t="shared" si="7"/>
        <v>0.50564689457320022</v>
      </c>
      <c r="L25" s="301">
        <f t="shared" si="7"/>
        <v>0.50131176212322048</v>
      </c>
      <c r="M25" s="301">
        <f t="shared" si="7"/>
        <v>0.49764545489679646</v>
      </c>
      <c r="N25" s="301">
        <f t="shared" si="7"/>
        <v>0.49097734066845661</v>
      </c>
      <c r="O25" s="301">
        <f t="shared" si="7"/>
        <v>0.48275248905714357</v>
      </c>
      <c r="P25" s="301"/>
      <c r="Q25" s="302">
        <f>Q16/Q$22</f>
        <v>0.50292866078351306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9">
        <f>+A25+1</f>
        <v>15</v>
      </c>
      <c r="B26" s="128" t="s">
        <v>109</v>
      </c>
      <c r="C26" s="299">
        <f t="shared" ref="C26:H26" si="8">SUM(C24:C25)</f>
        <v>0.52475022835497276</v>
      </c>
      <c r="D26" s="299">
        <f t="shared" si="8"/>
        <v>0.51924005854686039</v>
      </c>
      <c r="E26" s="299">
        <f t="shared" si="8"/>
        <v>0.51223854419801995</v>
      </c>
      <c r="F26" s="299">
        <f t="shared" si="8"/>
        <v>0.51167181395030348</v>
      </c>
      <c r="G26" s="299">
        <f t="shared" si="8"/>
        <v>0.50720343904515286</v>
      </c>
      <c r="H26" s="299">
        <f t="shared" si="8"/>
        <v>0.5076027351590483</v>
      </c>
      <c r="I26" s="299">
        <f t="shared" ref="I26:O26" si="9">SUM(I24:I25)</f>
        <v>0.51102567957515177</v>
      </c>
      <c r="J26" s="299">
        <f t="shared" si="9"/>
        <v>0.51176395944895559</v>
      </c>
      <c r="K26" s="299">
        <f t="shared" si="9"/>
        <v>0.51135194286948993</v>
      </c>
      <c r="L26" s="299">
        <f t="shared" si="9"/>
        <v>0.51199518699392221</v>
      </c>
      <c r="M26" s="299">
        <f t="shared" si="9"/>
        <v>0.51428060301763168</v>
      </c>
      <c r="N26" s="299">
        <f t="shared" si="9"/>
        <v>0.5181592263552337</v>
      </c>
      <c r="O26" s="299">
        <f t="shared" si="9"/>
        <v>0.51875647700649541</v>
      </c>
      <c r="P26" s="299"/>
      <c r="Q26" s="300">
        <f>SUM(Q24:Q25)</f>
        <v>0.51321203508419111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9">
        <f>+A26+1</f>
        <v>16</v>
      </c>
      <c r="B27" s="128" t="s">
        <v>110</v>
      </c>
      <c r="C27" s="299">
        <f>C18/C$22</f>
        <v>0</v>
      </c>
      <c r="D27" s="299">
        <f>D18/D$22</f>
        <v>0</v>
      </c>
      <c r="E27" s="299">
        <f>E18/E$22</f>
        <v>0</v>
      </c>
      <c r="F27" s="299">
        <f>F18/F$22</f>
        <v>0</v>
      </c>
      <c r="G27" s="299">
        <f t="shared" ref="G27:O27" si="10">G18/G$22</f>
        <v>0</v>
      </c>
      <c r="H27" s="299">
        <f t="shared" si="10"/>
        <v>0</v>
      </c>
      <c r="I27" s="299">
        <f t="shared" si="10"/>
        <v>0</v>
      </c>
      <c r="J27" s="299">
        <f t="shared" si="10"/>
        <v>0</v>
      </c>
      <c r="K27" s="299">
        <f t="shared" si="10"/>
        <v>0</v>
      </c>
      <c r="L27" s="299">
        <f t="shared" si="10"/>
        <v>0</v>
      </c>
      <c r="M27" s="299">
        <f t="shared" si="10"/>
        <v>0</v>
      </c>
      <c r="N27" s="299">
        <f t="shared" si="10"/>
        <v>0</v>
      </c>
      <c r="O27" s="299">
        <f t="shared" si="10"/>
        <v>0</v>
      </c>
      <c r="P27" s="299"/>
      <c r="Q27" s="300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9">
        <f>+A27+1</f>
        <v>17</v>
      </c>
      <c r="B28" s="128" t="s">
        <v>111</v>
      </c>
      <c r="C28" s="329">
        <f>C20/C$22</f>
        <v>0.47524977164502719</v>
      </c>
      <c r="D28" s="329">
        <f>D20/D$22</f>
        <v>0.48075994145313966</v>
      </c>
      <c r="E28" s="329">
        <f>E20/E$22</f>
        <v>0.4877614558019801</v>
      </c>
      <c r="F28" s="329">
        <f>F20/F$22</f>
        <v>0.48832818604969663</v>
      </c>
      <c r="G28" s="329">
        <f t="shared" ref="G28:O28" si="11">G20/G$22</f>
        <v>0.49279656095484714</v>
      </c>
      <c r="H28" s="329">
        <f t="shared" si="11"/>
        <v>0.4923972648409517</v>
      </c>
      <c r="I28" s="329">
        <f t="shared" si="11"/>
        <v>0.48897432042484829</v>
      </c>
      <c r="J28" s="329">
        <f t="shared" si="11"/>
        <v>0.48823604055104441</v>
      </c>
      <c r="K28" s="329">
        <f t="shared" si="11"/>
        <v>0.48864805713051002</v>
      </c>
      <c r="L28" s="329">
        <f t="shared" si="11"/>
        <v>0.48800481300607784</v>
      </c>
      <c r="M28" s="329">
        <f t="shared" si="11"/>
        <v>0.48571939698236832</v>
      </c>
      <c r="N28" s="329">
        <f t="shared" si="11"/>
        <v>0.4818407736447663</v>
      </c>
      <c r="O28" s="329">
        <f t="shared" si="11"/>
        <v>0.48124352299350459</v>
      </c>
      <c r="P28" s="329"/>
      <c r="Q28" s="302">
        <f>Q20/Q$22</f>
        <v>0.48678796491580895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2"/>
      <c r="B29" s="128"/>
      <c r="C29" s="305"/>
      <c r="D29" s="303"/>
      <c r="E29" s="303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6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5" thickBot="1">
      <c r="A30" s="129">
        <f>+A28+1</f>
        <v>18</v>
      </c>
      <c r="B30" s="128" t="s">
        <v>112</v>
      </c>
      <c r="C30" s="307">
        <f>SUM(C26:C28)</f>
        <v>1</v>
      </c>
      <c r="D30" s="307">
        <f>SUM(D26:D28)</f>
        <v>1</v>
      </c>
      <c r="E30" s="307">
        <f>SUM(E26:E28)</f>
        <v>1</v>
      </c>
      <c r="F30" s="307">
        <f>SUM(F26:F28)</f>
        <v>1</v>
      </c>
      <c r="G30" s="307">
        <f t="shared" ref="G30:O30" si="12">SUM(G26:G28)</f>
        <v>1</v>
      </c>
      <c r="H30" s="307">
        <f t="shared" si="12"/>
        <v>1</v>
      </c>
      <c r="I30" s="307">
        <f t="shared" si="12"/>
        <v>1</v>
      </c>
      <c r="J30" s="307">
        <f t="shared" si="12"/>
        <v>1</v>
      </c>
      <c r="K30" s="307">
        <f t="shared" si="12"/>
        <v>1</v>
      </c>
      <c r="L30" s="307">
        <f t="shared" si="12"/>
        <v>1</v>
      </c>
      <c r="M30" s="307">
        <f t="shared" si="12"/>
        <v>1</v>
      </c>
      <c r="N30" s="307">
        <f t="shared" si="12"/>
        <v>1</v>
      </c>
      <c r="O30" s="307">
        <f t="shared" si="12"/>
        <v>1</v>
      </c>
      <c r="P30" s="307"/>
      <c r="Q30" s="308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5" thickTop="1">
      <c r="A31" s="129"/>
      <c r="B31" s="142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9"/>
      <c r="B32" s="142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5" thickBot="1">
      <c r="A33" s="129"/>
      <c r="B33" s="142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5" thickBot="1">
      <c r="A34" s="129">
        <f>+A30+1</f>
        <v>19</v>
      </c>
      <c r="B34" s="142" t="s">
        <v>81</v>
      </c>
      <c r="C34" s="309">
        <v>4355430000</v>
      </c>
      <c r="D34" s="309">
        <v>4500749000</v>
      </c>
      <c r="E34" s="309">
        <v>4520917000</v>
      </c>
      <c r="F34" s="309">
        <v>4633300000</v>
      </c>
      <c r="G34" s="309">
        <v>4731872235</v>
      </c>
      <c r="H34" s="309">
        <v>4748930967</v>
      </c>
      <c r="I34" s="309">
        <v>4628628570</v>
      </c>
      <c r="J34" s="309">
        <v>4692168477</v>
      </c>
      <c r="K34" s="309">
        <v>4729805907</v>
      </c>
      <c r="L34" s="309">
        <v>4611052058</v>
      </c>
      <c r="M34" s="309">
        <v>4645729610</v>
      </c>
      <c r="N34" s="309">
        <v>4781631836</v>
      </c>
      <c r="O34" s="309">
        <v>4886711520</v>
      </c>
      <c r="P34" s="309"/>
      <c r="Q34" s="214">
        <f>ROUND(((C34+O34)+(SUM(D34:N34)*2))/24,0)</f>
        <v>4653821368</v>
      </c>
      <c r="R34" s="89"/>
      <c r="S34" s="397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5" thickBot="1">
      <c r="A35" s="129">
        <f>+A34+1</f>
        <v>20</v>
      </c>
      <c r="B35" s="140" t="s">
        <v>32</v>
      </c>
      <c r="P35" s="364"/>
      <c r="Q35" s="173"/>
      <c r="R35" s="89"/>
      <c r="S35" s="397"/>
      <c r="T35" s="89"/>
      <c r="U35" s="93"/>
      <c r="V35" s="140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5" thickBot="1">
      <c r="A36" s="129">
        <f>+A35+1</f>
        <v>21</v>
      </c>
      <c r="B36" s="140" t="s">
        <v>33</v>
      </c>
      <c r="C36" s="195">
        <v>-13535624</v>
      </c>
      <c r="D36" s="195">
        <v>-13535624</v>
      </c>
      <c r="E36" s="195">
        <v>-13535624</v>
      </c>
      <c r="F36" s="195">
        <v>-13911195</v>
      </c>
      <c r="G36" s="309">
        <v>-13911195</v>
      </c>
      <c r="H36" s="309">
        <v>-13911185</v>
      </c>
      <c r="I36" s="309">
        <v>-13321213</v>
      </c>
      <c r="J36" s="195">
        <v>-13321213</v>
      </c>
      <c r="K36" s="195">
        <v>-13321213</v>
      </c>
      <c r="L36" s="195">
        <v>-13453106</v>
      </c>
      <c r="M36" s="195">
        <v>-13453106</v>
      </c>
      <c r="N36" s="195">
        <v>-13453106</v>
      </c>
      <c r="O36" s="195">
        <v>-13184280</v>
      </c>
      <c r="P36" s="195"/>
      <c r="Q36" s="214">
        <f>ROUND(((C36+O36)+(SUM(D36:N36)*2))/24,0)</f>
        <v>-13540644</v>
      </c>
      <c r="R36" s="97"/>
      <c r="S36" s="397"/>
      <c r="T36" s="397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5" thickBot="1">
      <c r="A37" s="129">
        <f>+A36+1</f>
        <v>22</v>
      </c>
      <c r="B37" s="140" t="s">
        <v>3</v>
      </c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R37" s="97"/>
      <c r="S37" s="397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5" thickBot="1">
      <c r="A38" s="129">
        <f t="shared" ref="A38:A44" si="13">+A37+1</f>
        <v>23</v>
      </c>
      <c r="B38" s="224" t="s">
        <v>34</v>
      </c>
      <c r="C38" s="310">
        <f t="shared" ref="C38:H38" si="14">SUM(C36:C37)</f>
        <v>-13535624</v>
      </c>
      <c r="D38" s="310">
        <f t="shared" si="14"/>
        <v>-13535624</v>
      </c>
      <c r="E38" s="310">
        <f t="shared" si="14"/>
        <v>-13535624</v>
      </c>
      <c r="F38" s="310">
        <f t="shared" si="14"/>
        <v>-13911195</v>
      </c>
      <c r="G38" s="310">
        <f t="shared" si="14"/>
        <v>-13911195</v>
      </c>
      <c r="H38" s="310">
        <f t="shared" si="14"/>
        <v>-13911185</v>
      </c>
      <c r="I38" s="310">
        <f t="shared" ref="I38:O38" si="15">SUM(I36:I37)</f>
        <v>-13321213</v>
      </c>
      <c r="J38" s="310">
        <f t="shared" si="15"/>
        <v>-13321213</v>
      </c>
      <c r="K38" s="310">
        <f t="shared" si="15"/>
        <v>-13321213</v>
      </c>
      <c r="L38" s="310">
        <f t="shared" si="15"/>
        <v>-13453106</v>
      </c>
      <c r="M38" s="310">
        <f t="shared" si="15"/>
        <v>-13453106</v>
      </c>
      <c r="N38" s="310">
        <f t="shared" si="15"/>
        <v>-13453106</v>
      </c>
      <c r="O38" s="310">
        <f t="shared" si="15"/>
        <v>-13184280</v>
      </c>
      <c r="P38" s="196"/>
      <c r="Q38" s="214">
        <f>ROUND(((C38+O38)+(SUM(D38:N38)*2))/24,0)</f>
        <v>-13540644</v>
      </c>
      <c r="R38" s="97"/>
      <c r="S38" s="397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5" thickBot="1">
      <c r="A39" s="129">
        <f t="shared" si="13"/>
        <v>24</v>
      </c>
      <c r="B39" s="225" t="s">
        <v>165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96"/>
      <c r="R39" s="97"/>
      <c r="S39" s="397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5" thickBot="1">
      <c r="A40" s="192">
        <f t="shared" si="13"/>
        <v>25</v>
      </c>
      <c r="B40" s="432" t="s">
        <v>166</v>
      </c>
      <c r="C40" s="309">
        <f>-2520000+21485000+2979000</f>
        <v>21944000</v>
      </c>
      <c r="D40" s="309">
        <f>67943000+21485000</f>
        <v>89428000</v>
      </c>
      <c r="E40" s="309">
        <f>33920000+21485000</f>
        <v>55405000</v>
      </c>
      <c r="F40" s="309">
        <f>101697000+21485000</f>
        <v>123182000</v>
      </c>
      <c r="G40" s="309">
        <f>183051000+21485000</f>
        <v>204536000</v>
      </c>
      <c r="H40" s="309">
        <f>206133000+21485000</f>
        <v>227618000</v>
      </c>
      <c r="I40" s="309">
        <f>94371000+21485000</f>
        <v>115856000</v>
      </c>
      <c r="J40" s="309">
        <f>154799000+21485000</f>
        <v>176284000</v>
      </c>
      <c r="K40" s="309">
        <f>198694000+21485000+2000</f>
        <v>220181000</v>
      </c>
      <c r="L40" s="309">
        <f>44831000+21485000</f>
        <v>66316000</v>
      </c>
      <c r="M40" s="309">
        <f>65591000+21485000</f>
        <v>87076000</v>
      </c>
      <c r="N40" s="309">
        <f>174487000+21485000</f>
        <v>195972000</v>
      </c>
      <c r="O40" s="309">
        <f>203809000+21485000</f>
        <v>225294000</v>
      </c>
      <c r="P40" s="196"/>
      <c r="Q40" s="433">
        <f>ROUND(((C40+O40)+(SUM(D40:N40)*2))/24,0)</f>
        <v>140456083</v>
      </c>
      <c r="R40" s="97"/>
      <c r="S40" s="434"/>
      <c r="T40" s="90"/>
      <c r="U40" s="221"/>
      <c r="V40" s="90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435"/>
    </row>
    <row r="41" spans="1:54" ht="13.5" thickBot="1">
      <c r="A41" s="129">
        <f t="shared" si="13"/>
        <v>26</v>
      </c>
      <c r="B41" s="227" t="s">
        <v>118</v>
      </c>
      <c r="C41" s="195">
        <v>-4582996</v>
      </c>
      <c r="D41" s="309">
        <v>-4552000</v>
      </c>
      <c r="E41" s="309">
        <v>-4515000</v>
      </c>
      <c r="F41" s="309">
        <v>-4486686</v>
      </c>
      <c r="G41" s="309">
        <v>-4454583</v>
      </c>
      <c r="H41" s="195">
        <v>-4422480</v>
      </c>
      <c r="I41" s="195">
        <v>-4390377</v>
      </c>
      <c r="J41" s="195">
        <v>-4358273</v>
      </c>
      <c r="K41" s="195">
        <v>-4326170</v>
      </c>
      <c r="L41" s="195">
        <v>-4294067</v>
      </c>
      <c r="M41" s="195">
        <v>-4261964</v>
      </c>
      <c r="N41" s="195">
        <v>-4229861</v>
      </c>
      <c r="O41" s="195">
        <v>-4197757</v>
      </c>
      <c r="P41" s="195"/>
      <c r="Q41" s="214">
        <f>ROUND(((C41+O41)+(SUM(D41:N41)*2))/24,0)</f>
        <v>-4390153</v>
      </c>
      <c r="R41" s="97"/>
      <c r="S41" s="397"/>
      <c r="T41" s="89"/>
      <c r="U41" s="93"/>
      <c r="V41" s="256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5" thickBot="1">
      <c r="A42" s="129">
        <f t="shared" si="13"/>
        <v>27</v>
      </c>
      <c r="B42" s="227" t="s">
        <v>119</v>
      </c>
      <c r="C42" s="195">
        <f>-157626136+49070000</f>
        <v>-108556136</v>
      </c>
      <c r="D42" s="195">
        <f>-107359959+2000</f>
        <v>-107357959</v>
      </c>
      <c r="E42" s="195">
        <f>-106164366-5000</f>
        <v>-106169366</v>
      </c>
      <c r="F42" s="195">
        <v>-104968773</v>
      </c>
      <c r="G42" s="195">
        <f>-103773180-2000</f>
        <v>-103775180</v>
      </c>
      <c r="H42" s="195">
        <v>-102577587</v>
      </c>
      <c r="I42" s="195">
        <f>-101381994-2000</f>
        <v>-101383994</v>
      </c>
      <c r="J42" s="195">
        <v>-99115267</v>
      </c>
      <c r="K42" s="195">
        <v>-97929177</v>
      </c>
      <c r="L42" s="195">
        <v>-96743086</v>
      </c>
      <c r="M42" s="195">
        <f>-95373716+1000</f>
        <v>-95372716</v>
      </c>
      <c r="N42" s="195">
        <f>-94188416-2000</f>
        <v>-94190416</v>
      </c>
      <c r="O42" s="195">
        <v>-93003115</v>
      </c>
      <c r="P42" s="195"/>
      <c r="Q42" s="214">
        <f>ROUND(((C42+O42)+(SUM(D42:N42)*2))/24,0)</f>
        <v>-100863596</v>
      </c>
      <c r="R42" s="97"/>
      <c r="S42" s="397"/>
      <c r="T42" s="89"/>
      <c r="U42" s="93"/>
      <c r="V42" s="256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5" thickBot="1">
      <c r="A43" s="129">
        <f t="shared" si="13"/>
        <v>28</v>
      </c>
      <c r="B43" s="228" t="s">
        <v>120</v>
      </c>
      <c r="C43" s="226">
        <f t="shared" ref="C43:H43" si="16">SUM(C40:C42)</f>
        <v>-91195132</v>
      </c>
      <c r="D43" s="226">
        <f t="shared" si="16"/>
        <v>-22481959</v>
      </c>
      <c r="E43" s="226">
        <f t="shared" si="16"/>
        <v>-55279366</v>
      </c>
      <c r="F43" s="226">
        <f t="shared" si="16"/>
        <v>13726541</v>
      </c>
      <c r="G43" s="226">
        <f t="shared" si="16"/>
        <v>96306237</v>
      </c>
      <c r="H43" s="226">
        <f t="shared" si="16"/>
        <v>120617933</v>
      </c>
      <c r="I43" s="226">
        <f t="shared" ref="I43:O43" si="17">SUM(I40:I42)</f>
        <v>10081629</v>
      </c>
      <c r="J43" s="226">
        <f t="shared" si="17"/>
        <v>72810460</v>
      </c>
      <c r="K43" s="226">
        <f t="shared" si="17"/>
        <v>117925653</v>
      </c>
      <c r="L43" s="226">
        <f t="shared" si="17"/>
        <v>-34721153</v>
      </c>
      <c r="M43" s="226">
        <f t="shared" si="17"/>
        <v>-12558680</v>
      </c>
      <c r="N43" s="226">
        <f t="shared" si="17"/>
        <v>97551723</v>
      </c>
      <c r="O43" s="226">
        <f t="shared" si="17"/>
        <v>128093128</v>
      </c>
      <c r="P43" s="270"/>
      <c r="Q43" s="214">
        <f>ROUND(((C43+O43)+(SUM(D43:N43)*2))/24,0)</f>
        <v>35202335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5" thickBot="1">
      <c r="A44" s="129">
        <f t="shared" si="13"/>
        <v>29</v>
      </c>
      <c r="B44" s="441" t="s">
        <v>103</v>
      </c>
      <c r="C44" s="297">
        <f t="shared" ref="C44:O44" si="18">+C34-C38-C43</f>
        <v>4460160756</v>
      </c>
      <c r="D44" s="297">
        <f t="shared" si="18"/>
        <v>4536766583</v>
      </c>
      <c r="E44" s="297">
        <f t="shared" si="18"/>
        <v>4589731990</v>
      </c>
      <c r="F44" s="297">
        <f t="shared" si="18"/>
        <v>4633484654</v>
      </c>
      <c r="G44" s="297">
        <f t="shared" si="18"/>
        <v>4649477193</v>
      </c>
      <c r="H44" s="297">
        <f t="shared" si="18"/>
        <v>4642224219</v>
      </c>
      <c r="I44" s="297">
        <f t="shared" si="18"/>
        <v>4631868154</v>
      </c>
      <c r="J44" s="297">
        <f t="shared" si="18"/>
        <v>4632679230</v>
      </c>
      <c r="K44" s="297">
        <f t="shared" si="18"/>
        <v>4625201467</v>
      </c>
      <c r="L44" s="297">
        <f t="shared" si="18"/>
        <v>4659226317</v>
      </c>
      <c r="M44" s="297">
        <f t="shared" si="18"/>
        <v>4671741396</v>
      </c>
      <c r="N44" s="297">
        <f t="shared" si="18"/>
        <v>4697533219</v>
      </c>
      <c r="O44" s="297">
        <f t="shared" si="18"/>
        <v>4771802672</v>
      </c>
      <c r="P44" s="97"/>
      <c r="Q44" s="214">
        <f>ROUND(((C44+O44)+(SUM(D44:N44)*2))/24,0)</f>
        <v>4632159678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43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448" t="s">
        <v>200</v>
      </c>
      <c r="C46" s="447">
        <f t="shared" ref="C46:J46" si="19">MROUND(C20,1000)-MROUND(C44,1000)</f>
        <v>0</v>
      </c>
      <c r="D46" s="447">
        <f t="shared" si="19"/>
        <v>0</v>
      </c>
      <c r="E46" s="447">
        <f>MROUND(E20,1000)-MROUND(E44,1000)</f>
        <v>0</v>
      </c>
      <c r="F46" s="447">
        <f t="shared" si="19"/>
        <v>0</v>
      </c>
      <c r="G46" s="447">
        <f t="shared" si="19"/>
        <v>0</v>
      </c>
      <c r="H46" s="447">
        <f t="shared" si="19"/>
        <v>0</v>
      </c>
      <c r="I46" s="447">
        <f t="shared" si="19"/>
        <v>0</v>
      </c>
      <c r="J46" s="447">
        <f t="shared" si="19"/>
        <v>0</v>
      </c>
      <c r="K46" s="447">
        <f>MROUND(K20,1000)-MROUND(K44,1000)</f>
        <v>0</v>
      </c>
      <c r="L46" s="447">
        <f>MROUND(L20,1000)-MROUND(L44,1000)</f>
        <v>0</v>
      </c>
      <c r="M46" s="447">
        <f>MROUND(M20,1000)-MROUND(M44,1000)</f>
        <v>0</v>
      </c>
      <c r="N46" s="447">
        <f>MROUND(N20,1000)-MROUND(N44,1000)</f>
        <v>0</v>
      </c>
      <c r="O46" s="447">
        <f>MROUND(O20,1000)-MROUND(O44,1000)</f>
        <v>0</v>
      </c>
      <c r="P46" s="195"/>
      <c r="Q46" s="89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447"/>
      <c r="D47" s="447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195"/>
      <c r="Q47" s="89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89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195"/>
      <c r="Q49" s="89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43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195"/>
      <c r="Q50" s="420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43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195"/>
      <c r="Q51" s="91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196"/>
      <c r="Q52" s="89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00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40"/>
      <c r="D54" s="440"/>
      <c r="E54" s="440"/>
      <c r="F54" s="440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400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89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21"/>
      <c r="I56" s="221"/>
      <c r="J56" s="221"/>
      <c r="K56" s="442"/>
      <c r="L56" s="221"/>
      <c r="M56" s="429"/>
      <c r="N56" s="90"/>
      <c r="O56" s="90"/>
      <c r="P56" s="90"/>
      <c r="Q56" s="89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21"/>
      <c r="I57" s="221"/>
      <c r="J57" s="444"/>
      <c r="K57" s="97"/>
      <c r="L57" s="221"/>
      <c r="M57" s="90"/>
      <c r="N57" s="90"/>
      <c r="O57" s="90"/>
      <c r="P57" s="90"/>
      <c r="Q57" s="89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21"/>
      <c r="I58" s="221"/>
      <c r="J58" s="444"/>
      <c r="K58" s="97"/>
      <c r="L58" s="221"/>
      <c r="M58" s="90"/>
      <c r="N58" s="90"/>
      <c r="O58" s="90"/>
      <c r="P58" s="90"/>
      <c r="Q58" s="89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21"/>
      <c r="I59" s="221"/>
      <c r="J59" s="221"/>
      <c r="K59" s="195"/>
      <c r="L59" s="221"/>
      <c r="M59" s="90"/>
      <c r="N59" s="90"/>
      <c r="O59" s="90"/>
      <c r="P59" s="90"/>
      <c r="Q59" s="89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21"/>
      <c r="I60" s="221"/>
      <c r="J60" s="221"/>
      <c r="K60" s="221"/>
      <c r="L60" s="221"/>
      <c r="M60" s="90"/>
      <c r="N60" s="90"/>
      <c r="O60" s="90"/>
      <c r="P60" s="90"/>
      <c r="Q60" s="89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3"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D35" sqref="D3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3"/>
      <c r="B2" s="324" t="s">
        <v>25</v>
      </c>
      <c r="C2" s="197"/>
      <c r="D2" s="197"/>
      <c r="E2" s="197"/>
      <c r="F2" s="197"/>
    </row>
    <row r="3" spans="1:8" ht="15.75">
      <c r="A3" s="33"/>
      <c r="B3" s="324" t="s">
        <v>37</v>
      </c>
      <c r="C3" s="197"/>
      <c r="D3" s="197"/>
      <c r="E3" s="197"/>
      <c r="F3" s="197"/>
    </row>
    <row r="4" spans="1:8" ht="15.75" customHeight="1">
      <c r="B4" s="325" t="str">
        <f>'New Format'!B5</f>
        <v>For The 12 Months Ending December 31, 2022</v>
      </c>
      <c r="C4" s="198"/>
      <c r="D4" s="198"/>
      <c r="E4" s="198"/>
      <c r="F4" s="198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337">
        <f>'Pg 4 STD OS &amp; Comm Fees'!C11</f>
        <v>80326397.25</v>
      </c>
      <c r="D13" s="207">
        <f>IF(E13=0,"NA",(E13/C13))</f>
        <v>3.3086468595477807E-2</v>
      </c>
      <c r="E13" s="75">
        <f>'Pg 4 STD OS &amp; Comm Fees'!D11</f>
        <v>2657716.8199999998</v>
      </c>
      <c r="F13" s="73"/>
      <c r="G13" s="74"/>
    </row>
    <row r="14" spans="1:8">
      <c r="A14" s="3">
        <f t="shared" si="0"/>
        <v>7</v>
      </c>
      <c r="B14" s="66" t="s">
        <v>115</v>
      </c>
      <c r="C14" s="84">
        <f>'Pg 4 STD OS &amp; Comm Fees'!C12</f>
        <v>0</v>
      </c>
      <c r="D14" s="207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7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199</v>
      </c>
      <c r="C16" s="84">
        <f>'Pg 4 STD OS &amp; Comm Fees'!C14</f>
        <v>0</v>
      </c>
      <c r="D16" s="207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18" t="s">
        <v>153</v>
      </c>
      <c r="C17" s="320">
        <f>SUM(C13:C16)</f>
        <v>80326397.25</v>
      </c>
      <c r="D17" s="321">
        <f>IF(E17=0,"NA",(E17/C17))</f>
        <v>3.3086468595477807E-2</v>
      </c>
      <c r="E17" s="319">
        <f>SUM(E13:E16)</f>
        <v>2657716.8199999998</v>
      </c>
      <c r="F17" s="73">
        <f>E17/C23</f>
        <v>3.3086468595477807E-2</v>
      </c>
      <c r="G17" s="74"/>
    </row>
    <row r="18" spans="1:7">
      <c r="A18" s="3">
        <f t="shared" si="0"/>
        <v>13</v>
      </c>
      <c r="B18" s="66"/>
      <c r="C18" s="85"/>
      <c r="D18" s="208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7">
        <f>'Pg 4 STD OS &amp; Comm Fees'!F16</f>
        <v>1472771.9939616318</v>
      </c>
      <c r="F19" s="401">
        <f>E19/C23</f>
        <v>1.8334844389670816E-2</v>
      </c>
      <c r="G19" s="187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7">
        <f>-'Pg 5 STD Amort'!H27</f>
        <v>729397.27</v>
      </c>
      <c r="F21" s="401">
        <f>E21/C23</f>
        <v>9.0804180813673935E-3</v>
      </c>
      <c r="G21" s="187" t="s">
        <v>98</v>
      </c>
    </row>
    <row r="22" spans="1:7" ht="13.5" thickBot="1">
      <c r="A22" s="3">
        <f t="shared" si="0"/>
        <v>17</v>
      </c>
      <c r="B22" s="66"/>
      <c r="C22" s="76"/>
      <c r="D22" s="75"/>
      <c r="E22" s="83"/>
      <c r="G22" s="66"/>
    </row>
    <row r="23" spans="1:7" ht="13.5" thickBot="1">
      <c r="A23" s="3">
        <f t="shared" si="0"/>
        <v>18</v>
      </c>
      <c r="B23" s="79" t="s">
        <v>39</v>
      </c>
      <c r="C23" s="80">
        <f>C17</f>
        <v>80326397.25</v>
      </c>
      <c r="D23" s="81"/>
      <c r="E23" s="80">
        <f>SUM(E17:E22)</f>
        <v>4859886.0839616321</v>
      </c>
      <c r="F23" s="212">
        <f>E23/C23</f>
        <v>6.0501731066516018E-2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0" t="s">
        <v>169</v>
      </c>
      <c r="C26" s="131"/>
      <c r="D26" s="131"/>
      <c r="E26" s="131"/>
      <c r="F26" s="70"/>
      <c r="G26" s="10"/>
    </row>
    <row r="27" spans="1:7">
      <c r="A27" s="3">
        <f t="shared" si="0"/>
        <v>22</v>
      </c>
      <c r="B27" s="130" t="s">
        <v>146</v>
      </c>
      <c r="C27" s="131"/>
      <c r="D27" s="131"/>
      <c r="E27" s="131"/>
      <c r="F27" s="70"/>
      <c r="G27" s="10"/>
    </row>
    <row r="28" spans="1:7">
      <c r="A28" s="3">
        <f t="shared" si="0"/>
        <v>23</v>
      </c>
      <c r="B28" s="130" t="s">
        <v>168</v>
      </c>
      <c r="C28" s="70"/>
      <c r="D28" s="70"/>
      <c r="E28" s="70"/>
      <c r="F28" s="70"/>
      <c r="G28" s="10"/>
    </row>
    <row r="29" spans="1:7">
      <c r="A29" s="3"/>
      <c r="B29" s="130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R20" sqref="R20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2.75">
      <c r="A3" s="34"/>
      <c r="B3" s="261" t="str">
        <f>'New Format'!B5</f>
        <v>For The 12 Months Ending December 31, 2022</v>
      </c>
      <c r="C3" s="252"/>
      <c r="D3" s="253"/>
      <c r="E3" s="253"/>
      <c r="F3" s="253"/>
      <c r="G3" s="254"/>
      <c r="H3" s="254"/>
      <c r="I3" s="254"/>
      <c r="J3" s="254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5" thickBot="1">
      <c r="A5" s="188">
        <v>1</v>
      </c>
      <c r="B5" s="339" t="s">
        <v>5</v>
      </c>
      <c r="C5" s="339" t="s">
        <v>27</v>
      </c>
      <c r="D5" s="339" t="s">
        <v>52</v>
      </c>
      <c r="E5" s="339" t="s">
        <v>64</v>
      </c>
      <c r="F5" s="339" t="s">
        <v>65</v>
      </c>
      <c r="G5" s="339" t="s">
        <v>66</v>
      </c>
      <c r="H5" s="339" t="s">
        <v>67</v>
      </c>
      <c r="I5" s="339" t="s">
        <v>68</v>
      </c>
      <c r="J5" s="339" t="s">
        <v>69</v>
      </c>
      <c r="K5" s="68"/>
      <c r="L5" s="68"/>
      <c r="N5" s="34"/>
      <c r="O5" s="34"/>
    </row>
    <row r="6" spans="1:15" ht="12">
      <c r="A6" s="188">
        <f>+A5+1</f>
        <v>2</v>
      </c>
      <c r="B6" s="340" t="s">
        <v>121</v>
      </c>
      <c r="C6" s="341"/>
      <c r="D6" s="341"/>
      <c r="E6" s="341"/>
      <c r="F6" s="341"/>
      <c r="G6" s="341"/>
      <c r="H6" s="149"/>
      <c r="I6" s="149"/>
      <c r="J6" s="149"/>
      <c r="K6" s="342"/>
      <c r="M6" s="34"/>
      <c r="N6" s="34"/>
      <c r="O6" s="34"/>
    </row>
    <row r="7" spans="1:15" ht="12">
      <c r="A7" s="188">
        <f>+A6+1</f>
        <v>3</v>
      </c>
      <c r="B7" s="201"/>
      <c r="C7" s="202"/>
      <c r="D7" s="202"/>
      <c r="E7" s="202"/>
      <c r="F7" s="202" t="s">
        <v>2</v>
      </c>
      <c r="G7" s="37" t="s">
        <v>2</v>
      </c>
      <c r="H7" s="37"/>
      <c r="I7" s="37"/>
      <c r="J7" s="37"/>
      <c r="K7" s="343" t="s">
        <v>2</v>
      </c>
      <c r="L7" s="34"/>
      <c r="M7" s="269"/>
      <c r="N7" s="34"/>
      <c r="O7" s="34"/>
    </row>
    <row r="8" spans="1:15" ht="12">
      <c r="A8" s="188">
        <f>A7+1</f>
        <v>4</v>
      </c>
      <c r="B8" s="201"/>
      <c r="C8" s="209" t="s">
        <v>50</v>
      </c>
      <c r="D8" s="209" t="s">
        <v>114</v>
      </c>
      <c r="E8" s="209" t="s">
        <v>50</v>
      </c>
      <c r="F8" s="209" t="s">
        <v>130</v>
      </c>
      <c r="G8" s="37"/>
      <c r="H8" s="37"/>
      <c r="I8" s="37"/>
      <c r="J8" s="37"/>
      <c r="K8" s="343"/>
      <c r="L8" s="200"/>
      <c r="M8" s="34"/>
      <c r="N8" s="34"/>
      <c r="O8" s="34"/>
    </row>
    <row r="9" spans="1:15" ht="12">
      <c r="A9" s="188">
        <f>A8+1</f>
        <v>5</v>
      </c>
      <c r="B9" s="201"/>
      <c r="C9" s="210" t="s">
        <v>148</v>
      </c>
      <c r="D9" s="210" t="s">
        <v>38</v>
      </c>
      <c r="E9" s="210" t="s">
        <v>99</v>
      </c>
      <c r="F9" s="210" t="s">
        <v>149</v>
      </c>
      <c r="G9" s="39"/>
      <c r="H9" s="39"/>
      <c r="I9" s="37"/>
      <c r="J9" s="37"/>
      <c r="K9" s="343"/>
      <c r="L9" s="200"/>
      <c r="M9" s="235"/>
      <c r="N9" s="34"/>
      <c r="O9" s="34"/>
    </row>
    <row r="10" spans="1:15" ht="12">
      <c r="A10" s="188">
        <f>A9+1</f>
        <v>6</v>
      </c>
      <c r="B10" s="201"/>
      <c r="C10" s="88"/>
      <c r="D10" s="88"/>
      <c r="E10" s="88"/>
      <c r="F10" s="317"/>
      <c r="G10" s="37"/>
      <c r="H10" s="37"/>
      <c r="I10" s="37"/>
      <c r="J10" s="37"/>
      <c r="K10" s="343"/>
      <c r="L10" s="34"/>
      <c r="M10" s="34"/>
      <c r="O10" s="34"/>
    </row>
    <row r="11" spans="1:15" ht="12">
      <c r="A11" s="188">
        <f t="shared" ref="A11:A36" si="0">A10+1</f>
        <v>7</v>
      </c>
      <c r="B11" s="201" t="s">
        <v>36</v>
      </c>
      <c r="C11" s="312">
        <v>80326397.25</v>
      </c>
      <c r="D11" s="312">
        <v>2657716.8199999998</v>
      </c>
      <c r="E11" s="263">
        <f>IF(C11=0,"NA",(D11/C11))</f>
        <v>3.3086468595477807E-2</v>
      </c>
      <c r="F11" s="365">
        <v>0</v>
      </c>
      <c r="G11" s="334"/>
      <c r="H11" s="456"/>
      <c r="I11" s="37"/>
      <c r="J11" s="37"/>
      <c r="K11" s="343"/>
      <c r="L11" s="34"/>
      <c r="M11" s="355"/>
      <c r="O11" s="34"/>
    </row>
    <row r="12" spans="1:15" ht="12">
      <c r="A12" s="188">
        <f t="shared" si="0"/>
        <v>8</v>
      </c>
      <c r="B12" s="201" t="s">
        <v>115</v>
      </c>
      <c r="C12" s="312">
        <v>0</v>
      </c>
      <c r="D12" s="312">
        <v>0</v>
      </c>
      <c r="E12" s="263" t="str">
        <f>IF(C12=0,"NA",(D12/C12))</f>
        <v>NA</v>
      </c>
      <c r="F12" s="365">
        <v>0</v>
      </c>
      <c r="G12" s="334"/>
      <c r="H12" s="313"/>
      <c r="I12" s="37"/>
      <c r="J12" s="37"/>
      <c r="K12" s="343"/>
      <c r="L12" s="34"/>
      <c r="M12" s="355"/>
      <c r="O12" s="34"/>
    </row>
    <row r="13" spans="1:15" ht="12" hidden="1">
      <c r="A13" s="188">
        <v>9</v>
      </c>
      <c r="B13" s="201" t="s">
        <v>177</v>
      </c>
      <c r="C13" s="312">
        <v>0</v>
      </c>
      <c r="D13" s="312">
        <v>0</v>
      </c>
      <c r="E13" s="263" t="str">
        <f>IF(C13=0,"NA",(D13/C13))</f>
        <v>NA</v>
      </c>
      <c r="F13" s="206">
        <f>J26</f>
        <v>0</v>
      </c>
      <c r="G13" s="334"/>
      <c r="H13" s="354"/>
      <c r="I13" s="37"/>
      <c r="J13" s="37"/>
      <c r="K13" s="343"/>
      <c r="L13" s="34"/>
      <c r="M13" s="355"/>
      <c r="O13" s="34"/>
    </row>
    <row r="14" spans="1:15" ht="12">
      <c r="A14" s="188">
        <f>A13+1</f>
        <v>10</v>
      </c>
      <c r="B14" s="201" t="s">
        <v>199</v>
      </c>
      <c r="C14" s="312">
        <v>0</v>
      </c>
      <c r="D14" s="312">
        <v>0</v>
      </c>
      <c r="E14" s="263" t="str">
        <f>IF(C14=0,"NA",(D14/C14))</f>
        <v>NA</v>
      </c>
      <c r="F14" s="206">
        <f>J27</f>
        <v>1419444.4443999999</v>
      </c>
      <c r="G14" s="334"/>
      <c r="H14" s="313"/>
      <c r="I14" s="37"/>
      <c r="J14" s="37"/>
      <c r="K14" s="343"/>
      <c r="L14" s="34"/>
      <c r="M14" s="199"/>
      <c r="N14" s="34"/>
      <c r="O14" s="34"/>
    </row>
    <row r="15" spans="1:15" ht="12">
      <c r="A15" s="188">
        <f t="shared" si="0"/>
        <v>11</v>
      </c>
      <c r="B15" s="201" t="s">
        <v>155</v>
      </c>
      <c r="C15" s="312">
        <v>0</v>
      </c>
      <c r="D15" s="312">
        <v>0</v>
      </c>
      <c r="E15" s="263" t="str">
        <f>IF(C15=0,"NA",(D15/C15))</f>
        <v>NA</v>
      </c>
      <c r="F15" s="206">
        <f>J33</f>
        <v>53327.549561631939</v>
      </c>
      <c r="G15" s="37"/>
      <c r="H15" s="37"/>
      <c r="I15" s="37"/>
      <c r="J15" s="37"/>
      <c r="K15" s="343"/>
      <c r="L15" s="34"/>
      <c r="M15" s="34"/>
      <c r="N15" s="34"/>
      <c r="O15" s="34"/>
    </row>
    <row r="16" spans="1:15" ht="12.75" thickBot="1">
      <c r="A16" s="188">
        <f t="shared" si="0"/>
        <v>12</v>
      </c>
      <c r="B16" s="323" t="s">
        <v>159</v>
      </c>
      <c r="C16" s="357">
        <f>SUM(C10:C15)</f>
        <v>80326397.25</v>
      </c>
      <c r="D16" s="359">
        <f>SUM(D10:D15)</f>
        <v>2657716.8199999998</v>
      </c>
      <c r="E16" s="358">
        <f>D16/C16</f>
        <v>3.3086468595477807E-2</v>
      </c>
      <c r="F16" s="359">
        <f>SUM(F10:F15)</f>
        <v>1472771.9939616318</v>
      </c>
      <c r="G16" s="37"/>
      <c r="H16" s="37"/>
      <c r="I16" s="37"/>
      <c r="J16" s="37"/>
      <c r="K16" s="343"/>
      <c r="L16" s="34"/>
      <c r="M16" s="34"/>
      <c r="N16" s="34"/>
      <c r="O16" s="34"/>
    </row>
    <row r="17" spans="1:15" ht="12.75" thickTop="1">
      <c r="A17" s="188"/>
      <c r="B17" s="323"/>
      <c r="C17" s="395"/>
      <c r="D17" s="418"/>
      <c r="E17" s="419"/>
      <c r="F17" s="418"/>
      <c r="G17" s="37"/>
      <c r="H17" s="37"/>
      <c r="I17" s="37"/>
      <c r="J17" s="37"/>
      <c r="K17" s="343"/>
      <c r="L17" s="34"/>
      <c r="M17" s="34"/>
      <c r="N17" s="34"/>
      <c r="O17" s="34"/>
    </row>
    <row r="18" spans="1:15" ht="12">
      <c r="A18" s="188"/>
      <c r="B18" s="411" t="s">
        <v>193</v>
      </c>
      <c r="C18" s="203"/>
      <c r="D18" s="204"/>
      <c r="E18" s="202"/>
      <c r="F18" s="410">
        <f>'New Format'!C30</f>
        <v>9515764392</v>
      </c>
      <c r="G18" s="37"/>
      <c r="H18" s="37"/>
      <c r="I18" s="37"/>
      <c r="J18" s="37"/>
      <c r="K18" s="343"/>
      <c r="L18" s="34"/>
      <c r="M18" s="34"/>
      <c r="N18" s="34"/>
      <c r="O18" s="34"/>
    </row>
    <row r="19" spans="1:15" ht="12">
      <c r="A19" s="188"/>
      <c r="B19" s="201"/>
      <c r="C19" s="203"/>
      <c r="D19" s="204"/>
      <c r="E19" s="202"/>
      <c r="F19" s="203"/>
      <c r="G19" s="37"/>
      <c r="H19" s="37"/>
      <c r="I19" s="37"/>
      <c r="J19" s="37"/>
      <c r="K19" s="343"/>
      <c r="L19" s="34"/>
      <c r="M19" s="34"/>
      <c r="N19" s="34"/>
      <c r="O19" s="34"/>
    </row>
    <row r="20" spans="1:15" ht="12">
      <c r="A20" s="188"/>
      <c r="B20" s="411" t="s">
        <v>195</v>
      </c>
      <c r="C20" s="203"/>
      <c r="D20" s="204"/>
      <c r="E20" s="202"/>
      <c r="F20" s="406">
        <f>ROUND(F16/F18,4)</f>
        <v>2.0000000000000001E-4</v>
      </c>
      <c r="G20" s="37"/>
      <c r="H20" s="37"/>
      <c r="I20" s="37"/>
      <c r="J20" s="37"/>
      <c r="K20" s="343"/>
      <c r="L20" s="34"/>
      <c r="M20" s="34"/>
      <c r="N20" s="34"/>
      <c r="O20" s="34"/>
    </row>
    <row r="21" spans="1:15" ht="12.75" thickBot="1">
      <c r="A21" s="188">
        <f>A16+1</f>
        <v>13</v>
      </c>
      <c r="B21" s="336"/>
      <c r="C21" s="205"/>
      <c r="D21" s="205"/>
      <c r="E21" s="205"/>
      <c r="F21" s="205"/>
      <c r="G21" s="344"/>
      <c r="H21" s="344"/>
      <c r="I21" s="344"/>
      <c r="J21" s="344"/>
      <c r="K21" s="345"/>
      <c r="L21" s="37"/>
      <c r="M21" s="34"/>
      <c r="N21" s="34"/>
      <c r="O21" s="34"/>
    </row>
    <row r="22" spans="1:15" ht="12">
      <c r="A22" s="188">
        <f t="shared" si="0"/>
        <v>14</v>
      </c>
      <c r="B22" s="468" t="s">
        <v>97</v>
      </c>
      <c r="C22" s="469"/>
      <c r="D22" s="149"/>
      <c r="E22" s="149"/>
      <c r="F22" s="149"/>
      <c r="G22" s="149"/>
      <c r="H22" s="180"/>
      <c r="I22" s="180"/>
      <c r="J22" s="180"/>
      <c r="K22" s="146"/>
      <c r="L22" s="37" t="s">
        <v>2</v>
      </c>
      <c r="M22" s="34"/>
      <c r="N22" s="34"/>
      <c r="O22" s="34"/>
    </row>
    <row r="23" spans="1:15" ht="12">
      <c r="A23" s="188">
        <f t="shared" si="0"/>
        <v>15</v>
      </c>
      <c r="B23" s="466" t="s">
        <v>106</v>
      </c>
      <c r="C23" s="467"/>
      <c r="D23" s="37"/>
      <c r="E23" s="37"/>
      <c r="F23" s="37"/>
      <c r="G23" s="215" t="s">
        <v>178</v>
      </c>
      <c r="H23" s="215" t="s">
        <v>178</v>
      </c>
      <c r="I23" s="41"/>
      <c r="J23" s="41"/>
      <c r="K23" s="151"/>
      <c r="L23" s="37"/>
      <c r="M23" s="34"/>
      <c r="N23" s="34"/>
      <c r="O23" s="34"/>
    </row>
    <row r="24" spans="1:15" ht="12">
      <c r="A24" s="188">
        <f t="shared" si="0"/>
        <v>16</v>
      </c>
      <c r="B24" s="181"/>
      <c r="C24" s="179"/>
      <c r="D24" s="37"/>
      <c r="E24" s="37"/>
      <c r="F24" s="37"/>
      <c r="G24" s="215" t="s">
        <v>151</v>
      </c>
      <c r="H24" s="215" t="s">
        <v>152</v>
      </c>
      <c r="I24" s="41"/>
      <c r="J24" s="41"/>
      <c r="K24" s="151"/>
      <c r="L24" s="37"/>
      <c r="M24" s="34"/>
      <c r="N24" s="34"/>
      <c r="O24" s="34"/>
    </row>
    <row r="25" spans="1:15" ht="12">
      <c r="A25" s="188">
        <f t="shared" si="0"/>
        <v>17</v>
      </c>
      <c r="B25" s="150"/>
      <c r="C25" s="38" t="s">
        <v>48</v>
      </c>
      <c r="D25" s="38" t="s">
        <v>49</v>
      </c>
      <c r="E25" s="39" t="s">
        <v>51</v>
      </c>
      <c r="F25" s="39" t="s">
        <v>130</v>
      </c>
      <c r="G25" s="39" t="s">
        <v>150</v>
      </c>
      <c r="H25" s="39" t="s">
        <v>130</v>
      </c>
      <c r="I25" s="39" t="s">
        <v>60</v>
      </c>
      <c r="J25" s="39" t="s">
        <v>61</v>
      </c>
      <c r="K25" s="182"/>
      <c r="L25" s="37"/>
      <c r="M25" s="34"/>
      <c r="N25" s="34"/>
      <c r="O25" s="34"/>
    </row>
    <row r="26" spans="1:15" ht="12" hidden="1">
      <c r="A26" s="188">
        <v>18</v>
      </c>
      <c r="B26" s="201" t="s">
        <v>177</v>
      </c>
      <c r="C26" s="313"/>
      <c r="D26" s="313"/>
      <c r="E26" s="335">
        <f>D26-C26</f>
        <v>0</v>
      </c>
      <c r="F26" s="356">
        <v>650000000</v>
      </c>
      <c r="G26" s="255">
        <f>C13+H32</f>
        <v>4542465.75</v>
      </c>
      <c r="H26" s="255">
        <f>F26-G26</f>
        <v>645457534.25</v>
      </c>
      <c r="I26" s="366">
        <v>1.75E-3</v>
      </c>
      <c r="J26" s="206">
        <f>ROUND(H26*I26*E26/360,4)</f>
        <v>0</v>
      </c>
      <c r="K26" s="151"/>
      <c r="L26" s="37"/>
      <c r="M26" s="34"/>
      <c r="N26" s="34"/>
      <c r="O26" s="34"/>
    </row>
    <row r="27" spans="1:15" ht="12">
      <c r="A27" s="188">
        <f>A26+1</f>
        <v>19</v>
      </c>
      <c r="B27" s="201" t="s">
        <v>199</v>
      </c>
      <c r="C27" s="313">
        <v>44562</v>
      </c>
      <c r="D27" s="313">
        <v>44926</v>
      </c>
      <c r="E27" s="335">
        <f>D27-C27+1</f>
        <v>365</v>
      </c>
      <c r="F27" s="356">
        <v>800000000</v>
      </c>
      <c r="G27" s="255">
        <f>C14+H33</f>
        <v>0</v>
      </c>
      <c r="H27" s="255">
        <f>F27-G27</f>
        <v>800000000</v>
      </c>
      <c r="I27" s="366">
        <v>1.75E-3</v>
      </c>
      <c r="J27" s="206">
        <f>ROUND(H27*I27*E27/360,4)</f>
        <v>1419444.4443999999</v>
      </c>
      <c r="K27" s="183"/>
      <c r="L27" s="37"/>
      <c r="M27" s="34"/>
      <c r="N27" s="34"/>
      <c r="O27" s="34"/>
    </row>
    <row r="28" spans="1:15" ht="12.75" thickBot="1">
      <c r="A28" s="188">
        <f t="shared" si="0"/>
        <v>20</v>
      </c>
      <c r="B28" s="259" t="s">
        <v>129</v>
      </c>
      <c r="C28" s="40"/>
      <c r="D28" s="271"/>
      <c r="E28" s="316"/>
      <c r="F28" s="272"/>
      <c r="G28" s="414"/>
      <c r="H28" s="414"/>
      <c r="I28" s="273"/>
      <c r="J28" s="417">
        <f>+J26+J27</f>
        <v>1419444.4443999999</v>
      </c>
      <c r="K28" s="183"/>
      <c r="L28" s="37"/>
      <c r="M28" s="34"/>
      <c r="N28" s="34"/>
      <c r="O28" s="34"/>
    </row>
    <row r="29" spans="1:15" ht="12.75" thickTop="1">
      <c r="A29" s="188">
        <f t="shared" si="0"/>
        <v>21</v>
      </c>
      <c r="B29" s="238"/>
      <c r="C29" s="40"/>
      <c r="D29" s="271"/>
      <c r="E29" s="316"/>
      <c r="F29" s="316"/>
      <c r="G29" s="271"/>
      <c r="H29" s="274"/>
      <c r="I29" s="274"/>
      <c r="J29" s="274"/>
      <c r="K29" s="183"/>
      <c r="L29" s="37"/>
      <c r="M29" s="34"/>
      <c r="N29" s="34"/>
      <c r="O29" s="34"/>
    </row>
    <row r="30" spans="1:15" ht="12">
      <c r="A30" s="188">
        <f t="shared" si="0"/>
        <v>22</v>
      </c>
      <c r="B30" s="258" t="s">
        <v>131</v>
      </c>
      <c r="C30" s="313"/>
      <c r="D30" s="313"/>
      <c r="E30" s="88"/>
      <c r="F30" s="39" t="s">
        <v>170</v>
      </c>
      <c r="G30" s="39" t="s">
        <v>51</v>
      </c>
      <c r="H30" s="39" t="s">
        <v>156</v>
      </c>
      <c r="I30" s="271"/>
      <c r="J30" s="274"/>
      <c r="K30" s="183"/>
      <c r="L30" s="37"/>
      <c r="M30" s="34"/>
      <c r="N30" s="34"/>
      <c r="O30" s="34"/>
    </row>
    <row r="31" spans="1:15" ht="12">
      <c r="A31" s="188">
        <f t="shared" si="0"/>
        <v>23</v>
      </c>
      <c r="B31" s="259" t="s">
        <v>157</v>
      </c>
      <c r="C31" s="414"/>
      <c r="D31" s="88"/>
      <c r="E31" s="88"/>
      <c r="F31" s="415" t="s">
        <v>172</v>
      </c>
      <c r="G31" s="335">
        <f>E27</f>
        <v>365</v>
      </c>
      <c r="H31" s="312">
        <v>2402909</v>
      </c>
      <c r="I31" s="366">
        <v>0.01</v>
      </c>
      <c r="J31" s="206">
        <f>(I31*H31)*(G31/360)+(15*12)</f>
        <v>24542.827361111111</v>
      </c>
      <c r="K31" s="183"/>
      <c r="L31" s="37"/>
      <c r="M31" s="34"/>
      <c r="N31" s="34"/>
      <c r="O31" s="34"/>
    </row>
    <row r="32" spans="1:15" ht="12.75" customHeight="1">
      <c r="A32" s="188">
        <f>A31+1</f>
        <v>24</v>
      </c>
      <c r="B32" s="259" t="s">
        <v>207</v>
      </c>
      <c r="C32" s="414"/>
      <c r="D32" s="88"/>
      <c r="E32" s="88"/>
      <c r="F32" s="415" t="s">
        <v>208</v>
      </c>
      <c r="G32" s="335">
        <f>E27</f>
        <v>365</v>
      </c>
      <c r="H32" s="312">
        <v>4542465.75</v>
      </c>
      <c r="I32" s="366">
        <v>6.2500000000000003E-3</v>
      </c>
      <c r="J32" s="206">
        <f>(I32*H32)*(G32/360)</f>
        <v>28784.722200520831</v>
      </c>
      <c r="K32" s="151"/>
      <c r="L32" s="37"/>
      <c r="M32" s="34"/>
      <c r="N32" s="34"/>
      <c r="O32" s="34"/>
    </row>
    <row r="33" spans="1:19" ht="12.75" customHeight="1" thickBot="1">
      <c r="A33" s="188">
        <f t="shared" si="0"/>
        <v>25</v>
      </c>
      <c r="B33" s="322" t="s">
        <v>158</v>
      </c>
      <c r="C33" s="414"/>
      <c r="D33" s="414"/>
      <c r="E33" s="416"/>
      <c r="F33" s="356"/>
      <c r="G33" s="335"/>
      <c r="H33" s="41"/>
      <c r="I33" s="41"/>
      <c r="J33" s="417">
        <f>SUM(J31:J32)</f>
        <v>53327.549561631939</v>
      </c>
      <c r="K33" s="151"/>
      <c r="L33" s="37"/>
      <c r="M33" s="34"/>
      <c r="N33" s="34"/>
      <c r="O33" s="34"/>
    </row>
    <row r="34" spans="1:19" ht="12.75" customHeight="1" thickTop="1">
      <c r="A34" s="188">
        <f t="shared" si="0"/>
        <v>26</v>
      </c>
      <c r="B34" s="259"/>
      <c r="C34" s="414"/>
      <c r="D34" s="414"/>
      <c r="E34" s="414"/>
      <c r="F34" s="314"/>
      <c r="G34" s="315"/>
      <c r="H34" s="41"/>
      <c r="I34" s="41"/>
      <c r="J34" s="41"/>
      <c r="K34" s="151"/>
      <c r="L34" s="37"/>
      <c r="M34" s="34"/>
      <c r="N34" s="34"/>
      <c r="O34" s="34"/>
    </row>
    <row r="35" spans="1:19" ht="12">
      <c r="A35" s="188">
        <f t="shared" si="0"/>
        <v>27</v>
      </c>
      <c r="B35" s="181"/>
      <c r="C35" s="179"/>
      <c r="D35" s="179"/>
      <c r="E35" s="88"/>
      <c r="F35" s="88"/>
      <c r="G35" s="88"/>
      <c r="H35" s="147"/>
      <c r="I35" s="147"/>
      <c r="J35" s="147"/>
      <c r="K35" s="151"/>
    </row>
    <row r="36" spans="1:19" ht="12.75" thickBot="1">
      <c r="A36" s="188">
        <f t="shared" si="0"/>
        <v>28</v>
      </c>
      <c r="B36" s="125" t="s">
        <v>83</v>
      </c>
      <c r="C36" s="185"/>
      <c r="D36" s="185"/>
      <c r="E36" s="152"/>
      <c r="F36" s="152"/>
      <c r="G36" s="152"/>
      <c r="H36" s="186"/>
      <c r="I36" s="186"/>
      <c r="J36" s="186"/>
      <c r="K36" s="184"/>
      <c r="S36" s="124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H36" sqref="H36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124" customWidth="1"/>
  </cols>
  <sheetData>
    <row r="1" spans="1:9" ht="12">
      <c r="B1" s="35" t="s">
        <v>46</v>
      </c>
    </row>
    <row r="2" spans="1:9" ht="12">
      <c r="A2" s="88"/>
      <c r="B2" s="126" t="s">
        <v>105</v>
      </c>
    </row>
    <row r="3" spans="1:9" ht="12">
      <c r="A3" s="88"/>
      <c r="B3" s="458" t="str">
        <f>'New Format'!B5</f>
        <v>For The 12 Months Ending December 31, 2022</v>
      </c>
    </row>
    <row r="4" spans="1:9" ht="12">
      <c r="A4" s="37"/>
      <c r="B4" s="35"/>
      <c r="C4" s="367"/>
      <c r="D4" s="367"/>
      <c r="E4" s="367"/>
      <c r="F4" s="367"/>
      <c r="G4" s="367"/>
      <c r="H4" s="367"/>
    </row>
    <row r="5" spans="1:9" ht="12">
      <c r="A5" s="368" t="s">
        <v>5</v>
      </c>
      <c r="B5" s="368" t="s">
        <v>27</v>
      </c>
      <c r="C5" s="368" t="s">
        <v>52</v>
      </c>
      <c r="D5" s="368" t="s">
        <v>64</v>
      </c>
      <c r="E5" s="368" t="s">
        <v>65</v>
      </c>
      <c r="F5" s="368" t="s">
        <v>66</v>
      </c>
      <c r="G5" s="368" t="s">
        <v>67</v>
      </c>
      <c r="H5" s="368" t="s">
        <v>68</v>
      </c>
    </row>
    <row r="6" spans="1:9" ht="11.25" customHeight="1">
      <c r="A6" s="367"/>
      <c r="B6" s="369"/>
      <c r="C6" s="369"/>
      <c r="D6" s="369"/>
      <c r="E6" s="369"/>
      <c r="F6" s="369"/>
      <c r="G6" s="369"/>
      <c r="H6" s="369"/>
    </row>
    <row r="7" spans="1:9" ht="11.25" customHeight="1">
      <c r="A7" s="188"/>
      <c r="B7" s="161"/>
      <c r="C7" s="326"/>
      <c r="D7" s="326"/>
      <c r="E7" s="326"/>
      <c r="F7" s="326"/>
      <c r="G7" s="326"/>
    </row>
    <row r="8" spans="1:9" ht="11.25" customHeight="1">
      <c r="A8" s="188">
        <v>1</v>
      </c>
      <c r="B8" s="370" t="s">
        <v>9</v>
      </c>
      <c r="C8" s="371" t="s">
        <v>179</v>
      </c>
      <c r="D8" s="371" t="s">
        <v>198</v>
      </c>
      <c r="E8" s="371" t="s">
        <v>179</v>
      </c>
      <c r="F8" s="371" t="s">
        <v>198</v>
      </c>
      <c r="G8" s="371" t="s">
        <v>198</v>
      </c>
      <c r="H8" s="367"/>
    </row>
    <row r="9" spans="1:9" ht="11.25" customHeight="1">
      <c r="A9" s="188">
        <f>A8+1</f>
        <v>2</v>
      </c>
      <c r="B9" s="370"/>
      <c r="C9" s="372" t="s">
        <v>180</v>
      </c>
      <c r="D9" s="372" t="s">
        <v>180</v>
      </c>
      <c r="E9" s="372" t="s">
        <v>183</v>
      </c>
      <c r="F9" s="372" t="s">
        <v>180</v>
      </c>
      <c r="G9" s="372" t="s">
        <v>183</v>
      </c>
      <c r="H9" s="373" t="s">
        <v>162</v>
      </c>
    </row>
    <row r="10" spans="1:9" ht="11.25" customHeight="1">
      <c r="A10" s="188">
        <f t="shared" ref="A10:A35" si="0">A9+1</f>
        <v>3</v>
      </c>
      <c r="B10" s="126" t="s">
        <v>147</v>
      </c>
      <c r="C10" s="374">
        <v>18100673</v>
      </c>
      <c r="D10" s="374">
        <v>18100683</v>
      </c>
      <c r="E10" s="374">
        <v>18900473</v>
      </c>
      <c r="F10" s="374">
        <v>18101223</v>
      </c>
      <c r="G10" s="374">
        <v>18900483</v>
      </c>
      <c r="H10" s="374" t="s">
        <v>163</v>
      </c>
    </row>
    <row r="11" spans="1:9" ht="11.25" customHeight="1">
      <c r="A11" s="188">
        <f t="shared" si="0"/>
        <v>4</v>
      </c>
      <c r="B11" s="126"/>
      <c r="C11" s="367"/>
      <c r="D11" s="367"/>
      <c r="H11" s="367"/>
    </row>
    <row r="12" spans="1:9" ht="12">
      <c r="A12" s="188">
        <f t="shared" si="0"/>
        <v>5</v>
      </c>
      <c r="B12" s="375" t="s">
        <v>62</v>
      </c>
      <c r="C12" s="367"/>
      <c r="D12" s="367"/>
      <c r="E12" s="367"/>
      <c r="F12" s="367"/>
      <c r="G12" s="367"/>
      <c r="H12" s="376"/>
    </row>
    <row r="13" spans="1:9" ht="12">
      <c r="A13" s="188">
        <f t="shared" si="0"/>
        <v>6</v>
      </c>
      <c r="B13" s="404" t="s">
        <v>203</v>
      </c>
      <c r="C13" s="402">
        <v>102114.3</v>
      </c>
      <c r="D13" s="402">
        <v>1046672.12</v>
      </c>
      <c r="E13" s="402">
        <v>15800.62</v>
      </c>
      <c r="F13" s="402"/>
      <c r="G13" s="402"/>
      <c r="H13" s="378"/>
    </row>
    <row r="14" spans="1:9" ht="12">
      <c r="A14" s="188">
        <f t="shared" si="0"/>
        <v>7</v>
      </c>
      <c r="B14" s="34"/>
      <c r="C14" s="379"/>
      <c r="D14" s="379"/>
      <c r="E14" s="379"/>
      <c r="F14" s="379"/>
      <c r="G14" s="379"/>
      <c r="H14" s="378"/>
    </row>
    <row r="15" spans="1:9" ht="12">
      <c r="A15" s="188">
        <f t="shared" si="0"/>
        <v>8</v>
      </c>
      <c r="B15" s="388">
        <v>44562</v>
      </c>
      <c r="C15" s="379">
        <v>-10211.44</v>
      </c>
      <c r="D15" s="379">
        <f>-47576.01</f>
        <v>-47576.01</v>
      </c>
      <c r="E15" s="379">
        <v>-1580.06</v>
      </c>
      <c r="F15" s="379"/>
      <c r="G15" s="379"/>
      <c r="H15" s="378"/>
    </row>
    <row r="16" spans="1:9" ht="12">
      <c r="A16" s="188">
        <f t="shared" si="0"/>
        <v>9</v>
      </c>
      <c r="B16" s="388">
        <v>44593</v>
      </c>
      <c r="C16" s="379">
        <v>-10211.44</v>
      </c>
      <c r="D16" s="379">
        <f>-47576.01</f>
        <v>-47576.01</v>
      </c>
      <c r="E16" s="379">
        <v>-1580.06</v>
      </c>
      <c r="F16" s="379"/>
      <c r="G16" s="379"/>
      <c r="H16" s="377"/>
      <c r="I16" s="353"/>
    </row>
    <row r="17" spans="1:8" ht="12">
      <c r="A17" s="188">
        <f t="shared" si="0"/>
        <v>10</v>
      </c>
      <c r="B17" s="388">
        <v>44621</v>
      </c>
      <c r="C17" s="379">
        <v>-10211.44</v>
      </c>
      <c r="D17" s="379">
        <f>-47576.01</f>
        <v>-47576.01</v>
      </c>
      <c r="E17" s="379">
        <v>-1580.06</v>
      </c>
      <c r="F17" s="379"/>
      <c r="G17" s="379"/>
      <c r="H17" s="378"/>
    </row>
    <row r="18" spans="1:8" ht="12">
      <c r="A18" s="188">
        <f t="shared" si="0"/>
        <v>11</v>
      </c>
      <c r="B18" s="388">
        <v>44652</v>
      </c>
      <c r="C18" s="379">
        <v>-10211.44</v>
      </c>
      <c r="D18" s="379">
        <f t="shared" ref="D18" si="1">-47576.01</f>
        <v>-47576.01</v>
      </c>
      <c r="E18" s="379">
        <v>-1580.06</v>
      </c>
      <c r="F18" s="379"/>
      <c r="G18" s="379"/>
      <c r="H18" s="378"/>
    </row>
    <row r="19" spans="1:8" ht="12">
      <c r="A19" s="188">
        <f t="shared" si="0"/>
        <v>12</v>
      </c>
      <c r="B19" s="388">
        <v>44682</v>
      </c>
      <c r="C19" s="379">
        <v>-10211.44</v>
      </c>
      <c r="D19" s="379"/>
      <c r="E19" s="379">
        <v>-1580.06</v>
      </c>
      <c r="F19" s="379">
        <v>-27829.68</v>
      </c>
      <c r="G19" s="379">
        <v>-798.53</v>
      </c>
      <c r="H19" s="378"/>
    </row>
    <row r="20" spans="1:8" ht="12">
      <c r="A20" s="188">
        <f t="shared" si="0"/>
        <v>13</v>
      </c>
      <c r="B20" s="388">
        <v>44713</v>
      </c>
      <c r="C20" s="379">
        <v>-10211.44</v>
      </c>
      <c r="D20" s="379"/>
      <c r="E20" s="379">
        <v>-1580.06</v>
      </c>
      <c r="F20" s="379">
        <v>-53623.99</v>
      </c>
      <c r="G20" s="379">
        <v>-1597.06</v>
      </c>
      <c r="H20" s="378"/>
    </row>
    <row r="21" spans="1:8" ht="12">
      <c r="A21" s="188">
        <f t="shared" si="0"/>
        <v>14</v>
      </c>
      <c r="B21" s="388">
        <v>44743</v>
      </c>
      <c r="C21" s="379">
        <v>-10211.44</v>
      </c>
      <c r="D21" s="379"/>
      <c r="E21" s="379">
        <v>-1580.06</v>
      </c>
      <c r="F21" s="379">
        <v>-53623.99</v>
      </c>
      <c r="G21" s="379">
        <v>-1597.06</v>
      </c>
      <c r="H21" s="378"/>
    </row>
    <row r="22" spans="1:8" ht="12">
      <c r="A22" s="188">
        <f t="shared" si="0"/>
        <v>15</v>
      </c>
      <c r="B22" s="388">
        <v>44774</v>
      </c>
      <c r="C22" s="379">
        <v>-10211.44</v>
      </c>
      <c r="D22" s="379"/>
      <c r="E22" s="379">
        <v>-1580.06</v>
      </c>
      <c r="F22" s="379">
        <v>-53864.07</v>
      </c>
      <c r="G22" s="379">
        <v>-1597.06</v>
      </c>
      <c r="H22" s="378"/>
    </row>
    <row r="23" spans="1:8" ht="12">
      <c r="A23" s="188">
        <f t="shared" si="0"/>
        <v>16</v>
      </c>
      <c r="B23" s="388">
        <v>44805</v>
      </c>
      <c r="C23" s="379">
        <v>-10211.44</v>
      </c>
      <c r="D23" s="379"/>
      <c r="E23" s="379">
        <v>-1580.06</v>
      </c>
      <c r="F23" s="379">
        <v>-56713.97</v>
      </c>
      <c r="G23" s="379">
        <v>-1597.06</v>
      </c>
      <c r="H23" s="378"/>
    </row>
    <row r="24" spans="1:8" ht="12">
      <c r="A24" s="188">
        <f t="shared" si="0"/>
        <v>17</v>
      </c>
      <c r="B24" s="388">
        <v>44835</v>
      </c>
      <c r="C24" s="379">
        <v>-10211.44</v>
      </c>
      <c r="D24" s="379"/>
      <c r="E24" s="379">
        <v>-1580.06</v>
      </c>
      <c r="F24" s="379">
        <v>-55643.42</v>
      </c>
      <c r="G24" s="379">
        <v>-1597.06</v>
      </c>
      <c r="H24" s="378"/>
    </row>
    <row r="25" spans="1:8" ht="12">
      <c r="A25" s="188">
        <f t="shared" si="0"/>
        <v>18</v>
      </c>
      <c r="B25" s="388">
        <v>44866</v>
      </c>
      <c r="C25" s="379"/>
      <c r="D25" s="379"/>
      <c r="E25" s="379"/>
      <c r="F25" s="379">
        <v>-53914.07</v>
      </c>
      <c r="G25" s="379">
        <v>-1597.06</v>
      </c>
      <c r="H25" s="378"/>
    </row>
    <row r="26" spans="1:8" ht="12.75" thickBot="1">
      <c r="A26" s="188">
        <f t="shared" si="0"/>
        <v>19</v>
      </c>
      <c r="B26" s="388">
        <v>44896</v>
      </c>
      <c r="C26" s="379"/>
      <c r="D26" s="379"/>
      <c r="E26" s="379"/>
      <c r="F26" s="379">
        <v>-53987.09</v>
      </c>
      <c r="G26" s="379">
        <v>-1597.06</v>
      </c>
      <c r="H26" s="378"/>
    </row>
    <row r="27" spans="1:8" ht="12.75" thickBot="1">
      <c r="A27" s="188">
        <f t="shared" si="0"/>
        <v>20</v>
      </c>
      <c r="B27" s="457" t="s">
        <v>205</v>
      </c>
      <c r="C27" s="385">
        <f>SUM(C15:C26)</f>
        <v>-102114.40000000001</v>
      </c>
      <c r="D27" s="385">
        <f>SUM(D15:D26)</f>
        <v>-190304.04</v>
      </c>
      <c r="E27" s="385">
        <f>SUM(E15:E26)</f>
        <v>-15800.599999999997</v>
      </c>
      <c r="F27" s="385">
        <f>SUM(F15:F26)</f>
        <v>-409200.28</v>
      </c>
      <c r="G27" s="385">
        <f>SUM(G15:G26)</f>
        <v>-11977.949999999999</v>
      </c>
      <c r="H27" s="386">
        <f>SUM(C27:G27)</f>
        <v>-729397.27</v>
      </c>
    </row>
    <row r="28" spans="1:8" ht="12">
      <c r="A28" s="188">
        <f t="shared" si="0"/>
        <v>21</v>
      </c>
      <c r="B28" s="375"/>
      <c r="C28" s="380"/>
      <c r="D28" s="380"/>
      <c r="E28" s="380"/>
      <c r="F28" s="380"/>
      <c r="G28" s="380"/>
      <c r="H28" s="376"/>
    </row>
    <row r="29" spans="1:8" ht="12">
      <c r="A29" s="188">
        <f t="shared" si="0"/>
        <v>22</v>
      </c>
      <c r="B29" s="381" t="s">
        <v>160</v>
      </c>
      <c r="C29" s="379"/>
      <c r="D29" s="379"/>
      <c r="E29" s="379"/>
      <c r="F29" s="379">
        <f>3339561.31+30972.72+13684.4+7329.15+3870.45</f>
        <v>3395418.0300000003</v>
      </c>
      <c r="G29" s="379">
        <v>95823.45</v>
      </c>
      <c r="H29" s="378"/>
    </row>
    <row r="30" spans="1:8" ht="12">
      <c r="A30" s="188">
        <f t="shared" si="0"/>
        <v>23</v>
      </c>
      <c r="B30" s="382" t="s">
        <v>161</v>
      </c>
      <c r="D30" s="379">
        <v>-856368.09</v>
      </c>
      <c r="E30" s="379"/>
      <c r="F30" s="379">
        <v>-178888.89</v>
      </c>
      <c r="G30" s="379"/>
      <c r="H30" s="378"/>
    </row>
    <row r="31" spans="1:8" ht="12.75" thickBot="1">
      <c r="A31" s="188">
        <f t="shared" si="0"/>
        <v>24</v>
      </c>
      <c r="B31" s="202" t="s">
        <v>63</v>
      </c>
      <c r="C31" s="387">
        <f>C13+C27+C29+C30</f>
        <v>-0.10000000000582077</v>
      </c>
      <c r="D31" s="387">
        <f>D13+D27+D29+D30</f>
        <v>-1.0000000009313226E-2</v>
      </c>
      <c r="E31" s="387">
        <f>E13+E27+E29+E30</f>
        <v>2.0000000004074536E-2</v>
      </c>
      <c r="F31" s="387">
        <f>F13+F27+F29+F30</f>
        <v>2807328.86</v>
      </c>
      <c r="G31" s="387">
        <f>G13+G27+G29+G30</f>
        <v>83845.5</v>
      </c>
      <c r="H31" s="378"/>
    </row>
    <row r="32" spans="1:8" ht="12.75" thickTop="1">
      <c r="A32" s="188">
        <f t="shared" si="0"/>
        <v>25</v>
      </c>
      <c r="B32" s="383"/>
      <c r="C32" s="367"/>
      <c r="D32" s="367"/>
      <c r="E32" s="367"/>
      <c r="F32" s="367"/>
      <c r="G32" s="367"/>
      <c r="H32" s="367"/>
    </row>
    <row r="33" spans="1:9" ht="12">
      <c r="A33" s="188">
        <f t="shared" si="0"/>
        <v>26</v>
      </c>
      <c r="B33" s="35" t="s">
        <v>193</v>
      </c>
      <c r="C33" s="377"/>
      <c r="D33" s="377"/>
      <c r="E33" s="377"/>
      <c r="F33" s="377"/>
      <c r="G33" s="377"/>
      <c r="H33" s="34">
        <f>'New Format'!C30</f>
        <v>9515764392</v>
      </c>
    </row>
    <row r="34" spans="1:9" ht="12">
      <c r="A34" s="188">
        <f t="shared" si="0"/>
        <v>27</v>
      </c>
      <c r="B34" s="34"/>
      <c r="C34" s="384"/>
      <c r="D34" s="384"/>
      <c r="E34" s="384"/>
      <c r="F34" s="384"/>
      <c r="G34" s="384"/>
      <c r="H34" s="34"/>
    </row>
    <row r="35" spans="1:9" ht="12">
      <c r="A35" s="188">
        <f t="shared" si="0"/>
        <v>28</v>
      </c>
      <c r="B35" s="35" t="s">
        <v>194</v>
      </c>
      <c r="C35" s="34"/>
      <c r="D35" s="34"/>
      <c r="E35" s="34"/>
      <c r="F35" s="34"/>
      <c r="G35" s="34"/>
      <c r="H35" s="407">
        <f>ROUND(-H27/H33,4)</f>
        <v>1E-4</v>
      </c>
      <c r="I35" s="421"/>
    </row>
    <row r="36" spans="1:9">
      <c r="A36" s="188"/>
    </row>
    <row r="37" spans="1:9">
      <c r="A37" s="188"/>
    </row>
    <row r="38" spans="1:9">
      <c r="A38" s="188"/>
      <c r="B38" s="217"/>
    </row>
    <row r="39" spans="1:9">
      <c r="A39" s="188"/>
    </row>
    <row r="40" spans="1:9">
      <c r="A40" s="188"/>
    </row>
    <row r="41" spans="1:9">
      <c r="A41" s="188"/>
    </row>
    <row r="42" spans="1:9">
      <c r="A42" s="188"/>
    </row>
    <row r="43" spans="1:9">
      <c r="A43" s="188"/>
      <c r="B43" s="159"/>
    </row>
    <row r="44" spans="1:9">
      <c r="A44" s="188"/>
    </row>
    <row r="45" spans="1:9">
      <c r="A45" s="188"/>
    </row>
    <row r="46" spans="1:9">
      <c r="A46" s="188"/>
      <c r="B46" s="219"/>
    </row>
    <row r="47" spans="1:9">
      <c r="A47" s="188"/>
    </row>
    <row r="48" spans="1:9">
      <c r="A48" s="188"/>
    </row>
    <row r="49" spans="1:2">
      <c r="A49" s="188"/>
    </row>
    <row r="50" spans="1:2">
      <c r="A50" s="188"/>
    </row>
    <row r="51" spans="1:2">
      <c r="A51" s="188"/>
    </row>
    <row r="52" spans="1:2">
      <c r="A52" s="188"/>
    </row>
    <row r="53" spans="1:2">
      <c r="A53" s="188"/>
      <c r="B53" s="160"/>
    </row>
    <row r="54" spans="1:2">
      <c r="A54" s="188"/>
      <c r="B54" s="160"/>
    </row>
    <row r="55" spans="1:2">
      <c r="A55" s="188"/>
      <c r="B55" s="219"/>
    </row>
  </sheetData>
  <phoneticPr fontId="25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F32" sqref="F32"/>
      <selection pane="topRight" activeCell="F32" sqref="F32"/>
      <selection pane="bottomLeft" activeCell="F32" sqref="F32"/>
      <selection pane="bottomRight" activeCell="AB11" sqref="AB11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9" t="s">
        <v>96</v>
      </c>
      <c r="B1" s="154"/>
      <c r="C1" s="154"/>
      <c r="D1" s="153"/>
      <c r="E1" s="155"/>
      <c r="F1" s="153"/>
      <c r="G1" s="154"/>
      <c r="H1" s="154"/>
      <c r="I1" s="154"/>
    </row>
    <row r="2" spans="1:25" s="454" customFormat="1" ht="12.75" customHeight="1">
      <c r="A2" s="262" t="str">
        <f>'New Format'!B5</f>
        <v>For The 12 Months Ending December 31, 2022</v>
      </c>
      <c r="B2" s="450"/>
      <c r="C2" s="450"/>
      <c r="D2" s="450"/>
      <c r="E2" s="451"/>
      <c r="F2" s="450"/>
      <c r="G2" s="452"/>
      <c r="H2" s="451"/>
      <c r="I2" s="450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</row>
    <row r="3" spans="1:25" s="56" customFormat="1" ht="12.75" customHeight="1">
      <c r="A3" s="262"/>
      <c r="B3" s="156"/>
      <c r="C3" s="156"/>
      <c r="D3" s="156"/>
      <c r="E3" s="157"/>
      <c r="F3" s="156"/>
      <c r="G3" s="158"/>
      <c r="H3" s="157"/>
      <c r="I3" s="156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5" ht="11.1" customHeight="1">
      <c r="A4" s="175" t="s">
        <v>5</v>
      </c>
      <c r="B4" s="175" t="s">
        <v>27</v>
      </c>
      <c r="C4" s="175" t="s">
        <v>52</v>
      </c>
      <c r="D4" s="175" t="s">
        <v>64</v>
      </c>
      <c r="E4" s="175" t="s">
        <v>65</v>
      </c>
      <c r="F4" s="175" t="s">
        <v>66</v>
      </c>
      <c r="G4" s="175" t="s">
        <v>67</v>
      </c>
      <c r="H4" s="175" t="s">
        <v>68</v>
      </c>
      <c r="I4" s="175" t="s">
        <v>69</v>
      </c>
      <c r="J4" s="175" t="s">
        <v>71</v>
      </c>
      <c r="K4" s="175" t="s">
        <v>72</v>
      </c>
      <c r="L4" s="175" t="s">
        <v>73</v>
      </c>
      <c r="M4" s="175" t="s">
        <v>74</v>
      </c>
      <c r="N4" s="175" t="s">
        <v>75</v>
      </c>
      <c r="O4" s="175" t="s">
        <v>76</v>
      </c>
      <c r="P4" s="175" t="s">
        <v>87</v>
      </c>
      <c r="Q4" s="175" t="s">
        <v>88</v>
      </c>
      <c r="R4" s="175" t="s">
        <v>89</v>
      </c>
      <c r="S4" s="175" t="s">
        <v>90</v>
      </c>
      <c r="T4" s="175" t="s">
        <v>91</v>
      </c>
      <c r="U4" s="175" t="s">
        <v>92</v>
      </c>
      <c r="V4" s="175" t="s">
        <v>164</v>
      </c>
      <c r="W4" s="175"/>
      <c r="X4" s="389" t="s">
        <v>173</v>
      </c>
    </row>
    <row r="5" spans="1:25" ht="33.75">
      <c r="A5" s="348">
        <v>1</v>
      </c>
      <c r="B5" s="349" t="s">
        <v>126</v>
      </c>
      <c r="C5" s="349" t="s">
        <v>100</v>
      </c>
      <c r="D5" s="349" t="s">
        <v>57</v>
      </c>
      <c r="E5" s="349" t="s">
        <v>104</v>
      </c>
      <c r="F5" s="349" t="s">
        <v>117</v>
      </c>
      <c r="G5" s="349" t="s">
        <v>84</v>
      </c>
      <c r="H5" s="349" t="s">
        <v>94</v>
      </c>
      <c r="I5" s="349" t="s">
        <v>80</v>
      </c>
      <c r="J5" s="350">
        <f>'Pg 2 CapStructure'!C6</f>
        <v>44561</v>
      </c>
      <c r="K5" s="350">
        <f>'Pg 2 CapStructure'!D6</f>
        <v>44592</v>
      </c>
      <c r="L5" s="350">
        <f>'Pg 2 CapStructure'!E6</f>
        <v>44620</v>
      </c>
      <c r="M5" s="350">
        <f>'Pg 2 CapStructure'!F6</f>
        <v>44651</v>
      </c>
      <c r="N5" s="350">
        <f>'Pg 2 CapStructure'!G6</f>
        <v>44681</v>
      </c>
      <c r="O5" s="350">
        <f>'Pg 2 CapStructure'!H6</f>
        <v>44712</v>
      </c>
      <c r="P5" s="350">
        <f>'Pg 2 CapStructure'!I6</f>
        <v>44742</v>
      </c>
      <c r="Q5" s="350">
        <f>'Pg 2 CapStructure'!J6</f>
        <v>44773</v>
      </c>
      <c r="R5" s="350">
        <f>'Pg 2 CapStructure'!K6</f>
        <v>44804</v>
      </c>
      <c r="S5" s="350">
        <f>'Pg 2 CapStructure'!L6</f>
        <v>44834</v>
      </c>
      <c r="T5" s="350">
        <f>'Pg 2 CapStructure'!M6</f>
        <v>44865</v>
      </c>
      <c r="U5" s="350">
        <f>'Pg 2 CapStructure'!N6</f>
        <v>44895</v>
      </c>
      <c r="V5" s="350">
        <f>'Pg 2 CapStructure'!O6</f>
        <v>44926</v>
      </c>
      <c r="W5" s="350"/>
      <c r="X5" s="390" t="s">
        <v>38</v>
      </c>
      <c r="Y5" s="390" t="s">
        <v>174</v>
      </c>
    </row>
    <row r="6" spans="1:25" s="27" customFormat="1">
      <c r="A6" s="436">
        <v>2</v>
      </c>
      <c r="B6" s="288" t="s">
        <v>23</v>
      </c>
      <c r="C6" s="425">
        <v>7.1499999999999994E-2</v>
      </c>
      <c r="D6" s="426">
        <v>35053</v>
      </c>
      <c r="E6" s="426">
        <v>46010</v>
      </c>
      <c r="F6" s="267">
        <f t="shared" ref="F6:F24" si="0">ROUND(((J6+V6)+(SUM(K6:U6)*2))/24,0)</f>
        <v>15000000</v>
      </c>
      <c r="G6" s="277">
        <v>99.211911999999998</v>
      </c>
      <c r="H6" s="427">
        <f>ROUND(YIELD(D6,E6,C6,G6,100,2,2),4)</f>
        <v>7.2099999999999997E-2</v>
      </c>
      <c r="I6" s="267">
        <f>ROUND(+H6*F6,0)</f>
        <v>1081500</v>
      </c>
      <c r="J6" s="267">
        <v>15000000</v>
      </c>
      <c r="K6" s="267">
        <v>15000000</v>
      </c>
      <c r="L6" s="267">
        <v>15000000</v>
      </c>
      <c r="M6" s="267">
        <v>15000000</v>
      </c>
      <c r="N6" s="267">
        <v>15000000</v>
      </c>
      <c r="O6" s="267">
        <v>15000000</v>
      </c>
      <c r="P6" s="267">
        <v>15000000</v>
      </c>
      <c r="Q6" s="267">
        <v>15000000</v>
      </c>
      <c r="R6" s="267">
        <v>15000000</v>
      </c>
      <c r="S6" s="267">
        <v>15000000</v>
      </c>
      <c r="T6" s="267">
        <v>15000000</v>
      </c>
      <c r="U6" s="267">
        <v>15000000</v>
      </c>
      <c r="V6" s="267">
        <v>15000000</v>
      </c>
      <c r="W6" s="267"/>
      <c r="X6" s="267">
        <f t="shared" ref="X6:X24" si="1">H6*V6</f>
        <v>1081500</v>
      </c>
    </row>
    <row r="7" spans="1:25" s="27" customFormat="1">
      <c r="A7" s="424">
        <v>3</v>
      </c>
      <c r="B7" s="288" t="s">
        <v>23</v>
      </c>
      <c r="C7" s="425">
        <v>7.1999999999999995E-2</v>
      </c>
      <c r="D7" s="426">
        <v>35054</v>
      </c>
      <c r="E7" s="426">
        <v>46013</v>
      </c>
      <c r="F7" s="267">
        <f t="shared" si="0"/>
        <v>2000000</v>
      </c>
      <c r="G7" s="277">
        <v>99.211600000000004</v>
      </c>
      <c r="H7" s="427">
        <f>ROUND(YIELD(D7,E7,C7,G7,100,2,2),4)</f>
        <v>7.2599999999999998E-2</v>
      </c>
      <c r="I7" s="267">
        <f>ROUND(+H7*F7,0)</f>
        <v>145200</v>
      </c>
      <c r="J7" s="267">
        <v>2000000</v>
      </c>
      <c r="K7" s="267">
        <v>2000000</v>
      </c>
      <c r="L7" s="267">
        <v>2000000</v>
      </c>
      <c r="M7" s="267">
        <v>2000000</v>
      </c>
      <c r="N7" s="267">
        <v>2000000</v>
      </c>
      <c r="O7" s="267">
        <v>2000000</v>
      </c>
      <c r="P7" s="267">
        <v>2000000</v>
      </c>
      <c r="Q7" s="267">
        <v>2000000</v>
      </c>
      <c r="R7" s="267">
        <v>2000000</v>
      </c>
      <c r="S7" s="267">
        <v>2000000</v>
      </c>
      <c r="T7" s="267">
        <v>2000000</v>
      </c>
      <c r="U7" s="267">
        <v>2000000</v>
      </c>
      <c r="V7" s="267">
        <v>2000000</v>
      </c>
      <c r="W7" s="267"/>
      <c r="X7" s="267">
        <f t="shared" si="1"/>
        <v>145200</v>
      </c>
    </row>
    <row r="8" spans="1:25" s="27" customFormat="1">
      <c r="A8" s="436">
        <v>4</v>
      </c>
      <c r="B8" s="288" t="s">
        <v>21</v>
      </c>
      <c r="C8" s="425">
        <v>7.0199999999999999E-2</v>
      </c>
      <c r="D8" s="426">
        <v>35786</v>
      </c>
      <c r="E8" s="426">
        <v>46722</v>
      </c>
      <c r="F8" s="267">
        <f t="shared" si="0"/>
        <v>300000000</v>
      </c>
      <c r="G8" s="277">
        <v>98.985735776666658</v>
      </c>
      <c r="H8" s="427">
        <f>ROUND(YIELD(D8,E8,C8,G8,100,2,2),4)</f>
        <v>7.0999999999999994E-2</v>
      </c>
      <c r="I8" s="267">
        <f>ROUND(+H8*F8,0)</f>
        <v>21300000</v>
      </c>
      <c r="J8" s="267">
        <v>300000000</v>
      </c>
      <c r="K8" s="267">
        <v>300000000</v>
      </c>
      <c r="L8" s="267">
        <v>300000000</v>
      </c>
      <c r="M8" s="267">
        <v>300000000</v>
      </c>
      <c r="N8" s="267">
        <v>300000000</v>
      </c>
      <c r="O8" s="267">
        <v>300000000</v>
      </c>
      <c r="P8" s="267">
        <v>300000000</v>
      </c>
      <c r="Q8" s="267">
        <v>300000000</v>
      </c>
      <c r="R8" s="267">
        <v>300000000</v>
      </c>
      <c r="S8" s="267">
        <v>300000000</v>
      </c>
      <c r="T8" s="267">
        <v>300000000</v>
      </c>
      <c r="U8" s="267">
        <v>300000000</v>
      </c>
      <c r="V8" s="267">
        <v>300000000</v>
      </c>
      <c r="W8" s="267"/>
      <c r="X8" s="267">
        <f t="shared" si="1"/>
        <v>21299999.999999996</v>
      </c>
    </row>
    <row r="9" spans="1:25" s="287" customFormat="1">
      <c r="A9" s="424">
        <v>5</v>
      </c>
      <c r="B9" s="288" t="s">
        <v>22</v>
      </c>
      <c r="C9" s="425">
        <v>7.0000000000000007E-2</v>
      </c>
      <c r="D9" s="426">
        <v>36228</v>
      </c>
      <c r="E9" s="426">
        <v>47186</v>
      </c>
      <c r="F9" s="267">
        <f t="shared" si="0"/>
        <v>100000000</v>
      </c>
      <c r="G9" s="277">
        <v>99.042870549999989</v>
      </c>
      <c r="H9" s="427">
        <f>ROUND(YIELD(D9,E9,C9,G9,100,2,2),4)</f>
        <v>7.0800000000000002E-2</v>
      </c>
      <c r="I9" s="267">
        <f>ROUND(+H9*F9,0)</f>
        <v>7080000</v>
      </c>
      <c r="J9" s="267">
        <v>100000000</v>
      </c>
      <c r="K9" s="267">
        <v>100000000</v>
      </c>
      <c r="L9" s="267">
        <v>100000000</v>
      </c>
      <c r="M9" s="267">
        <v>100000000</v>
      </c>
      <c r="N9" s="267">
        <v>100000000</v>
      </c>
      <c r="O9" s="267">
        <v>100000000</v>
      </c>
      <c r="P9" s="267">
        <v>100000000</v>
      </c>
      <c r="Q9" s="267">
        <v>100000000</v>
      </c>
      <c r="R9" s="267">
        <v>100000000</v>
      </c>
      <c r="S9" s="267">
        <v>100000000</v>
      </c>
      <c r="T9" s="267">
        <v>100000000</v>
      </c>
      <c r="U9" s="267">
        <v>100000000</v>
      </c>
      <c r="V9" s="267">
        <v>100000000</v>
      </c>
      <c r="W9" s="267"/>
      <c r="X9" s="267">
        <f t="shared" si="1"/>
        <v>7080000</v>
      </c>
      <c r="Y9" s="27"/>
    </row>
    <row r="10" spans="1:25" s="287" customFormat="1">
      <c r="A10" s="436">
        <v>6</v>
      </c>
      <c r="B10" s="437" t="s">
        <v>24</v>
      </c>
      <c r="C10" s="425">
        <v>3.9E-2</v>
      </c>
      <c r="D10" s="438">
        <v>41417</v>
      </c>
      <c r="E10" s="439">
        <v>47908</v>
      </c>
      <c r="F10" s="267">
        <f t="shared" si="0"/>
        <v>138460000</v>
      </c>
      <c r="G10" s="277">
        <v>98.939099999999996</v>
      </c>
      <c r="H10" s="427">
        <f t="shared" ref="H10:H22" si="2">ROUND(YIELD(D10,E10,C10,G10,100,2,2),4)</f>
        <v>3.9800000000000002E-2</v>
      </c>
      <c r="I10" s="267">
        <f t="shared" ref="I10:I24" si="3">ROUND(+H10*F10,0)</f>
        <v>5510708</v>
      </c>
      <c r="J10" s="267">
        <v>138460000</v>
      </c>
      <c r="K10" s="267">
        <v>138460000</v>
      </c>
      <c r="L10" s="267">
        <v>138460000</v>
      </c>
      <c r="M10" s="267">
        <v>138460000</v>
      </c>
      <c r="N10" s="267">
        <v>138460000</v>
      </c>
      <c r="O10" s="267">
        <v>138460000</v>
      </c>
      <c r="P10" s="267">
        <v>138460000</v>
      </c>
      <c r="Q10" s="267">
        <v>138460000</v>
      </c>
      <c r="R10" s="267">
        <v>138460000</v>
      </c>
      <c r="S10" s="267">
        <v>138460000</v>
      </c>
      <c r="T10" s="267">
        <v>138460000</v>
      </c>
      <c r="U10" s="267">
        <v>138460000</v>
      </c>
      <c r="V10" s="267">
        <v>138460000</v>
      </c>
      <c r="W10" s="267"/>
      <c r="X10" s="267">
        <f t="shared" si="1"/>
        <v>5510708</v>
      </c>
    </row>
    <row r="11" spans="1:25" s="287" customFormat="1">
      <c r="A11" s="424">
        <v>7</v>
      </c>
      <c r="B11" s="437" t="s">
        <v>24</v>
      </c>
      <c r="C11" s="425">
        <v>0.04</v>
      </c>
      <c r="D11" s="438">
        <v>41417</v>
      </c>
      <c r="E11" s="439">
        <v>47908</v>
      </c>
      <c r="F11" s="267">
        <f t="shared" si="0"/>
        <v>23400000</v>
      </c>
      <c r="G11" s="277">
        <v>98.939099999999996</v>
      </c>
      <c r="H11" s="427">
        <f t="shared" si="2"/>
        <v>4.0800000000000003E-2</v>
      </c>
      <c r="I11" s="267">
        <f t="shared" si="3"/>
        <v>954720</v>
      </c>
      <c r="J11" s="267">
        <v>23400000</v>
      </c>
      <c r="K11" s="267">
        <v>23400000</v>
      </c>
      <c r="L11" s="267">
        <v>23400000</v>
      </c>
      <c r="M11" s="267">
        <v>23400000</v>
      </c>
      <c r="N11" s="267">
        <v>23400000</v>
      </c>
      <c r="O11" s="267">
        <v>23400000</v>
      </c>
      <c r="P11" s="267">
        <v>23400000</v>
      </c>
      <c r="Q11" s="267">
        <v>23400000</v>
      </c>
      <c r="R11" s="267">
        <v>23400000</v>
      </c>
      <c r="S11" s="267">
        <v>23400000</v>
      </c>
      <c r="T11" s="267">
        <v>23400000</v>
      </c>
      <c r="U11" s="267">
        <v>23400000</v>
      </c>
      <c r="V11" s="267">
        <v>23400000</v>
      </c>
      <c r="W11" s="267"/>
      <c r="X11" s="267">
        <f t="shared" si="1"/>
        <v>954720.00000000012</v>
      </c>
    </row>
    <row r="12" spans="1:25" s="287" customFormat="1">
      <c r="A12" s="436">
        <v>8</v>
      </c>
      <c r="B12" s="288" t="s">
        <v>95</v>
      </c>
      <c r="C12" s="425">
        <v>5.4829999999999997E-2</v>
      </c>
      <c r="D12" s="426">
        <v>38499</v>
      </c>
      <c r="E12" s="426">
        <v>49461</v>
      </c>
      <c r="F12" s="267">
        <f t="shared" si="0"/>
        <v>250000000</v>
      </c>
      <c r="G12" s="277">
        <v>84.886606835999999</v>
      </c>
      <c r="H12" s="427">
        <f t="shared" si="2"/>
        <v>6.6500000000000004E-2</v>
      </c>
      <c r="I12" s="270">
        <f t="shared" si="3"/>
        <v>16625000</v>
      </c>
      <c r="J12" s="270">
        <v>250000000</v>
      </c>
      <c r="K12" s="270">
        <v>250000000</v>
      </c>
      <c r="L12" s="270">
        <v>250000000</v>
      </c>
      <c r="M12" s="270">
        <v>250000000</v>
      </c>
      <c r="N12" s="270">
        <v>250000000</v>
      </c>
      <c r="O12" s="270">
        <v>250000000</v>
      </c>
      <c r="P12" s="270">
        <v>250000000</v>
      </c>
      <c r="Q12" s="270">
        <v>250000000</v>
      </c>
      <c r="R12" s="270">
        <v>250000000</v>
      </c>
      <c r="S12" s="270">
        <v>250000000</v>
      </c>
      <c r="T12" s="270">
        <v>250000000</v>
      </c>
      <c r="U12" s="270">
        <v>250000000</v>
      </c>
      <c r="V12" s="270">
        <v>250000000</v>
      </c>
      <c r="W12" s="270"/>
      <c r="X12" s="267">
        <f t="shared" si="1"/>
        <v>16625000</v>
      </c>
    </row>
    <row r="13" spans="1:25" s="287" customFormat="1">
      <c r="A13" s="424">
        <v>9</v>
      </c>
      <c r="B13" s="288" t="s">
        <v>95</v>
      </c>
      <c r="C13" s="425">
        <v>6.7239999999999994E-2</v>
      </c>
      <c r="D13" s="426">
        <v>38898</v>
      </c>
      <c r="E13" s="426">
        <v>49841</v>
      </c>
      <c r="F13" s="267">
        <f t="shared" si="0"/>
        <v>250000000</v>
      </c>
      <c r="G13" s="277">
        <v>107.515271756</v>
      </c>
      <c r="H13" s="427">
        <f t="shared" si="2"/>
        <v>6.1699999999999998E-2</v>
      </c>
      <c r="I13" s="270">
        <f t="shared" si="3"/>
        <v>15425000</v>
      </c>
      <c r="J13" s="270">
        <v>250000000</v>
      </c>
      <c r="K13" s="270">
        <v>250000000</v>
      </c>
      <c r="L13" s="270">
        <v>250000000</v>
      </c>
      <c r="M13" s="270">
        <v>250000000</v>
      </c>
      <c r="N13" s="270">
        <v>250000000</v>
      </c>
      <c r="O13" s="270">
        <v>250000000</v>
      </c>
      <c r="P13" s="270">
        <v>250000000</v>
      </c>
      <c r="Q13" s="270">
        <v>250000000</v>
      </c>
      <c r="R13" s="270">
        <v>250000000</v>
      </c>
      <c r="S13" s="270">
        <v>250000000</v>
      </c>
      <c r="T13" s="270">
        <v>250000000</v>
      </c>
      <c r="U13" s="270">
        <v>250000000</v>
      </c>
      <c r="V13" s="270">
        <v>250000000</v>
      </c>
      <c r="W13" s="270"/>
      <c r="X13" s="267">
        <f t="shared" si="1"/>
        <v>15425000</v>
      </c>
    </row>
    <row r="14" spans="1:25" s="287" customFormat="1">
      <c r="A14" s="436">
        <v>10</v>
      </c>
      <c r="B14" s="288" t="s">
        <v>95</v>
      </c>
      <c r="C14" s="425">
        <v>6.2740000000000004E-2</v>
      </c>
      <c r="D14" s="426">
        <v>38978</v>
      </c>
      <c r="E14" s="426">
        <v>50114</v>
      </c>
      <c r="F14" s="267">
        <f t="shared" si="0"/>
        <v>300000000</v>
      </c>
      <c r="G14" s="277">
        <v>98.812700000000007</v>
      </c>
      <c r="H14" s="427">
        <f t="shared" si="2"/>
        <v>6.3600000000000004E-2</v>
      </c>
      <c r="I14" s="270">
        <f t="shared" si="3"/>
        <v>19080000</v>
      </c>
      <c r="J14" s="270">
        <v>300000000</v>
      </c>
      <c r="K14" s="270">
        <v>300000000</v>
      </c>
      <c r="L14" s="270">
        <v>300000000</v>
      </c>
      <c r="M14" s="270">
        <v>300000000</v>
      </c>
      <c r="N14" s="270">
        <v>300000000</v>
      </c>
      <c r="O14" s="270">
        <v>300000000</v>
      </c>
      <c r="P14" s="270">
        <v>300000000</v>
      </c>
      <c r="Q14" s="270">
        <v>300000000</v>
      </c>
      <c r="R14" s="270">
        <v>300000000</v>
      </c>
      <c r="S14" s="270">
        <v>300000000</v>
      </c>
      <c r="T14" s="270">
        <v>300000000</v>
      </c>
      <c r="U14" s="270">
        <v>300000000</v>
      </c>
      <c r="V14" s="270">
        <v>300000000</v>
      </c>
      <c r="W14" s="270"/>
      <c r="X14" s="267">
        <f t="shared" si="1"/>
        <v>19080000</v>
      </c>
    </row>
    <row r="15" spans="1:25" s="287" customFormat="1">
      <c r="A15" s="424">
        <v>11</v>
      </c>
      <c r="B15" s="288" t="s">
        <v>95</v>
      </c>
      <c r="C15" s="425">
        <v>5.7570000000000003E-2</v>
      </c>
      <c r="D15" s="426">
        <v>40067</v>
      </c>
      <c r="E15" s="426">
        <v>51058</v>
      </c>
      <c r="F15" s="267">
        <f t="shared" si="0"/>
        <v>350000000</v>
      </c>
      <c r="G15" s="277">
        <v>98.983599999999996</v>
      </c>
      <c r="H15" s="427">
        <f t="shared" si="2"/>
        <v>5.8299999999999998E-2</v>
      </c>
      <c r="I15" s="270">
        <f t="shared" si="3"/>
        <v>20405000</v>
      </c>
      <c r="J15" s="270">
        <v>350000000</v>
      </c>
      <c r="K15" s="270">
        <v>350000000</v>
      </c>
      <c r="L15" s="270">
        <v>350000000</v>
      </c>
      <c r="M15" s="270">
        <v>350000000</v>
      </c>
      <c r="N15" s="270">
        <v>350000000</v>
      </c>
      <c r="O15" s="270">
        <v>350000000</v>
      </c>
      <c r="P15" s="270">
        <v>350000000</v>
      </c>
      <c r="Q15" s="270">
        <v>350000000</v>
      </c>
      <c r="R15" s="270">
        <v>350000000</v>
      </c>
      <c r="S15" s="270">
        <v>350000000</v>
      </c>
      <c r="T15" s="270">
        <v>350000000</v>
      </c>
      <c r="U15" s="270">
        <v>350000000</v>
      </c>
      <c r="V15" s="270">
        <v>350000000</v>
      </c>
      <c r="W15" s="270"/>
      <c r="X15" s="267">
        <f t="shared" si="1"/>
        <v>20405000</v>
      </c>
    </row>
    <row r="16" spans="1:25" s="287" customFormat="1">
      <c r="A16" s="436">
        <v>12</v>
      </c>
      <c r="B16" s="288" t="s">
        <v>95</v>
      </c>
      <c r="C16" s="425">
        <v>5.7950000000000002E-2</v>
      </c>
      <c r="D16" s="426">
        <v>40245</v>
      </c>
      <c r="E16" s="426">
        <v>51210</v>
      </c>
      <c r="F16" s="267">
        <f t="shared" si="0"/>
        <v>325000000</v>
      </c>
      <c r="G16" s="277">
        <v>98.958799999999997</v>
      </c>
      <c r="H16" s="427">
        <f t="shared" si="2"/>
        <v>5.8700000000000002E-2</v>
      </c>
      <c r="I16" s="270">
        <f t="shared" si="3"/>
        <v>19077500</v>
      </c>
      <c r="J16" s="270">
        <v>325000000</v>
      </c>
      <c r="K16" s="270">
        <v>325000000</v>
      </c>
      <c r="L16" s="270">
        <v>325000000</v>
      </c>
      <c r="M16" s="270">
        <v>325000000</v>
      </c>
      <c r="N16" s="270">
        <v>325000000</v>
      </c>
      <c r="O16" s="270">
        <v>325000000</v>
      </c>
      <c r="P16" s="270">
        <v>325000000</v>
      </c>
      <c r="Q16" s="270">
        <v>325000000</v>
      </c>
      <c r="R16" s="270">
        <v>325000000</v>
      </c>
      <c r="S16" s="270">
        <v>325000000</v>
      </c>
      <c r="T16" s="270">
        <v>325000000</v>
      </c>
      <c r="U16" s="270">
        <v>325000000</v>
      </c>
      <c r="V16" s="270">
        <v>325000000</v>
      </c>
      <c r="W16" s="270"/>
      <c r="X16" s="267">
        <f t="shared" si="1"/>
        <v>19077500</v>
      </c>
    </row>
    <row r="17" spans="1:25" s="287" customFormat="1">
      <c r="A17" s="424">
        <v>13</v>
      </c>
      <c r="B17" s="288" t="s">
        <v>95</v>
      </c>
      <c r="C17" s="425">
        <v>5.7639999999999997E-2</v>
      </c>
      <c r="D17" s="426">
        <v>40358</v>
      </c>
      <c r="E17" s="426">
        <v>51332</v>
      </c>
      <c r="F17" s="267">
        <f t="shared" si="0"/>
        <v>250000000</v>
      </c>
      <c r="G17" s="277">
        <v>98.965199999999996</v>
      </c>
      <c r="H17" s="427">
        <f t="shared" si="2"/>
        <v>5.8400000000000001E-2</v>
      </c>
      <c r="I17" s="270">
        <f t="shared" si="3"/>
        <v>14600000</v>
      </c>
      <c r="J17" s="270">
        <v>250000000</v>
      </c>
      <c r="K17" s="270">
        <v>250000000</v>
      </c>
      <c r="L17" s="270">
        <v>250000000</v>
      </c>
      <c r="M17" s="270">
        <v>250000000</v>
      </c>
      <c r="N17" s="270">
        <v>250000000</v>
      </c>
      <c r="O17" s="270">
        <v>250000000</v>
      </c>
      <c r="P17" s="270">
        <v>250000000</v>
      </c>
      <c r="Q17" s="270">
        <v>250000000</v>
      </c>
      <c r="R17" s="270">
        <v>250000000</v>
      </c>
      <c r="S17" s="270">
        <v>250000000</v>
      </c>
      <c r="T17" s="270">
        <v>250000000</v>
      </c>
      <c r="U17" s="270">
        <v>250000000</v>
      </c>
      <c r="V17" s="270">
        <v>250000000</v>
      </c>
      <c r="W17" s="270"/>
      <c r="X17" s="267">
        <f t="shared" si="1"/>
        <v>14600000</v>
      </c>
    </row>
    <row r="18" spans="1:25" s="287" customFormat="1">
      <c r="A18" s="436">
        <v>14</v>
      </c>
      <c r="B18" s="288" t="s">
        <v>95</v>
      </c>
      <c r="C18" s="425">
        <v>5.638E-2</v>
      </c>
      <c r="D18" s="426">
        <v>40627</v>
      </c>
      <c r="E18" s="426">
        <v>51606</v>
      </c>
      <c r="F18" s="267">
        <f t="shared" si="0"/>
        <v>300000000</v>
      </c>
      <c r="G18" s="277">
        <v>98.971000000000004</v>
      </c>
      <c r="H18" s="427">
        <f t="shared" si="2"/>
        <v>5.7099999999999998E-2</v>
      </c>
      <c r="I18" s="270">
        <f t="shared" si="3"/>
        <v>17130000</v>
      </c>
      <c r="J18" s="270">
        <v>300000000</v>
      </c>
      <c r="K18" s="270">
        <v>300000000</v>
      </c>
      <c r="L18" s="270">
        <v>300000000</v>
      </c>
      <c r="M18" s="270">
        <v>300000000</v>
      </c>
      <c r="N18" s="270">
        <v>300000000</v>
      </c>
      <c r="O18" s="270">
        <v>300000000</v>
      </c>
      <c r="P18" s="270">
        <v>300000000</v>
      </c>
      <c r="Q18" s="270">
        <v>300000000</v>
      </c>
      <c r="R18" s="270">
        <v>300000000</v>
      </c>
      <c r="S18" s="270">
        <v>300000000</v>
      </c>
      <c r="T18" s="270">
        <v>300000000</v>
      </c>
      <c r="U18" s="270">
        <v>300000000</v>
      </c>
      <c r="V18" s="270">
        <v>300000000</v>
      </c>
      <c r="W18" s="270"/>
      <c r="X18" s="267">
        <f t="shared" si="1"/>
        <v>17130000</v>
      </c>
    </row>
    <row r="19" spans="1:25" s="287" customFormat="1">
      <c r="A19" s="424">
        <v>15</v>
      </c>
      <c r="B19" s="288" t="s">
        <v>95</v>
      </c>
      <c r="C19" s="425">
        <v>4.4339999999999997E-2</v>
      </c>
      <c r="D19" s="426">
        <v>40863</v>
      </c>
      <c r="E19" s="426">
        <v>51820</v>
      </c>
      <c r="F19" s="267">
        <f t="shared" si="0"/>
        <v>250000000</v>
      </c>
      <c r="G19" s="277">
        <v>98.962999999999994</v>
      </c>
      <c r="H19" s="427">
        <f t="shared" si="2"/>
        <v>4.4999999999999998E-2</v>
      </c>
      <c r="I19" s="270">
        <f t="shared" si="3"/>
        <v>11250000</v>
      </c>
      <c r="J19" s="270">
        <v>250000000</v>
      </c>
      <c r="K19" s="270">
        <v>250000000</v>
      </c>
      <c r="L19" s="270">
        <v>250000000</v>
      </c>
      <c r="M19" s="270">
        <v>250000000</v>
      </c>
      <c r="N19" s="270">
        <v>250000000</v>
      </c>
      <c r="O19" s="270">
        <v>250000000</v>
      </c>
      <c r="P19" s="270">
        <v>250000000</v>
      </c>
      <c r="Q19" s="270">
        <v>250000000</v>
      </c>
      <c r="R19" s="270">
        <v>250000000</v>
      </c>
      <c r="S19" s="270">
        <v>250000000</v>
      </c>
      <c r="T19" s="270">
        <v>250000000</v>
      </c>
      <c r="U19" s="270">
        <v>250000000</v>
      </c>
      <c r="V19" s="270">
        <v>250000000</v>
      </c>
      <c r="W19" s="270"/>
      <c r="X19" s="267">
        <f t="shared" si="1"/>
        <v>11250000</v>
      </c>
    </row>
    <row r="20" spans="1:25" s="287" customFormat="1">
      <c r="A20" s="436">
        <v>16</v>
      </c>
      <c r="B20" s="288" t="s">
        <v>95</v>
      </c>
      <c r="C20" s="425">
        <v>4.7E-2</v>
      </c>
      <c r="D20" s="426">
        <v>40869</v>
      </c>
      <c r="E20" s="426">
        <v>55472</v>
      </c>
      <c r="F20" s="267">
        <f t="shared" si="0"/>
        <v>45000000</v>
      </c>
      <c r="G20" s="277">
        <v>98.863900000000001</v>
      </c>
      <c r="H20" s="427">
        <f t="shared" si="2"/>
        <v>4.7600000000000003E-2</v>
      </c>
      <c r="I20" s="270">
        <f t="shared" si="3"/>
        <v>2142000</v>
      </c>
      <c r="J20" s="270">
        <v>45000000</v>
      </c>
      <c r="K20" s="270">
        <v>45000000</v>
      </c>
      <c r="L20" s="270">
        <v>45000000</v>
      </c>
      <c r="M20" s="270">
        <v>45000000</v>
      </c>
      <c r="N20" s="270">
        <v>45000000</v>
      </c>
      <c r="O20" s="270">
        <v>45000000</v>
      </c>
      <c r="P20" s="270">
        <v>45000000</v>
      </c>
      <c r="Q20" s="270">
        <v>45000000</v>
      </c>
      <c r="R20" s="270">
        <v>45000000</v>
      </c>
      <c r="S20" s="270">
        <v>45000000</v>
      </c>
      <c r="T20" s="270">
        <v>45000000</v>
      </c>
      <c r="U20" s="270">
        <v>45000000</v>
      </c>
      <c r="V20" s="270">
        <v>45000000</v>
      </c>
      <c r="W20" s="270"/>
      <c r="X20" s="267">
        <f t="shared" si="1"/>
        <v>2142000</v>
      </c>
    </row>
    <row r="21" spans="1:25" s="287" customFormat="1">
      <c r="A21" s="424">
        <v>17</v>
      </c>
      <c r="B21" s="288" t="s">
        <v>95</v>
      </c>
      <c r="C21" s="425">
        <v>4.2999999999999997E-2</v>
      </c>
      <c r="D21" s="426">
        <v>42150</v>
      </c>
      <c r="E21" s="426">
        <v>53102</v>
      </c>
      <c r="F21" s="267">
        <f t="shared" si="0"/>
        <v>425000000</v>
      </c>
      <c r="G21" s="277">
        <v>98.464100000000002</v>
      </c>
      <c r="H21" s="427">
        <f t="shared" si="2"/>
        <v>4.3900000000000002E-2</v>
      </c>
      <c r="I21" s="270">
        <f t="shared" si="3"/>
        <v>18657500</v>
      </c>
      <c r="J21" s="267">
        <v>425000000</v>
      </c>
      <c r="K21" s="267">
        <v>425000000</v>
      </c>
      <c r="L21" s="267">
        <v>425000000</v>
      </c>
      <c r="M21" s="267">
        <v>425000000</v>
      </c>
      <c r="N21" s="267">
        <v>425000000</v>
      </c>
      <c r="O21" s="267">
        <v>425000000</v>
      </c>
      <c r="P21" s="267">
        <v>425000000</v>
      </c>
      <c r="Q21" s="267">
        <v>425000000</v>
      </c>
      <c r="R21" s="267">
        <v>425000000</v>
      </c>
      <c r="S21" s="267">
        <v>425000000</v>
      </c>
      <c r="T21" s="267">
        <v>425000000</v>
      </c>
      <c r="U21" s="267">
        <v>425000000</v>
      </c>
      <c r="V21" s="267">
        <v>425000000</v>
      </c>
      <c r="W21" s="267"/>
      <c r="X21" s="267">
        <f t="shared" si="1"/>
        <v>18657500</v>
      </c>
    </row>
    <row r="22" spans="1:25" s="287" customFormat="1">
      <c r="A22" s="436">
        <v>18</v>
      </c>
      <c r="B22" s="288" t="s">
        <v>95</v>
      </c>
      <c r="C22" s="425">
        <v>4.2229999999999997E-2</v>
      </c>
      <c r="D22" s="426">
        <v>43265</v>
      </c>
      <c r="E22" s="426">
        <v>54224</v>
      </c>
      <c r="F22" s="267">
        <f t="shared" si="0"/>
        <v>600000000</v>
      </c>
      <c r="G22" s="277">
        <v>98.884299999999996</v>
      </c>
      <c r="H22" s="427">
        <f t="shared" si="2"/>
        <v>4.2900000000000001E-2</v>
      </c>
      <c r="I22" s="270">
        <f t="shared" si="3"/>
        <v>25740000</v>
      </c>
      <c r="J22" s="267">
        <v>600000000</v>
      </c>
      <c r="K22" s="267">
        <v>600000000</v>
      </c>
      <c r="L22" s="267">
        <v>600000000</v>
      </c>
      <c r="M22" s="267">
        <v>600000000</v>
      </c>
      <c r="N22" s="267">
        <v>600000000</v>
      </c>
      <c r="O22" s="267">
        <v>600000000</v>
      </c>
      <c r="P22" s="267">
        <v>600000000</v>
      </c>
      <c r="Q22" s="267">
        <v>600000000</v>
      </c>
      <c r="R22" s="267">
        <v>600000000</v>
      </c>
      <c r="S22" s="267">
        <v>600000000</v>
      </c>
      <c r="T22" s="267">
        <v>600000000</v>
      </c>
      <c r="U22" s="267">
        <v>600000000</v>
      </c>
      <c r="V22" s="267">
        <v>600000000</v>
      </c>
      <c r="W22" s="267"/>
      <c r="X22" s="270">
        <f t="shared" si="1"/>
        <v>25740000</v>
      </c>
    </row>
    <row r="23" spans="1:25">
      <c r="A23" s="424">
        <v>19</v>
      </c>
      <c r="B23" s="405" t="s">
        <v>95</v>
      </c>
      <c r="C23" s="275">
        <v>3.2500000000000001E-2</v>
      </c>
      <c r="D23" s="276">
        <v>43707</v>
      </c>
      <c r="E23" s="276">
        <v>54681</v>
      </c>
      <c r="F23" s="267">
        <f t="shared" si="0"/>
        <v>450000000</v>
      </c>
      <c r="G23" s="277">
        <v>98.8309</v>
      </c>
      <c r="H23" s="427">
        <f>ROUND(YIELD(D23,E23,C23,G23,100,2,2),4)</f>
        <v>3.3099999999999997E-2</v>
      </c>
      <c r="I23" s="270">
        <f t="shared" si="3"/>
        <v>14895000</v>
      </c>
      <c r="J23" s="267">
        <v>450000000</v>
      </c>
      <c r="K23" s="267">
        <v>450000000</v>
      </c>
      <c r="L23" s="267">
        <v>450000000</v>
      </c>
      <c r="M23" s="267">
        <v>450000000</v>
      </c>
      <c r="N23" s="267">
        <v>450000000</v>
      </c>
      <c r="O23" s="267">
        <v>450000000</v>
      </c>
      <c r="P23" s="267">
        <v>450000000</v>
      </c>
      <c r="Q23" s="267">
        <v>450000000</v>
      </c>
      <c r="R23" s="267">
        <v>450000000</v>
      </c>
      <c r="S23" s="267">
        <v>450000000</v>
      </c>
      <c r="T23" s="267">
        <v>450000000</v>
      </c>
      <c r="U23" s="267">
        <v>450000000</v>
      </c>
      <c r="V23" s="267">
        <v>450000000</v>
      </c>
      <c r="W23" s="267"/>
      <c r="X23" s="270">
        <f t="shared" si="1"/>
        <v>14894999.999999998</v>
      </c>
    </row>
    <row r="24" spans="1:25">
      <c r="A24" s="424">
        <v>20</v>
      </c>
      <c r="B24" s="405" t="s">
        <v>95</v>
      </c>
      <c r="C24" s="275">
        <v>2.8930000000000001E-2</v>
      </c>
      <c r="D24" s="276">
        <v>44454</v>
      </c>
      <c r="E24" s="276">
        <v>55411</v>
      </c>
      <c r="F24" s="267">
        <f t="shared" si="0"/>
        <v>450000000</v>
      </c>
      <c r="G24" s="277">
        <v>98.850399999999993</v>
      </c>
      <c r="H24" s="427">
        <f>ROUND(YIELD(D24,E24,C24,G24,100,2,2),4)</f>
        <v>2.9499999999999998E-2</v>
      </c>
      <c r="I24" s="270">
        <f t="shared" si="3"/>
        <v>13275000</v>
      </c>
      <c r="J24" s="267">
        <v>450000000</v>
      </c>
      <c r="K24" s="267">
        <v>450000000</v>
      </c>
      <c r="L24" s="267">
        <v>450000000</v>
      </c>
      <c r="M24" s="267">
        <v>450000000</v>
      </c>
      <c r="N24" s="267">
        <v>450000000</v>
      </c>
      <c r="O24" s="267">
        <v>450000000</v>
      </c>
      <c r="P24" s="267">
        <v>450000000</v>
      </c>
      <c r="Q24" s="267">
        <v>450000000</v>
      </c>
      <c r="R24" s="267">
        <v>450000000</v>
      </c>
      <c r="S24" s="267">
        <v>450000000</v>
      </c>
      <c r="T24" s="267">
        <v>450000000</v>
      </c>
      <c r="U24" s="267">
        <v>450000000</v>
      </c>
      <c r="V24" s="267">
        <v>450000000</v>
      </c>
      <c r="W24" s="267"/>
      <c r="X24" s="270">
        <f t="shared" si="1"/>
        <v>13275000</v>
      </c>
    </row>
    <row r="25" spans="1:25">
      <c r="A25" s="424">
        <v>21</v>
      </c>
      <c r="B25" s="136"/>
      <c r="C25" s="275"/>
      <c r="D25" s="276"/>
      <c r="E25" s="276"/>
      <c r="F25" s="267"/>
      <c r="G25" s="282"/>
      <c r="H25" s="178"/>
      <c r="I25" s="270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391">
        <f>SUM(X6:X24)</f>
        <v>244374128</v>
      </c>
    </row>
    <row r="26" spans="1:25" ht="13.5" thickBot="1">
      <c r="A26" s="436">
        <v>22</v>
      </c>
      <c r="B26" s="136"/>
      <c r="C26" s="138" t="s">
        <v>116</v>
      </c>
      <c r="D26" s="276"/>
      <c r="E26" s="276"/>
      <c r="F26" s="267"/>
      <c r="G26" s="278"/>
      <c r="H26" s="178"/>
      <c r="I26" s="279">
        <f>'Pg 7 Reacquired Debt'!I32</f>
        <v>2091418.9200000002</v>
      </c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70"/>
      <c r="X26" s="391">
        <f>I26</f>
        <v>2091418.9200000002</v>
      </c>
    </row>
    <row r="27" spans="1:25" ht="13.5" thickBot="1">
      <c r="A27" s="424">
        <v>23</v>
      </c>
      <c r="B27" s="138" t="s">
        <v>128</v>
      </c>
      <c r="C27" s="275"/>
      <c r="D27" s="276"/>
      <c r="E27" s="276"/>
      <c r="F27" s="279">
        <f>SUM(F6:F26)</f>
        <v>4823860000</v>
      </c>
      <c r="G27" s="280"/>
      <c r="H27" s="211">
        <f>ROUND(+I27/F27,4)</f>
        <v>5.11E-2</v>
      </c>
      <c r="I27" s="283">
        <f t="shared" ref="I27:V27" si="4">SUM(I6:I26)</f>
        <v>246465546.91999999</v>
      </c>
      <c r="J27" s="283">
        <f>SUM(J6:J26)</f>
        <v>4823860000</v>
      </c>
      <c r="K27" s="283">
        <f>SUM(K6:K26)</f>
        <v>4823860000</v>
      </c>
      <c r="L27" s="283">
        <f>SUM(L6:L26)</f>
        <v>4823860000</v>
      </c>
      <c r="M27" s="283">
        <f t="shared" si="4"/>
        <v>4823860000</v>
      </c>
      <c r="N27" s="283">
        <f t="shared" si="4"/>
        <v>4823860000</v>
      </c>
      <c r="O27" s="283">
        <f t="shared" si="4"/>
        <v>4823860000</v>
      </c>
      <c r="P27" s="283">
        <f t="shared" si="4"/>
        <v>4823860000</v>
      </c>
      <c r="Q27" s="283">
        <f t="shared" si="4"/>
        <v>4823860000</v>
      </c>
      <c r="R27" s="283">
        <f t="shared" si="4"/>
        <v>4823860000</v>
      </c>
      <c r="S27" s="283">
        <f t="shared" si="4"/>
        <v>4823860000</v>
      </c>
      <c r="T27" s="283">
        <f t="shared" si="4"/>
        <v>4823860000</v>
      </c>
      <c r="U27" s="283">
        <f t="shared" si="4"/>
        <v>4823860000</v>
      </c>
      <c r="V27" s="283">
        <f t="shared" si="4"/>
        <v>4823860000</v>
      </c>
      <c r="W27" s="281"/>
      <c r="X27" s="283">
        <f>SUM(X25:X26)</f>
        <v>246465546.91999999</v>
      </c>
      <c r="Y27" s="392">
        <f>X27/V27</f>
        <v>5.1093014084156667E-2</v>
      </c>
    </row>
    <row r="28" spans="1:25" ht="13.5" thickBot="1">
      <c r="A28" s="436">
        <v>24</v>
      </c>
      <c r="B28" s="136"/>
      <c r="C28" s="275"/>
      <c r="D28" s="276"/>
      <c r="E28" s="276"/>
      <c r="F28" s="281"/>
      <c r="G28" s="278"/>
      <c r="H28" s="240"/>
      <c r="I28" s="281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268">
        <f>H28*S28</f>
        <v>0</v>
      </c>
    </row>
    <row r="29" spans="1:25" ht="13.5" thickBot="1">
      <c r="A29" s="424">
        <v>25</v>
      </c>
      <c r="B29" s="138" t="s">
        <v>197</v>
      </c>
      <c r="C29" s="275"/>
      <c r="D29" s="276"/>
      <c r="E29" s="276"/>
      <c r="F29" s="281">
        <f>F27</f>
        <v>4823860000</v>
      </c>
      <c r="G29" s="281">
        <f>SUM(I6:I24)</f>
        <v>244374128</v>
      </c>
      <c r="H29" s="211">
        <f>ROUND(+G29/F29,4)</f>
        <v>5.0700000000000002E-2</v>
      </c>
      <c r="J29" s="455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268"/>
    </row>
    <row r="30" spans="1:25">
      <c r="A30" s="424">
        <v>26</v>
      </c>
      <c r="B30" s="136"/>
      <c r="C30" s="275"/>
      <c r="D30" s="276"/>
      <c r="E30" s="276"/>
      <c r="F30" s="281"/>
      <c r="G30" s="278"/>
      <c r="H30" s="240"/>
      <c r="I30" s="281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268"/>
    </row>
    <row r="31" spans="1:25">
      <c r="A31" s="424">
        <v>27</v>
      </c>
      <c r="B31" s="405" t="s">
        <v>187</v>
      </c>
      <c r="C31" s="275"/>
      <c r="D31" s="276"/>
      <c r="E31" s="276"/>
      <c r="F31" s="281">
        <f>'Pg 3 STD Cost Rate'!C17</f>
        <v>80326397.25</v>
      </c>
      <c r="G31" s="281">
        <f>'Pg 3 STD Cost Rate'!E17</f>
        <v>2657716.8199999998</v>
      </c>
      <c r="H31" s="412">
        <f>ROUND(G31/F31,4)</f>
        <v>3.3099999999999997E-2</v>
      </c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268"/>
    </row>
    <row r="32" spans="1:25">
      <c r="A32" s="436">
        <v>28</v>
      </c>
      <c r="B32" s="136"/>
      <c r="C32" s="275"/>
      <c r="D32" s="276"/>
      <c r="E32" s="276"/>
      <c r="F32" s="281"/>
      <c r="G32" s="278"/>
      <c r="H32" s="240"/>
      <c r="I32" s="281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268"/>
    </row>
    <row r="33" spans="1:55">
      <c r="A33" s="424">
        <v>29</v>
      </c>
      <c r="B33" s="413" t="s">
        <v>188</v>
      </c>
      <c r="C33" s="275"/>
      <c r="D33" s="276"/>
      <c r="E33" s="276"/>
      <c r="F33" s="281">
        <f>F31+F27</f>
        <v>4904186397.25</v>
      </c>
      <c r="G33" s="281">
        <f>G31+G29</f>
        <v>247031844.81999999</v>
      </c>
      <c r="H33" s="412">
        <f>ROUND(G33/F33,4)</f>
        <v>5.04E-2</v>
      </c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268"/>
    </row>
    <row r="34" spans="1:55">
      <c r="A34" s="436">
        <v>30</v>
      </c>
      <c r="B34" s="136"/>
      <c r="C34" s="275"/>
      <c r="D34" s="276"/>
      <c r="E34" s="276"/>
      <c r="F34" s="281"/>
      <c r="G34" s="278"/>
      <c r="H34" s="240"/>
      <c r="I34" s="281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268"/>
    </row>
    <row r="35" spans="1:55">
      <c r="A35" s="424">
        <v>31</v>
      </c>
      <c r="B35" s="134" t="s">
        <v>85</v>
      </c>
      <c r="C35" s="135"/>
      <c r="D35" s="135"/>
      <c r="E35" s="135"/>
      <c r="F35" s="135"/>
      <c r="G35" s="135"/>
      <c r="H35" s="135"/>
      <c r="I35" s="135"/>
      <c r="X35" s="281"/>
      <c r="Y35" s="240"/>
    </row>
    <row r="36" spans="1:55">
      <c r="A36" s="424">
        <v>32</v>
      </c>
      <c r="B36" s="134" t="s">
        <v>93</v>
      </c>
      <c r="C36" s="135"/>
      <c r="D36" s="135"/>
      <c r="E36" s="135"/>
      <c r="F36" s="135"/>
      <c r="G36" s="137"/>
      <c r="H36" s="135"/>
      <c r="I36" s="135"/>
    </row>
    <row r="37" spans="1:55">
      <c r="A37" s="132"/>
      <c r="B37" s="134"/>
      <c r="C37" s="135"/>
      <c r="D37" s="135"/>
      <c r="E37" s="135"/>
      <c r="F37" s="135"/>
      <c r="G37" s="137"/>
      <c r="H37" s="135"/>
      <c r="I37" s="135"/>
    </row>
    <row r="38" spans="1:55">
      <c r="A38" s="132"/>
      <c r="B38" s="134"/>
      <c r="C38" s="135"/>
      <c r="D38" s="135"/>
      <c r="E38" s="135"/>
      <c r="F38" s="135"/>
      <c r="G38" s="137"/>
      <c r="H38" s="135"/>
      <c r="I38" s="135"/>
    </row>
    <row r="39" spans="1:55">
      <c r="A39" s="132"/>
      <c r="B39" s="133"/>
      <c r="C39" s="133"/>
      <c r="D39" s="133"/>
      <c r="E39" s="311"/>
      <c r="G39" s="133"/>
      <c r="H39" s="284"/>
      <c r="I39" s="285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</row>
    <row r="40" spans="1:55">
      <c r="A40" s="43"/>
      <c r="B40" s="287"/>
      <c r="C40" s="287"/>
      <c r="D40" s="287"/>
      <c r="E40" s="287"/>
      <c r="F40" s="266"/>
      <c r="G40" s="287"/>
      <c r="H40" s="135"/>
      <c r="I40" s="174"/>
      <c r="J40" s="288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</row>
    <row r="41" spans="1:55">
      <c r="A41" s="43"/>
      <c r="B41" s="287"/>
      <c r="C41" s="287"/>
      <c r="D41" s="287"/>
      <c r="E41" s="287"/>
      <c r="F41" s="265"/>
      <c r="G41" s="287"/>
      <c r="H41" s="133"/>
      <c r="I41" s="285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</row>
    <row r="42" spans="1:55">
      <c r="A42" s="43"/>
      <c r="B42" s="27"/>
      <c r="C42" s="27"/>
      <c r="D42" s="27"/>
      <c r="E42" s="27"/>
      <c r="F42" s="266"/>
      <c r="G42" s="27"/>
      <c r="H42" s="27"/>
      <c r="I42" s="44"/>
      <c r="J42" s="216" t="str">
        <f t="shared" ref="J42:S42" si="5">IF(J41&lt;&gt;0,"ERROR","")</f>
        <v/>
      </c>
      <c r="K42" s="216" t="str">
        <f t="shared" si="5"/>
        <v/>
      </c>
      <c r="L42" s="216" t="str">
        <f t="shared" si="5"/>
        <v/>
      </c>
      <c r="M42" s="216" t="str">
        <f t="shared" si="5"/>
        <v/>
      </c>
      <c r="N42" s="216" t="str">
        <f t="shared" si="5"/>
        <v/>
      </c>
      <c r="O42" s="216" t="str">
        <f t="shared" si="5"/>
        <v/>
      </c>
      <c r="P42" s="216" t="str">
        <f t="shared" si="5"/>
        <v/>
      </c>
      <c r="Q42" s="216" t="str">
        <f t="shared" si="5"/>
        <v/>
      </c>
      <c r="R42" s="216" t="str">
        <f t="shared" si="5"/>
        <v/>
      </c>
      <c r="S42" s="43" t="str">
        <f t="shared" si="5"/>
        <v/>
      </c>
      <c r="T42" s="43"/>
      <c r="U42" s="43"/>
      <c r="V42" s="43"/>
      <c r="W42" s="43"/>
    </row>
    <row r="43" spans="1:55">
      <c r="A43" s="43"/>
      <c r="B43" s="27"/>
      <c r="C43" s="27"/>
      <c r="D43" s="27"/>
      <c r="E43" s="449"/>
      <c r="F43" s="44"/>
      <c r="G43" s="27"/>
      <c r="H43" s="178"/>
      <c r="Y43" s="428"/>
    </row>
    <row r="44" spans="1:55">
      <c r="A44" s="45"/>
      <c r="B44" s="46"/>
      <c r="C44" s="47"/>
      <c r="D44" s="48"/>
      <c r="E44" s="48"/>
      <c r="F44" s="256"/>
      <c r="G44" s="50"/>
      <c r="H44" s="178"/>
      <c r="I44" s="96"/>
      <c r="Y44" s="428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28"/>
    </row>
    <row r="46" spans="1:55">
      <c r="A46" s="45"/>
      <c r="B46" s="46"/>
      <c r="C46" s="47"/>
      <c r="D46" s="48"/>
      <c r="E46" s="48"/>
      <c r="F46" s="49"/>
      <c r="G46" s="50"/>
      <c r="H46" s="51"/>
      <c r="I46" s="52"/>
      <c r="Y46" s="428"/>
    </row>
    <row r="47" spans="1:55" hidden="1">
      <c r="A47" s="53"/>
      <c r="B47" s="27"/>
      <c r="C47" s="27"/>
      <c r="D47" s="27"/>
      <c r="E47" s="27"/>
      <c r="F47" s="44"/>
      <c r="G47" s="27"/>
      <c r="H47" s="54"/>
      <c r="I47" s="44"/>
      <c r="Y47" s="428"/>
    </row>
    <row r="48" spans="1:55" hidden="1">
      <c r="A48" s="53"/>
      <c r="B48" s="27"/>
      <c r="C48" s="27"/>
      <c r="D48" s="27"/>
      <c r="E48" s="27"/>
      <c r="F48" s="44"/>
      <c r="G48" s="27"/>
      <c r="H48" s="55"/>
      <c r="I48" s="44"/>
      <c r="Y48" s="428"/>
    </row>
    <row r="49" spans="1:25" hidden="1">
      <c r="A49" s="53"/>
      <c r="B49" s="27"/>
      <c r="C49" s="27"/>
      <c r="D49" s="27"/>
      <c r="E49" s="27"/>
      <c r="F49" s="44"/>
      <c r="G49" s="27"/>
      <c r="H49" s="27"/>
      <c r="I49" s="44"/>
      <c r="Y49" s="428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28"/>
    </row>
    <row r="51" spans="1:25">
      <c r="A51" s="45"/>
      <c r="B51" s="46"/>
      <c r="C51" s="47"/>
      <c r="D51" s="48"/>
      <c r="E51" s="48"/>
      <c r="F51" s="49"/>
      <c r="G51" s="50"/>
      <c r="H51" s="51"/>
      <c r="I51" s="52"/>
      <c r="Y51" s="428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28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28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28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28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28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28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28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28"/>
    </row>
    <row r="60" spans="1:25">
      <c r="A60" s="53"/>
      <c r="B60" s="27"/>
      <c r="C60" s="27"/>
      <c r="D60" s="27"/>
      <c r="E60" s="27"/>
      <c r="F60" s="44"/>
      <c r="G60" s="27"/>
      <c r="H60" s="27"/>
      <c r="I60" s="44"/>
      <c r="Y60" s="428"/>
    </row>
    <row r="61" spans="1:25">
      <c r="A61" s="43"/>
      <c r="B61" s="27"/>
      <c r="C61" s="46"/>
      <c r="D61" s="27"/>
      <c r="E61" s="27"/>
      <c r="F61" s="44"/>
      <c r="G61" s="27"/>
      <c r="H61" s="27"/>
      <c r="I61" s="44"/>
      <c r="Y61" s="428"/>
    </row>
    <row r="62" spans="1:25">
      <c r="C62" s="24"/>
      <c r="E62" s="29"/>
      <c r="Y62" s="428"/>
    </row>
    <row r="63" spans="1:25">
      <c r="C63" s="28"/>
      <c r="Y63" s="428"/>
    </row>
    <row r="64" spans="1:25">
      <c r="Y64" s="428"/>
    </row>
    <row r="65" spans="25:25">
      <c r="Y65" s="428"/>
    </row>
    <row r="66" spans="25:25">
      <c r="Y66" s="428"/>
    </row>
    <row r="67" spans="25:25">
      <c r="Y67" s="428"/>
    </row>
    <row r="68" spans="25:25">
      <c r="Y68" s="428"/>
    </row>
    <row r="69" spans="25:25">
      <c r="Y69" s="428"/>
    </row>
    <row r="70" spans="25:25">
      <c r="Y70" s="428"/>
    </row>
    <row r="71" spans="25:25">
      <c r="Y71" s="428"/>
    </row>
    <row r="72" spans="25:25">
      <c r="Y72" s="428"/>
    </row>
    <row r="73" spans="25:25">
      <c r="Y73" s="428"/>
    </row>
    <row r="74" spans="25:25">
      <c r="Y74" s="428"/>
    </row>
    <row r="75" spans="25:25">
      <c r="Y75" s="428"/>
    </row>
    <row r="76" spans="25:25">
      <c r="Y76" s="428"/>
    </row>
    <row r="77" spans="25:25">
      <c r="Y77" s="428"/>
    </row>
    <row r="78" spans="25:25">
      <c r="Y78" s="428"/>
    </row>
    <row r="79" spans="25:25">
      <c r="Y79" s="428"/>
    </row>
    <row r="80" spans="25:25">
      <c r="Y80" s="428"/>
    </row>
    <row r="81" spans="25:25">
      <c r="Y81" s="428"/>
    </row>
    <row r="82" spans="25:25">
      <c r="Y82" s="428"/>
    </row>
    <row r="83" spans="25:25">
      <c r="Y83" s="428"/>
    </row>
    <row r="84" spans="25:25">
      <c r="Y84" s="428"/>
    </row>
    <row r="85" spans="25:25">
      <c r="Y85" s="428"/>
    </row>
    <row r="86" spans="25:25">
      <c r="Y86" s="428"/>
    </row>
    <row r="87" spans="25:25">
      <c r="Y87" s="428"/>
    </row>
    <row r="88" spans="25:25">
      <c r="Y88" s="428"/>
    </row>
    <row r="89" spans="25:25">
      <c r="Y89" s="428"/>
    </row>
    <row r="90" spans="25:25">
      <c r="Y90" s="428"/>
    </row>
    <row r="91" spans="25:25">
      <c r="Y91" s="428"/>
    </row>
    <row r="92" spans="25:25">
      <c r="Y92" s="428"/>
    </row>
    <row r="93" spans="25:25">
      <c r="Y93" s="428"/>
    </row>
    <row r="94" spans="25:25">
      <c r="Y94" s="428"/>
    </row>
    <row r="95" spans="25:25">
      <c r="Y95" s="428"/>
    </row>
    <row r="96" spans="25:25">
      <c r="Y96" s="428"/>
    </row>
    <row r="97" spans="25:25">
      <c r="Y97" s="428"/>
    </row>
    <row r="98" spans="25:25">
      <c r="Y98" s="428"/>
    </row>
    <row r="99" spans="25:25">
      <c r="Y99" s="428"/>
    </row>
    <row r="100" spans="25:25">
      <c r="Y100" s="428"/>
    </row>
    <row r="101" spans="25:25">
      <c r="Y101" s="428"/>
    </row>
    <row r="102" spans="25:25">
      <c r="Y102" s="428"/>
    </row>
    <row r="103" spans="25:25">
      <c r="Y103" s="428"/>
    </row>
    <row r="106" spans="25:25">
      <c r="Y106" s="428"/>
    </row>
    <row r="107" spans="25:25">
      <c r="Y107" s="428"/>
    </row>
    <row r="108" spans="25:25">
      <c r="Y108" s="428"/>
    </row>
    <row r="109" spans="25:25">
      <c r="Y109" s="428"/>
    </row>
    <row r="110" spans="25:25">
      <c r="Y110" s="428"/>
    </row>
    <row r="111" spans="25:25">
      <c r="Y111" s="428"/>
    </row>
    <row r="112" spans="25:25">
      <c r="Y112" s="428"/>
    </row>
    <row r="113" spans="25:25">
      <c r="Y113" s="428"/>
    </row>
    <row r="114" spans="25:25">
      <c r="Y114" s="428"/>
    </row>
    <row r="115" spans="25:25">
      <c r="Y115" s="428"/>
    </row>
    <row r="116" spans="25:25">
      <c r="Y116" s="428"/>
    </row>
    <row r="117" spans="25:25">
      <c r="Y117" s="428"/>
    </row>
    <row r="118" spans="25:25">
      <c r="Y118" s="428"/>
    </row>
    <row r="119" spans="25:25">
      <c r="Y119" s="428"/>
    </row>
    <row r="120" spans="25:25">
      <c r="Y120" s="428"/>
    </row>
    <row r="121" spans="25:25">
      <c r="Y121" s="428"/>
    </row>
    <row r="122" spans="25:25">
      <c r="Y122" s="428"/>
    </row>
    <row r="123" spans="25:25">
      <c r="Y123" s="428"/>
    </row>
    <row r="124" spans="25:25">
      <c r="Y124" s="428"/>
    </row>
    <row r="125" spans="25:25">
      <c r="Y125" s="428"/>
    </row>
    <row r="126" spans="25:25">
      <c r="Y126" s="428"/>
    </row>
    <row r="127" spans="25:25">
      <c r="Y127" s="428"/>
    </row>
    <row r="128" spans="25:25">
      <c r="Y128" s="428"/>
    </row>
    <row r="129" spans="25:25">
      <c r="Y129" s="428"/>
    </row>
    <row r="130" spans="25:25">
      <c r="Y130" s="428"/>
    </row>
    <row r="131" spans="25:25">
      <c r="Y131" s="428"/>
    </row>
    <row r="132" spans="25:25">
      <c r="Y132" s="428"/>
    </row>
    <row r="133" spans="25:25">
      <c r="Y133" s="428"/>
    </row>
    <row r="134" spans="25:25">
      <c r="Y134" s="428"/>
    </row>
    <row r="135" spans="25:25">
      <c r="Y135" s="428"/>
    </row>
    <row r="137" spans="25:25">
      <c r="Y137" s="428"/>
    </row>
    <row r="138" spans="25:25">
      <c r="Y138" s="428"/>
    </row>
    <row r="139" spans="25:25">
      <c r="Y139" s="428"/>
    </row>
    <row r="140" spans="25:25">
      <c r="Y140" s="428"/>
    </row>
    <row r="141" spans="25:25">
      <c r="Y141" s="428"/>
    </row>
    <row r="142" spans="25:25">
      <c r="Y142" s="428"/>
    </row>
    <row r="143" spans="25:25">
      <c r="Y143" s="428"/>
    </row>
    <row r="144" spans="25:25">
      <c r="Y144" s="428"/>
    </row>
    <row r="145" spans="25:25">
      <c r="Y145" s="428"/>
    </row>
    <row r="146" spans="25:25">
      <c r="Y146" s="428"/>
    </row>
    <row r="147" spans="25:25">
      <c r="Y147" s="428"/>
    </row>
    <row r="148" spans="25:25">
      <c r="Y148" s="428"/>
    </row>
    <row r="149" spans="25:25">
      <c r="Y149" s="428"/>
    </row>
    <row r="150" spans="25:25">
      <c r="Y150" s="428"/>
    </row>
    <row r="151" spans="25:25">
      <c r="Y151" s="428"/>
    </row>
    <row r="152" spans="25:25">
      <c r="Y152" s="428"/>
    </row>
    <row r="153" spans="25:25">
      <c r="Y153" s="428"/>
    </row>
    <row r="154" spans="25:25">
      <c r="Y154" s="428"/>
    </row>
    <row r="155" spans="25:25">
      <c r="Y155" s="428"/>
    </row>
    <row r="156" spans="25:25">
      <c r="Y156" s="428"/>
    </row>
    <row r="157" spans="25:25">
      <c r="Y157" s="428"/>
    </row>
    <row r="158" spans="25:25">
      <c r="Y158" s="428"/>
    </row>
    <row r="159" spans="25:25">
      <c r="Y159" s="428"/>
    </row>
    <row r="160" spans="25:25">
      <c r="Y160" s="428"/>
    </row>
    <row r="161" spans="25:25">
      <c r="Y161" s="428"/>
    </row>
    <row r="162" spans="25:25">
      <c r="Y162" s="428"/>
    </row>
    <row r="163" spans="25:25">
      <c r="Y163" s="428"/>
    </row>
    <row r="164" spans="25:25">
      <c r="Y164" s="428"/>
    </row>
    <row r="165" spans="25:25">
      <c r="Y165" s="428"/>
    </row>
    <row r="166" spans="25:25">
      <c r="Y166" s="428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pageSetUpPr fitToPage="1"/>
  </sheetPr>
  <dimension ref="A1:U84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O16" sqref="O16"/>
    </sheetView>
  </sheetViews>
  <sheetFormatPr defaultColWidth="8.83203125" defaultRowHeight="15"/>
  <cols>
    <col min="1" max="1" width="4.6640625" style="30" customWidth="1"/>
    <col min="2" max="2" width="46" style="30" customWidth="1"/>
    <col min="3" max="3" width="10.83203125" style="30" customWidth="1"/>
    <col min="4" max="4" width="11.83203125" style="30" customWidth="1"/>
    <col min="5" max="5" width="12.83203125" style="30" customWidth="1"/>
    <col min="6" max="6" width="15.83203125" style="30" customWidth="1"/>
    <col min="7" max="7" width="13" style="30" customWidth="1"/>
    <col min="8" max="8" width="13.83203125" style="30" customWidth="1"/>
    <col min="9" max="9" width="18" style="30" customWidth="1"/>
    <col min="10" max="10" width="12.1640625" style="30" customWidth="1"/>
    <col min="11" max="11" width="15.6640625" style="446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customWidth="1"/>
    <col min="21" max="16384" width="8.8320312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  <c r="S2"/>
      <c r="T2"/>
    </row>
    <row r="3" spans="1:21" s="31" customFormat="1" ht="12.75" customHeight="1">
      <c r="B3" s="470" t="str">
        <f>'New Format'!B5</f>
        <v>For The 12 Months Ending December 31, 2022</v>
      </c>
      <c r="C3" s="470"/>
      <c r="D3" s="470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  <c r="S3"/>
      <c r="T3"/>
    </row>
    <row r="4" spans="1:21" s="31" customFormat="1" ht="12.75" customHeight="1">
      <c r="B4" s="123"/>
      <c r="C4" s="123"/>
      <c r="D4" s="123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  <c r="S4"/>
      <c r="T4"/>
    </row>
    <row r="5" spans="1:21" s="31" customFormat="1" ht="12.75" customHeight="1">
      <c r="A5" s="232">
        <v>1</v>
      </c>
      <c r="B5" s="127" t="s">
        <v>5</v>
      </c>
      <c r="C5" s="127" t="s">
        <v>27</v>
      </c>
      <c r="D5" s="127" t="s">
        <v>52</v>
      </c>
      <c r="E5" s="127" t="s">
        <v>64</v>
      </c>
      <c r="F5" s="127" t="s">
        <v>65</v>
      </c>
      <c r="G5" s="257" t="s">
        <v>66</v>
      </c>
      <c r="H5" s="127" t="s">
        <v>67</v>
      </c>
      <c r="I5" s="127" t="s">
        <v>68</v>
      </c>
      <c r="J5" s="127" t="s">
        <v>69</v>
      </c>
      <c r="K5" s="59"/>
      <c r="L5"/>
      <c r="M5"/>
      <c r="N5"/>
      <c r="O5"/>
      <c r="P5"/>
      <c r="Q5"/>
      <c r="R5"/>
      <c r="S5"/>
      <c r="T5"/>
    </row>
    <row r="6" spans="1:21" s="31" customFormat="1" ht="12.75" customHeight="1">
      <c r="A6" s="232">
        <f t="shared" ref="A6:A41" si="0">A5+1</f>
        <v>2</v>
      </c>
      <c r="B6" s="60" t="s">
        <v>2</v>
      </c>
      <c r="C6" s="243" t="s">
        <v>17</v>
      </c>
      <c r="D6" s="244" t="s">
        <v>107</v>
      </c>
      <c r="E6" s="218" t="s">
        <v>142</v>
      </c>
      <c r="F6" s="218" t="s">
        <v>143</v>
      </c>
      <c r="G6" s="218" t="s">
        <v>143</v>
      </c>
      <c r="H6" s="218" t="s">
        <v>70</v>
      </c>
      <c r="I6" s="244" t="s">
        <v>18</v>
      </c>
      <c r="J6" s="59"/>
      <c r="K6" s="59"/>
      <c r="L6"/>
      <c r="M6"/>
      <c r="N6"/>
      <c r="O6"/>
      <c r="P6"/>
      <c r="Q6"/>
      <c r="R6"/>
      <c r="S6"/>
      <c r="T6"/>
    </row>
    <row r="7" spans="1:21" s="31" customFormat="1" ht="12.75" customHeight="1">
      <c r="A7" s="232">
        <f t="shared" si="0"/>
        <v>3</v>
      </c>
      <c r="B7" s="113" t="s">
        <v>17</v>
      </c>
      <c r="C7" s="62" t="s">
        <v>108</v>
      </c>
      <c r="D7" s="62" t="s">
        <v>108</v>
      </c>
      <c r="E7" s="62" t="s">
        <v>108</v>
      </c>
      <c r="F7" s="62" t="s">
        <v>17</v>
      </c>
      <c r="G7" s="62" t="s">
        <v>108</v>
      </c>
      <c r="H7" s="62" t="s">
        <v>144</v>
      </c>
      <c r="I7" s="62" t="s">
        <v>141</v>
      </c>
      <c r="J7" s="63" t="s">
        <v>56</v>
      </c>
      <c r="K7" s="59"/>
      <c r="L7"/>
      <c r="M7"/>
      <c r="N7"/>
      <c r="O7"/>
      <c r="P7"/>
      <c r="Q7"/>
      <c r="R7"/>
      <c r="S7"/>
      <c r="T7"/>
    </row>
    <row r="8" spans="1:21" s="31" customFormat="1" ht="12.75" customHeight="1">
      <c r="A8" s="232">
        <f t="shared" si="0"/>
        <v>4</v>
      </c>
      <c r="B8" s="114"/>
      <c r="C8" s="115"/>
      <c r="D8" s="115"/>
      <c r="E8" s="115"/>
      <c r="F8" s="115"/>
      <c r="G8" s="115"/>
      <c r="H8" s="289"/>
      <c r="I8" s="64"/>
      <c r="J8" s="116"/>
      <c r="K8" s="231"/>
      <c r="L8"/>
      <c r="M8"/>
      <c r="N8"/>
      <c r="O8"/>
      <c r="P8"/>
      <c r="Q8"/>
      <c r="R8"/>
      <c r="S8"/>
      <c r="T8"/>
    </row>
    <row r="9" spans="1:21" s="31" customFormat="1" ht="12.75" customHeight="1">
      <c r="A9" s="232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89">
        <v>42684</v>
      </c>
      <c r="I9" s="290">
        <v>0</v>
      </c>
      <c r="J9" s="116">
        <v>18900013</v>
      </c>
      <c r="K9" s="231"/>
      <c r="L9"/>
      <c r="M9"/>
      <c r="N9"/>
      <c r="O9"/>
      <c r="P9"/>
      <c r="Q9"/>
      <c r="R9"/>
      <c r="S9"/>
      <c r="T9"/>
    </row>
    <row r="10" spans="1:21" s="31" customFormat="1" ht="12.75" customHeight="1">
      <c r="A10" s="232">
        <f t="shared" si="0"/>
        <v>6</v>
      </c>
      <c r="B10" s="114" t="s">
        <v>124</v>
      </c>
      <c r="C10" s="115">
        <v>35587</v>
      </c>
      <c r="D10" s="115">
        <v>46539</v>
      </c>
      <c r="E10" s="115">
        <v>39234</v>
      </c>
      <c r="F10" s="115" t="s">
        <v>132</v>
      </c>
      <c r="G10" s="115">
        <v>39237</v>
      </c>
      <c r="H10" s="289">
        <v>42887</v>
      </c>
      <c r="I10" s="290">
        <v>0</v>
      </c>
      <c r="J10" s="116">
        <v>18900383</v>
      </c>
      <c r="K10" s="231"/>
      <c r="L10"/>
      <c r="M10"/>
      <c r="N10"/>
      <c r="O10"/>
      <c r="P10"/>
      <c r="Q10"/>
      <c r="R10"/>
      <c r="S10"/>
      <c r="T10"/>
    </row>
    <row r="11" spans="1:21" s="31" customFormat="1" ht="12.75" customHeight="1">
      <c r="A11" s="232">
        <f t="shared" si="0"/>
        <v>7</v>
      </c>
      <c r="B11" s="114" t="s">
        <v>137</v>
      </c>
      <c r="C11" s="115">
        <v>33410</v>
      </c>
      <c r="D11" s="115">
        <v>37063</v>
      </c>
      <c r="E11" s="115">
        <v>35961</v>
      </c>
      <c r="F11" s="115" t="s">
        <v>133</v>
      </c>
      <c r="G11" s="115">
        <v>35961</v>
      </c>
      <c r="H11" s="289">
        <v>43266</v>
      </c>
      <c r="I11" s="290">
        <v>0</v>
      </c>
      <c r="J11" s="116">
        <v>18900243</v>
      </c>
      <c r="K11" s="231"/>
      <c r="L11"/>
      <c r="M11"/>
      <c r="N11"/>
      <c r="O11"/>
      <c r="P11"/>
      <c r="Q11"/>
      <c r="R11"/>
      <c r="S11"/>
      <c r="T11"/>
    </row>
    <row r="12" spans="1:21" s="231" customFormat="1" ht="12.75" customHeight="1">
      <c r="A12" s="232">
        <f t="shared" si="0"/>
        <v>8</v>
      </c>
      <c r="B12" s="291" t="s">
        <v>44</v>
      </c>
      <c r="C12" s="115">
        <v>33616</v>
      </c>
      <c r="D12" s="115">
        <f>DATE(2022,1,12)</f>
        <v>44573</v>
      </c>
      <c r="E12" s="292">
        <v>37701</v>
      </c>
      <c r="F12" s="292"/>
      <c r="G12" s="292"/>
      <c r="H12" s="289">
        <f>DATE(2022,1,12)</f>
        <v>44573</v>
      </c>
      <c r="I12" s="290">
        <v>0</v>
      </c>
      <c r="J12" s="116">
        <v>18900293</v>
      </c>
      <c r="K12" s="445"/>
      <c r="L12"/>
      <c r="M12"/>
      <c r="N12"/>
      <c r="O12"/>
      <c r="P12"/>
      <c r="Q12"/>
      <c r="R12"/>
      <c r="S12"/>
      <c r="T12"/>
      <c r="U12" s="31"/>
    </row>
    <row r="13" spans="1:21" s="231" customFormat="1" ht="12.75" customHeight="1">
      <c r="A13" s="232">
        <f t="shared" si="0"/>
        <v>9</v>
      </c>
      <c r="B13" s="291" t="s">
        <v>45</v>
      </c>
      <c r="C13" s="115">
        <v>33616</v>
      </c>
      <c r="D13" s="115">
        <f>DATE(2022,1,13)</f>
        <v>44574</v>
      </c>
      <c r="E13" s="292">
        <v>37701</v>
      </c>
      <c r="F13" s="292"/>
      <c r="G13" s="292"/>
      <c r="H13" s="289">
        <f>DATE(2022,1,13)</f>
        <v>44574</v>
      </c>
      <c r="I13" s="290">
        <v>0</v>
      </c>
      <c r="J13" s="116">
        <v>18900303</v>
      </c>
      <c r="K13" s="445"/>
      <c r="L13"/>
      <c r="M13"/>
      <c r="N13"/>
      <c r="O13"/>
      <c r="P13"/>
      <c r="Q13"/>
      <c r="R13"/>
      <c r="S13"/>
      <c r="T13"/>
      <c r="U13" s="31"/>
    </row>
    <row r="14" spans="1:21" s="231" customFormat="1" ht="12.75" customHeight="1">
      <c r="A14" s="232">
        <f t="shared" si="0"/>
        <v>10</v>
      </c>
      <c r="B14" s="291" t="s">
        <v>125</v>
      </c>
      <c r="C14" s="115">
        <v>33828</v>
      </c>
      <c r="D14" s="115">
        <v>44785</v>
      </c>
      <c r="E14" s="292">
        <v>37770</v>
      </c>
      <c r="F14" s="292"/>
      <c r="G14" s="292"/>
      <c r="H14" s="289">
        <v>44785</v>
      </c>
      <c r="I14" s="290">
        <v>0</v>
      </c>
      <c r="J14" s="116">
        <v>18900323</v>
      </c>
      <c r="K14" s="445"/>
      <c r="L14"/>
      <c r="M14"/>
      <c r="N14"/>
      <c r="O14"/>
      <c r="P14"/>
      <c r="Q14"/>
      <c r="R14"/>
      <c r="S14"/>
      <c r="T14"/>
      <c r="U14" s="31"/>
    </row>
    <row r="15" spans="1:21" s="231" customFormat="1" ht="12.75" customHeight="1">
      <c r="A15" s="232">
        <f t="shared" si="0"/>
        <v>11</v>
      </c>
      <c r="B15" s="291" t="s">
        <v>145</v>
      </c>
      <c r="C15" s="115">
        <v>34199</v>
      </c>
      <c r="D15" s="115">
        <v>45156</v>
      </c>
      <c r="E15" s="292">
        <v>37851</v>
      </c>
      <c r="H15" s="289">
        <v>45156</v>
      </c>
      <c r="I15" s="290">
        <v>10655.88</v>
      </c>
      <c r="J15" s="116">
        <v>18900353</v>
      </c>
      <c r="K15" s="445"/>
      <c r="L15"/>
      <c r="M15"/>
      <c r="N15"/>
      <c r="O15"/>
      <c r="P15"/>
      <c r="Q15"/>
      <c r="R15"/>
      <c r="S15"/>
      <c r="T15"/>
      <c r="U15" s="31"/>
    </row>
    <row r="16" spans="1:21" s="231" customFormat="1" ht="12.75" customHeight="1">
      <c r="A16" s="232">
        <f t="shared" si="0"/>
        <v>12</v>
      </c>
      <c r="B16" s="114" t="s">
        <v>138</v>
      </c>
      <c r="C16" s="115">
        <v>33161</v>
      </c>
      <c r="D16" s="115">
        <v>35718</v>
      </c>
      <c r="E16" s="115">
        <v>34372</v>
      </c>
      <c r="F16" s="115" t="s">
        <v>134</v>
      </c>
      <c r="G16" s="115">
        <v>34366</v>
      </c>
      <c r="H16" s="289">
        <v>45323</v>
      </c>
      <c r="I16" s="290">
        <v>168880.08</v>
      </c>
      <c r="J16" s="116">
        <v>18900173</v>
      </c>
      <c r="K16" s="445"/>
      <c r="L16"/>
      <c r="M16"/>
      <c r="N16"/>
      <c r="O16"/>
      <c r="P16"/>
      <c r="Q16"/>
      <c r="R16"/>
      <c r="S16"/>
      <c r="T16"/>
      <c r="U16" s="31"/>
    </row>
    <row r="17" spans="1:21" s="231" customFormat="1" ht="12.75" customHeight="1">
      <c r="A17" s="232">
        <f t="shared" si="0"/>
        <v>13</v>
      </c>
      <c r="B17" s="114" t="s">
        <v>123</v>
      </c>
      <c r="C17" s="115">
        <v>35587</v>
      </c>
      <c r="D17" s="115">
        <v>46539</v>
      </c>
      <c r="E17" s="115">
        <v>38504</v>
      </c>
      <c r="F17" s="115"/>
      <c r="G17" s="115"/>
      <c r="H17" s="289">
        <v>46539</v>
      </c>
      <c r="I17" s="290">
        <v>229804.2</v>
      </c>
      <c r="J17" s="116">
        <v>18900193</v>
      </c>
      <c r="K17" s="445"/>
      <c r="L17"/>
      <c r="M17"/>
      <c r="N17"/>
      <c r="O17"/>
      <c r="P17"/>
      <c r="Q17"/>
      <c r="R17"/>
      <c r="S17"/>
      <c r="T17"/>
      <c r="U17" s="31"/>
    </row>
    <row r="18" spans="1:21" s="231" customFormat="1" ht="12.75" customHeight="1">
      <c r="A18" s="232">
        <f t="shared" si="0"/>
        <v>14</v>
      </c>
      <c r="B18" s="291" t="s">
        <v>40</v>
      </c>
      <c r="C18" s="115">
        <v>33457</v>
      </c>
      <c r="D18" s="115">
        <f>DATE(2021,8,1)</f>
        <v>44409</v>
      </c>
      <c r="E18" s="292">
        <v>37691</v>
      </c>
      <c r="F18" s="292" t="s">
        <v>135</v>
      </c>
      <c r="G18" s="292">
        <v>37691</v>
      </c>
      <c r="H18" s="289">
        <v>47908</v>
      </c>
      <c r="I18" s="290">
        <v>45480.480000000003</v>
      </c>
      <c r="J18" s="116">
        <v>18900253</v>
      </c>
      <c r="K18" s="445"/>
      <c r="L18"/>
      <c r="M18"/>
      <c r="N18"/>
      <c r="O18"/>
      <c r="P18"/>
      <c r="Q18"/>
      <c r="R18"/>
      <c r="S18"/>
      <c r="T18"/>
      <c r="U18" s="31"/>
    </row>
    <row r="19" spans="1:21" s="231" customFormat="1" ht="12.75" customHeight="1">
      <c r="A19" s="232">
        <f t="shared" si="0"/>
        <v>15</v>
      </c>
      <c r="B19" s="291" t="s">
        <v>41</v>
      </c>
      <c r="C19" s="115">
        <v>33457</v>
      </c>
      <c r="D19" s="115">
        <f>DATE(2021,8,1)</f>
        <v>44409</v>
      </c>
      <c r="E19" s="292">
        <v>37691</v>
      </c>
      <c r="F19" s="292" t="s">
        <v>135</v>
      </c>
      <c r="G19" s="292">
        <v>37691</v>
      </c>
      <c r="H19" s="289">
        <v>47908</v>
      </c>
      <c r="I19" s="290">
        <v>34561.440000000002</v>
      </c>
      <c r="J19" s="116">
        <v>18900263</v>
      </c>
      <c r="K19" s="445"/>
      <c r="L19"/>
      <c r="M19"/>
      <c r="N19"/>
      <c r="O19"/>
      <c r="P19"/>
      <c r="Q19"/>
      <c r="R19"/>
      <c r="S19"/>
      <c r="T19"/>
      <c r="U19" s="31"/>
    </row>
    <row r="20" spans="1:21" s="231" customFormat="1" ht="12.75" customHeight="1">
      <c r="A20" s="232">
        <f t="shared" si="0"/>
        <v>16</v>
      </c>
      <c r="B20" s="291" t="s">
        <v>42</v>
      </c>
      <c r="C20" s="115">
        <v>33664</v>
      </c>
      <c r="D20" s="115">
        <f>DATE(2022,3,1)</f>
        <v>44621</v>
      </c>
      <c r="E20" s="292">
        <v>37691</v>
      </c>
      <c r="F20" s="292" t="s">
        <v>135</v>
      </c>
      <c r="G20" s="292">
        <v>37691</v>
      </c>
      <c r="H20" s="289">
        <v>47908</v>
      </c>
      <c r="I20" s="290">
        <v>105825.48</v>
      </c>
      <c r="J20" s="116">
        <v>18900273</v>
      </c>
      <c r="K20" s="445"/>
      <c r="L20"/>
      <c r="M20"/>
      <c r="N20"/>
      <c r="O20"/>
      <c r="P20"/>
      <c r="Q20"/>
      <c r="R20"/>
      <c r="S20"/>
      <c r="T20"/>
      <c r="U20" s="31"/>
    </row>
    <row r="21" spans="1:21" s="231" customFormat="1" ht="12.75" customHeight="1">
      <c r="A21" s="232">
        <f t="shared" si="0"/>
        <v>17</v>
      </c>
      <c r="B21" s="291" t="s">
        <v>43</v>
      </c>
      <c r="C21" s="115">
        <v>33664</v>
      </c>
      <c r="D21" s="115">
        <f>DATE(2022,3,1)</f>
        <v>44621</v>
      </c>
      <c r="E21" s="292">
        <v>37691</v>
      </c>
      <c r="F21" s="292" t="s">
        <v>135</v>
      </c>
      <c r="G21" s="292">
        <v>37691</v>
      </c>
      <c r="H21" s="289">
        <v>47908</v>
      </c>
      <c r="I21" s="290">
        <v>32297.759999999998</v>
      </c>
      <c r="J21" s="116">
        <v>18900283</v>
      </c>
      <c r="K21" s="445"/>
      <c r="L21"/>
      <c r="M21"/>
      <c r="N21"/>
      <c r="O21"/>
      <c r="P21"/>
      <c r="Q21"/>
      <c r="R21"/>
      <c r="S21"/>
      <c r="T21"/>
    </row>
    <row r="22" spans="1:21" s="231" customFormat="1" ht="12.75" customHeight="1">
      <c r="A22" s="232">
        <f t="shared" si="0"/>
        <v>18</v>
      </c>
      <c r="B22" s="291" t="s">
        <v>181</v>
      </c>
      <c r="C22" s="115">
        <v>37691</v>
      </c>
      <c r="D22" s="115">
        <v>47908</v>
      </c>
      <c r="E22" s="292">
        <v>41449</v>
      </c>
      <c r="F22" s="292" t="s">
        <v>182</v>
      </c>
      <c r="G22" s="292">
        <v>41417</v>
      </c>
      <c r="H22" s="289">
        <v>47908</v>
      </c>
      <c r="I22" s="290">
        <v>299128.68</v>
      </c>
      <c r="J22" s="116">
        <v>18900433</v>
      </c>
      <c r="K22" s="445"/>
      <c r="L22"/>
      <c r="M22"/>
      <c r="N22"/>
      <c r="O22"/>
      <c r="P22"/>
      <c r="Q22"/>
      <c r="R22"/>
      <c r="S22"/>
      <c r="T22"/>
    </row>
    <row r="23" spans="1:21" s="231" customFormat="1" ht="12.75" customHeight="1">
      <c r="A23" s="232">
        <f t="shared" si="0"/>
        <v>19</v>
      </c>
      <c r="B23" s="291" t="s">
        <v>181</v>
      </c>
      <c r="C23" s="115">
        <v>37691</v>
      </c>
      <c r="D23" s="115">
        <v>47908</v>
      </c>
      <c r="E23" s="292">
        <v>41449</v>
      </c>
      <c r="F23" s="292" t="s">
        <v>182</v>
      </c>
      <c r="G23" s="292">
        <v>41417</v>
      </c>
      <c r="H23" s="289">
        <v>47908</v>
      </c>
      <c r="I23" s="290">
        <v>50553.24</v>
      </c>
      <c r="J23" s="116">
        <v>18900533</v>
      </c>
      <c r="K23" s="445"/>
      <c r="L23"/>
      <c r="M23"/>
      <c r="N23"/>
      <c r="O23"/>
      <c r="P23"/>
      <c r="Q23"/>
      <c r="R23"/>
      <c r="S23"/>
      <c r="T23"/>
    </row>
    <row r="24" spans="1:21" s="231" customFormat="1" ht="12.75" customHeight="1">
      <c r="A24" s="232">
        <f>A23+1</f>
        <v>20</v>
      </c>
      <c r="B24" s="114" t="s">
        <v>101</v>
      </c>
      <c r="C24" s="115">
        <v>38183</v>
      </c>
      <c r="D24" s="115">
        <v>38913</v>
      </c>
      <c r="E24" s="115">
        <v>38499</v>
      </c>
      <c r="F24" s="115" t="s">
        <v>102</v>
      </c>
      <c r="G24" s="115">
        <v>38499</v>
      </c>
      <c r="H24" s="289">
        <v>49456</v>
      </c>
      <c r="I24" s="290">
        <f>17086.56</f>
        <v>17086.560000000001</v>
      </c>
      <c r="J24" s="116">
        <v>18900183</v>
      </c>
      <c r="K24" s="445"/>
      <c r="L24"/>
      <c r="M24"/>
      <c r="N24"/>
      <c r="O24"/>
      <c r="P24"/>
      <c r="Q24"/>
      <c r="R24"/>
      <c r="S24"/>
      <c r="T24"/>
    </row>
    <row r="25" spans="1:21" s="231" customFormat="1" ht="12.75" customHeight="1">
      <c r="A25" s="232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136</v>
      </c>
      <c r="G25" s="115">
        <v>38898</v>
      </c>
      <c r="H25" s="289">
        <v>49841</v>
      </c>
      <c r="I25" s="290">
        <f>(16418.45*12)</f>
        <v>197021.40000000002</v>
      </c>
      <c r="J25" s="116">
        <v>18900373</v>
      </c>
      <c r="K25" s="445"/>
      <c r="L25"/>
      <c r="M25"/>
      <c r="N25"/>
      <c r="O25"/>
      <c r="P25"/>
      <c r="Q25"/>
      <c r="R25"/>
      <c r="S25"/>
      <c r="T25"/>
    </row>
    <row r="26" spans="1:21" s="231" customFormat="1" ht="12.75" customHeight="1">
      <c r="A26" s="232">
        <f t="shared" si="0"/>
        <v>22</v>
      </c>
      <c r="B26" s="114" t="s">
        <v>175</v>
      </c>
      <c r="C26" s="115">
        <v>33117</v>
      </c>
      <c r="D26" s="115">
        <v>44075</v>
      </c>
      <c r="E26" s="115">
        <v>40900</v>
      </c>
      <c r="F26" s="115" t="s">
        <v>176</v>
      </c>
      <c r="G26" s="115">
        <v>40869</v>
      </c>
      <c r="H26" s="289">
        <v>55472</v>
      </c>
      <c r="I26" s="290">
        <v>400518.84</v>
      </c>
      <c r="J26" s="116">
        <v>18900393</v>
      </c>
      <c r="K26" s="445"/>
      <c r="L26"/>
      <c r="M26"/>
      <c r="N26"/>
      <c r="O26"/>
      <c r="P26"/>
      <c r="Q26"/>
      <c r="R26"/>
      <c r="S26"/>
      <c r="T26"/>
    </row>
    <row r="27" spans="1:21" s="231" customFormat="1" ht="12.75" customHeight="1">
      <c r="A27" s="232">
        <f t="shared" si="0"/>
        <v>23</v>
      </c>
      <c r="B27" s="114" t="s">
        <v>184</v>
      </c>
      <c r="C27" s="115">
        <v>38637</v>
      </c>
      <c r="D27" s="115">
        <v>42278</v>
      </c>
      <c r="E27" s="115">
        <v>42160</v>
      </c>
      <c r="F27" s="115" t="s">
        <v>186</v>
      </c>
      <c r="G27" s="115">
        <v>42150</v>
      </c>
      <c r="H27" s="289">
        <v>53102</v>
      </c>
      <c r="I27" s="290">
        <v>82302.48</v>
      </c>
      <c r="J27" s="116">
        <v>18900203</v>
      </c>
      <c r="K27" s="445"/>
      <c r="L27"/>
      <c r="M27"/>
      <c r="N27"/>
      <c r="O27"/>
      <c r="P27"/>
      <c r="Q27"/>
      <c r="R27"/>
      <c r="S27"/>
      <c r="T27"/>
    </row>
    <row r="28" spans="1:21" s="231" customFormat="1" ht="12.75" customHeight="1">
      <c r="A28" s="232">
        <f t="shared" si="0"/>
        <v>24</v>
      </c>
      <c r="B28" s="114" t="s">
        <v>185</v>
      </c>
      <c r="C28" s="115">
        <v>39836</v>
      </c>
      <c r="D28" s="115">
        <v>42384</v>
      </c>
      <c r="E28" s="115">
        <v>42160</v>
      </c>
      <c r="F28" s="115" t="s">
        <v>186</v>
      </c>
      <c r="G28" s="115">
        <v>42150</v>
      </c>
      <c r="H28" s="289">
        <v>53102</v>
      </c>
      <c r="I28" s="290">
        <v>316649.76</v>
      </c>
      <c r="J28" s="116">
        <v>18900213</v>
      </c>
      <c r="K28" s="445"/>
      <c r="L28"/>
      <c r="M28"/>
      <c r="N28"/>
      <c r="O28"/>
      <c r="P28"/>
      <c r="Q28"/>
      <c r="R28"/>
      <c r="S28"/>
      <c r="T28"/>
    </row>
    <row r="29" spans="1:21" s="231" customFormat="1" ht="12.75" customHeight="1">
      <c r="A29" s="232">
        <f t="shared" si="0"/>
        <v>25</v>
      </c>
      <c r="B29" s="114" t="s">
        <v>122</v>
      </c>
      <c r="C29" s="115">
        <v>39237</v>
      </c>
      <c r="D29" s="115">
        <v>24624</v>
      </c>
      <c r="E29" s="115">
        <v>43217</v>
      </c>
      <c r="F29" s="115"/>
      <c r="G29" s="115"/>
      <c r="H29" s="289">
        <v>61149</v>
      </c>
      <c r="I29" s="290">
        <v>100652.64</v>
      </c>
      <c r="J29" s="116">
        <v>18900233</v>
      </c>
      <c r="K29" s="445"/>
      <c r="L29"/>
      <c r="M29"/>
      <c r="N29"/>
      <c r="O29"/>
      <c r="P29"/>
      <c r="Q29"/>
      <c r="R29"/>
      <c r="S29"/>
      <c r="T29"/>
    </row>
    <row r="30" spans="1:21" s="231" customFormat="1" ht="12.75" customHeight="1">
      <c r="A30" s="232">
        <v>26</v>
      </c>
      <c r="B30" s="114"/>
      <c r="C30" s="115"/>
      <c r="D30" s="115"/>
      <c r="E30" s="115"/>
      <c r="F30" s="115"/>
      <c r="G30" s="115"/>
      <c r="H30" s="289"/>
      <c r="I30" s="290"/>
      <c r="J30" s="116"/>
      <c r="K30" s="445"/>
      <c r="L30"/>
      <c r="M30"/>
      <c r="N30"/>
      <c r="O30"/>
      <c r="P30"/>
      <c r="Q30"/>
      <c r="R30"/>
      <c r="S30"/>
      <c r="T30"/>
    </row>
    <row r="31" spans="1:21" s="31" customFormat="1" ht="12.75" customHeight="1">
      <c r="A31" s="232">
        <f t="shared" si="0"/>
        <v>27</v>
      </c>
      <c r="B31" s="114"/>
      <c r="C31" s="115"/>
      <c r="D31" s="115"/>
      <c r="E31" s="115"/>
      <c r="F31" s="115"/>
      <c r="G31" s="115"/>
      <c r="H31" s="289"/>
      <c r="I31" s="293"/>
      <c r="J31" s="294"/>
      <c r="K31" s="231"/>
      <c r="L31"/>
      <c r="M31"/>
      <c r="N31"/>
      <c r="O31"/>
      <c r="P31"/>
      <c r="Q31"/>
      <c r="R31"/>
      <c r="S31"/>
      <c r="T31"/>
    </row>
    <row r="32" spans="1:21" s="31" customFormat="1" ht="15" customHeight="1" thickBot="1">
      <c r="A32" s="232">
        <f t="shared" si="0"/>
        <v>28</v>
      </c>
      <c r="B32" s="112" t="s">
        <v>28</v>
      </c>
      <c r="C32" s="117"/>
      <c r="D32" s="117"/>
      <c r="E32" s="117"/>
      <c r="F32" s="117"/>
      <c r="G32" s="117"/>
      <c r="H32" s="117"/>
      <c r="I32" s="295">
        <f>SUM(I8:I31)</f>
        <v>2091418.9200000002</v>
      </c>
      <c r="J32" s="119"/>
      <c r="K32" s="231"/>
      <c r="L32"/>
      <c r="M32"/>
      <c r="N32"/>
      <c r="O32"/>
      <c r="P32"/>
      <c r="Q32"/>
      <c r="R32"/>
      <c r="S32"/>
      <c r="T32"/>
    </row>
    <row r="33" spans="1:20" s="31" customFormat="1" ht="12.75" customHeight="1" thickTop="1">
      <c r="A33" s="232">
        <f t="shared" si="0"/>
        <v>29</v>
      </c>
      <c r="B33" s="120"/>
      <c r="C33" s="121"/>
      <c r="D33" s="121"/>
      <c r="E33" s="121"/>
      <c r="F33" s="121"/>
      <c r="G33" s="121"/>
      <c r="H33" s="121"/>
      <c r="I33" s="64"/>
      <c r="J33" s="118"/>
      <c r="K33" s="231"/>
      <c r="L33"/>
      <c r="M33"/>
      <c r="N33"/>
      <c r="O33"/>
      <c r="P33"/>
      <c r="Q33"/>
      <c r="R33"/>
      <c r="S33"/>
      <c r="T33"/>
    </row>
    <row r="34" spans="1:20" s="31" customFormat="1" ht="12.75" customHeight="1">
      <c r="A34" s="232">
        <f t="shared" si="0"/>
        <v>30</v>
      </c>
      <c r="B34" s="120" t="s">
        <v>193</v>
      </c>
      <c r="C34" s="121"/>
      <c r="D34" s="121"/>
      <c r="E34" s="121"/>
      <c r="F34" s="121"/>
      <c r="G34" s="121"/>
      <c r="H34" s="121"/>
      <c r="I34" s="290">
        <f>'New Format'!C30</f>
        <v>9515764392</v>
      </c>
      <c r="J34" s="118"/>
      <c r="K34" s="231"/>
      <c r="L34"/>
      <c r="M34"/>
      <c r="N34"/>
      <c r="O34"/>
      <c r="P34"/>
      <c r="Q34"/>
      <c r="R34"/>
      <c r="S34"/>
      <c r="T34"/>
    </row>
    <row r="35" spans="1:20" s="31" customFormat="1" ht="12.75" customHeight="1">
      <c r="A35" s="232">
        <v>27</v>
      </c>
      <c r="B35" s="120"/>
      <c r="C35" s="121"/>
      <c r="D35" s="121"/>
      <c r="E35" s="121"/>
      <c r="F35" s="121"/>
      <c r="G35" s="121"/>
      <c r="H35" s="121"/>
      <c r="I35" s="64"/>
      <c r="J35" s="118"/>
      <c r="K35" s="231"/>
      <c r="L35"/>
      <c r="M35"/>
      <c r="N35"/>
      <c r="O35"/>
      <c r="P35"/>
      <c r="Q35"/>
      <c r="R35"/>
      <c r="S35"/>
      <c r="T35"/>
    </row>
    <row r="36" spans="1:20" s="31" customFormat="1" ht="12.75" customHeight="1">
      <c r="A36" s="232">
        <f t="shared" si="0"/>
        <v>28</v>
      </c>
      <c r="B36" s="120" t="s">
        <v>196</v>
      </c>
      <c r="C36" s="121"/>
      <c r="D36" s="121"/>
      <c r="E36" s="121"/>
      <c r="F36" s="121"/>
      <c r="G36" s="121"/>
      <c r="H36" s="121"/>
      <c r="I36" s="408">
        <f>ROUND(I32/I34,4)</f>
        <v>2.0000000000000001E-4</v>
      </c>
      <c r="J36" s="422"/>
      <c r="K36" s="231"/>
      <c r="L36"/>
      <c r="M36"/>
      <c r="N36"/>
      <c r="O36"/>
      <c r="P36"/>
      <c r="Q36"/>
      <c r="R36"/>
      <c r="S36"/>
      <c r="T36"/>
    </row>
    <row r="37" spans="1:20" s="31" customFormat="1" ht="12.75" customHeight="1">
      <c r="A37" s="232">
        <f t="shared" si="0"/>
        <v>29</v>
      </c>
      <c r="B37" s="120"/>
      <c r="C37" s="121"/>
      <c r="D37" s="121"/>
      <c r="E37" s="121"/>
      <c r="F37" s="121"/>
      <c r="G37" s="121"/>
      <c r="H37" s="121"/>
      <c r="I37" s="64"/>
      <c r="J37" s="118"/>
      <c r="K37" s="231"/>
      <c r="L37"/>
      <c r="M37"/>
      <c r="N37"/>
      <c r="O37"/>
      <c r="P37"/>
      <c r="Q37"/>
      <c r="R37"/>
      <c r="S37"/>
      <c r="T37"/>
    </row>
    <row r="38" spans="1:20" s="31" customFormat="1" ht="12.75" customHeight="1">
      <c r="A38" s="232">
        <f t="shared" si="0"/>
        <v>30</v>
      </c>
      <c r="C38" s="57"/>
      <c r="D38" s="57"/>
      <c r="E38" s="57"/>
      <c r="F38" s="57"/>
      <c r="G38" s="57"/>
      <c r="H38" s="148"/>
      <c r="I38" s="64"/>
      <c r="J38" s="118"/>
      <c r="K38" s="231"/>
      <c r="L38"/>
      <c r="M38"/>
      <c r="N38"/>
      <c r="O38"/>
      <c r="P38"/>
      <c r="Q38"/>
      <c r="R38"/>
      <c r="S38"/>
      <c r="T38"/>
    </row>
    <row r="39" spans="1:20" s="31" customFormat="1" ht="12.75" customHeight="1">
      <c r="A39" s="232">
        <f t="shared" si="0"/>
        <v>31</v>
      </c>
      <c r="B39" s="230"/>
      <c r="C39" s="231"/>
      <c r="D39" s="231"/>
      <c r="E39" s="231"/>
      <c r="F39" s="231"/>
      <c r="H39" s="32"/>
      <c r="I39" s="64"/>
      <c r="K39" s="231"/>
      <c r="L39"/>
      <c r="M39"/>
      <c r="N39"/>
      <c r="O39"/>
      <c r="P39"/>
      <c r="Q39"/>
      <c r="R39"/>
      <c r="S39"/>
      <c r="T39"/>
    </row>
    <row r="40" spans="1:20" s="31" customFormat="1" ht="12.75" customHeight="1">
      <c r="A40" s="232">
        <v>28</v>
      </c>
      <c r="B40" s="57" t="s">
        <v>140</v>
      </c>
      <c r="H40" s="32"/>
      <c r="I40" s="64"/>
      <c r="J40" s="116"/>
      <c r="K40" s="231"/>
      <c r="L40"/>
      <c r="M40"/>
      <c r="N40"/>
      <c r="O40"/>
      <c r="P40"/>
      <c r="Q40"/>
      <c r="R40"/>
      <c r="S40"/>
      <c r="T40"/>
    </row>
    <row r="41" spans="1:20" s="31" customFormat="1" ht="12.75" customHeight="1">
      <c r="A41" s="232">
        <f t="shared" si="0"/>
        <v>29</v>
      </c>
      <c r="B41" s="260" t="s">
        <v>139</v>
      </c>
      <c r="H41" s="32"/>
      <c r="I41" s="32"/>
      <c r="K41" s="231"/>
      <c r="L41"/>
      <c r="M41"/>
      <c r="N41"/>
      <c r="O41"/>
      <c r="P41"/>
      <c r="Q41"/>
      <c r="R41"/>
      <c r="S41"/>
      <c r="T41"/>
    </row>
    <row r="42" spans="1:20" s="31" customFormat="1" ht="12.75" customHeight="1">
      <c r="A42" s="233"/>
      <c r="H42" s="32"/>
      <c r="I42" s="32"/>
      <c r="K42" s="231"/>
      <c r="L42"/>
      <c r="M42"/>
      <c r="N42"/>
      <c r="O42"/>
      <c r="P42"/>
      <c r="Q42"/>
      <c r="R42"/>
      <c r="S42"/>
      <c r="T42"/>
    </row>
    <row r="43" spans="1:20" s="31" customFormat="1" ht="12.75" customHeight="1">
      <c r="H43" s="32"/>
      <c r="I43" s="32"/>
      <c r="K43" s="231"/>
      <c r="L43"/>
      <c r="M43"/>
      <c r="N43"/>
      <c r="O43"/>
      <c r="P43"/>
      <c r="Q43"/>
      <c r="R43"/>
      <c r="S43"/>
      <c r="T43"/>
    </row>
    <row r="44" spans="1:20" s="31" customFormat="1" ht="12.75" customHeight="1">
      <c r="H44" s="32"/>
      <c r="I44" s="220"/>
      <c r="K44" s="231"/>
      <c r="L44"/>
      <c r="M44"/>
      <c r="N44"/>
      <c r="O44"/>
      <c r="P44"/>
      <c r="Q44"/>
      <c r="R44"/>
      <c r="S44"/>
      <c r="T44"/>
    </row>
    <row r="45" spans="1:20" s="31" customFormat="1" ht="12.75" customHeight="1">
      <c r="H45" s="32"/>
      <c r="I45" s="32"/>
      <c r="K45" s="231"/>
      <c r="L45"/>
      <c r="M45"/>
      <c r="N45"/>
      <c r="O45"/>
      <c r="P45"/>
      <c r="Q45"/>
      <c r="R45"/>
      <c r="S45"/>
      <c r="T45"/>
    </row>
    <row r="46" spans="1:20" s="31" customFormat="1" ht="12.75" customHeight="1">
      <c r="H46" s="32"/>
      <c r="I46" s="32"/>
      <c r="K46" s="231"/>
      <c r="L46"/>
      <c r="M46"/>
      <c r="N46"/>
      <c r="O46"/>
      <c r="P46"/>
      <c r="Q46"/>
      <c r="R46"/>
      <c r="S46"/>
      <c r="T46"/>
    </row>
    <row r="47" spans="1:20" s="31" customFormat="1" ht="12.75" customHeight="1">
      <c r="H47" s="32"/>
      <c r="I47" s="32"/>
      <c r="K47" s="231"/>
      <c r="L47"/>
      <c r="M47"/>
      <c r="N47"/>
      <c r="O47"/>
      <c r="P47"/>
      <c r="Q47"/>
      <c r="R47"/>
      <c r="S47"/>
      <c r="T47"/>
    </row>
    <row r="48" spans="1:20" s="31" customFormat="1" ht="12.75" customHeight="1">
      <c r="H48" s="32"/>
      <c r="I48" s="32"/>
      <c r="K48" s="231"/>
      <c r="L48"/>
      <c r="M48"/>
      <c r="N48"/>
      <c r="O48"/>
      <c r="P48"/>
      <c r="Q48"/>
      <c r="R48"/>
      <c r="S48"/>
      <c r="T48"/>
    </row>
    <row r="49" spans="8:20" s="31" customFormat="1" ht="12.75" customHeight="1">
      <c r="H49" s="32"/>
      <c r="I49" s="32"/>
      <c r="K49" s="231"/>
      <c r="L49"/>
      <c r="M49"/>
      <c r="N49"/>
      <c r="O49"/>
      <c r="P49"/>
      <c r="Q49"/>
      <c r="R49"/>
      <c r="S49"/>
      <c r="T49"/>
    </row>
    <row r="50" spans="8:20" s="31" customFormat="1" ht="12.75" customHeight="1">
      <c r="H50" s="32"/>
      <c r="I50" s="32"/>
      <c r="K50" s="231"/>
      <c r="L50"/>
      <c r="M50"/>
      <c r="N50"/>
      <c r="O50"/>
      <c r="P50"/>
      <c r="Q50"/>
      <c r="R50"/>
      <c r="S50"/>
      <c r="T50"/>
    </row>
    <row r="51" spans="8:20" s="31" customFormat="1" ht="12.75" customHeight="1">
      <c r="H51" s="32"/>
      <c r="I51" s="32"/>
      <c r="K51" s="231"/>
      <c r="L51"/>
      <c r="M51"/>
      <c r="N51"/>
      <c r="O51"/>
      <c r="P51"/>
      <c r="Q51"/>
      <c r="R51"/>
      <c r="S51"/>
      <c r="T51"/>
    </row>
    <row r="52" spans="8:20" s="31" customFormat="1" ht="12.75" customHeight="1">
      <c r="H52" s="32"/>
      <c r="I52" s="32"/>
      <c r="K52" s="231"/>
      <c r="L52"/>
      <c r="M52"/>
      <c r="N52"/>
      <c r="O52"/>
      <c r="P52"/>
      <c r="Q52"/>
      <c r="R52"/>
      <c r="S52"/>
      <c r="T52"/>
    </row>
    <row r="53" spans="8:20" s="31" customFormat="1" ht="12.75" customHeight="1">
      <c r="K53" s="231"/>
      <c r="L53"/>
      <c r="M53"/>
      <c r="N53"/>
      <c r="O53"/>
      <c r="P53"/>
      <c r="Q53"/>
      <c r="R53"/>
      <c r="S53"/>
      <c r="T53"/>
    </row>
    <row r="54" spans="8:20" s="31" customFormat="1" ht="12.75" customHeight="1">
      <c r="K54" s="231"/>
      <c r="L54"/>
      <c r="M54"/>
      <c r="N54"/>
      <c r="O54"/>
      <c r="P54"/>
      <c r="Q54"/>
      <c r="R54"/>
      <c r="S54"/>
      <c r="T54"/>
    </row>
    <row r="55" spans="8:20" s="31" customFormat="1" ht="12.75" customHeight="1">
      <c r="K55" s="231"/>
      <c r="L55"/>
      <c r="M55"/>
      <c r="N55"/>
      <c r="O55"/>
      <c r="P55"/>
      <c r="Q55"/>
      <c r="R55"/>
      <c r="S55"/>
      <c r="T55"/>
    </row>
    <row r="56" spans="8:20" s="31" customFormat="1" ht="12.75" customHeight="1">
      <c r="K56" s="231"/>
      <c r="L56"/>
      <c r="M56"/>
      <c r="N56"/>
      <c r="O56"/>
      <c r="P56"/>
      <c r="Q56"/>
      <c r="R56"/>
      <c r="S56"/>
      <c r="T56"/>
    </row>
    <row r="57" spans="8:20" s="31" customFormat="1" ht="12.75" customHeight="1">
      <c r="K57" s="231"/>
      <c r="L57"/>
      <c r="M57"/>
      <c r="N57"/>
      <c r="O57"/>
      <c r="P57"/>
      <c r="Q57"/>
      <c r="R57"/>
      <c r="S57"/>
      <c r="T57"/>
    </row>
    <row r="58" spans="8:20" s="31" customFormat="1" ht="12.75" customHeight="1">
      <c r="K58" s="231"/>
      <c r="L58"/>
      <c r="M58"/>
      <c r="N58"/>
      <c r="O58"/>
      <c r="P58"/>
      <c r="Q58"/>
      <c r="R58"/>
      <c r="S58"/>
      <c r="T58"/>
    </row>
    <row r="59" spans="8:20" s="31" customFormat="1" ht="12.75" customHeight="1">
      <c r="K59" s="231"/>
      <c r="L59"/>
      <c r="M59"/>
      <c r="N59"/>
      <c r="O59"/>
      <c r="P59"/>
      <c r="Q59"/>
      <c r="R59"/>
      <c r="S59"/>
      <c r="T59"/>
    </row>
    <row r="60" spans="8:20" s="31" customFormat="1" ht="15.75">
      <c r="K60" s="231"/>
      <c r="L60"/>
      <c r="M60"/>
      <c r="N60"/>
      <c r="O60"/>
      <c r="P60"/>
      <c r="Q60"/>
      <c r="R60"/>
      <c r="S60"/>
      <c r="T60"/>
    </row>
    <row r="61" spans="8:20" s="31" customFormat="1" ht="15.75">
      <c r="K61" s="231"/>
      <c r="L61"/>
      <c r="M61"/>
      <c r="N61"/>
      <c r="O61"/>
      <c r="P61"/>
      <c r="Q61"/>
      <c r="R61"/>
      <c r="S61"/>
      <c r="T61"/>
    </row>
    <row r="62" spans="8:20" s="31" customFormat="1" ht="15.75">
      <c r="K62" s="231"/>
      <c r="L62"/>
      <c r="M62"/>
      <c r="N62"/>
      <c r="O62"/>
      <c r="P62"/>
      <c r="Q62"/>
      <c r="R62"/>
      <c r="S62"/>
      <c r="T62"/>
    </row>
    <row r="63" spans="8:20" s="31" customFormat="1" ht="15.75">
      <c r="K63" s="231"/>
      <c r="L63"/>
      <c r="M63"/>
      <c r="N63"/>
      <c r="O63"/>
      <c r="P63"/>
      <c r="Q63"/>
      <c r="R63"/>
      <c r="S63"/>
      <c r="T63"/>
    </row>
    <row r="64" spans="8:20" s="31" customFormat="1" ht="15.75">
      <c r="K64" s="231"/>
      <c r="L64"/>
      <c r="M64"/>
      <c r="N64"/>
      <c r="O64"/>
      <c r="P64"/>
      <c r="Q64"/>
      <c r="R64"/>
      <c r="S64"/>
      <c r="T64"/>
    </row>
    <row r="65" spans="11:20" s="31" customFormat="1" ht="15.75">
      <c r="K65" s="231"/>
      <c r="L65"/>
      <c r="M65"/>
      <c r="N65"/>
      <c r="O65"/>
      <c r="P65"/>
      <c r="Q65"/>
      <c r="R65"/>
      <c r="S65"/>
      <c r="T65"/>
    </row>
    <row r="66" spans="11:20" s="31" customFormat="1" ht="15.75">
      <c r="K66" s="231"/>
      <c r="L66"/>
      <c r="M66"/>
      <c r="N66"/>
      <c r="O66"/>
      <c r="P66"/>
      <c r="Q66"/>
      <c r="R66"/>
      <c r="S66"/>
      <c r="T66"/>
    </row>
    <row r="67" spans="11:20" s="31" customFormat="1" ht="15.75">
      <c r="K67" s="231"/>
      <c r="L67"/>
      <c r="M67"/>
      <c r="N67"/>
      <c r="O67"/>
      <c r="P67"/>
      <c r="Q67"/>
      <c r="R67"/>
      <c r="S67"/>
      <c r="T67"/>
    </row>
    <row r="68" spans="11:20" s="31" customFormat="1" ht="15.75">
      <c r="K68" s="231"/>
      <c r="L68"/>
      <c r="M68"/>
      <c r="N68"/>
      <c r="O68"/>
      <c r="P68"/>
      <c r="Q68"/>
      <c r="R68"/>
      <c r="S68"/>
      <c r="T68"/>
    </row>
    <row r="69" spans="11:20" s="31" customFormat="1" ht="15.75">
      <c r="K69" s="231"/>
      <c r="L69"/>
      <c r="M69"/>
      <c r="N69"/>
      <c r="O69"/>
      <c r="P69"/>
      <c r="Q69"/>
      <c r="R69"/>
      <c r="S69"/>
      <c r="T69"/>
    </row>
    <row r="70" spans="11:20" s="31" customFormat="1" ht="15.75">
      <c r="K70" s="231"/>
      <c r="L70"/>
      <c r="M70"/>
      <c r="N70"/>
      <c r="O70"/>
      <c r="P70"/>
      <c r="Q70"/>
      <c r="R70"/>
      <c r="S70"/>
      <c r="T70"/>
    </row>
    <row r="71" spans="11:20" s="31" customFormat="1" ht="15.75">
      <c r="K71" s="231"/>
      <c r="L71"/>
      <c r="M71"/>
      <c r="N71"/>
      <c r="O71"/>
      <c r="P71"/>
      <c r="Q71"/>
      <c r="R71"/>
      <c r="S71"/>
      <c r="T71"/>
    </row>
    <row r="72" spans="11:20" s="31" customFormat="1" ht="15.75">
      <c r="K72" s="231"/>
      <c r="L72"/>
      <c r="M72"/>
      <c r="N72"/>
      <c r="O72"/>
      <c r="P72"/>
      <c r="Q72"/>
      <c r="R72"/>
      <c r="S72"/>
      <c r="T72"/>
    </row>
    <row r="73" spans="11:20" s="31" customFormat="1" ht="15.75">
      <c r="K73" s="231"/>
      <c r="L73"/>
      <c r="M73"/>
      <c r="N73"/>
      <c r="O73"/>
      <c r="P73"/>
      <c r="Q73"/>
      <c r="R73"/>
      <c r="S73"/>
      <c r="T73"/>
    </row>
    <row r="74" spans="11:20" s="31" customFormat="1" ht="15.75">
      <c r="K74" s="231"/>
      <c r="L74"/>
      <c r="M74"/>
      <c r="N74"/>
      <c r="O74"/>
      <c r="P74"/>
      <c r="Q74"/>
      <c r="R74"/>
      <c r="S74"/>
      <c r="T74"/>
    </row>
    <row r="75" spans="11:20" s="31" customFormat="1" ht="15.75">
      <c r="K75" s="231"/>
      <c r="L75"/>
      <c r="M75"/>
      <c r="N75"/>
      <c r="O75"/>
      <c r="P75"/>
      <c r="Q75"/>
      <c r="R75"/>
      <c r="S75"/>
      <c r="T75"/>
    </row>
    <row r="76" spans="11:20" s="31" customFormat="1" ht="15.75">
      <c r="K76" s="231"/>
      <c r="L76"/>
      <c r="M76"/>
      <c r="N76"/>
      <c r="O76"/>
      <c r="P76"/>
      <c r="Q76"/>
      <c r="R76"/>
      <c r="S76"/>
      <c r="T76"/>
    </row>
    <row r="77" spans="11:20" s="31" customFormat="1" ht="15.75">
      <c r="K77" s="231"/>
      <c r="L77"/>
      <c r="M77"/>
      <c r="N77"/>
      <c r="O77"/>
      <c r="P77"/>
      <c r="Q77"/>
      <c r="R77"/>
      <c r="S77"/>
      <c r="T77"/>
    </row>
    <row r="78" spans="11:20" s="31" customFormat="1" ht="15.75">
      <c r="K78" s="231"/>
      <c r="L78"/>
      <c r="M78"/>
      <c r="N78"/>
      <c r="O78"/>
      <c r="P78"/>
      <c r="Q78"/>
      <c r="R78"/>
      <c r="S78"/>
      <c r="T78"/>
    </row>
    <row r="79" spans="11:20" s="31" customFormat="1" ht="15.75">
      <c r="K79" s="231"/>
      <c r="L79"/>
      <c r="M79"/>
      <c r="N79"/>
      <c r="O79"/>
      <c r="P79"/>
      <c r="Q79"/>
      <c r="R79"/>
      <c r="S79"/>
      <c r="T79"/>
    </row>
    <row r="80" spans="11:20" s="31" customFormat="1" ht="15.75">
      <c r="K80" s="231"/>
      <c r="L80"/>
      <c r="M80"/>
      <c r="N80"/>
      <c r="O80"/>
      <c r="P80"/>
      <c r="Q80"/>
      <c r="R80"/>
      <c r="S80"/>
      <c r="T80"/>
    </row>
    <row r="81" spans="11:20" s="31" customFormat="1" ht="15.75">
      <c r="K81" s="231"/>
      <c r="L81"/>
      <c r="M81"/>
      <c r="N81"/>
      <c r="O81"/>
      <c r="P81"/>
      <c r="Q81"/>
      <c r="R81"/>
      <c r="S81"/>
      <c r="T81"/>
    </row>
    <row r="82" spans="11:20" s="31" customFormat="1" ht="15.75">
      <c r="K82" s="231"/>
      <c r="L82"/>
      <c r="M82"/>
      <c r="N82"/>
      <c r="O82"/>
      <c r="P82"/>
      <c r="Q82"/>
      <c r="R82"/>
      <c r="S82"/>
      <c r="T82"/>
    </row>
    <row r="83" spans="11:20" s="31" customFormat="1" ht="15.75">
      <c r="K83" s="231"/>
      <c r="L83"/>
      <c r="M83"/>
      <c r="N83"/>
      <c r="O83"/>
      <c r="P83"/>
      <c r="Q83"/>
      <c r="R83"/>
      <c r="S83"/>
      <c r="T83"/>
    </row>
    <row r="84" spans="11:20" s="31" customFormat="1" ht="15.75">
      <c r="K84" s="231"/>
      <c r="L84"/>
      <c r="M84"/>
      <c r="N84"/>
      <c r="O84"/>
      <c r="P84"/>
      <c r="Q84"/>
      <c r="R84"/>
      <c r="S84"/>
      <c r="T84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scale="81" orientation="landscape" r:id="rId1"/>
  <headerFooter alignWithMargins="0">
    <oddFooter>&amp;C&amp;A&amp;R&amp;7&amp;F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406E51-B620-4618-95C8-CC092C1DCF74}"/>
</file>

<file path=customXml/itemProps2.xml><?xml version="1.0" encoding="utf-8"?>
<ds:datastoreItem xmlns:ds="http://schemas.openxmlformats.org/officeDocument/2006/customXml" ds:itemID="{DC1A4D18-96C8-4797-A1EA-DA335B8FACFC}"/>
</file>

<file path=customXml/itemProps3.xml><?xml version="1.0" encoding="utf-8"?>
<ds:datastoreItem xmlns:ds="http://schemas.openxmlformats.org/officeDocument/2006/customXml" ds:itemID="{FE9B8F32-A10B-4B60-98E7-AD4EEC95CEA1}"/>
</file>

<file path=customXml/itemProps4.xml><?xml version="1.0" encoding="utf-8"?>
<ds:datastoreItem xmlns:ds="http://schemas.openxmlformats.org/officeDocument/2006/customXml" ds:itemID="{7A028019-10FD-4EFB-8003-0F5F3F736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Kellogg, Anh</cp:lastModifiedBy>
  <cp:lastPrinted>2022-09-07T14:59:09Z</cp:lastPrinted>
  <dcterms:created xsi:type="dcterms:W3CDTF">2001-12-28T16:42:36Z</dcterms:created>
  <dcterms:modified xsi:type="dcterms:W3CDTF">2023-03-28T18:37:44Z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