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barnd\Desktop\PCA\PCA 19\"/>
    </mc:Choice>
  </mc:AlternateContent>
  <xr:revisionPtr revIDLastSave="0" documentId="13_ncr:1_{411E5AD3-97A6-4263-AA8F-A8732A5FBE24}" xr6:coauthVersionLast="41" xr6:coauthVersionMax="41" xr10:uidLastSave="{00000000-0000-0000-0000-000000000000}"/>
  <bookViews>
    <workbookView xWindow="390" yWindow="390" windowWidth="18900" windowHeight="11055" xr2:uid="{00000000-000D-0000-FFFF-FFFF00000000}"/>
  </bookViews>
  <sheets>
    <sheet name="Exh. SEF-4 p 1 PPA Costs" sheetId="1" r:id="rId1"/>
    <sheet name="Exh. SEF-4 p 2 Fixed Cost" sheetId="2" r:id="rId2"/>
    <sheet name="Exh. SEF-4 p 3 Liq Da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3" l="1"/>
  <c r="C6" i="3" s="1"/>
  <c r="F6" i="3" s="1"/>
  <c r="C7" i="3" s="1"/>
  <c r="F7" i="3" s="1"/>
  <c r="C8" i="3" s="1"/>
  <c r="F8" i="3" s="1"/>
  <c r="C9" i="3" s="1"/>
  <c r="F9" i="3" s="1"/>
  <c r="C10" i="3" s="1"/>
  <c r="F10" i="3" s="1"/>
  <c r="C11" i="3" s="1"/>
  <c r="F11" i="3" s="1"/>
  <c r="C12" i="3" s="1"/>
  <c r="F12" i="3" s="1"/>
  <c r="C13" i="3" s="1"/>
  <c r="F13" i="3" s="1"/>
  <c r="C14" i="3" s="1"/>
  <c r="F14" i="3" s="1"/>
  <c r="C15" i="3" s="1"/>
  <c r="F15" i="3" s="1"/>
  <c r="C16" i="3" s="1"/>
  <c r="F16" i="3" s="1"/>
  <c r="P41" i="1" l="1"/>
  <c r="O41" i="1"/>
  <c r="N41" i="1"/>
  <c r="M41" i="1"/>
  <c r="L41" i="1"/>
  <c r="K41" i="1"/>
  <c r="J41" i="1"/>
  <c r="I41" i="1"/>
  <c r="H41" i="1"/>
  <c r="G41" i="1"/>
  <c r="Q41" i="1"/>
  <c r="T30" i="1"/>
  <c r="B31" i="1"/>
  <c r="B30" i="1"/>
  <c r="B29" i="1"/>
  <c r="B41" i="1" l="1"/>
  <c r="R14" i="1"/>
  <c r="Q14" i="1"/>
  <c r="P14" i="1"/>
  <c r="O14" i="1"/>
  <c r="N14" i="1"/>
  <c r="M14" i="1"/>
  <c r="L14" i="1"/>
  <c r="K14" i="1"/>
  <c r="J14" i="1"/>
  <c r="I14" i="1"/>
  <c r="H14" i="1"/>
  <c r="G14" i="1"/>
  <c r="T14" i="1" s="1"/>
  <c r="B17" i="1" l="1"/>
  <c r="B16" i="1"/>
  <c r="B15" i="1"/>
  <c r="B14" i="1"/>
  <c r="B13" i="1"/>
  <c r="D11" i="2" l="1"/>
  <c r="D7" i="2" l="1"/>
  <c r="G8" i="1" l="1"/>
  <c r="H8" i="1"/>
  <c r="I8" i="1"/>
  <c r="I26" i="1" s="1"/>
  <c r="I40" i="1" s="1"/>
  <c r="J8" i="1"/>
  <c r="K8" i="1"/>
  <c r="K9" i="1" s="1"/>
  <c r="L8" i="1"/>
  <c r="L9" i="1" s="1"/>
  <c r="M8" i="1"/>
  <c r="N8" i="1"/>
  <c r="N9" i="1" s="1"/>
  <c r="O8" i="1"/>
  <c r="P8" i="1"/>
  <c r="Q8" i="1"/>
  <c r="Q25" i="1" s="1"/>
  <c r="R8" i="1"/>
  <c r="R9" i="1" s="1"/>
  <c r="G9" i="1"/>
  <c r="H9" i="1"/>
  <c r="J9" i="1"/>
  <c r="M9" i="1"/>
  <c r="O9" i="1"/>
  <c r="P9" i="1"/>
  <c r="G10" i="1"/>
  <c r="H10" i="1"/>
  <c r="I10" i="1" s="1"/>
  <c r="G11" i="1"/>
  <c r="G24" i="1"/>
  <c r="H24" i="1"/>
  <c r="I24" i="1"/>
  <c r="J24" i="1"/>
  <c r="K24" i="1"/>
  <c r="L24" i="1"/>
  <c r="M24" i="1"/>
  <c r="N24" i="1"/>
  <c r="O24" i="1"/>
  <c r="P24" i="1"/>
  <c r="Q24" i="1"/>
  <c r="R24" i="1"/>
  <c r="G25" i="1"/>
  <c r="H25" i="1"/>
  <c r="J25" i="1"/>
  <c r="K25" i="1"/>
  <c r="L25" i="1"/>
  <c r="M25" i="1"/>
  <c r="O25" i="1"/>
  <c r="P25" i="1"/>
  <c r="G26" i="1"/>
  <c r="H26" i="1"/>
  <c r="H38" i="1" s="1"/>
  <c r="H45" i="1" s="1"/>
  <c r="J26" i="1"/>
  <c r="K26" i="1"/>
  <c r="L26" i="1"/>
  <c r="M26" i="1"/>
  <c r="O26" i="1"/>
  <c r="P26" i="1"/>
  <c r="P38" i="1" s="1"/>
  <c r="P45" i="1" s="1"/>
  <c r="G27" i="1"/>
  <c r="H27" i="1"/>
  <c r="I27" i="1"/>
  <c r="I38" i="1" s="1"/>
  <c r="J27" i="1"/>
  <c r="K27" i="1"/>
  <c r="K39" i="1" s="1"/>
  <c r="K44" i="1" s="1"/>
  <c r="L27" i="1"/>
  <c r="L39" i="1" s="1"/>
  <c r="L44" i="1" s="1"/>
  <c r="L47" i="1" s="1"/>
  <c r="M27" i="1"/>
  <c r="M38" i="1" s="1"/>
  <c r="M45" i="1" s="1"/>
  <c r="N27" i="1"/>
  <c r="O27" i="1"/>
  <c r="P27" i="1"/>
  <c r="G38" i="1"/>
  <c r="J38" i="1"/>
  <c r="L38" i="1"/>
  <c r="O38" i="1"/>
  <c r="G39" i="1"/>
  <c r="G44" i="1" s="1"/>
  <c r="G47" i="1" s="1"/>
  <c r="H39" i="1"/>
  <c r="H44" i="1" s="1"/>
  <c r="J39" i="1"/>
  <c r="J44" i="1" s="1"/>
  <c r="J47" i="1" s="1"/>
  <c r="M39" i="1"/>
  <c r="M44" i="1" s="1"/>
  <c r="O39" i="1"/>
  <c r="O44" i="1" s="1"/>
  <c r="O47" i="1" s="1"/>
  <c r="P39" i="1"/>
  <c r="P44" i="1" s="1"/>
  <c r="G40" i="1"/>
  <c r="H40" i="1"/>
  <c r="J40" i="1"/>
  <c r="K40" i="1"/>
  <c r="L40" i="1"/>
  <c r="M40" i="1"/>
  <c r="O40" i="1"/>
  <c r="P40" i="1"/>
  <c r="G45" i="1"/>
  <c r="J45" i="1"/>
  <c r="L45" i="1"/>
  <c r="O45" i="1"/>
  <c r="J10" i="1" l="1"/>
  <c r="I11" i="1"/>
  <c r="M47" i="1"/>
  <c r="K45" i="1"/>
  <c r="K47" i="1" s="1"/>
  <c r="I39" i="1"/>
  <c r="I44" i="1" s="1"/>
  <c r="I47" i="1" s="1"/>
  <c r="K38" i="1"/>
  <c r="I25" i="1"/>
  <c r="I9" i="1"/>
  <c r="P47" i="1"/>
  <c r="H47" i="1"/>
  <c r="N26" i="1"/>
  <c r="N38" i="1" s="1"/>
  <c r="N45" i="1" s="1"/>
  <c r="I45" i="1"/>
  <c r="H11" i="1"/>
  <c r="N39" i="1"/>
  <c r="N25" i="1"/>
  <c r="Q9" i="1"/>
  <c r="R27" i="1"/>
  <c r="R26" i="1"/>
  <c r="R40" i="1" s="1"/>
  <c r="R25" i="1"/>
  <c r="Q27" i="1"/>
  <c r="Q26" i="1"/>
  <c r="Q40" i="1" s="1"/>
  <c r="N40" i="1" l="1"/>
  <c r="N44" i="1"/>
  <c r="N47" i="1" s="1"/>
  <c r="K10" i="1"/>
  <c r="J11" i="1"/>
  <c r="Q38" i="1"/>
  <c r="Q45" i="1" s="1"/>
  <c r="Q47" i="1" s="1"/>
  <c r="Q39" i="1"/>
  <c r="Q44" i="1" s="1"/>
  <c r="R38" i="1"/>
  <c r="R45" i="1" s="1"/>
  <c r="R39" i="1"/>
  <c r="L10" i="1" l="1"/>
  <c r="K11" i="1"/>
  <c r="M10" i="1" l="1"/>
  <c r="L11" i="1"/>
  <c r="N10" i="1" l="1"/>
  <c r="M11" i="1"/>
  <c r="O10" i="1" l="1"/>
  <c r="N11" i="1"/>
  <c r="P10" i="1" l="1"/>
  <c r="O11" i="1"/>
  <c r="B51" i="1"/>
  <c r="B50" i="1"/>
  <c r="B49" i="1"/>
  <c r="B48" i="1"/>
  <c r="B47" i="1"/>
  <c r="B46" i="1"/>
  <c r="B45" i="1"/>
  <c r="B44" i="1"/>
  <c r="B43" i="1"/>
  <c r="B42" i="1"/>
  <c r="B40" i="1"/>
  <c r="B39" i="1"/>
  <c r="B38" i="1"/>
  <c r="B37" i="1"/>
  <c r="B36" i="1"/>
  <c r="B35" i="1"/>
  <c r="B34" i="1"/>
  <c r="B33" i="1"/>
  <c r="B32" i="1"/>
  <c r="B28" i="1"/>
  <c r="B27" i="1"/>
  <c r="B26" i="1"/>
  <c r="B25" i="1"/>
  <c r="B24" i="1"/>
  <c r="B23" i="1"/>
  <c r="B22" i="1"/>
  <c r="B21" i="1"/>
  <c r="B20" i="1"/>
  <c r="B19" i="1"/>
  <c r="B18" i="1"/>
  <c r="B12" i="1"/>
  <c r="B11" i="1"/>
  <c r="B10" i="1"/>
  <c r="B9" i="1"/>
  <c r="B8" i="1"/>
  <c r="T7" i="1"/>
  <c r="B7" i="1"/>
  <c r="T6" i="1"/>
  <c r="B6" i="1"/>
  <c r="B5" i="1"/>
  <c r="B4" i="1"/>
  <c r="P11" i="1" l="1"/>
  <c r="Q10" i="1"/>
  <c r="T24" i="1"/>
  <c r="T8" i="1"/>
  <c r="R15" i="1" s="1"/>
  <c r="T15" i="1" s="1"/>
  <c r="Q11" i="1" l="1"/>
  <c r="R10" i="1"/>
  <c r="T27" i="1"/>
  <c r="T25" i="1"/>
  <c r="T40" i="1"/>
  <c r="R11" i="1" l="1"/>
  <c r="R16" i="1"/>
  <c r="T26" i="1"/>
  <c r="T45" i="1"/>
  <c r="R41" i="1" l="1"/>
  <c r="T16" i="1"/>
  <c r="T38" i="1"/>
  <c r="T39" i="1"/>
  <c r="T41" i="1" l="1"/>
  <c r="R44" i="1"/>
  <c r="R47" i="1" l="1"/>
  <c r="T47" i="1" s="1"/>
  <c r="T44" i="1"/>
</calcChain>
</file>

<file path=xl/sharedStrings.xml><?xml version="1.0" encoding="utf-8"?>
<sst xmlns="http://schemas.openxmlformats.org/spreadsheetml/2006/main" count="87" uniqueCount="77">
  <si>
    <t>Green Direct Monthly Assumed Actual Information</t>
  </si>
  <si>
    <t>Period</t>
  </si>
  <si>
    <t>Energy Costs</t>
  </si>
  <si>
    <t>to Date</t>
  </si>
  <si>
    <t>PCA period Green Direct Customers delivered load usage (kWh)</t>
  </si>
  <si>
    <t>Renewable Energy PPAs net of losses (Generated kWhs)</t>
  </si>
  <si>
    <t>(Short)/Excess Renewable Energy Generated (kWh)</t>
  </si>
  <si>
    <t>Cumulative (Short)/Excess Renewable Energy Generated (kWh)</t>
  </si>
  <si>
    <t>Power Prices</t>
  </si>
  <si>
    <t>PPA Rate per kWh</t>
  </si>
  <si>
    <t>Market Rate per kWh (Average Day Ahead Index for the Month)</t>
  </si>
  <si>
    <t>Power Costs Originally Recorded</t>
  </si>
  <si>
    <t>Mechanism</t>
  </si>
  <si>
    <t>When</t>
  </si>
  <si>
    <t>Initial Amount:</t>
  </si>
  <si>
    <t>PPA Cost - Green Direct Customer Usage</t>
  </si>
  <si>
    <t>GD</t>
  </si>
  <si>
    <t>Always</t>
  </si>
  <si>
    <t>PPA Cost - Generation Above Green Direct Usage</t>
  </si>
  <si>
    <t>Long</t>
  </si>
  <si>
    <t>Sale of Excess PPA Generation</t>
  </si>
  <si>
    <t>PCA</t>
  </si>
  <si>
    <t>Mkt Purchases for Short</t>
  </si>
  <si>
    <t>Short</t>
  </si>
  <si>
    <t>*Measured on an annual basis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</si>
  <si>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Amounts measured quarterly</t>
    </r>
  </si>
  <si>
    <t>Required Journal Entries based on Monthly Actual Information</t>
  </si>
  <si>
    <t>Adjustment:</t>
  </si>
  <si>
    <t>Reclassing Short Purchases or Long Sales Out of PCA to GD</t>
  </si>
  <si>
    <t>Green Direct Short Purchases</t>
  </si>
  <si>
    <t>Green Direct Long Sales</t>
  </si>
  <si>
    <t>Total:</t>
  </si>
  <si>
    <t>Net Green Direct Power Costs</t>
  </si>
  <si>
    <t>Net PCA Power Costs (this should be zero)</t>
  </si>
  <si>
    <t>check:  Should equal amount of REC transactions</t>
  </si>
  <si>
    <t>In Summary:</t>
  </si>
  <si>
    <t>If generation is short for the month, move purchases out of PCA</t>
  </si>
  <si>
    <t>If generation is long for the month, move sales of excess generation out of PCA</t>
  </si>
  <si>
    <t>If generation is cumulatively long at a quarter end, bank recs; otherwise no recs to record</t>
  </si>
  <si>
    <t>Reporting for the Treatment of the Schedule 139, Voluntary Long Term Renewable Energy Purchase Rider (“Green Direct Program”)</t>
  </si>
  <si>
    <t>Employee Labor</t>
  </si>
  <si>
    <t>Hours</t>
  </si>
  <si>
    <t>Rate</t>
  </si>
  <si>
    <t>Cost</t>
  </si>
  <si>
    <t>Software</t>
  </si>
  <si>
    <t>2020 Fixed Costs</t>
  </si>
  <si>
    <t>Depreciation Expense</t>
  </si>
  <si>
    <t>Asset Value</t>
  </si>
  <si>
    <t>Depreciable Life (years)</t>
  </si>
  <si>
    <t>2020 PPA Costs</t>
  </si>
  <si>
    <t>RECs</t>
  </si>
  <si>
    <t>PPA RECs for Green Direct Customers</t>
  </si>
  <si>
    <t>RECs purchased for Green Direct Customers*</t>
  </si>
  <si>
    <t>RECs banked for Green Direct Customers1</t>
  </si>
  <si>
    <t>Additional REC Costs Originally Recorded</t>
  </si>
  <si>
    <t>Green Direct Unbundled REC Purchases</t>
  </si>
  <si>
    <t xml:space="preserve">Short </t>
  </si>
  <si>
    <t>Green Direct Excess REC Adjustment</t>
  </si>
  <si>
    <t>Ending Balance</t>
  </si>
  <si>
    <t>Beginning Balance</t>
  </si>
  <si>
    <t>Liquidated Damages Additons</t>
  </si>
  <si>
    <t>Liquidated Damages Usage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</si>
  <si>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</si>
  <si>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</si>
  <si>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</si>
  <si>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</si>
  <si>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</si>
  <si>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</si>
  <si>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</si>
  <si>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</si>
  <si>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</si>
  <si>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</si>
  <si>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</si>
  <si>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</si>
  <si>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Reporting for the Treatment of the Schedule 139, Voluntary Long Term Renewable </t>
  </si>
  <si>
    <t>Energy Purchase Rider (“Green Direct Program”)</t>
  </si>
  <si>
    <t>2020 Liquidated Damages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</si>
</sst>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;\–_);&quot;–&quot;_)"/>
    <numFmt numFmtId="166" formatCode="_(* #,##0.000_);_(* \(#,##0.000\);_(* &quot;-&quot;??_);_(@_)"/>
    <numFmt numFmtId="167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0000FF"/>
      <name val="Arial"/>
      <family val="2"/>
    </font>
    <font>
      <b/>
      <u/>
      <sz val="10"/>
      <name val="Arial"/>
      <family val="2"/>
    </font>
    <font>
      <sz val="8"/>
      <color rgb="FF0000FF"/>
      <name val="Arial"/>
      <family val="2"/>
    </font>
    <font>
      <sz val="10"/>
      <color rgb="FF0066FF"/>
      <name val="Arial"/>
      <family val="2"/>
    </font>
    <font>
      <sz val="10"/>
      <color rgb="FF0000FF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Border="1" applyAlignment="1">
      <alignment horizontal="centerContinuous"/>
    </xf>
    <xf numFmtId="0" fontId="5" fillId="2" borderId="0" xfId="0" applyNumberFormat="1" applyFont="1" applyFill="1" applyAlignment="1"/>
    <xf numFmtId="0" fontId="3" fillId="2" borderId="0" xfId="0" applyNumberFormat="1" applyFont="1" applyFill="1" applyAlignment="1"/>
    <xf numFmtId="17" fontId="2" fillId="2" borderId="0" xfId="0" applyNumberFormat="1" applyFont="1" applyFill="1" applyBorder="1" applyAlignment="1">
      <alignment horizontal="center"/>
    </xf>
    <xf numFmtId="0" fontId="3" fillId="2" borderId="0" xfId="0" quotePrefix="1" applyNumberFormat="1" applyFont="1" applyFill="1" applyAlignment="1" applyProtection="1">
      <alignment horizontal="left"/>
      <protection locked="0"/>
    </xf>
    <xf numFmtId="0" fontId="3" fillId="2" borderId="0" xfId="0" applyNumberFormat="1" applyFont="1" applyFill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NumberFormat="1" applyFont="1" applyFill="1" applyBorder="1" applyAlignment="1"/>
    <xf numFmtId="164" fontId="3" fillId="2" borderId="1" xfId="1" applyNumberFormat="1" applyFont="1" applyFill="1" applyBorder="1" applyAlignment="1">
      <alignment wrapText="1"/>
    </xf>
    <xf numFmtId="164" fontId="3" fillId="2" borderId="1" xfId="0" applyNumberFormat="1" applyFont="1" applyFill="1" applyBorder="1" applyAlignment="1"/>
    <xf numFmtId="164" fontId="3" fillId="2" borderId="0" xfId="0" applyNumberFormat="1" applyFont="1" applyFill="1" applyAlignment="1"/>
    <xf numFmtId="164" fontId="6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right"/>
    </xf>
    <xf numFmtId="0" fontId="7" fillId="2" borderId="0" xfId="0" applyNumberFormat="1" applyFont="1" applyFill="1" applyAlignment="1"/>
    <xf numFmtId="0" fontId="8" fillId="2" borderId="0" xfId="0" applyNumberFormat="1" applyFont="1" applyFill="1" applyAlignment="1"/>
    <xf numFmtId="0" fontId="5" fillId="2" borderId="0" xfId="0" applyFont="1" applyFill="1"/>
    <xf numFmtId="165" fontId="3" fillId="2" borderId="0" xfId="0" applyNumberFormat="1" applyFont="1" applyFill="1" applyAlignment="1"/>
    <xf numFmtId="166" fontId="3" fillId="2" borderId="0" xfId="0" applyNumberFormat="1" applyFont="1" applyFill="1" applyAlignment="1"/>
    <xf numFmtId="0" fontId="9" fillId="2" borderId="0" xfId="0" applyNumberFormat="1" applyFont="1" applyFill="1" applyAlignment="1">
      <alignment horizontal="center"/>
    </xf>
    <xf numFmtId="0" fontId="2" fillId="2" borderId="0" xfId="0" applyFont="1" applyFill="1"/>
    <xf numFmtId="0" fontId="10" fillId="2" borderId="0" xfId="0" applyNumberFormat="1" applyFont="1" applyFill="1" applyAlignment="1"/>
    <xf numFmtId="164" fontId="3" fillId="2" borderId="0" xfId="0" applyNumberFormat="1" applyFont="1" applyFill="1"/>
    <xf numFmtId="0" fontId="3" fillId="2" borderId="0" xfId="0" applyFont="1" applyFill="1" applyAlignment="1">
      <alignment horizontal="center"/>
    </xf>
    <xf numFmtId="5" fontId="3" fillId="2" borderId="0" xfId="0" applyNumberFormat="1" applyFont="1" applyFill="1" applyAlignment="1"/>
    <xf numFmtId="0" fontId="3" fillId="2" borderId="0" xfId="0" applyFont="1" applyFill="1" applyBorder="1"/>
    <xf numFmtId="0" fontId="4" fillId="0" borderId="0" xfId="0" applyFont="1" applyFill="1"/>
    <xf numFmtId="0" fontId="3" fillId="0" borderId="0" xfId="0" applyFont="1" applyFill="1"/>
    <xf numFmtId="0" fontId="2" fillId="0" borderId="0" xfId="0" applyNumberFormat="1" applyFont="1" applyFill="1" applyAlignment="1"/>
    <xf numFmtId="0" fontId="3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5" fontId="3" fillId="0" borderId="0" xfId="0" applyNumberFormat="1" applyFont="1" applyFill="1" applyAlignment="1"/>
    <xf numFmtId="0" fontId="12" fillId="0" borderId="0" xfId="0" applyFont="1" applyFill="1" applyAlignment="1">
      <alignment horizontal="right"/>
    </xf>
    <xf numFmtId="44" fontId="3" fillId="0" borderId="0" xfId="2" applyNumberFormat="1" applyFont="1" applyFill="1"/>
    <xf numFmtId="0" fontId="2" fillId="0" borderId="0" xfId="0" applyFont="1" applyFill="1"/>
    <xf numFmtId="5" fontId="3" fillId="0" borderId="0" xfId="0" applyNumberFormat="1" applyFont="1" applyFill="1"/>
    <xf numFmtId="0" fontId="13" fillId="0" borderId="0" xfId="0" applyNumberFormat="1" applyFont="1" applyFill="1" applyAlignment="1">
      <alignment horizontal="right"/>
    </xf>
    <xf numFmtId="0" fontId="3" fillId="0" borderId="0" xfId="0" applyFont="1" applyBorder="1"/>
    <xf numFmtId="5" fontId="3" fillId="0" borderId="0" xfId="0" applyNumberFormat="1" applyFont="1" applyBorder="1"/>
    <xf numFmtId="0" fontId="14" fillId="0" borderId="0" xfId="0" applyFont="1"/>
    <xf numFmtId="0" fontId="16" fillId="0" borderId="0" xfId="0" applyFont="1"/>
    <xf numFmtId="164" fontId="14" fillId="0" borderId="0" xfId="1" applyNumberFormat="1" applyFont="1"/>
    <xf numFmtId="164" fontId="3" fillId="2" borderId="0" xfId="1" applyNumberFormat="1" applyFont="1" applyFill="1"/>
    <xf numFmtId="43" fontId="3" fillId="2" borderId="0" xfId="1" applyFont="1" applyFill="1"/>
    <xf numFmtId="164" fontId="14" fillId="0" borderId="0" xfId="0" applyNumberFormat="1" applyFont="1"/>
    <xf numFmtId="43" fontId="14" fillId="0" borderId="0" xfId="0" applyNumberFormat="1" applyFont="1"/>
    <xf numFmtId="44" fontId="3" fillId="0" borderId="0" xfId="2" applyFont="1" applyFill="1"/>
    <xf numFmtId="167" fontId="14" fillId="0" borderId="0" xfId="2" applyNumberFormat="1" applyFont="1"/>
    <xf numFmtId="0" fontId="15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tabSelected="1" zoomScaleNormal="100" workbookViewId="0">
      <pane xSplit="5" ySplit="11" topLeftCell="F24" activePane="bottomRight" state="frozen"/>
      <selection pane="topRight" activeCell="E1" sqref="E1"/>
      <selection pane="bottomLeft" activeCell="A9" sqref="A9"/>
      <selection pane="bottomRight" activeCell="T14" sqref="T14"/>
    </sheetView>
  </sheetViews>
  <sheetFormatPr defaultColWidth="9.140625" defaultRowHeight="12.75" x14ac:dyDescent="0.2"/>
  <cols>
    <col min="1" max="1" width="2.140625" style="2" customWidth="1"/>
    <col min="2" max="2" width="3" style="2" bestFit="1" customWidth="1"/>
    <col min="3" max="3" width="53.140625" style="2" customWidth="1"/>
    <col min="4" max="4" width="9" style="2" customWidth="1"/>
    <col min="5" max="5" width="9.42578125" style="2" bestFit="1" customWidth="1"/>
    <col min="6" max="6" width="9.42578125" style="2" customWidth="1"/>
    <col min="7" max="9" width="11.85546875" style="2" customWidth="1"/>
    <col min="10" max="17" width="12.85546875" style="2" customWidth="1"/>
    <col min="18" max="18" width="12.85546875" style="2" bestFit="1" customWidth="1"/>
    <col min="19" max="19" width="2.7109375" style="2" customWidth="1"/>
    <col min="20" max="20" width="12.85546875" style="2" bestFit="1" customWidth="1"/>
    <col min="21" max="16384" width="9.140625" style="2"/>
  </cols>
  <sheetData>
    <row r="1" spans="1:20" x14ac:dyDescent="0.2">
      <c r="A1" s="1" t="s">
        <v>39</v>
      </c>
    </row>
    <row r="2" spans="1:20" x14ac:dyDescent="0.2">
      <c r="A2" s="2" t="s">
        <v>49</v>
      </c>
    </row>
    <row r="4" spans="1:20" x14ac:dyDescent="0.2">
      <c r="B4" s="3">
        <f>ROW()</f>
        <v>4</v>
      </c>
      <c r="C4" s="4" t="s">
        <v>0</v>
      </c>
      <c r="D4" s="3"/>
      <c r="E4" s="3"/>
      <c r="F4" s="3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1</v>
      </c>
    </row>
    <row r="5" spans="1:20" x14ac:dyDescent="0.2">
      <c r="B5" s="3">
        <f>ROW()</f>
        <v>5</v>
      </c>
      <c r="C5" s="7" t="s">
        <v>2</v>
      </c>
      <c r="D5" s="8"/>
      <c r="E5" s="3"/>
      <c r="F5" s="3"/>
      <c r="G5" s="9">
        <v>43831</v>
      </c>
      <c r="H5" s="9">
        <v>43862</v>
      </c>
      <c r="I5" s="9">
        <v>43891</v>
      </c>
      <c r="J5" s="9">
        <v>43922</v>
      </c>
      <c r="K5" s="9">
        <v>43952</v>
      </c>
      <c r="L5" s="9">
        <v>43983</v>
      </c>
      <c r="M5" s="9">
        <v>44013</v>
      </c>
      <c r="N5" s="9">
        <v>44044</v>
      </c>
      <c r="O5" s="9">
        <v>44075</v>
      </c>
      <c r="P5" s="9">
        <v>44105</v>
      </c>
      <c r="Q5" s="9">
        <v>44136</v>
      </c>
      <c r="R5" s="9">
        <v>44166</v>
      </c>
      <c r="S5" s="9"/>
      <c r="T5" s="9" t="s">
        <v>3</v>
      </c>
    </row>
    <row r="6" spans="1:20" x14ac:dyDescent="0.2">
      <c r="B6" s="3">
        <f>ROW()</f>
        <v>6</v>
      </c>
      <c r="C6" s="10" t="s">
        <v>4</v>
      </c>
      <c r="D6" s="11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>
        <v>17171592</v>
      </c>
      <c r="R6" s="12">
        <v>10252715</v>
      </c>
      <c r="S6" s="12"/>
      <c r="T6" s="12">
        <f>SUM(G6:R6)</f>
        <v>27424307</v>
      </c>
    </row>
    <row r="7" spans="1:20" x14ac:dyDescent="0.2">
      <c r="B7" s="3">
        <f>ROW()</f>
        <v>7</v>
      </c>
      <c r="C7" s="13" t="s">
        <v>5</v>
      </c>
      <c r="D7" s="8"/>
      <c r="E7" s="14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>
        <v>37336198</v>
      </c>
      <c r="R7" s="15">
        <v>53601690.109999999</v>
      </c>
      <c r="S7" s="15"/>
      <c r="T7" s="16">
        <f>SUM(G7:R7)</f>
        <v>90937888.109999999</v>
      </c>
    </row>
    <row r="8" spans="1:20" x14ac:dyDescent="0.2">
      <c r="B8" s="3">
        <f>ROW()</f>
        <v>8</v>
      </c>
      <c r="C8" s="8" t="s">
        <v>6</v>
      </c>
      <c r="D8" s="8"/>
      <c r="E8" s="8"/>
      <c r="F8" s="8"/>
      <c r="G8" s="17">
        <f>G7-G6</f>
        <v>0</v>
      </c>
      <c r="H8" s="17">
        <f t="shared" ref="H8:T8" si="0">H7-H6</f>
        <v>0</v>
      </c>
      <c r="I8" s="17">
        <f t="shared" si="0"/>
        <v>0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0</v>
      </c>
      <c r="N8" s="17">
        <f t="shared" si="0"/>
        <v>0</v>
      </c>
      <c r="O8" s="17">
        <f t="shared" si="0"/>
        <v>0</v>
      </c>
      <c r="P8" s="17">
        <f t="shared" si="0"/>
        <v>0</v>
      </c>
      <c r="Q8" s="17">
        <f t="shared" si="0"/>
        <v>20164606</v>
      </c>
      <c r="R8" s="17">
        <f t="shared" si="0"/>
        <v>43348975.109999999</v>
      </c>
      <c r="S8" s="17"/>
      <c r="T8" s="17">
        <f t="shared" si="0"/>
        <v>63513581.109999999</v>
      </c>
    </row>
    <row r="9" spans="1:20" x14ac:dyDescent="0.2">
      <c r="B9" s="3">
        <f>ROW()</f>
        <v>9</v>
      </c>
      <c r="C9" s="8"/>
      <c r="D9" s="8"/>
      <c r="E9" s="3"/>
      <c r="F9" s="3"/>
      <c r="G9" s="18" t="str">
        <f t="shared" ref="G9:R9" si="1">IF(G8&lt;0,"(short)","long")</f>
        <v>long</v>
      </c>
      <c r="H9" s="18" t="str">
        <f t="shared" si="1"/>
        <v>long</v>
      </c>
      <c r="I9" s="18" t="str">
        <f t="shared" si="1"/>
        <v>long</v>
      </c>
      <c r="J9" s="18" t="str">
        <f t="shared" si="1"/>
        <v>long</v>
      </c>
      <c r="K9" s="18" t="str">
        <f t="shared" si="1"/>
        <v>long</v>
      </c>
      <c r="L9" s="18" t="str">
        <f t="shared" si="1"/>
        <v>long</v>
      </c>
      <c r="M9" s="18" t="str">
        <f t="shared" si="1"/>
        <v>long</v>
      </c>
      <c r="N9" s="18" t="str">
        <f t="shared" si="1"/>
        <v>long</v>
      </c>
      <c r="O9" s="18" t="str">
        <f t="shared" si="1"/>
        <v>long</v>
      </c>
      <c r="P9" s="18" t="str">
        <f t="shared" si="1"/>
        <v>long</v>
      </c>
      <c r="Q9" s="18" t="str">
        <f t="shared" si="1"/>
        <v>long</v>
      </c>
      <c r="R9" s="18" t="str">
        <f t="shared" si="1"/>
        <v>long</v>
      </c>
      <c r="S9" s="18"/>
      <c r="T9" s="18"/>
    </row>
    <row r="10" spans="1:20" x14ac:dyDescent="0.2">
      <c r="B10" s="3">
        <f>ROW()</f>
        <v>10</v>
      </c>
      <c r="C10" s="8" t="s">
        <v>7</v>
      </c>
      <c r="D10" s="8"/>
      <c r="E10" s="8"/>
      <c r="F10" s="8"/>
      <c r="G10" s="17">
        <f>G8</f>
        <v>0</v>
      </c>
      <c r="H10" s="17">
        <f>G10+H8</f>
        <v>0</v>
      </c>
      <c r="I10" s="17">
        <f t="shared" ref="I10:R10" si="2">H10+I8</f>
        <v>0</v>
      </c>
      <c r="J10" s="17">
        <f t="shared" si="2"/>
        <v>0</v>
      </c>
      <c r="K10" s="17">
        <f t="shared" si="2"/>
        <v>0</v>
      </c>
      <c r="L10" s="17">
        <f t="shared" si="2"/>
        <v>0</v>
      </c>
      <c r="M10" s="17">
        <f t="shared" si="2"/>
        <v>0</v>
      </c>
      <c r="N10" s="17">
        <f t="shared" si="2"/>
        <v>0</v>
      </c>
      <c r="O10" s="17">
        <f t="shared" si="2"/>
        <v>0</v>
      </c>
      <c r="P10" s="17">
        <f t="shared" si="2"/>
        <v>0</v>
      </c>
      <c r="Q10" s="17">
        <f t="shared" si="2"/>
        <v>20164606</v>
      </c>
      <c r="R10" s="17">
        <f t="shared" si="2"/>
        <v>63513581.109999999</v>
      </c>
      <c r="S10" s="17"/>
      <c r="T10" s="17"/>
    </row>
    <row r="11" spans="1:20" x14ac:dyDescent="0.2">
      <c r="B11" s="3">
        <f>ROW()</f>
        <v>11</v>
      </c>
      <c r="C11" s="19"/>
      <c r="D11" s="20"/>
      <c r="E11" s="21"/>
      <c r="F11" s="21"/>
      <c r="G11" s="18" t="str">
        <f t="shared" ref="G11:R11" si="3">IF(G10&lt;0,"(short)","long")</f>
        <v>long</v>
      </c>
      <c r="H11" s="18" t="str">
        <f t="shared" si="3"/>
        <v>long</v>
      </c>
      <c r="I11" s="18" t="str">
        <f t="shared" si="3"/>
        <v>long</v>
      </c>
      <c r="J11" s="18" t="str">
        <f t="shared" si="3"/>
        <v>long</v>
      </c>
      <c r="K11" s="18" t="str">
        <f t="shared" si="3"/>
        <v>long</v>
      </c>
      <c r="L11" s="18" t="str">
        <f t="shared" si="3"/>
        <v>long</v>
      </c>
      <c r="M11" s="18" t="str">
        <f t="shared" si="3"/>
        <v>long</v>
      </c>
      <c r="N11" s="18" t="str">
        <f t="shared" si="3"/>
        <v>long</v>
      </c>
      <c r="O11" s="18" t="str">
        <f t="shared" si="3"/>
        <v>long</v>
      </c>
      <c r="P11" s="18" t="str">
        <f t="shared" si="3"/>
        <v>long</v>
      </c>
      <c r="Q11" s="18" t="str">
        <f t="shared" si="3"/>
        <v>long</v>
      </c>
      <c r="R11" s="18" t="str">
        <f t="shared" si="3"/>
        <v>long</v>
      </c>
      <c r="S11" s="17"/>
      <c r="T11" s="17"/>
    </row>
    <row r="12" spans="1:20" x14ac:dyDescent="0.2">
      <c r="B12" s="3">
        <f>ROW()</f>
        <v>12</v>
      </c>
      <c r="C12" s="8"/>
      <c r="D12" s="8"/>
      <c r="E12" s="8"/>
      <c r="F12" s="8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x14ac:dyDescent="0.2">
      <c r="B13" s="3">
        <f>ROW()</f>
        <v>13</v>
      </c>
      <c r="C13" s="7" t="s">
        <v>50</v>
      </c>
      <c r="D13" s="8"/>
      <c r="E13" s="8"/>
      <c r="F13" s="8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x14ac:dyDescent="0.2">
      <c r="B14" s="3">
        <f>ROW()</f>
        <v>14</v>
      </c>
      <c r="C14" s="8" t="s">
        <v>51</v>
      </c>
      <c r="D14" s="8"/>
      <c r="E14" s="8"/>
      <c r="F14" s="8"/>
      <c r="G14" s="17">
        <f>G7/1000</f>
        <v>0</v>
      </c>
      <c r="H14" s="17">
        <f t="shared" ref="H14:R14" si="4">H7/1000</f>
        <v>0</v>
      </c>
      <c r="I14" s="17">
        <f t="shared" si="4"/>
        <v>0</v>
      </c>
      <c r="J14" s="17">
        <f t="shared" si="4"/>
        <v>0</v>
      </c>
      <c r="K14" s="17">
        <f t="shared" si="4"/>
        <v>0</v>
      </c>
      <c r="L14" s="17">
        <f t="shared" si="4"/>
        <v>0</v>
      </c>
      <c r="M14" s="17">
        <f t="shared" si="4"/>
        <v>0</v>
      </c>
      <c r="N14" s="17">
        <f t="shared" si="4"/>
        <v>0</v>
      </c>
      <c r="O14" s="17">
        <f t="shared" si="4"/>
        <v>0</v>
      </c>
      <c r="P14" s="17">
        <f t="shared" si="4"/>
        <v>0</v>
      </c>
      <c r="Q14" s="17">
        <f t="shared" si="4"/>
        <v>37336.197999999997</v>
      </c>
      <c r="R14" s="17">
        <f t="shared" si="4"/>
        <v>53601.690109999996</v>
      </c>
      <c r="S14" s="17"/>
      <c r="T14" s="17">
        <f>SUM(G14:R14)</f>
        <v>90937.88811</v>
      </c>
    </row>
    <row r="15" spans="1:20" x14ac:dyDescent="0.2">
      <c r="B15" s="3">
        <f>ROW()</f>
        <v>15</v>
      </c>
      <c r="C15" s="8" t="s">
        <v>52</v>
      </c>
      <c r="D15" s="8"/>
      <c r="E15" s="8"/>
      <c r="F15" s="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28">
        <f>IF(T8&lt;0,-T8,0)/1000</f>
        <v>0</v>
      </c>
      <c r="S15" s="17"/>
      <c r="T15" s="17">
        <f>SUM(G15:R15)</f>
        <v>0</v>
      </c>
    </row>
    <row r="16" spans="1:20" x14ac:dyDescent="0.2">
      <c r="B16" s="3">
        <f>ROW()</f>
        <v>16</v>
      </c>
      <c r="C16" s="8" t="s">
        <v>53</v>
      </c>
      <c r="D16" s="8"/>
      <c r="E16" s="8"/>
      <c r="F16" s="8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48">
        <f>IF(R10&gt;0, R10/1000, 0)</f>
        <v>63513.581109999999</v>
      </c>
      <c r="S16" s="17"/>
      <c r="T16" s="48">
        <f>R16</f>
        <v>63513.581109999999</v>
      </c>
    </row>
    <row r="17" spans="2:20" x14ac:dyDescent="0.2">
      <c r="B17" s="3">
        <f>ROW()</f>
        <v>17</v>
      </c>
      <c r="C17" s="8"/>
      <c r="D17" s="8"/>
      <c r="E17" s="8"/>
      <c r="F17" s="8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2:20" x14ac:dyDescent="0.2">
      <c r="B18" s="3">
        <f>ROW()</f>
        <v>18</v>
      </c>
      <c r="C18" s="22" t="s">
        <v>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2:20" x14ac:dyDescent="0.2">
      <c r="B19" s="3">
        <f>ROW()</f>
        <v>19</v>
      </c>
      <c r="C19" s="8" t="s">
        <v>9</v>
      </c>
      <c r="D19" s="3"/>
      <c r="E19" s="3"/>
      <c r="F19" s="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>
        <v>4.5853831460636603E-2</v>
      </c>
      <c r="R19" s="23">
        <v>4.5751696588294387E-2</v>
      </c>
      <c r="S19" s="24"/>
      <c r="T19" s="24"/>
    </row>
    <row r="20" spans="2:20" x14ac:dyDescent="0.2">
      <c r="B20" s="3">
        <f>ROW()</f>
        <v>20</v>
      </c>
      <c r="C20" s="8" t="s">
        <v>10</v>
      </c>
      <c r="D20" s="3"/>
      <c r="E20" s="3"/>
      <c r="F20" s="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>
        <v>2.504E-2</v>
      </c>
      <c r="R20" s="23">
        <v>2.8400000000000002E-2</v>
      </c>
      <c r="S20" s="24"/>
      <c r="T20" s="3"/>
    </row>
    <row r="21" spans="2:20" x14ac:dyDescent="0.2">
      <c r="B21" s="3">
        <f>ROW()</f>
        <v>21</v>
      </c>
      <c r="C21" s="8"/>
      <c r="D21" s="25"/>
      <c r="E21" s="3"/>
      <c r="F21" s="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/>
      <c r="T21" s="3"/>
    </row>
    <row r="22" spans="2:20" x14ac:dyDescent="0.2">
      <c r="B22" s="3">
        <f>ROW()</f>
        <v>22</v>
      </c>
      <c r="C22" s="7" t="s">
        <v>11</v>
      </c>
      <c r="D22" s="25" t="s">
        <v>12</v>
      </c>
      <c r="E22" s="25" t="s">
        <v>13</v>
      </c>
      <c r="F22" s="2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2:20" x14ac:dyDescent="0.2">
      <c r="B23" s="3">
        <f>ROW()</f>
        <v>23</v>
      </c>
      <c r="C23" s="26" t="s">
        <v>14</v>
      </c>
      <c r="D23" s="27"/>
      <c r="E23" s="27"/>
      <c r="F23" s="27"/>
      <c r="G23" s="17"/>
      <c r="H23" s="17"/>
      <c r="I23" s="17"/>
      <c r="J23" s="17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2:20" x14ac:dyDescent="0.2">
      <c r="B24" s="3">
        <f>ROW()</f>
        <v>24</v>
      </c>
      <c r="C24" s="8" t="s">
        <v>15</v>
      </c>
      <c r="D24" s="29" t="s">
        <v>16</v>
      </c>
      <c r="E24" s="29" t="s">
        <v>17</v>
      </c>
      <c r="F24" s="29"/>
      <c r="G24" s="30">
        <f t="shared" ref="G24:R24" si="5">IF(G7-G6&lt;0, G7*G19, G6*G19)</f>
        <v>0</v>
      </c>
      <c r="H24" s="30">
        <f t="shared" si="5"/>
        <v>0</v>
      </c>
      <c r="I24" s="30">
        <f t="shared" si="5"/>
        <v>0</v>
      </c>
      <c r="J24" s="30">
        <f t="shared" si="5"/>
        <v>0</v>
      </c>
      <c r="K24" s="30">
        <f t="shared" si="5"/>
        <v>0</v>
      </c>
      <c r="L24" s="30">
        <f t="shared" si="5"/>
        <v>0</v>
      </c>
      <c r="M24" s="30">
        <f t="shared" si="5"/>
        <v>0</v>
      </c>
      <c r="N24" s="30">
        <f t="shared" si="5"/>
        <v>0</v>
      </c>
      <c r="O24" s="30">
        <f t="shared" si="5"/>
        <v>0</v>
      </c>
      <c r="P24" s="30">
        <f t="shared" si="5"/>
        <v>0</v>
      </c>
      <c r="Q24" s="30">
        <f t="shared" si="5"/>
        <v>787383.28547881579</v>
      </c>
      <c r="R24" s="30">
        <f t="shared" si="5"/>
        <v>469079.10588625469</v>
      </c>
      <c r="S24" s="30"/>
      <c r="T24" s="30">
        <f t="shared" ref="T24" si="6">SUM(G24:R24)</f>
        <v>1256462.3913650704</v>
      </c>
    </row>
    <row r="25" spans="2:20" x14ac:dyDescent="0.2">
      <c r="B25" s="3">
        <f>ROW()</f>
        <v>25</v>
      </c>
      <c r="C25" s="8" t="s">
        <v>18</v>
      </c>
      <c r="D25" s="29" t="s">
        <v>16</v>
      </c>
      <c r="E25" s="29" t="s">
        <v>19</v>
      </c>
      <c r="F25" s="29"/>
      <c r="G25" s="30">
        <f t="shared" ref="G25:R25" si="7">IF(G8&gt;0, G8*G19, 0)</f>
        <v>0</v>
      </c>
      <c r="H25" s="30">
        <f t="shared" si="7"/>
        <v>0</v>
      </c>
      <c r="I25" s="30">
        <f t="shared" si="7"/>
        <v>0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7"/>
        <v>0</v>
      </c>
      <c r="O25" s="30">
        <f t="shared" si="7"/>
        <v>0</v>
      </c>
      <c r="P25" s="30">
        <f t="shared" si="7"/>
        <v>0</v>
      </c>
      <c r="Q25" s="30">
        <f t="shared" si="7"/>
        <v>924624.44499414158</v>
      </c>
      <c r="R25" s="30">
        <f t="shared" si="7"/>
        <v>1983289.1566462452</v>
      </c>
      <c r="S25" s="30"/>
      <c r="T25" s="30">
        <f>SUM(G25:R25)</f>
        <v>2907913.6016403865</v>
      </c>
    </row>
    <row r="26" spans="2:20" x14ac:dyDescent="0.2">
      <c r="B26" s="3">
        <f>ROW()</f>
        <v>26</v>
      </c>
      <c r="C26" s="8" t="s">
        <v>20</v>
      </c>
      <c r="D26" s="29" t="s">
        <v>21</v>
      </c>
      <c r="E26" s="29" t="s">
        <v>19</v>
      </c>
      <c r="F26" s="29"/>
      <c r="G26" s="30">
        <f t="shared" ref="G26:R26" si="8">IF(G8&gt;0, -G8*G20, 0)</f>
        <v>0</v>
      </c>
      <c r="H26" s="30">
        <f t="shared" si="8"/>
        <v>0</v>
      </c>
      <c r="I26" s="30">
        <f t="shared" si="8"/>
        <v>0</v>
      </c>
      <c r="J26" s="30">
        <f t="shared" si="8"/>
        <v>0</v>
      </c>
      <c r="K26" s="30">
        <f t="shared" si="8"/>
        <v>0</v>
      </c>
      <c r="L26" s="30">
        <f t="shared" si="8"/>
        <v>0</v>
      </c>
      <c r="M26" s="30">
        <f t="shared" si="8"/>
        <v>0</v>
      </c>
      <c r="N26" s="30">
        <f t="shared" si="8"/>
        <v>0</v>
      </c>
      <c r="O26" s="30">
        <f t="shared" si="8"/>
        <v>0</v>
      </c>
      <c r="P26" s="30">
        <f t="shared" si="8"/>
        <v>0</v>
      </c>
      <c r="Q26" s="30">
        <f t="shared" si="8"/>
        <v>-504921.73424000002</v>
      </c>
      <c r="R26" s="30">
        <f t="shared" si="8"/>
        <v>-1231110.8931240002</v>
      </c>
      <c r="S26" s="30"/>
      <c r="T26" s="30">
        <f>SUM(G26:R26)</f>
        <v>-1736032.6273640003</v>
      </c>
    </row>
    <row r="27" spans="2:20" x14ac:dyDescent="0.2">
      <c r="B27" s="3">
        <f>ROW()</f>
        <v>27</v>
      </c>
      <c r="C27" s="8" t="s">
        <v>22</v>
      </c>
      <c r="D27" s="29" t="s">
        <v>21</v>
      </c>
      <c r="E27" s="29" t="s">
        <v>23</v>
      </c>
      <c r="F27" s="29"/>
      <c r="G27" s="30">
        <f t="shared" ref="G27:R27" si="9">IF(G8&lt;0, -G8*G20, 0)</f>
        <v>0</v>
      </c>
      <c r="H27" s="30">
        <f t="shared" si="9"/>
        <v>0</v>
      </c>
      <c r="I27" s="30">
        <f t="shared" si="9"/>
        <v>0</v>
      </c>
      <c r="J27" s="30">
        <f t="shared" si="9"/>
        <v>0</v>
      </c>
      <c r="K27" s="30">
        <f t="shared" si="9"/>
        <v>0</v>
      </c>
      <c r="L27" s="30">
        <f t="shared" si="9"/>
        <v>0</v>
      </c>
      <c r="M27" s="30">
        <f t="shared" si="9"/>
        <v>0</v>
      </c>
      <c r="N27" s="30">
        <f t="shared" si="9"/>
        <v>0</v>
      </c>
      <c r="O27" s="30">
        <f t="shared" si="9"/>
        <v>0</v>
      </c>
      <c r="P27" s="30">
        <f t="shared" si="9"/>
        <v>0</v>
      </c>
      <c r="Q27" s="30">
        <f t="shared" si="9"/>
        <v>0</v>
      </c>
      <c r="R27" s="30">
        <f t="shared" si="9"/>
        <v>0</v>
      </c>
      <c r="S27" s="30"/>
      <c r="T27" s="30">
        <f>SUM(G27:R27)</f>
        <v>0</v>
      </c>
    </row>
    <row r="28" spans="2:20" x14ac:dyDescent="0.2">
      <c r="B28" s="3">
        <f>ROW()</f>
        <v>28</v>
      </c>
      <c r="C28" s="3"/>
      <c r="D28" s="29"/>
      <c r="E28" s="29"/>
      <c r="F28" s="29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2:20" x14ac:dyDescent="0.2">
      <c r="B29" s="3">
        <f>ROW()</f>
        <v>29</v>
      </c>
      <c r="C29" s="7" t="s">
        <v>54</v>
      </c>
      <c r="D29" s="29"/>
      <c r="E29" s="29"/>
      <c r="F29" s="2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2:20" x14ac:dyDescent="0.2">
      <c r="B30" s="3">
        <f>ROW()</f>
        <v>30</v>
      </c>
      <c r="C30" s="3" t="s">
        <v>55</v>
      </c>
      <c r="D30" s="29" t="s">
        <v>16</v>
      </c>
      <c r="E30" s="29" t="s">
        <v>56</v>
      </c>
      <c r="F30" s="29"/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3"/>
      <c r="T30" s="30">
        <f>SUM(G30:R30)</f>
        <v>0</v>
      </c>
    </row>
    <row r="31" spans="2:20" x14ac:dyDescent="0.2">
      <c r="B31" s="3">
        <f>ROW()</f>
        <v>31</v>
      </c>
      <c r="C31" s="3"/>
      <c r="D31" s="29"/>
      <c r="E31" s="29"/>
      <c r="F31" s="2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2:20" x14ac:dyDescent="0.2">
      <c r="B32" s="3">
        <f>ROW()</f>
        <v>32</v>
      </c>
      <c r="C32" s="8"/>
      <c r="D32" s="3"/>
      <c r="E32" s="3"/>
      <c r="F32" s="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4"/>
      <c r="T32" s="3"/>
    </row>
    <row r="33" spans="2:20" x14ac:dyDescent="0.2">
      <c r="B33" s="3">
        <f>ROW()</f>
        <v>33</v>
      </c>
      <c r="C33" s="3" t="s">
        <v>24</v>
      </c>
      <c r="D33" s="3"/>
      <c r="E33" s="3"/>
      <c r="F33" s="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4"/>
      <c r="T33" s="3"/>
    </row>
    <row r="34" spans="2:20" ht="14.25" x14ac:dyDescent="0.2">
      <c r="B34" s="3">
        <f>ROW()</f>
        <v>34</v>
      </c>
      <c r="C34" s="31" t="s">
        <v>25</v>
      </c>
      <c r="D34" s="3"/>
      <c r="E34" s="3"/>
      <c r="F34" s="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4"/>
      <c r="T34" s="3"/>
    </row>
    <row r="35" spans="2:20" x14ac:dyDescent="0.2">
      <c r="B35" s="2">
        <f>ROW()</f>
        <v>35</v>
      </c>
    </row>
    <row r="36" spans="2:20" x14ac:dyDescent="0.2">
      <c r="B36" s="2">
        <f>ROW()</f>
        <v>36</v>
      </c>
      <c r="C36" s="32" t="s">
        <v>26</v>
      </c>
      <c r="D36" s="33"/>
    </row>
    <row r="37" spans="2:20" x14ac:dyDescent="0.2">
      <c r="B37" s="2">
        <f>ROW()</f>
        <v>37</v>
      </c>
      <c r="C37" s="34" t="s">
        <v>27</v>
      </c>
      <c r="D37" s="33"/>
    </row>
    <row r="38" spans="2:20" x14ac:dyDescent="0.2">
      <c r="B38" s="2">
        <f>ROW()</f>
        <v>38</v>
      </c>
      <c r="C38" s="35" t="s">
        <v>28</v>
      </c>
      <c r="D38" s="36" t="s">
        <v>21</v>
      </c>
      <c r="E38" s="33"/>
      <c r="F38" s="33"/>
      <c r="G38" s="37">
        <f t="shared" ref="G38:R38" si="10">IF(G27&gt;0, -G27, -G26)</f>
        <v>0</v>
      </c>
      <c r="H38" s="37">
        <f t="shared" si="10"/>
        <v>0</v>
      </c>
      <c r="I38" s="37">
        <f t="shared" si="10"/>
        <v>0</v>
      </c>
      <c r="J38" s="37">
        <f t="shared" si="10"/>
        <v>0</v>
      </c>
      <c r="K38" s="37">
        <f t="shared" si="10"/>
        <v>0</v>
      </c>
      <c r="L38" s="37">
        <f t="shared" si="10"/>
        <v>0</v>
      </c>
      <c r="M38" s="37">
        <f t="shared" si="10"/>
        <v>0</v>
      </c>
      <c r="N38" s="37">
        <f t="shared" si="10"/>
        <v>0</v>
      </c>
      <c r="O38" s="37">
        <f t="shared" si="10"/>
        <v>0</v>
      </c>
      <c r="P38" s="37">
        <f t="shared" si="10"/>
        <v>0</v>
      </c>
      <c r="Q38" s="37">
        <f t="shared" si="10"/>
        <v>504921.73424000002</v>
      </c>
      <c r="R38" s="37">
        <f t="shared" si="10"/>
        <v>1231110.8931240002</v>
      </c>
      <c r="S38" s="37"/>
      <c r="T38" s="37">
        <f>SUM(G38:R38)</f>
        <v>1736032.6273640003</v>
      </c>
    </row>
    <row r="39" spans="2:20" x14ac:dyDescent="0.2">
      <c r="B39" s="2">
        <f>ROW()</f>
        <v>39</v>
      </c>
      <c r="C39" s="35" t="s">
        <v>29</v>
      </c>
      <c r="D39" s="36" t="s">
        <v>16</v>
      </c>
      <c r="E39" s="33"/>
      <c r="F39" s="33"/>
      <c r="G39" s="37">
        <f t="shared" ref="G39:R39" si="11">IF(G27&gt;0, G27, 0)</f>
        <v>0</v>
      </c>
      <c r="H39" s="37">
        <f t="shared" si="11"/>
        <v>0</v>
      </c>
      <c r="I39" s="37">
        <f t="shared" si="11"/>
        <v>0</v>
      </c>
      <c r="J39" s="37">
        <f t="shared" si="11"/>
        <v>0</v>
      </c>
      <c r="K39" s="37">
        <f t="shared" si="11"/>
        <v>0</v>
      </c>
      <c r="L39" s="37">
        <f t="shared" si="11"/>
        <v>0</v>
      </c>
      <c r="M39" s="37">
        <f t="shared" si="11"/>
        <v>0</v>
      </c>
      <c r="N39" s="37">
        <f t="shared" si="11"/>
        <v>0</v>
      </c>
      <c r="O39" s="37">
        <f t="shared" si="11"/>
        <v>0</v>
      </c>
      <c r="P39" s="37">
        <f t="shared" si="11"/>
        <v>0</v>
      </c>
      <c r="Q39" s="37">
        <f t="shared" si="11"/>
        <v>0</v>
      </c>
      <c r="R39" s="37">
        <f t="shared" si="11"/>
        <v>0</v>
      </c>
      <c r="S39" s="37"/>
      <c r="T39" s="37">
        <f>SUM(G39:R39)</f>
        <v>0</v>
      </c>
    </row>
    <row r="40" spans="2:20" x14ac:dyDescent="0.2">
      <c r="B40" s="2">
        <f>ROW()</f>
        <v>40</v>
      </c>
      <c r="C40" s="35" t="s">
        <v>30</v>
      </c>
      <c r="D40" s="36" t="s">
        <v>16</v>
      </c>
      <c r="E40" s="33"/>
      <c r="F40" s="33"/>
      <c r="G40" s="37">
        <f t="shared" ref="G40:R40" si="12">IF(G26&lt;0, G26, 0)</f>
        <v>0</v>
      </c>
      <c r="H40" s="37">
        <f t="shared" si="12"/>
        <v>0</v>
      </c>
      <c r="I40" s="37">
        <f t="shared" si="12"/>
        <v>0</v>
      </c>
      <c r="J40" s="37">
        <f t="shared" si="12"/>
        <v>0</v>
      </c>
      <c r="K40" s="37">
        <f t="shared" si="12"/>
        <v>0</v>
      </c>
      <c r="L40" s="37">
        <f t="shared" si="12"/>
        <v>0</v>
      </c>
      <c r="M40" s="37">
        <f t="shared" si="12"/>
        <v>0</v>
      </c>
      <c r="N40" s="37">
        <f t="shared" si="12"/>
        <v>0</v>
      </c>
      <c r="O40" s="37">
        <f t="shared" si="12"/>
        <v>0</v>
      </c>
      <c r="P40" s="37">
        <f t="shared" si="12"/>
        <v>0</v>
      </c>
      <c r="Q40" s="37">
        <f t="shared" si="12"/>
        <v>-504921.73424000002</v>
      </c>
      <c r="R40" s="37">
        <f t="shared" si="12"/>
        <v>-1231110.8931240002</v>
      </c>
      <c r="S40" s="37"/>
      <c r="T40" s="37">
        <f>SUM(G40:R40)</f>
        <v>-1736032.6273640003</v>
      </c>
    </row>
    <row r="41" spans="2:20" x14ac:dyDescent="0.2">
      <c r="B41" s="2">
        <f>ROW()</f>
        <v>41</v>
      </c>
      <c r="C41" s="35" t="s">
        <v>57</v>
      </c>
      <c r="D41" s="36" t="s">
        <v>16</v>
      </c>
      <c r="E41" s="33"/>
      <c r="F41" s="52">
        <v>6.5</v>
      </c>
      <c r="G41" s="37">
        <f>IF(G16&gt;0,-G16*$F$41,IF(F16&gt;0,F16*$F$41,0))</f>
        <v>0</v>
      </c>
      <c r="H41" s="37">
        <f t="shared" ref="H41:P41" si="13">IF(H16&gt;0,-H16*$F$41,IF(G16&gt;0,G16*$F$41,0))</f>
        <v>0</v>
      </c>
      <c r="I41" s="37">
        <f t="shared" si="13"/>
        <v>0</v>
      </c>
      <c r="J41" s="37">
        <f t="shared" si="13"/>
        <v>0</v>
      </c>
      <c r="K41" s="37">
        <f t="shared" si="13"/>
        <v>0</v>
      </c>
      <c r="L41" s="37">
        <f t="shared" si="13"/>
        <v>0</v>
      </c>
      <c r="M41" s="37">
        <f t="shared" si="13"/>
        <v>0</v>
      </c>
      <c r="N41" s="37">
        <f t="shared" si="13"/>
        <v>0</v>
      </c>
      <c r="O41" s="37">
        <f t="shared" si="13"/>
        <v>0</v>
      </c>
      <c r="P41" s="37">
        <f t="shared" si="13"/>
        <v>0</v>
      </c>
      <c r="Q41" s="37">
        <f>IF(Q16&gt;0,-Q16*$F$41,IF(P16&gt;0,P16*$F$41,0))</f>
        <v>0</v>
      </c>
      <c r="R41" s="37">
        <f>IF(R16&gt;0,-R16*$F$41,IF(Q16&gt;0,Q16*$F$41,0))</f>
        <v>-412838.27721500001</v>
      </c>
      <c r="S41" s="37"/>
      <c r="T41" s="37">
        <f>SUM(G41:R41)</f>
        <v>-412838.27721500001</v>
      </c>
    </row>
    <row r="42" spans="2:20" x14ac:dyDescent="0.2">
      <c r="B42" s="2">
        <f>ROW()</f>
        <v>42</v>
      </c>
      <c r="C42" s="35"/>
      <c r="D42" s="36"/>
      <c r="E42" s="38"/>
      <c r="F42" s="39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</row>
    <row r="43" spans="2:20" x14ac:dyDescent="0.2">
      <c r="B43" s="2">
        <f>ROW()</f>
        <v>43</v>
      </c>
      <c r="C43" s="40" t="s">
        <v>31</v>
      </c>
      <c r="D43" s="33"/>
      <c r="E43" s="33"/>
      <c r="F43" s="33"/>
      <c r="G43" s="37"/>
      <c r="H43" s="37"/>
      <c r="I43" s="37"/>
      <c r="J43" s="37"/>
      <c r="K43" s="41"/>
      <c r="L43" s="41"/>
      <c r="M43" s="41"/>
      <c r="N43" s="41"/>
      <c r="O43" s="41"/>
      <c r="P43" s="41"/>
      <c r="Q43" s="41"/>
      <c r="R43" s="41"/>
      <c r="S43" s="41"/>
      <c r="T43" s="41"/>
    </row>
    <row r="44" spans="2:20" x14ac:dyDescent="0.2">
      <c r="B44" s="2">
        <f>ROW()</f>
        <v>44</v>
      </c>
      <c r="C44" s="35" t="s">
        <v>32</v>
      </c>
      <c r="D44" s="33"/>
      <c r="E44" s="33"/>
      <c r="F44" s="33"/>
      <c r="G44" s="41">
        <f t="shared" ref="G44:P44" si="14">G39+G24+G25+G40+G42</f>
        <v>0</v>
      </c>
      <c r="H44" s="41">
        <f t="shared" si="14"/>
        <v>0</v>
      </c>
      <c r="I44" s="41">
        <f t="shared" si="14"/>
        <v>0</v>
      </c>
      <c r="J44" s="41">
        <f t="shared" si="14"/>
        <v>0</v>
      </c>
      <c r="K44" s="41">
        <f t="shared" si="14"/>
        <v>0</v>
      </c>
      <c r="L44" s="41">
        <f t="shared" si="14"/>
        <v>0</v>
      </c>
      <c r="M44" s="41">
        <f t="shared" si="14"/>
        <v>0</v>
      </c>
      <c r="N44" s="41">
        <f t="shared" si="14"/>
        <v>0</v>
      </c>
      <c r="O44" s="41">
        <f t="shared" si="14"/>
        <v>0</v>
      </c>
      <c r="P44" s="41">
        <f t="shared" si="14"/>
        <v>0</v>
      </c>
      <c r="Q44" s="41">
        <f>Q39+Q24+Q25+Q40+Q41</f>
        <v>1207085.9962329571</v>
      </c>
      <c r="R44" s="41">
        <f>R39+R24+R25+R40+R41</f>
        <v>808419.09219349944</v>
      </c>
      <c r="S44" s="41"/>
      <c r="T44" s="37">
        <f t="shared" ref="T44:T47" si="15">SUM(G44:R44)</f>
        <v>2015505.0884264566</v>
      </c>
    </row>
    <row r="45" spans="2:20" x14ac:dyDescent="0.2">
      <c r="B45" s="2">
        <f>ROW()</f>
        <v>45</v>
      </c>
      <c r="C45" s="35" t="s">
        <v>33</v>
      </c>
      <c r="D45" s="33"/>
      <c r="E45" s="33"/>
      <c r="F45" s="33"/>
      <c r="G45" s="41">
        <f t="shared" ref="G45:R45" si="16">G27+G38+G26</f>
        <v>0</v>
      </c>
      <c r="H45" s="41">
        <f t="shared" si="16"/>
        <v>0</v>
      </c>
      <c r="I45" s="41">
        <f t="shared" si="16"/>
        <v>0</v>
      </c>
      <c r="J45" s="41">
        <f t="shared" si="16"/>
        <v>0</v>
      </c>
      <c r="K45" s="41">
        <f t="shared" si="16"/>
        <v>0</v>
      </c>
      <c r="L45" s="41">
        <f t="shared" si="16"/>
        <v>0</v>
      </c>
      <c r="M45" s="41">
        <f t="shared" si="16"/>
        <v>0</v>
      </c>
      <c r="N45" s="41">
        <f t="shared" si="16"/>
        <v>0</v>
      </c>
      <c r="O45" s="41">
        <f t="shared" si="16"/>
        <v>0</v>
      </c>
      <c r="P45" s="41">
        <f t="shared" si="16"/>
        <v>0</v>
      </c>
      <c r="Q45" s="41">
        <f t="shared" si="16"/>
        <v>0</v>
      </c>
      <c r="R45" s="41">
        <f t="shared" si="16"/>
        <v>0</v>
      </c>
      <c r="S45" s="41"/>
      <c r="T45" s="37">
        <f t="shared" si="15"/>
        <v>0</v>
      </c>
    </row>
    <row r="46" spans="2:20" x14ac:dyDescent="0.2">
      <c r="B46" s="2">
        <f>ROW()</f>
        <v>46</v>
      </c>
      <c r="C46" s="33"/>
      <c r="D46" s="33"/>
      <c r="E46" s="33"/>
      <c r="F46" s="33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2:20" x14ac:dyDescent="0.2">
      <c r="B47" s="2">
        <f>ROW()</f>
        <v>47</v>
      </c>
      <c r="C47" s="42" t="s">
        <v>34</v>
      </c>
      <c r="D47" s="33"/>
      <c r="E47" s="33"/>
      <c r="F47" s="33"/>
      <c r="G47" s="41">
        <f t="shared" ref="G47:R47" si="17">IF(G8&lt;0, (G7*G19)+(-G8*G20)-SUM(G44:G45), (G7*G19)-SUM(G44:G45))+G26</f>
        <v>0</v>
      </c>
      <c r="H47" s="41">
        <f t="shared" si="17"/>
        <v>0</v>
      </c>
      <c r="I47" s="41">
        <f t="shared" si="17"/>
        <v>0</v>
      </c>
      <c r="J47" s="41">
        <f t="shared" si="17"/>
        <v>0</v>
      </c>
      <c r="K47" s="41">
        <f t="shared" si="17"/>
        <v>0</v>
      </c>
      <c r="L47" s="41">
        <f t="shared" si="17"/>
        <v>0</v>
      </c>
      <c r="M47" s="41">
        <f t="shared" si="17"/>
        <v>0</v>
      </c>
      <c r="N47" s="41">
        <f t="shared" si="17"/>
        <v>0</v>
      </c>
      <c r="O47" s="41">
        <f t="shared" si="17"/>
        <v>0</v>
      </c>
      <c r="P47" s="41">
        <f t="shared" si="17"/>
        <v>0</v>
      </c>
      <c r="Q47" s="41">
        <f t="shared" si="17"/>
        <v>0</v>
      </c>
      <c r="R47" s="41">
        <f t="shared" si="17"/>
        <v>412838.27721500047</v>
      </c>
      <c r="S47" s="41"/>
      <c r="T47" s="37">
        <f t="shared" si="15"/>
        <v>412838.27721500047</v>
      </c>
    </row>
    <row r="48" spans="2:20" x14ac:dyDescent="0.2">
      <c r="B48" s="2">
        <f>ROW()</f>
        <v>48</v>
      </c>
      <c r="C48" s="32" t="s">
        <v>35</v>
      </c>
      <c r="D48" s="33"/>
      <c r="E48" s="33"/>
      <c r="F48" s="33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2:20" x14ac:dyDescent="0.2">
      <c r="B49" s="2">
        <f>ROW()</f>
        <v>49</v>
      </c>
      <c r="C49" s="32" t="s">
        <v>36</v>
      </c>
      <c r="D49" s="33"/>
      <c r="E49" s="33"/>
      <c r="F49" s="33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</row>
    <row r="50" spans="2:20" x14ac:dyDescent="0.2">
      <c r="B50" s="2">
        <f>ROW()</f>
        <v>50</v>
      </c>
      <c r="C50" s="32" t="s">
        <v>37</v>
      </c>
      <c r="D50" s="43"/>
      <c r="E50" s="43"/>
      <c r="F50" s="43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2:20" x14ac:dyDescent="0.2">
      <c r="B51" s="2">
        <f>ROW()</f>
        <v>51</v>
      </c>
      <c r="C51" s="32" t="s">
        <v>38</v>
      </c>
    </row>
  </sheetData>
  <printOptions horizontalCentered="1"/>
  <pageMargins left="0.2" right="0.2" top="0.75" bottom="0.75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C17" sqref="C17"/>
    </sheetView>
  </sheetViews>
  <sheetFormatPr defaultRowHeight="12.75" x14ac:dyDescent="0.2"/>
  <cols>
    <col min="1" max="1" width="2.140625" style="45" customWidth="1"/>
    <col min="2" max="2" width="12.28515625" style="45" bestFit="1" customWidth="1"/>
    <col min="3" max="3" width="20.7109375" style="45" bestFit="1" customWidth="1"/>
    <col min="4" max="4" width="19.85546875" style="45" bestFit="1" customWidth="1"/>
    <col min="5" max="16384" width="9.140625" style="45"/>
  </cols>
  <sheetData>
    <row r="1" spans="1:4" x14ac:dyDescent="0.2">
      <c r="A1" s="1" t="s">
        <v>74</v>
      </c>
    </row>
    <row r="2" spans="1:4" x14ac:dyDescent="0.2">
      <c r="A2" s="1" t="s">
        <v>75</v>
      </c>
    </row>
    <row r="3" spans="1:4" x14ac:dyDescent="0.2">
      <c r="A3" s="2" t="s">
        <v>45</v>
      </c>
    </row>
    <row r="5" spans="1:4" x14ac:dyDescent="0.2">
      <c r="B5" s="46" t="s">
        <v>40</v>
      </c>
    </row>
    <row r="6" spans="1:4" x14ac:dyDescent="0.2">
      <c r="B6" s="54" t="s">
        <v>41</v>
      </c>
      <c r="C6" s="54" t="s">
        <v>42</v>
      </c>
      <c r="D6" s="54" t="s">
        <v>43</v>
      </c>
    </row>
    <row r="7" spans="1:4" x14ac:dyDescent="0.2">
      <c r="B7" s="47">
        <v>5</v>
      </c>
      <c r="C7" s="53">
        <v>53.91</v>
      </c>
      <c r="D7" s="53">
        <f>B7*C7</f>
        <v>269.54999999999995</v>
      </c>
    </row>
    <row r="9" spans="1:4" x14ac:dyDescent="0.2">
      <c r="B9" s="46" t="s">
        <v>44</v>
      </c>
    </row>
    <row r="10" spans="1:4" x14ac:dyDescent="0.2">
      <c r="B10" s="54" t="s">
        <v>47</v>
      </c>
      <c r="C10" s="54" t="s">
        <v>48</v>
      </c>
      <c r="D10" s="54" t="s">
        <v>46</v>
      </c>
    </row>
    <row r="11" spans="1:4" x14ac:dyDescent="0.2">
      <c r="B11" s="53">
        <v>340637.6</v>
      </c>
      <c r="C11" s="47">
        <v>3</v>
      </c>
      <c r="D11" s="53">
        <f>(B11/(C11*12))*2</f>
        <v>18924.31111111111</v>
      </c>
    </row>
    <row r="12" spans="1:4" x14ac:dyDescent="0.2">
      <c r="B12" s="51"/>
    </row>
    <row r="13" spans="1:4" x14ac:dyDescent="0.2">
      <c r="B13" s="5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workbookViewId="0">
      <selection activeCell="A3" sqref="A3"/>
    </sheetView>
  </sheetViews>
  <sheetFormatPr defaultRowHeight="12.75" x14ac:dyDescent="0.2"/>
  <cols>
    <col min="1" max="1" width="2.5703125" style="45" customWidth="1"/>
    <col min="2" max="2" width="9.140625" style="45"/>
    <col min="3" max="3" width="18.5703125" style="45" bestFit="1" customWidth="1"/>
    <col min="4" max="4" width="28.7109375" style="45" bestFit="1" customWidth="1"/>
    <col min="5" max="5" width="26.42578125" style="45" bestFit="1" customWidth="1"/>
    <col min="6" max="6" width="15.42578125" style="45" bestFit="1" customWidth="1"/>
    <col min="7" max="16384" width="9.140625" style="45"/>
  </cols>
  <sheetData>
    <row r="1" spans="1:6" x14ac:dyDescent="0.2">
      <c r="A1" s="1" t="s">
        <v>39</v>
      </c>
    </row>
    <row r="2" spans="1:6" x14ac:dyDescent="0.2">
      <c r="A2" s="2" t="s">
        <v>76</v>
      </c>
    </row>
    <row r="4" spans="1:6" x14ac:dyDescent="0.2">
      <c r="B4" s="46" t="s">
        <v>1</v>
      </c>
      <c r="C4" s="46" t="s">
        <v>59</v>
      </c>
      <c r="D4" s="46" t="s">
        <v>60</v>
      </c>
      <c r="E4" s="46" t="s">
        <v>61</v>
      </c>
      <c r="F4" s="46" t="s">
        <v>58</v>
      </c>
    </row>
    <row r="5" spans="1:6" x14ac:dyDescent="0.2">
      <c r="B5" s="45" t="s">
        <v>62</v>
      </c>
      <c r="C5" s="47">
        <v>2420712</v>
      </c>
      <c r="D5" s="47">
        <v>736560</v>
      </c>
      <c r="E5" s="47">
        <v>0</v>
      </c>
      <c r="F5" s="50">
        <f>C5+D5-E5</f>
        <v>3157272</v>
      </c>
    </row>
    <row r="6" spans="1:6" x14ac:dyDescent="0.2">
      <c r="B6" s="45" t="s">
        <v>63</v>
      </c>
      <c r="C6" s="50">
        <f>F5</f>
        <v>3157272</v>
      </c>
      <c r="D6" s="47">
        <v>665712</v>
      </c>
      <c r="E6" s="47">
        <v>812395</v>
      </c>
      <c r="F6" s="50">
        <f t="shared" ref="F6:F16" si="0">C6+D6-E6</f>
        <v>3010589</v>
      </c>
    </row>
    <row r="7" spans="1:6" x14ac:dyDescent="0.2">
      <c r="B7" s="45" t="s">
        <v>64</v>
      </c>
      <c r="C7" s="50">
        <f t="shared" ref="C7:C16" si="1">F6</f>
        <v>3010589</v>
      </c>
      <c r="D7" s="47">
        <v>709776</v>
      </c>
      <c r="E7" s="47">
        <v>0</v>
      </c>
      <c r="F7" s="50">
        <f t="shared" si="0"/>
        <v>3720365</v>
      </c>
    </row>
    <row r="8" spans="1:6" x14ac:dyDescent="0.2">
      <c r="B8" s="45" t="s">
        <v>65</v>
      </c>
      <c r="C8" s="50">
        <f t="shared" si="1"/>
        <v>3720365</v>
      </c>
      <c r="D8" s="47">
        <v>681264</v>
      </c>
      <c r="E8" s="47">
        <v>0</v>
      </c>
      <c r="F8" s="50">
        <f t="shared" si="0"/>
        <v>4401629</v>
      </c>
    </row>
    <row r="9" spans="1:6" x14ac:dyDescent="0.2">
      <c r="B9" s="45" t="s">
        <v>66</v>
      </c>
      <c r="C9" s="50">
        <f t="shared" si="1"/>
        <v>4401629</v>
      </c>
      <c r="D9" s="47">
        <v>632880</v>
      </c>
      <c r="E9" s="47">
        <v>0</v>
      </c>
      <c r="F9" s="50">
        <f t="shared" si="0"/>
        <v>5034509</v>
      </c>
    </row>
    <row r="10" spans="1:6" x14ac:dyDescent="0.2">
      <c r="B10" s="45" t="s">
        <v>67</v>
      </c>
      <c r="C10" s="50">
        <f t="shared" si="1"/>
        <v>5034509</v>
      </c>
      <c r="D10" s="47">
        <v>0</v>
      </c>
      <c r="E10" s="47">
        <v>536836.4</v>
      </c>
      <c r="F10" s="50">
        <f t="shared" si="0"/>
        <v>4497672.5999999996</v>
      </c>
    </row>
    <row r="11" spans="1:6" x14ac:dyDescent="0.2">
      <c r="B11" s="45" t="s">
        <v>68</v>
      </c>
      <c r="C11" s="50">
        <f t="shared" si="1"/>
        <v>4497672.5999999996</v>
      </c>
      <c r="D11" s="47">
        <v>153096</v>
      </c>
      <c r="E11" s="47">
        <v>0</v>
      </c>
      <c r="F11" s="50">
        <f t="shared" si="0"/>
        <v>4650768.5999999996</v>
      </c>
    </row>
    <row r="12" spans="1:6" x14ac:dyDescent="0.2">
      <c r="B12" s="45" t="s">
        <v>69</v>
      </c>
      <c r="C12" s="50">
        <f t="shared" si="1"/>
        <v>4650768.5999999996</v>
      </c>
      <c r="D12" s="47">
        <v>11000000</v>
      </c>
      <c r="E12" s="47">
        <v>353160</v>
      </c>
      <c r="F12" s="50">
        <f t="shared" si="0"/>
        <v>15297608.6</v>
      </c>
    </row>
    <row r="13" spans="1:6" x14ac:dyDescent="0.2">
      <c r="B13" s="45" t="s">
        <v>70</v>
      </c>
      <c r="C13" s="50">
        <f t="shared" si="1"/>
        <v>15297608.6</v>
      </c>
      <c r="D13" s="47">
        <v>0</v>
      </c>
      <c r="E13" s="47">
        <v>0</v>
      </c>
      <c r="F13" s="50">
        <f t="shared" si="0"/>
        <v>15297608.6</v>
      </c>
    </row>
    <row r="14" spans="1:6" x14ac:dyDescent="0.2">
      <c r="B14" s="45" t="s">
        <v>71</v>
      </c>
      <c r="C14" s="50">
        <f t="shared" si="1"/>
        <v>15297608.6</v>
      </c>
      <c r="D14" s="47">
        <v>0</v>
      </c>
      <c r="E14" s="47">
        <v>608587</v>
      </c>
      <c r="F14" s="50">
        <f t="shared" si="0"/>
        <v>14689021.6</v>
      </c>
    </row>
    <row r="15" spans="1:6" x14ac:dyDescent="0.2">
      <c r="B15" s="45" t="s">
        <v>72</v>
      </c>
      <c r="C15" s="50">
        <f t="shared" si="1"/>
        <v>14689021.6</v>
      </c>
      <c r="D15" s="47">
        <v>0</v>
      </c>
      <c r="E15" s="47">
        <v>191422</v>
      </c>
      <c r="F15" s="50">
        <f t="shared" si="0"/>
        <v>14497599.6</v>
      </c>
    </row>
    <row r="16" spans="1:6" x14ac:dyDescent="0.2">
      <c r="B16" s="45" t="s">
        <v>73</v>
      </c>
      <c r="C16" s="50">
        <f t="shared" si="1"/>
        <v>14497599.6</v>
      </c>
      <c r="D16" s="47">
        <v>0</v>
      </c>
      <c r="E16" s="47">
        <v>184320.23</v>
      </c>
      <c r="F16" s="50">
        <f t="shared" si="0"/>
        <v>14313279.369999999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BD147EB60933849A9AB3E607915BF4F" ma:contentTypeVersion="44" ma:contentTypeDescription="" ma:contentTypeScope="" ma:versionID="f38396dd721ebab57462e446b2f93bd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2021-04-30T07:00:00+00:00</OpenedDate>
    <SignificantOrder xmlns="dc463f71-b30c-4ab2-9473-d307f9d35888">false</SignificantOrder>
    <Date1 xmlns="dc463f71-b30c-4ab2-9473-d307f9d35888">2021-04-30T07:00:00+00:00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210300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679E495-1968-4C68-A2DE-C76B73BE4E68}"/>
</file>

<file path=customXml/itemProps2.xml><?xml version="1.0" encoding="utf-8"?>
<ds:datastoreItem xmlns:ds="http://schemas.openxmlformats.org/officeDocument/2006/customXml" ds:itemID="{E417E8A5-85E4-4F71-A961-FAF096BFB46A}"/>
</file>

<file path=customXml/itemProps3.xml><?xml version="1.0" encoding="utf-8"?>
<ds:datastoreItem xmlns:ds="http://schemas.openxmlformats.org/officeDocument/2006/customXml" ds:itemID="{097E5DC9-989D-4605-88E0-2EB002F95587}"/>
</file>

<file path=customXml/itemProps4.xml><?xml version="1.0" encoding="utf-8"?>
<ds:datastoreItem xmlns:ds="http://schemas.openxmlformats.org/officeDocument/2006/customXml" ds:itemID="{197084FD-B851-422F-9794-82FB272E14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Exh. SEF-4 p 1 PPA Costs</vt:lpstr>
      <vt:lpstr>Exh. SEF-4 p 2 Fixed Cost</vt:lpstr>
      <vt:lpstr>Exh. SEF-4 p 3 Liq Dam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Annette</dc:creator>
  <cp:lastModifiedBy>Barnett, Donna L. (BEL)</cp:lastModifiedBy>
  <cp:lastPrinted>2021-04-17T23:24:01Z</cp:lastPrinted>
  <dcterms:created xsi:type="dcterms:W3CDTF">2021-01-13T22:52:20Z</dcterms:created>
  <dcterms:modified xsi:type="dcterms:W3CDTF">2021-04-29T23:42:03Z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0x0101006E56B4D1795A2E4DB2F0B01679ED314A00EBD147EB60933849A9AB3E607915BF4F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