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20\"/>
    </mc:Choice>
  </mc:AlternateContent>
  <bookViews>
    <workbookView xWindow="-180" yWindow="-30" windowWidth="9720" windowHeight="7005" tabRatio="772"/>
  </bookViews>
  <sheets>
    <sheet name="Jan" sheetId="5" r:id="rId1"/>
    <sheet name="191010 WA DEF" sheetId="39" r:id="rId2"/>
    <sheet name="191000 WA Amort" sheetId="41" r:id="rId3"/>
  </sheets>
  <externalReferences>
    <externalReference r:id="rId4"/>
    <externalReference r:id="rId5"/>
    <externalReference r:id="rId6"/>
  </externalReferences>
  <definedNames>
    <definedName name="Actual_Cost_Per_MMBtu" localSheetId="2">'[1]Oregon Gas Costs - 1999'!#REF!</definedName>
    <definedName name="Actual_Cost_Per_MMBtu">'[1]Oregon Gas Costs - 1999'!#REF!</definedName>
    <definedName name="Actual_Gas_Costs" localSheetId="2">#REF!</definedName>
    <definedName name="Actual_Gas_Costs">#REF!</definedName>
    <definedName name="Actual_Volumes" localSheetId="2">#REF!</definedName>
    <definedName name="Actual_Volumes">#REF!</definedName>
    <definedName name="Analysis_of_Year_to_Date_Gas_Costs___WWP_System" localSheetId="2">#REF!</definedName>
    <definedName name="Analysis_of_Year_to_Date_Gas_Costs___WWP_System">#REF!</definedName>
    <definedName name="Balancing_Account_Summary" localSheetId="2">#REF!</definedName>
    <definedName name="Balancing_Account_Summary">#REF!</definedName>
    <definedName name="Budgeted_Costs_Volumes" localSheetId="2">#REF!</definedName>
    <definedName name="Budgeted_Costs_Volumes">#REF!</definedName>
    <definedName name="Commodity_Costs" localSheetId="2">#REF!</definedName>
    <definedName name="Commodity_Costs">#REF!</definedName>
    <definedName name="_xlnm.Database" localSheetId="2">'[2]May 2000'!#REF!</definedName>
    <definedName name="_xlnm.Database">'[2]May 2000'!#REF!</definedName>
    <definedName name="EIA857_Report_Info" localSheetId="2">#REF!</definedName>
    <definedName name="EIA857_Report_Info">#REF!</definedName>
    <definedName name="InputMonth">[3]Start!$B$2</definedName>
    <definedName name="JanJunPretaxRate">[3]Start!$C$7</definedName>
    <definedName name="jj" localSheetId="2">'[1]Oregon Gas Costs - 1999'!#REF!</definedName>
    <definedName name="jj">'[1]Oregon Gas Costs - 1999'!#REF!</definedName>
    <definedName name="Journal_Entry_Dollars" localSheetId="2">#REF!</definedName>
    <definedName name="Journal_Entry_Dollars">#REF!</definedName>
    <definedName name="Journal_Entry_Volumes" localSheetId="2">#REF!</definedName>
    <definedName name="Journal_Entry_Volumes">#REF!</definedName>
    <definedName name="JournalEntryPrintArea" localSheetId="2">#REF!</definedName>
    <definedName name="JournalEntryPrintArea">#REF!</definedName>
    <definedName name="JulDecPretaxRate">[3]Start!$C$8</definedName>
    <definedName name="Notes" localSheetId="2">#REF!</definedName>
    <definedName name="Notes">#REF!</definedName>
    <definedName name="_xlnm.Print_Area" localSheetId="2">'191000 WA Amort'!$A$1:$S$53</definedName>
    <definedName name="_xlnm.Print_Area" localSheetId="1">'191010 WA DEF'!$A$1:$Q$53</definedName>
    <definedName name="_xlnm.Print_Area" localSheetId="0">Jan!$A$1:$M$68</definedName>
    <definedName name="_xlnm.Print_Titles" localSheetId="0">Jan!$1:$2</definedName>
    <definedName name="SPREADSHEET_DOCUMENTATION" localSheetId="2">#REF!</definedName>
    <definedName name="SPREADSHEET_DOCUMENTATION">#REF!</definedName>
    <definedName name="Summary_of_Off_system_Sales" localSheetId="2">'[1]Oregon Gas Costs - 1999'!#REF!</definedName>
    <definedName name="Summary_of_Off_system_Sales">'[1]Oregon Gas Costs - 1999'!#REF!</definedName>
    <definedName name="Transportation_Costs" localSheetId="2">#REF!</definedName>
    <definedName name="Transportation_Costs">#REF!</definedName>
  </definedNames>
  <calcPr calcId="152511"/>
</workbook>
</file>

<file path=xl/calcChain.xml><?xml version="1.0" encoding="utf-8"?>
<calcChain xmlns="http://schemas.openxmlformats.org/spreadsheetml/2006/main">
  <c r="C50" i="5" l="1"/>
  <c r="C42" i="5"/>
  <c r="C49" i="5" l="1"/>
  <c r="C9" i="5"/>
  <c r="C15" i="5"/>
  <c r="C12" i="5"/>
  <c r="C18" i="5"/>
  <c r="C6" i="5"/>
  <c r="C21" i="5"/>
  <c r="F30" i="39" l="1"/>
  <c r="F31" i="41"/>
  <c r="E43" i="41" l="1"/>
  <c r="B31" i="41"/>
  <c r="C41" i="41"/>
  <c r="N40" i="41"/>
  <c r="K40" i="41"/>
  <c r="H40" i="41"/>
  <c r="N39" i="41"/>
  <c r="K39" i="41"/>
  <c r="H39" i="41"/>
  <c r="N38" i="41"/>
  <c r="K38" i="41"/>
  <c r="H38" i="41"/>
  <c r="N37" i="41"/>
  <c r="K37" i="41"/>
  <c r="H37" i="41"/>
  <c r="N36" i="41"/>
  <c r="K36" i="41"/>
  <c r="H36" i="41"/>
  <c r="N35" i="41"/>
  <c r="K35" i="41"/>
  <c r="H35" i="41"/>
  <c r="N34" i="41"/>
  <c r="K34" i="41"/>
  <c r="H34" i="41"/>
  <c r="N33" i="41"/>
  <c r="K33" i="41"/>
  <c r="H33" i="41"/>
  <c r="N32" i="41"/>
  <c r="K32" i="41"/>
  <c r="H32" i="41"/>
  <c r="N31" i="41"/>
  <c r="N43" i="41" s="1"/>
  <c r="K31" i="41"/>
  <c r="K43" i="41" s="1"/>
  <c r="H31" i="41"/>
  <c r="H43" i="41" s="1"/>
  <c r="R31" i="41"/>
  <c r="A32" i="39" l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L37" i="5"/>
  <c r="L38" i="5" s="1"/>
  <c r="L39" i="5" s="1"/>
  <c r="L40" i="5" s="1"/>
  <c r="L41" i="5" s="1"/>
  <c r="L42" i="5" s="1"/>
  <c r="L24" i="5"/>
  <c r="L25" i="5" s="1"/>
  <c r="H38" i="5"/>
  <c r="H39" i="5" s="1"/>
  <c r="H40" i="5" s="1"/>
  <c r="H41" i="5" s="1"/>
  <c r="H42" i="5" s="1"/>
  <c r="H43" i="5" s="1"/>
  <c r="H44" i="5" s="1"/>
  <c r="K31" i="39"/>
  <c r="M42" i="5" l="1"/>
  <c r="M41" i="5"/>
  <c r="M27" i="5"/>
  <c r="M26" i="5"/>
  <c r="M25" i="5"/>
  <c r="M24" i="5"/>
  <c r="M23" i="5"/>
  <c r="I31" i="5"/>
  <c r="I30" i="5"/>
  <c r="I29" i="5"/>
  <c r="I28" i="5"/>
  <c r="I27" i="5"/>
  <c r="I26" i="5"/>
  <c r="I25" i="5"/>
  <c r="I24" i="5"/>
  <c r="I23" i="5"/>
  <c r="M28" i="5" l="1"/>
  <c r="I32" i="5"/>
  <c r="H11" i="5"/>
  <c r="H10" i="5"/>
  <c r="C41" i="5"/>
  <c r="C31" i="5"/>
  <c r="C48" i="5" s="1"/>
  <c r="C27" i="5"/>
  <c r="E56" i="41" l="1"/>
  <c r="H30" i="41"/>
  <c r="F57" i="41" l="1"/>
  <c r="H29" i="41"/>
  <c r="N28" i="41" l="1"/>
  <c r="N20" i="41"/>
  <c r="N21" i="41"/>
  <c r="N22" i="41"/>
  <c r="N23" i="41"/>
  <c r="N24" i="41"/>
  <c r="N25" i="41"/>
  <c r="N26" i="41"/>
  <c r="N27" i="41"/>
  <c r="N19" i="41"/>
  <c r="K20" i="41"/>
  <c r="K21" i="41"/>
  <c r="K22" i="41"/>
  <c r="K23" i="41"/>
  <c r="K24" i="41"/>
  <c r="K25" i="41"/>
  <c r="K26" i="41"/>
  <c r="K27" i="41"/>
  <c r="K28" i="41"/>
  <c r="K19" i="41"/>
  <c r="F30" i="41" l="1"/>
  <c r="F29" i="41"/>
  <c r="F28" i="41"/>
  <c r="H28" i="41" s="1"/>
  <c r="F27" i="41"/>
  <c r="H27" i="41" s="1"/>
  <c r="F26" i="41"/>
  <c r="H26" i="41" s="1"/>
  <c r="F25" i="41"/>
  <c r="H25" i="41" s="1"/>
  <c r="F24" i="41"/>
  <c r="H24" i="41" s="1"/>
  <c r="F23" i="41"/>
  <c r="H23" i="41" s="1"/>
  <c r="F22" i="41"/>
  <c r="H22" i="41" s="1"/>
  <c r="F21" i="41"/>
  <c r="H21" i="41" s="1"/>
  <c r="F20" i="41"/>
  <c r="H20" i="41" s="1"/>
  <c r="F19" i="41"/>
  <c r="H19" i="41" s="1"/>
  <c r="F18" i="41"/>
  <c r="N16" i="41"/>
  <c r="K16" i="41"/>
  <c r="H17" i="41"/>
  <c r="R30" i="41"/>
  <c r="R28" i="41"/>
  <c r="R29" i="41"/>
  <c r="R27" i="41"/>
  <c r="R21" i="41"/>
  <c r="R24" i="41"/>
  <c r="R20" i="41"/>
  <c r="R25" i="41"/>
  <c r="R23" i="41"/>
  <c r="R19" i="41"/>
  <c r="R22" i="41"/>
  <c r="R26" i="41"/>
  <c r="E51" i="41" l="1"/>
  <c r="F51" i="41"/>
  <c r="H18" i="41"/>
  <c r="N8" i="41" l="1"/>
  <c r="N9" i="41"/>
  <c r="N10" i="41"/>
  <c r="N11" i="41"/>
  <c r="N12" i="41"/>
  <c r="N13" i="41"/>
  <c r="N14" i="41"/>
  <c r="N15" i="41"/>
  <c r="K8" i="41"/>
  <c r="K9" i="41"/>
  <c r="K10" i="41"/>
  <c r="K11" i="41"/>
  <c r="K12" i="41"/>
  <c r="K13" i="41"/>
  <c r="K14" i="41"/>
  <c r="K15" i="41"/>
  <c r="F17" i="41"/>
  <c r="F16" i="41"/>
  <c r="H16" i="41" s="1"/>
  <c r="F15" i="41"/>
  <c r="H15" i="41" s="1"/>
  <c r="F14" i="41"/>
  <c r="H14" i="41" s="1"/>
  <c r="F13" i="41"/>
  <c r="H13" i="41" s="1"/>
  <c r="F12" i="41"/>
  <c r="H12" i="41" s="1"/>
  <c r="F11" i="41"/>
  <c r="H11" i="41" s="1"/>
  <c r="F10" i="41"/>
  <c r="H10" i="41" s="1"/>
  <c r="F9" i="41"/>
  <c r="H9" i="41" s="1"/>
  <c r="F8" i="41"/>
  <c r="H8" i="41" s="1"/>
  <c r="R7" i="41"/>
  <c r="N7" i="41" l="1"/>
  <c r="K7" i="41"/>
  <c r="F7" i="41"/>
  <c r="H7" i="41" s="1"/>
  <c r="O7" i="41" s="1"/>
  <c r="R16" i="41"/>
  <c r="R18" i="41"/>
  <c r="R15" i="41"/>
  <c r="R14" i="41"/>
  <c r="R13" i="41"/>
  <c r="R17" i="41"/>
  <c r="P7" i="41" l="1"/>
  <c r="D8" i="41" s="1"/>
  <c r="O8" i="41" s="1"/>
  <c r="P8" i="41" l="1"/>
  <c r="H7" i="39" l="1"/>
  <c r="K9" i="39"/>
  <c r="K17" i="39"/>
  <c r="K10" i="39"/>
  <c r="K11" i="39"/>
  <c r="K12" i="39"/>
  <c r="K13" i="39"/>
  <c r="K16" i="39"/>
  <c r="K14" i="39"/>
  <c r="K7" i="39"/>
  <c r="K15" i="39"/>
  <c r="K8" i="39"/>
  <c r="I7" i="39" l="1"/>
  <c r="L7" i="39" l="1"/>
  <c r="E8" i="39"/>
  <c r="H8" i="39" s="1"/>
  <c r="I8" i="39" s="1"/>
  <c r="L8" i="39" l="1"/>
  <c r="E9" i="39"/>
  <c r="H9" i="39"/>
  <c r="I9" i="39" s="1"/>
  <c r="L9" i="39" l="1"/>
  <c r="E10" i="39"/>
  <c r="H10" i="39"/>
  <c r="I10" i="39" s="1"/>
  <c r="L10" i="39" l="1"/>
  <c r="E11" i="39"/>
  <c r="H11" i="39" s="1"/>
  <c r="I11" i="39" s="1"/>
  <c r="L11" i="39" l="1"/>
  <c r="E12" i="39"/>
  <c r="H12" i="39" s="1"/>
  <c r="I12" i="39" s="1"/>
  <c r="D17" i="39" l="1"/>
  <c r="L12" i="39"/>
  <c r="E13" i="39"/>
  <c r="H13" i="39"/>
  <c r="I13" i="39" s="1"/>
  <c r="C17" i="41" l="1"/>
  <c r="L13" i="39"/>
  <c r="E14" i="39"/>
  <c r="H14" i="39" s="1"/>
  <c r="I14" i="39" s="1"/>
  <c r="L14" i="39" l="1"/>
  <c r="E15" i="39"/>
  <c r="H15" i="39" s="1"/>
  <c r="I15" i="39" s="1"/>
  <c r="E16" i="39" s="1"/>
  <c r="L15" i="39" l="1"/>
  <c r="H16" i="39"/>
  <c r="I16" i="39" s="1"/>
  <c r="E17" i="39" l="1"/>
  <c r="H17" i="39" s="1"/>
  <c r="I17" i="39" s="1"/>
  <c r="E18" i="39" s="1"/>
  <c r="L16" i="39"/>
  <c r="L17" i="39" l="1"/>
  <c r="H18" i="39" l="1"/>
  <c r="I18" i="39" s="1"/>
  <c r="E19" i="39" s="1"/>
  <c r="A20" i="39" l="1"/>
  <c r="A21" i="39" l="1"/>
  <c r="A22" i="39" s="1"/>
  <c r="A23" i="39" s="1"/>
  <c r="A24" i="39" s="1"/>
  <c r="A25" i="39" s="1"/>
  <c r="A26" i="39" s="1"/>
  <c r="A27" i="39" s="1"/>
  <c r="A28" i="39" s="1"/>
  <c r="A29" i="39" s="1"/>
  <c r="A30" i="39" s="1"/>
  <c r="K18" i="39"/>
  <c r="D43" i="39" l="1"/>
  <c r="L18" i="39"/>
  <c r="C52" i="5" l="1"/>
  <c r="C55" i="5" s="1"/>
  <c r="H9" i="5" l="1"/>
  <c r="H12" i="5" s="1"/>
  <c r="K40" i="5"/>
  <c r="M40" i="5" s="1"/>
  <c r="K39" i="5"/>
  <c r="M39" i="5" s="1"/>
  <c r="K38" i="5"/>
  <c r="M38" i="5" s="1"/>
  <c r="K37" i="5"/>
  <c r="M37" i="5" s="1"/>
  <c r="K36" i="5"/>
  <c r="M36" i="5" s="1"/>
  <c r="G44" i="5"/>
  <c r="I44" i="5" s="1"/>
  <c r="G43" i="5"/>
  <c r="I43" i="5" s="1"/>
  <c r="G42" i="5"/>
  <c r="I42" i="5" s="1"/>
  <c r="G41" i="5"/>
  <c r="I41" i="5" s="1"/>
  <c r="G40" i="5"/>
  <c r="I40" i="5" s="1"/>
  <c r="G37" i="5"/>
  <c r="I37" i="5" s="1"/>
  <c r="G39" i="5"/>
  <c r="I39" i="5" s="1"/>
  <c r="G38" i="5"/>
  <c r="I38" i="5" s="1"/>
  <c r="M43" i="5" l="1"/>
  <c r="R12" i="41"/>
  <c r="R11" i="41"/>
  <c r="R10" i="41"/>
  <c r="R8" i="41"/>
  <c r="R9" i="41"/>
  <c r="K28" i="39"/>
  <c r="K22" i="39"/>
  <c r="K27" i="39"/>
  <c r="K19" i="39"/>
  <c r="K21" i="39"/>
  <c r="K26" i="39"/>
  <c r="K20" i="39"/>
  <c r="K25" i="39"/>
  <c r="K30" i="39"/>
  <c r="K24" i="39"/>
  <c r="K29" i="39"/>
  <c r="K23" i="39"/>
  <c r="S7" i="41" l="1"/>
  <c r="D9" i="41" l="1"/>
  <c r="O9" i="41" s="1"/>
  <c r="S8" i="41"/>
  <c r="P9" i="41" l="1"/>
  <c r="D10" i="41" l="1"/>
  <c r="O10" i="41" s="1"/>
  <c r="S9" i="41" l="1"/>
  <c r="P10" i="41"/>
  <c r="D11" i="41" l="1"/>
  <c r="O11" i="41" s="1"/>
  <c r="S10" i="41"/>
  <c r="P11" i="41" l="1"/>
  <c r="D12" i="41" s="1"/>
  <c r="O12" i="41" s="1"/>
  <c r="S11" i="41" l="1"/>
  <c r="P12" i="41"/>
  <c r="D13" i="41" l="1"/>
  <c r="O13" i="41" s="1"/>
  <c r="S12" i="41"/>
  <c r="P13" i="41" l="1"/>
  <c r="D14" i="41" l="1"/>
  <c r="O14" i="41" s="1"/>
  <c r="S13" i="41" l="1"/>
  <c r="P14" i="41"/>
  <c r="D15" i="41" l="1"/>
  <c r="O15" i="41" s="1"/>
  <c r="S14" i="41" l="1"/>
  <c r="P15" i="41"/>
  <c r="D16" i="41" l="1"/>
  <c r="O16" i="41" s="1"/>
  <c r="S15" i="41" l="1"/>
  <c r="P16" i="41"/>
  <c r="D17" i="41" s="1"/>
  <c r="O17" i="41" s="1"/>
  <c r="S16" i="41" l="1"/>
  <c r="P17" i="41"/>
  <c r="D18" i="41" l="1"/>
  <c r="O18" i="41" s="1"/>
  <c r="S17" i="41" l="1"/>
  <c r="P18" i="41"/>
  <c r="D19" i="41" s="1"/>
  <c r="O19" i="41" l="1"/>
  <c r="P19" i="41" s="1"/>
  <c r="S18" i="41"/>
  <c r="D20" i="41" l="1"/>
  <c r="O20" i="41" s="1"/>
  <c r="P20" i="41" s="1"/>
  <c r="S19" i="41"/>
  <c r="D21" i="41" l="1"/>
  <c r="O21" i="41" s="1"/>
  <c r="P21" i="41" s="1"/>
  <c r="S20" i="41"/>
  <c r="D22" i="41" l="1"/>
  <c r="O22" i="41" s="1"/>
  <c r="P22" i="41" s="1"/>
  <c r="S21" i="41"/>
  <c r="D23" i="41" l="1"/>
  <c r="O23" i="41" s="1"/>
  <c r="S22" i="41"/>
  <c r="P23" i="41" l="1"/>
  <c r="D24" i="41" l="1"/>
  <c r="O24" i="41" s="1"/>
  <c r="P24" i="41" s="1"/>
  <c r="S23" i="41"/>
  <c r="D25" i="41" l="1"/>
  <c r="O25" i="41" s="1"/>
  <c r="P25" i="41" s="1"/>
  <c r="S24" i="41"/>
  <c r="D26" i="41" l="1"/>
  <c r="O26" i="41" s="1"/>
  <c r="P26" i="41" s="1"/>
  <c r="S25" i="41"/>
  <c r="D27" i="41" l="1"/>
  <c r="O27" i="41" s="1"/>
  <c r="P27" i="41" s="1"/>
  <c r="S26" i="41"/>
  <c r="D28" i="41" l="1"/>
  <c r="O28" i="41" s="1"/>
  <c r="P28" i="41" s="1"/>
  <c r="S27" i="41"/>
  <c r="S28" i="41" l="1"/>
  <c r="G32" i="5" l="1"/>
  <c r="G34" i="5" l="1"/>
  <c r="I33" i="5"/>
  <c r="C20" i="5" l="1"/>
  <c r="C17" i="5"/>
  <c r="C14" i="5"/>
  <c r="C11" i="5"/>
  <c r="C7" i="5"/>
  <c r="K28" i="5" l="1"/>
  <c r="K30" i="5" s="1"/>
  <c r="C22" i="5"/>
  <c r="C30" i="5" s="1"/>
  <c r="C32" i="5" s="1"/>
  <c r="H7" i="5" l="1"/>
  <c r="H14" i="5" s="1"/>
  <c r="J7" i="5" l="1"/>
  <c r="I7" i="5"/>
  <c r="I14" i="5" s="1"/>
  <c r="C57" i="5"/>
  <c r="C60" i="5" l="1"/>
  <c r="H15" i="5"/>
  <c r="C1482" i="5" l="1"/>
  <c r="F1" i="5" l="1"/>
  <c r="I45" i="5" l="1"/>
  <c r="H53" i="5" s="1"/>
  <c r="G45" i="5"/>
  <c r="I53" i="5"/>
  <c r="I46" i="5" l="1"/>
  <c r="G47" i="5"/>
  <c r="M29" i="5" l="1"/>
  <c r="J53" i="5" l="1"/>
  <c r="K43" i="5"/>
  <c r="M44" i="5" s="1"/>
  <c r="K53" i="5"/>
  <c r="L53" i="5" l="1"/>
  <c r="K5" i="5"/>
  <c r="K9" i="5" s="1"/>
  <c r="K45" i="5"/>
  <c r="L5" i="5" l="1"/>
  <c r="L11" i="5"/>
  <c r="K10" i="5"/>
  <c r="K12" i="5" s="1"/>
  <c r="H52" i="5" s="1"/>
  <c r="H55" i="5" l="1"/>
  <c r="F31" i="39" s="1"/>
  <c r="F43" i="39" s="1"/>
  <c r="I52" i="5"/>
  <c r="I55" i="5" s="1"/>
  <c r="G31" i="39" s="1"/>
  <c r="G43" i="39" s="1"/>
  <c r="J14" i="5"/>
  <c r="F51" i="39" l="1"/>
  <c r="E51" i="39"/>
  <c r="I56" i="5"/>
  <c r="K52" i="5"/>
  <c r="J15" i="5"/>
  <c r="K55" i="5" l="1"/>
  <c r="L9" i="5"/>
  <c r="L12" i="5" s="1"/>
  <c r="J52" i="5" s="1"/>
  <c r="J55" i="5" l="1"/>
  <c r="L52" i="5"/>
  <c r="L14" i="5"/>
  <c r="K14" i="5"/>
  <c r="L55" i="5" l="1"/>
  <c r="K56" i="5"/>
  <c r="G59" i="5" s="1"/>
  <c r="L15" i="5"/>
  <c r="H19" i="39" l="1"/>
  <c r="I19" i="39" s="1"/>
  <c r="E20" i="39" s="1"/>
  <c r="L19" i="39" l="1"/>
  <c r="H20" i="39"/>
  <c r="I20" i="39" s="1"/>
  <c r="E21" i="39" s="1"/>
  <c r="L20" i="39" l="1"/>
  <c r="H21" i="39"/>
  <c r="I21" i="39" s="1"/>
  <c r="E22" i="39" s="1"/>
  <c r="L21" i="39" l="1"/>
  <c r="H22" i="39"/>
  <c r="I22" i="39" s="1"/>
  <c r="E23" i="39" s="1"/>
  <c r="L22" i="39" l="1"/>
  <c r="H23" i="39"/>
  <c r="I23" i="39" s="1"/>
  <c r="E24" i="39" s="1"/>
  <c r="L23" i="39" l="1"/>
  <c r="H24" i="39"/>
  <c r="I24" i="39" s="1"/>
  <c r="E25" i="39" s="1"/>
  <c r="L24" i="39" l="1"/>
  <c r="H25" i="39"/>
  <c r="I25" i="39" s="1"/>
  <c r="E26" i="39" s="1"/>
  <c r="H26" i="39" l="1"/>
  <c r="I26" i="39" s="1"/>
  <c r="E27" i="39" s="1"/>
  <c r="L25" i="39"/>
  <c r="L26" i="39" l="1"/>
  <c r="H27" i="39"/>
  <c r="I27" i="39" s="1"/>
  <c r="E28" i="39" s="1"/>
  <c r="L27" i="39" l="1"/>
  <c r="H28" i="39"/>
  <c r="I28" i="39" s="1"/>
  <c r="D29" i="39" s="1"/>
  <c r="L28" i="39" l="1"/>
  <c r="H29" i="39"/>
  <c r="E29" i="39" l="1"/>
  <c r="I29" i="39" s="1"/>
  <c r="E30" i="39" s="1"/>
  <c r="C29" i="41"/>
  <c r="D29" i="41" s="1"/>
  <c r="O29" i="41" l="1"/>
  <c r="P29" i="41" s="1"/>
  <c r="D30" i="41" s="1"/>
  <c r="O30" i="41" s="1"/>
  <c r="P30" i="41" s="1"/>
  <c r="E56" i="39"/>
  <c r="F57" i="39" s="1"/>
  <c r="H30" i="39"/>
  <c r="I30" i="39" s="1"/>
  <c r="L29" i="39"/>
  <c r="S30" i="41" l="1"/>
  <c r="D31" i="41"/>
  <c r="L30" i="39"/>
  <c r="E31" i="39"/>
  <c r="H31" i="39" s="1"/>
  <c r="H43" i="39" s="1"/>
  <c r="S29" i="41"/>
  <c r="E49" i="39" l="1"/>
  <c r="F48" i="39"/>
  <c r="F50" i="39"/>
  <c r="E50" i="39"/>
  <c r="O31" i="41"/>
  <c r="O43" i="41" s="1"/>
  <c r="I31" i="39"/>
  <c r="E49" i="41" l="1"/>
  <c r="F48" i="41"/>
  <c r="E50" i="41"/>
  <c r="F50" i="41"/>
  <c r="P31" i="41"/>
  <c r="F53" i="39"/>
  <c r="D32" i="41"/>
  <c r="O32" i="41" s="1"/>
  <c r="P32" i="41" s="1"/>
  <c r="S31" i="41"/>
  <c r="E32" i="39"/>
  <c r="H32" i="39" s="1"/>
  <c r="I32" i="39" s="1"/>
  <c r="L31" i="39"/>
  <c r="F53" i="41" l="1"/>
  <c r="D33" i="41"/>
  <c r="O33" i="41" s="1"/>
  <c r="P33" i="41" s="1"/>
  <c r="E33" i="39"/>
  <c r="H33" i="39" s="1"/>
  <c r="I33" i="39" s="1"/>
  <c r="D34" i="41" l="1"/>
  <c r="O34" i="41"/>
  <c r="P34" i="41" s="1"/>
  <c r="E34" i="39"/>
  <c r="H34" i="39" s="1"/>
  <c r="I34" i="39" s="1"/>
  <c r="D35" i="41" l="1"/>
  <c r="O35" i="41" s="1"/>
  <c r="P35" i="41" s="1"/>
  <c r="E35" i="39"/>
  <c r="H35" i="39" s="1"/>
  <c r="I35" i="39" s="1"/>
  <c r="D36" i="41" l="1"/>
  <c r="O36" i="41"/>
  <c r="P36" i="41" s="1"/>
  <c r="E36" i="39"/>
  <c r="H36" i="39" s="1"/>
  <c r="I36" i="39" s="1"/>
  <c r="D37" i="41" l="1"/>
  <c r="O37" i="41" s="1"/>
  <c r="P37" i="41" s="1"/>
  <c r="E37" i="39"/>
  <c r="D38" i="41" l="1"/>
  <c r="O38" i="41" s="1"/>
  <c r="P38" i="41" s="1"/>
  <c r="H37" i="39"/>
  <c r="I37" i="39" s="1"/>
  <c r="D39" i="41" l="1"/>
  <c r="O39" i="41"/>
  <c r="P39" i="41" s="1"/>
  <c r="E38" i="39"/>
  <c r="H38" i="39" s="1"/>
  <c r="I38" i="39" s="1"/>
  <c r="D40" i="41" l="1"/>
  <c r="O40" i="41" s="1"/>
  <c r="P40" i="41" s="1"/>
  <c r="E39" i="39"/>
  <c r="H39" i="39" s="1"/>
  <c r="I39" i="39" s="1"/>
  <c r="D41" i="41" l="1"/>
  <c r="O41" i="41"/>
  <c r="P41" i="41" s="1"/>
  <c r="E40" i="39"/>
  <c r="H40" i="39" s="1"/>
  <c r="I40" i="39" s="1"/>
  <c r="D42" i="41" l="1"/>
  <c r="E41" i="39"/>
  <c r="H41" i="39"/>
  <c r="O42" i="41" l="1"/>
  <c r="P42" i="41" s="1"/>
  <c r="I41" i="39"/>
  <c r="E42" i="39" l="1"/>
  <c r="H42" i="39" s="1"/>
  <c r="I42" i="39" s="1"/>
  <c r="I61" i="5" l="1"/>
  <c r="H61" i="5"/>
  <c r="I62" i="5" l="1"/>
</calcChain>
</file>

<file path=xl/comments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2.xml><?xml version="1.0" encoding="utf-8"?>
<comments xmlns="http://schemas.openxmlformats.org/spreadsheetml/2006/main">
  <authors>
    <author>KM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 xml:space="preserve">true up of large customer refund from 201712
</t>
        </r>
      </text>
    </comment>
  </commentList>
</comments>
</file>

<file path=xl/sharedStrings.xml><?xml version="1.0" encoding="utf-8"?>
<sst xmlns="http://schemas.openxmlformats.org/spreadsheetml/2006/main" count="336" uniqueCount="209">
  <si>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</si>
  <si>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</si>
  <si>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</si>
  <si>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</si>
  <si>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</si>
  <si>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</si>
  <si>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</si>
  <si>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</si>
  <si>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</si>
  <si>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</si>
  <si>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</si>
  <si>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</si>
  <si>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</si>
  <si>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</si>
  <si>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</si>
  <si>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</si>
  <si>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</si>
  <si>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</si>
  <si>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</si>
  <si>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</si>
  <si>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</si>
  <si>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</si>
  <si>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</si>
  <si>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</si>
  <si>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</si>
  <si>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</si>
  <si>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</si>
  <si>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</si>
  <si>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</si>
  <si>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</si>
  <si>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</si>
  <si>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</si>
  <si>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</si>
  <si>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</si>
  <si>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</si>
  <si>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</si>
  <si>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</si>
  <si>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</si>
  <si>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</si>
  <si>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GTN Fixed</t>
  </si>
  <si>
    <t xml:space="preserve">GTN Variable </t>
  </si>
  <si>
    <t>GTN Capacity Release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</si>
  <si>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</si>
  <si>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</si>
  <si>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</si>
  <si>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</si>
  <si>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</si>
  <si>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</si>
  <si>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</si>
  <si>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</si>
  <si>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</si>
  <si>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</si>
  <si>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</si>
  <si>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</si>
  <si>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</si>
  <si>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</si>
  <si>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</si>
  <si>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</si>
  <si>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</si>
  <si>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</si>
  <si>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</si>
  <si>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</si>
  <si>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</si>
  <si>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</si>
  <si>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</si>
  <si>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</si>
  <si>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</si>
  <si>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</si>
  <si>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</si>
  <si>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</si>
  <si>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</si>
  <si>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</si>
  <si>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</si>
  <si>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</si>
  <si>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</si>
  <si>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</si>
  <si>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</si>
  <si>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</si>
  <si>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</si>
  <si>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</si>
  <si>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</si>
  <si>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</si>
  <si>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</si>
  <si>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</si>
  <si>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</si>
  <si>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</si>
  <si>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</si>
  <si>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</si>
  <si>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</si>
  <si>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</si>
  <si>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</si>
  <si>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</si>
  <si>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</si>
  <si>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</si>
  <si>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</si>
  <si>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</si>
  <si>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Other Pipeline Fixed charges</t>
  </si>
  <si>
    <t>495028 GD AN</t>
  </si>
  <si>
    <t>Mizuho Broker Fees</t>
  </si>
  <si>
    <t>Beginning Balance</t>
  </si>
  <si>
    <t>Interest Rate</t>
  </si>
  <si>
    <t>JET Entry</t>
  </si>
  <si>
    <t>483000/483600/483730</t>
  </si>
  <si>
    <t>Deferral Check</t>
  </si>
  <si>
    <t>M Chemical Accrual</t>
  </si>
  <si>
    <t>Schedule 102</t>
  </si>
  <si>
    <t>Wells Fargo Journal DJ 473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</si>
  <si>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</si>
  <si>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</si>
  <si>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</si>
  <si>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</si>
  <si>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</si>
  <si>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</si>
  <si>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201801</t>
  </si>
  <si>
    <t>201802</t>
  </si>
  <si>
    <t>201803</t>
  </si>
  <si>
    <t>Accounts 191000</t>
  </si>
  <si>
    <t>Annual xfer of balance per PGA to 191000</t>
  </si>
  <si>
    <t>201804</t>
  </si>
  <si>
    <t>201805</t>
  </si>
  <si>
    <t>201806</t>
  </si>
  <si>
    <t>804000 GD WA</t>
  </si>
  <si>
    <t>804000 GD ID</t>
  </si>
  <si>
    <t>201905</t>
  </si>
  <si>
    <t>Amort</t>
  </si>
  <si>
    <t>Questar Fixed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</si>
  <si>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</si>
  <si>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</si>
  <si>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</si>
  <si>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</si>
  <si>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</si>
  <si>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</si>
  <si>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</si>
  <si>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</si>
  <si>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</si>
  <si>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</si>
  <si>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</si>
  <si>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</si>
  <si>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</si>
  <si>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</si>
  <si>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</si>
  <si>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</si>
  <si>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201812</t>
  </si>
  <si>
    <t>A</t>
  </si>
  <si>
    <t>B</t>
  </si>
  <si>
    <t>C</t>
  </si>
  <si>
    <t>A+B+C</t>
  </si>
  <si>
    <t>(A+B)</t>
  </si>
  <si>
    <t>check s/b 0</t>
  </si>
  <si>
    <t>201807</t>
  </si>
  <si>
    <t>201808</t>
  </si>
  <si>
    <t>201809</t>
  </si>
  <si>
    <t>201810</t>
  </si>
  <si>
    <t>201811</t>
  </si>
  <si>
    <t>xferred 201807-201910 per PGA</t>
  </si>
  <si>
    <t>xferred 201707-201806 per PGA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</si>
  <si>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</si>
  <si>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</si>
  <si>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</si>
  <si>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</si>
  <si>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</si>
  <si>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</si>
  <si>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</si>
  <si>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201901</t>
  </si>
  <si>
    <t>201902</t>
  </si>
  <si>
    <t>201903</t>
  </si>
  <si>
    <t>201904</t>
  </si>
  <si>
    <t>201906</t>
  </si>
  <si>
    <t>201907</t>
  </si>
  <si>
    <t>201908</t>
  </si>
  <si>
    <t>201909</t>
  </si>
  <si>
    <t>201910</t>
  </si>
  <si>
    <t>201911</t>
  </si>
  <si>
    <t>201912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</si>
  <si>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</si>
  <si>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</si>
  <si>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</si>
  <si>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</si>
  <si>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</si>
  <si>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</si>
  <si>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</si>
  <si>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</si>
  <si>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</si>
  <si>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</si>
  <si>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</si>
  <si>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</si>
  <si>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</si>
  <si>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</si>
  <si>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</si>
  <si>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</si>
  <si>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NA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</si>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</sst>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</numFmts>
  <fonts count="4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28">
    <xf numFmtId="39" fontId="0" fillId="0" borderId="0" xfId="0"/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5" fontId="12" fillId="0" borderId="0" xfId="0" applyNumberFormat="1" applyFont="1" applyFill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3" fillId="0" borderId="0" xfId="0" applyFont="1" applyFill="1" applyBorder="1" applyAlignment="1">
      <alignment horizontal="left"/>
    </xf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0" xfId="0" applyNumberFormat="1" applyFont="1" applyFill="1" applyBorder="1"/>
    <xf numFmtId="39" fontId="12" fillId="0" borderId="0" xfId="0" applyFont="1" applyFill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7" fontId="12" fillId="0" borderId="0" xfId="0" applyNumberFormat="1" applyFont="1" applyFill="1" applyBorder="1"/>
    <xf numFmtId="0" fontId="1" fillId="0" borderId="0" xfId="137" applyFont="1" applyFill="1" applyBorder="1"/>
    <xf numFmtId="39" fontId="28" fillId="0" borderId="0" xfId="136" applyFont="1" applyFill="1" applyBorder="1"/>
    <xf numFmtId="39" fontId="25" fillId="0" borderId="0" xfId="136" applyFont="1" applyFill="1" applyBorder="1"/>
    <xf numFmtId="0" fontId="26" fillId="0" borderId="0" xfId="137" applyFont="1" applyFill="1" applyBorder="1" applyAlignment="1">
      <alignment horizontal="center" wrapText="1"/>
    </xf>
    <xf numFmtId="1" fontId="28" fillId="0" borderId="0" xfId="63" applyNumberFormat="1" applyFont="1" applyFill="1" applyBorder="1" applyAlignment="1">
      <alignment horizontal="left"/>
    </xf>
    <xf numFmtId="43" fontId="25" fillId="0" borderId="0" xfId="138" applyFont="1" applyFill="1" applyBorder="1"/>
    <xf numFmtId="0" fontId="25" fillId="0" borderId="0" xfId="137" applyFont="1" applyFill="1" applyBorder="1"/>
    <xf numFmtId="0" fontId="31" fillId="0" borderId="0" xfId="24" applyFont="1" applyFill="1" applyBorder="1"/>
    <xf numFmtId="0" fontId="25" fillId="0" borderId="0" xfId="24" applyFont="1" applyFill="1" applyBorder="1"/>
    <xf numFmtId="0" fontId="26" fillId="0" borderId="0" xfId="24" applyFont="1" applyFill="1" applyBorder="1"/>
    <xf numFmtId="1" fontId="25" fillId="0" borderId="22" xfId="63" applyNumberFormat="1" applyFont="1" applyFill="1" applyBorder="1" applyAlignment="1">
      <alignment horizontal="left"/>
    </xf>
    <xf numFmtId="40" fontId="25" fillId="0" borderId="22" xfId="1" applyFont="1" applyFill="1" applyBorder="1"/>
    <xf numFmtId="0" fontId="33" fillId="0" borderId="0" xfId="137" applyFont="1" applyFill="1" applyBorder="1"/>
    <xf numFmtId="165" fontId="34" fillId="0" borderId="0" xfId="139" applyNumberFormat="1" applyFont="1" applyFill="1" applyBorder="1"/>
    <xf numFmtId="43" fontId="25" fillId="0" borderId="22" xfId="138" applyFont="1" applyFill="1" applyBorder="1"/>
    <xf numFmtId="43" fontId="34" fillId="0" borderId="0" xfId="138" applyFont="1" applyFill="1" applyBorder="1"/>
    <xf numFmtId="43" fontId="25" fillId="0" borderId="26" xfId="138" applyFont="1" applyFill="1" applyBorder="1"/>
    <xf numFmtId="43" fontId="35" fillId="0" borderId="0" xfId="9" applyFont="1" applyFill="1"/>
    <xf numFmtId="0" fontId="31" fillId="0" borderId="0" xfId="24" applyFont="1" applyFill="1"/>
    <xf numFmtId="0" fontId="33" fillId="0" borderId="0" xfId="137" applyFont="1" applyFill="1" applyBorder="1" applyAlignment="1">
      <alignment horizontal="right"/>
    </xf>
    <xf numFmtId="0" fontId="33" fillId="0" borderId="0" xfId="137" applyFont="1" applyFill="1"/>
    <xf numFmtId="43" fontId="26" fillId="0" borderId="0" xfId="138" applyFont="1" applyFill="1" applyBorder="1"/>
    <xf numFmtId="0" fontId="1" fillId="0" borderId="0" xfId="137" applyFont="1" applyFill="1"/>
    <xf numFmtId="165" fontId="34" fillId="0" borderId="5" xfId="139" applyNumberFormat="1" applyFont="1" applyFill="1" applyBorder="1"/>
    <xf numFmtId="43" fontId="34" fillId="0" borderId="5" xfId="138" applyFont="1" applyFill="1" applyBorder="1"/>
    <xf numFmtId="43" fontId="25" fillId="0" borderId="25" xfId="138" applyFont="1" applyFill="1" applyBorder="1"/>
    <xf numFmtId="43" fontId="25" fillId="0" borderId="27" xfId="138" applyFont="1" applyFill="1" applyBorder="1"/>
    <xf numFmtId="1" fontId="25" fillId="0" borderId="22" xfId="24" applyNumberFormat="1" applyFont="1" applyFill="1" applyBorder="1" applyAlignment="1">
      <alignment horizontal="left"/>
    </xf>
    <xf numFmtId="43" fontId="25" fillId="0" borderId="22" xfId="9" applyFont="1" applyFill="1" applyBorder="1"/>
    <xf numFmtId="0" fontId="32" fillId="0" borderId="0" xfId="24" applyFont="1" applyFill="1"/>
    <xf numFmtId="14" fontId="26" fillId="0" borderId="22" xfId="137" quotePrefix="1" applyNumberFormat="1" applyFont="1" applyFill="1" applyBorder="1" applyAlignment="1">
      <alignment horizontal="right"/>
    </xf>
    <xf numFmtId="14" fontId="26" fillId="0" borderId="26" xfId="137" quotePrefix="1" applyNumberFormat="1" applyFont="1" applyFill="1" applyBorder="1" applyAlignment="1">
      <alignment horizontal="right"/>
    </xf>
    <xf numFmtId="14" fontId="26" fillId="0" borderId="25" xfId="137" quotePrefix="1" applyNumberFormat="1" applyFont="1" applyFill="1" applyBorder="1" applyAlignment="1">
      <alignment horizontal="right"/>
    </xf>
    <xf numFmtId="43" fontId="25" fillId="0" borderId="28" xfId="138" applyFont="1" applyFill="1" applyBorder="1"/>
    <xf numFmtId="43" fontId="25" fillId="0" borderId="29" xfId="138" applyFont="1" applyFill="1" applyBorder="1"/>
    <xf numFmtId="43" fontId="25" fillId="0" borderId="37" xfId="138" applyFont="1" applyFill="1" applyBorder="1"/>
    <xf numFmtId="43" fontId="25" fillId="0" borderId="38" xfId="138" applyFont="1" applyFill="1" applyBorder="1"/>
    <xf numFmtId="43" fontId="25" fillId="0" borderId="34" xfId="138" applyFont="1" applyFill="1" applyBorder="1"/>
    <xf numFmtId="43" fontId="25" fillId="0" borderId="39" xfId="138" applyFont="1" applyFill="1" applyBorder="1"/>
    <xf numFmtId="43" fontId="25" fillId="0" borderId="40" xfId="138" applyFont="1" applyFill="1" applyBorder="1"/>
    <xf numFmtId="43" fontId="25" fillId="0" borderId="5" xfId="138" applyFont="1" applyFill="1" applyBorder="1"/>
    <xf numFmtId="0" fontId="36" fillId="0" borderId="0" xfId="137" applyFont="1" applyFill="1" applyBorder="1"/>
    <xf numFmtId="0" fontId="36" fillId="0" borderId="0" xfId="137" applyFont="1" applyFill="1"/>
    <xf numFmtId="0" fontId="24" fillId="0" borderId="0" xfId="137" applyFont="1" applyFill="1" applyBorder="1"/>
    <xf numFmtId="1" fontId="39" fillId="0" borderId="0" xfId="63" applyNumberFormat="1" applyFont="1" applyFill="1" applyBorder="1" applyAlignment="1">
      <alignment horizontal="left"/>
    </xf>
    <xf numFmtId="43" fontId="35" fillId="0" borderId="0" xfId="138" applyFont="1" applyFill="1" applyBorder="1"/>
    <xf numFmtId="0" fontId="35" fillId="0" borderId="0" xfId="137" applyFont="1" applyFill="1" applyBorder="1"/>
    <xf numFmtId="0" fontId="36" fillId="0" borderId="0" xfId="137" applyFont="1" applyFill="1" applyAlignment="1">
      <alignment horizontal="center"/>
    </xf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4" xfId="0" applyFont="1" applyFill="1" applyBorder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3" fillId="0" borderId="0" xfId="0" applyNumberFormat="1" applyFont="1" applyFill="1" applyBorder="1"/>
    <xf numFmtId="43" fontId="12" fillId="0" borderId="9" xfId="1" applyNumberFormat="1" applyFont="1" applyFill="1" applyBorder="1"/>
    <xf numFmtId="43" fontId="12" fillId="0" borderId="0" xfId="1" applyNumberFormat="1" applyFont="1" applyFill="1" applyBorder="1"/>
    <xf numFmtId="43" fontId="13" fillId="0" borderId="21" xfId="0" applyNumberFormat="1" applyFont="1" applyFill="1" applyBorder="1"/>
    <xf numFmtId="43" fontId="12" fillId="0" borderId="0" xfId="0" applyNumberFormat="1" applyFont="1" applyFill="1" applyBorder="1"/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43" fontId="12" fillId="0" borderId="8" xfId="2" applyNumberFormat="1" applyFont="1" applyFill="1" applyBorder="1"/>
    <xf numFmtId="174" fontId="12" fillId="0" borderId="8" xfId="0" applyNumberFormat="1" applyFont="1" applyFill="1" applyBorder="1"/>
    <xf numFmtId="174" fontId="12" fillId="0" borderId="41" xfId="0" applyNumberFormat="1" applyFont="1" applyFill="1" applyBorder="1"/>
    <xf numFmtId="49" fontId="26" fillId="0" borderId="25" xfId="137" quotePrefix="1" applyNumberFormat="1" applyFont="1" applyFill="1" applyBorder="1" applyAlignment="1">
      <alignment horizontal="right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  <xf numFmtId="17" fontId="13" fillId="0" borderId="10" xfId="0" applyNumberFormat="1" applyFont="1" applyFill="1" applyBorder="1"/>
    <xf numFmtId="17" fontId="12" fillId="0" borderId="15" xfId="0" applyNumberFormat="1" applyFont="1" applyFill="1" applyBorder="1"/>
    <xf numFmtId="17" fontId="12" fillId="0" borderId="0" xfId="0" applyNumberFormat="1" applyFont="1" applyFill="1"/>
    <xf numFmtId="44" fontId="13" fillId="0" borderId="18" xfId="0" applyNumberFormat="1" applyFont="1" applyFill="1" applyBorder="1"/>
    <xf numFmtId="7" fontId="12" fillId="0" borderId="0" xfId="0" applyNumberFormat="1" applyFont="1" applyFill="1"/>
    <xf numFmtId="38" fontId="12" fillId="0" borderId="0" xfId="1" applyNumberFormat="1" applyFont="1" applyFill="1" applyBorder="1" applyProtection="1"/>
    <xf numFmtId="39" fontId="12" fillId="0" borderId="0" xfId="0" applyNumberFormat="1" applyFont="1" applyFill="1"/>
    <xf numFmtId="7" fontId="14" fillId="0" borderId="0" xfId="0" applyNumberFormat="1" applyFont="1" applyFill="1"/>
    <xf numFmtId="0" fontId="12" fillId="0" borderId="0" xfId="0" applyNumberFormat="1" applyFont="1" applyFill="1"/>
    <xf numFmtId="38" fontId="12" fillId="0" borderId="0" xfId="1" applyNumberFormat="1" applyFont="1" applyFill="1"/>
    <xf numFmtId="39" fontId="12" fillId="0" borderId="0" xfId="0" applyNumberFormat="1" applyFont="1" applyFill="1" applyAlignment="1">
      <alignment horizontal="left" vertical="top"/>
    </xf>
    <xf numFmtId="39" fontId="12" fillId="0" borderId="0" xfId="0" applyNumberFormat="1" applyFont="1" applyFill="1" applyAlignment="1">
      <alignment horizontal="right" vertical="top"/>
    </xf>
    <xf numFmtId="37" fontId="12" fillId="0" borderId="5" xfId="0" applyNumberFormat="1" applyFont="1" applyFill="1" applyBorder="1" applyProtection="1"/>
    <xf numFmtId="39" fontId="13" fillId="0" borderId="0" xfId="0" applyNumberFormat="1" applyFont="1" applyFill="1" applyAlignment="1">
      <alignment horizontal="left" vertical="top"/>
    </xf>
    <xf numFmtId="39" fontId="12" fillId="0" borderId="19" xfId="0" applyFont="1" applyFill="1" applyBorder="1"/>
    <xf numFmtId="39" fontId="0" fillId="0" borderId="0" xfId="0" applyFill="1"/>
    <xf numFmtId="39" fontId="12" fillId="0" borderId="0" xfId="0" applyNumberFormat="1" applyFont="1" applyFill="1" applyProtection="1"/>
    <xf numFmtId="170" fontId="12" fillId="0" borderId="0" xfId="0" applyNumberFormat="1" applyFont="1" applyFill="1"/>
    <xf numFmtId="2" fontId="12" fillId="0" borderId="0" xfId="0" applyNumberFormat="1" applyFont="1" applyFill="1"/>
    <xf numFmtId="39" fontId="12" fillId="0" borderId="0" xfId="0" applyNumberFormat="1" applyFont="1" applyFill="1" applyAlignment="1">
      <alignment horizontal="right"/>
    </xf>
    <xf numFmtId="39" fontId="12" fillId="0" borderId="4" xfId="0" applyFont="1" applyFill="1" applyBorder="1"/>
    <xf numFmtId="39" fontId="12" fillId="0" borderId="6" xfId="0" applyFont="1" applyFill="1" applyBorder="1"/>
    <xf numFmtId="7" fontId="12" fillId="0" borderId="0" xfId="1" applyNumberFormat="1" applyFont="1" applyFill="1"/>
    <xf numFmtId="165" fontId="12" fillId="0" borderId="0" xfId="0" applyNumberFormat="1" applyFont="1" applyFill="1" applyBorder="1" applyProtection="1"/>
    <xf numFmtId="39" fontId="12" fillId="0" borderId="0" xfId="0" applyFont="1" applyFill="1" applyAlignment="1">
      <alignment horizontal="center"/>
    </xf>
    <xf numFmtId="39" fontId="12" fillId="0" borderId="0" xfId="0" applyNumberFormat="1" applyFont="1" applyFill="1" applyBorder="1"/>
    <xf numFmtId="165" fontId="12" fillId="0" borderId="0" xfId="0" applyNumberFormat="1" applyFont="1" applyFill="1" applyProtection="1">
      <protection locked="0"/>
    </xf>
    <xf numFmtId="165" fontId="12" fillId="0" borderId="0" xfId="0" applyNumberFormat="1" applyFont="1" applyFill="1" applyProtection="1"/>
    <xf numFmtId="168" fontId="12" fillId="0" borderId="0" xfId="0" applyNumberFormat="1" applyFont="1" applyFill="1" applyProtection="1"/>
    <xf numFmtId="5" fontId="12" fillId="0" borderId="0" xfId="0" applyNumberFormat="1" applyFont="1" applyFill="1" applyProtection="1"/>
    <xf numFmtId="164" fontId="27" fillId="0" borderId="0" xfId="92" applyNumberFormat="1" applyFont="1" applyFill="1" applyAlignment="1">
      <alignment horizontal="left"/>
    </xf>
    <xf numFmtId="0" fontId="28" fillId="0" borderId="0" xfId="92" applyFont="1" applyFill="1"/>
    <xf numFmtId="164" fontId="29" fillId="0" borderId="0" xfId="92" applyNumberFormat="1" applyFont="1" applyFill="1" applyAlignment="1">
      <alignment horizontal="left"/>
    </xf>
    <xf numFmtId="0" fontId="25" fillId="0" borderId="0" xfId="92" applyFont="1" applyFill="1"/>
    <xf numFmtId="0" fontId="26" fillId="0" borderId="23" xfId="137" applyFont="1" applyFill="1" applyBorder="1" applyAlignment="1">
      <alignment horizontal="center" wrapText="1"/>
    </xf>
    <xf numFmtId="0" fontId="26" fillId="0" borderId="22" xfId="137" applyFont="1" applyFill="1" applyBorder="1" applyAlignment="1">
      <alignment horizontal="center" wrapText="1"/>
    </xf>
    <xf numFmtId="0" fontId="28" fillId="0" borderId="0" xfId="137" applyFont="1" applyFill="1"/>
    <xf numFmtId="0" fontId="26" fillId="0" borderId="23" xfId="137" quotePrefix="1" applyFont="1" applyFill="1" applyBorder="1" applyAlignment="1">
      <alignment horizontal="center" wrapText="1"/>
    </xf>
    <xf numFmtId="10" fontId="34" fillId="0" borderId="25" xfId="4" applyNumberFormat="1" applyFont="1" applyFill="1" applyBorder="1"/>
    <xf numFmtId="43" fontId="34" fillId="0" borderId="25" xfId="138" applyFont="1" applyFill="1" applyBorder="1"/>
    <xf numFmtId="43" fontId="26" fillId="0" borderId="22" xfId="138" applyFont="1" applyFill="1" applyBorder="1"/>
    <xf numFmtId="0" fontId="26" fillId="0" borderId="26" xfId="137" quotePrefix="1" applyFont="1" applyFill="1" applyBorder="1" applyAlignment="1">
      <alignment horizontal="center" wrapText="1"/>
    </xf>
    <xf numFmtId="10" fontId="34" fillId="0" borderId="27" xfId="4" applyNumberFormat="1" applyFont="1" applyFill="1" applyBorder="1"/>
    <xf numFmtId="43" fontId="34" fillId="0" borderId="27" xfId="138" applyFont="1" applyFill="1" applyBorder="1"/>
    <xf numFmtId="43" fontId="26" fillId="0" borderId="26" xfId="138" applyFont="1" applyFill="1" applyBorder="1"/>
    <xf numFmtId="0" fontId="26" fillId="0" borderId="24" xfId="137" quotePrefix="1" applyFont="1" applyFill="1" applyBorder="1" applyAlignment="1">
      <alignment horizontal="center" wrapText="1"/>
    </xf>
    <xf numFmtId="43" fontId="26" fillId="0" borderId="25" xfId="138" applyFont="1" applyFill="1" applyBorder="1"/>
    <xf numFmtId="10" fontId="34" fillId="0" borderId="22" xfId="4" applyNumberFormat="1" applyFont="1" applyFill="1" applyBorder="1"/>
    <xf numFmtId="43" fontId="34" fillId="0" borderId="22" xfId="138" applyFont="1" applyFill="1" applyBorder="1"/>
    <xf numFmtId="10" fontId="34" fillId="0" borderId="26" xfId="4" applyNumberFormat="1" applyFont="1" applyFill="1" applyBorder="1"/>
    <xf numFmtId="43" fontId="34" fillId="0" borderId="26" xfId="138" applyFont="1" applyFill="1" applyBorder="1"/>
    <xf numFmtId="0" fontId="24" fillId="0" borderId="0" xfId="137" applyFont="1" applyFill="1"/>
    <xf numFmtId="0" fontId="30" fillId="0" borderId="0" xfId="24" quotePrefix="1" applyFont="1" applyFill="1" applyBorder="1"/>
    <xf numFmtId="40" fontId="36" fillId="0" borderId="0" xfId="137" applyNumberFormat="1" applyFont="1" applyFill="1"/>
    <xf numFmtId="0" fontId="28" fillId="0" borderId="0" xfId="24" applyFont="1" applyFill="1"/>
    <xf numFmtId="43" fontId="28" fillId="0" borderId="0" xfId="24" applyNumberFormat="1" applyFont="1" applyFill="1"/>
    <xf numFmtId="0" fontId="35" fillId="0" borderId="0" xfId="24" applyFont="1" applyFill="1"/>
    <xf numFmtId="164" fontId="37" fillId="0" borderId="0" xfId="92" applyNumberFormat="1" applyFont="1" applyFill="1" applyAlignment="1">
      <alignment horizontal="left"/>
    </xf>
    <xf numFmtId="164" fontId="26" fillId="0" borderId="0" xfId="92" applyNumberFormat="1" applyFont="1" applyFill="1" applyAlignment="1">
      <alignment horizontal="left"/>
    </xf>
    <xf numFmtId="0" fontId="26" fillId="0" borderId="38" xfId="137" applyFont="1" applyFill="1" applyBorder="1" applyAlignment="1">
      <alignment horizontal="center" wrapText="1"/>
    </xf>
    <xf numFmtId="0" fontId="26" fillId="0" borderId="30" xfId="137" applyFont="1" applyFill="1" applyBorder="1" applyAlignment="1">
      <alignment horizontal="center" wrapText="1"/>
    </xf>
    <xf numFmtId="0" fontId="26" fillId="0" borderId="31" xfId="137" applyFont="1" applyFill="1" applyBorder="1" applyAlignment="1">
      <alignment horizontal="center" wrapText="1"/>
    </xf>
    <xf numFmtId="0" fontId="26" fillId="0" borderId="32" xfId="137" applyFont="1" applyFill="1" applyBorder="1" applyAlignment="1">
      <alignment horizontal="center" wrapText="1"/>
    </xf>
    <xf numFmtId="0" fontId="26" fillId="0" borderId="37" xfId="137" applyFont="1" applyFill="1" applyBorder="1" applyAlignment="1">
      <alignment horizontal="center" wrapText="1"/>
    </xf>
    <xf numFmtId="0" fontId="25" fillId="0" borderId="0" xfId="137" applyFont="1" applyFill="1"/>
    <xf numFmtId="10" fontId="34" fillId="0" borderId="25" xfId="139" applyNumberFormat="1" applyFont="1" applyFill="1" applyBorder="1"/>
    <xf numFmtId="173" fontId="34" fillId="0" borderId="33" xfId="138" applyNumberFormat="1" applyFont="1" applyFill="1" applyBorder="1"/>
    <xf numFmtId="169" fontId="38" fillId="0" borderId="25" xfId="145" applyNumberFormat="1" applyFont="1" applyFill="1" applyBorder="1" applyAlignment="1">
      <alignment horizontal="center"/>
    </xf>
    <xf numFmtId="38" fontId="34" fillId="0" borderId="33" xfId="1" applyNumberFormat="1" applyFont="1" applyFill="1" applyBorder="1"/>
    <xf numFmtId="38" fontId="34" fillId="0" borderId="33" xfId="138" applyNumberFormat="1" applyFont="1" applyFill="1" applyBorder="1"/>
    <xf numFmtId="43" fontId="25" fillId="0" borderId="0" xfId="137" applyNumberFormat="1" applyFont="1" applyFill="1"/>
    <xf numFmtId="43" fontId="34" fillId="0" borderId="34" xfId="138" applyFont="1" applyFill="1" applyBorder="1"/>
    <xf numFmtId="10" fontId="34" fillId="0" borderId="27" xfId="139" applyNumberFormat="1" applyFont="1" applyFill="1" applyBorder="1"/>
    <xf numFmtId="173" fontId="34" fillId="0" borderId="35" xfId="138" applyNumberFormat="1" applyFont="1" applyFill="1" applyBorder="1"/>
    <xf numFmtId="43" fontId="34" fillId="0" borderId="36" xfId="138" applyFont="1" applyFill="1" applyBorder="1"/>
    <xf numFmtId="38" fontId="34" fillId="0" borderId="35" xfId="138" applyNumberFormat="1" applyFont="1" applyFill="1" applyBorder="1"/>
    <xf numFmtId="0" fontId="24" fillId="0" borderId="0" xfId="137" applyFont="1" applyFill="1" applyAlignment="1">
      <alignment horizontal="center"/>
    </xf>
  </cellXfs>
  <cellStyles count="146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3"/>
    <cellStyle name="Comma 4 2 2 2" xfId="125"/>
    <cellStyle name="Comma 4 2 3" xfId="104"/>
    <cellStyle name="Comma 4 3" xfId="74"/>
    <cellStyle name="Comma 4 3 2" xfId="116"/>
    <cellStyle name="Comma 4 4" xfId="95"/>
    <cellStyle name="Comma 4 5" xfId="138"/>
    <cellStyle name="Comma 5" xfId="10"/>
    <cellStyle name="Comma 5 2" xfId="141"/>
    <cellStyle name="Comma 6" xfId="70"/>
    <cellStyle name="Comma 6 2" xfId="73"/>
    <cellStyle name="Comma 6 2 2" xfId="115"/>
    <cellStyle name="Comma 6 3" xfId="94"/>
    <cellStyle name="Comma 6 3 2" xfId="135"/>
    <cellStyle name="Comma 6 4" xfId="114"/>
    <cellStyle name="Comma 7" xfId="144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5"/>
    <cellStyle name="Currency 4 2 2 2 2" xfId="127"/>
    <cellStyle name="Currency 4 2 2 3" xfId="106"/>
    <cellStyle name="Currency 4 2 3" xfId="76"/>
    <cellStyle name="Currency 4 2 3 2" xfId="118"/>
    <cellStyle name="Currency 4 2 4" xfId="97"/>
    <cellStyle name="Currency 4 3" xfId="45"/>
    <cellStyle name="Currency 4 3 2" xfId="84"/>
    <cellStyle name="Currency 4 3 2 2" xfId="126"/>
    <cellStyle name="Currency 4 3 3" xfId="105"/>
    <cellStyle name="Currency 4 4" xfId="68"/>
    <cellStyle name="Currency 4 5" xfId="75"/>
    <cellStyle name="Currency 4 5 2" xfId="117"/>
    <cellStyle name="Currency 4 6" xfId="96"/>
    <cellStyle name="Currency 5" xfId="15"/>
    <cellStyle name="Currency 6" xfId="16"/>
    <cellStyle name="Currency 6 2" xfId="17"/>
    <cellStyle name="Currency 7" xfId="18"/>
    <cellStyle name="Currency 7 2" xfId="47"/>
    <cellStyle name="Currency 7 2 2" xfId="86"/>
    <cellStyle name="Currency 7 2 2 2" xfId="128"/>
    <cellStyle name="Currency 7 2 3" xfId="107"/>
    <cellStyle name="Currency 7 3" xfId="77"/>
    <cellStyle name="Currency 7 3 2" xfId="119"/>
    <cellStyle name="Currency 7 4" xfId="98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2"/>
    <cellStyle name="Normal 12" xfId="69"/>
    <cellStyle name="Normal 12 2" xfId="93"/>
    <cellStyle name="Normal 12 2 2" xfId="134"/>
    <cellStyle name="Normal 12 3" xfId="113"/>
    <cellStyle name="Normal 13" xfId="143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5 2" xfId="137"/>
    <cellStyle name="Normal 6" xfId="25"/>
    <cellStyle name="Normal 6 2" xfId="26"/>
    <cellStyle name="Normal 6 3" xfId="140"/>
    <cellStyle name="Normal 7" xfId="27"/>
    <cellStyle name="Normal 7 2" xfId="48"/>
    <cellStyle name="Normal 7 2 2" xfId="87"/>
    <cellStyle name="Normal 7 2 2 2" xfId="129"/>
    <cellStyle name="Normal 7 2 3" xfId="108"/>
    <cellStyle name="Normal 7 3" xfId="78"/>
    <cellStyle name="Normal 7 3 2" xfId="120"/>
    <cellStyle name="Normal 7 4" xfId="99"/>
    <cellStyle name="Normal 8" xfId="28"/>
    <cellStyle name="Normal 9" xfId="40"/>
    <cellStyle name="Normal 9 2" xfId="53"/>
    <cellStyle name="Normal_01-06 WA-Id Deferral &amp; Amort" xfId="145"/>
    <cellStyle name="Normal_02-06 WA-Id Deferral &amp; Amort" xfId="136"/>
    <cellStyle name="Percent" xfId="4" builtinId="5"/>
    <cellStyle name="Percent 10" xfId="72"/>
    <cellStyle name="Percent 2" xfId="29"/>
    <cellStyle name="Percent 2 2" xfId="61"/>
    <cellStyle name="Percent 2 3" xfId="60"/>
    <cellStyle name="Percent 2 4" xfId="139"/>
    <cellStyle name="Percent 3" xfId="30"/>
    <cellStyle name="Percent 3 2" xfId="67"/>
    <cellStyle name="Percent 3 3" xfId="62"/>
    <cellStyle name="Percent 3 4" xfId="14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0"/>
    <cellStyle name="Percent 5 2 2 2 2 2" xfId="132"/>
    <cellStyle name="Percent 5 2 2 2 3" xfId="111"/>
    <cellStyle name="Percent 5 2 2 3" xfId="81"/>
    <cellStyle name="Percent 5 2 2 3 2" xfId="123"/>
    <cellStyle name="Percent 5 2 2 4" xfId="102"/>
    <cellStyle name="Percent 5 2 3" xfId="50"/>
    <cellStyle name="Percent 5 2 3 2" xfId="89"/>
    <cellStyle name="Percent 5 2 3 2 2" xfId="131"/>
    <cellStyle name="Percent 5 2 3 3" xfId="110"/>
    <cellStyle name="Percent 5 2 4" xfId="80"/>
    <cellStyle name="Percent 5 2 4 2" xfId="122"/>
    <cellStyle name="Percent 5 2 5" xfId="101"/>
    <cellStyle name="Percent 5 3" xfId="49"/>
    <cellStyle name="Percent 5 3 2" xfId="88"/>
    <cellStyle name="Percent 5 3 2 2" xfId="130"/>
    <cellStyle name="Percent 5 3 3" xfId="109"/>
    <cellStyle name="Percent 5 4" xfId="79"/>
    <cellStyle name="Percent 5 4 2" xfId="121"/>
    <cellStyle name="Percent 5 5" xfId="100"/>
    <cellStyle name="Percent 6" xfId="35"/>
    <cellStyle name="Percent 7" xfId="36"/>
    <cellStyle name="Percent 7 2" xfId="37"/>
    <cellStyle name="Percent 8" xfId="38"/>
    <cellStyle name="Percent 8 2" xfId="52"/>
    <cellStyle name="Percent 8 2 2" xfId="91"/>
    <cellStyle name="Percent 8 2 2 2" xfId="133"/>
    <cellStyle name="Percent 8 2 3" xfId="112"/>
    <cellStyle name="Percent 8 3" xfId="82"/>
    <cellStyle name="Percent 8 3 2" xfId="124"/>
    <cellStyle name="Percent 8 4" xfId="103"/>
    <cellStyle name="Percent 9" xfId="39"/>
  </cellStyles>
  <dxfs count="35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50801</xdr:colOff>
      <xdr:row>20</xdr:row>
      <xdr:rowOff>25401</xdr:rowOff>
    </xdr:from>
    <xdr:to>
      <xdr:col>12</xdr:col>
      <xdr:colOff>338667</xdr:colOff>
      <xdr:row>25</xdr:row>
      <xdr:rowOff>177800</xdr:rowOff>
    </xdr:to>
    <xdr:sp macro="" textlink="">
      <xdr:nvSpPr>
        <xdr:cNvPr id="2" name="Right Brace 1"/>
        <xdr:cNvSpPr/>
      </xdr:nvSpPr>
      <xdr:spPr bwMode="auto">
        <a:xfrm>
          <a:off x="10075334" y="2353734"/>
          <a:ext cx="287866" cy="1126066"/>
        </a:xfrm>
        <a:prstGeom prst="rightBrace">
          <a:avLst>
            <a:gd name="adj1" fmla="val 0"/>
            <a:gd name="adj2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42333</xdr:colOff>
      <xdr:row>21</xdr:row>
      <xdr:rowOff>93133</xdr:rowOff>
    </xdr:from>
    <xdr:ext cx="2370667" cy="609013"/>
    <xdr:sp macro="" textlink="">
      <xdr:nvSpPr>
        <xdr:cNvPr id="3" name="TextBox 2"/>
        <xdr:cNvSpPr txBox="1"/>
      </xdr:nvSpPr>
      <xdr:spPr>
        <a:xfrm>
          <a:off x="10490200" y="2616200"/>
          <a:ext cx="2370667" cy="6090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Mar tab inadvertantly had plugged cells instead of calculated. Discovered and fixed in Sept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U1482"/>
  <sheetViews>
    <sheetView showGridLines="0" tabSelected="1" zoomScale="70" zoomScaleNormal="70" workbookViewId="0"/>
  </sheetViews>
  <sheetFormatPr defaultColWidth="16" defaultRowHeight="15"/>
  <cols>
    <col min="1" max="1" width="55.28515625" style="51" bestFit="1" customWidth="1"/>
    <col min="2" max="2" width="30.7109375" style="51" bestFit="1" customWidth="1"/>
    <col min="3" max="3" width="25.28515625" style="51" customWidth="1"/>
    <col min="4" max="4" width="2.7109375" style="51" customWidth="1"/>
    <col min="5" max="5" width="4.28515625" style="51" customWidth="1"/>
    <col min="6" max="6" width="50.140625" style="51" bestFit="1" customWidth="1"/>
    <col min="7" max="7" width="13.42578125" style="51" bestFit="1" customWidth="1"/>
    <col min="8" max="8" width="22" style="51" customWidth="1"/>
    <col min="9" max="9" width="20.42578125" style="51" customWidth="1"/>
    <col min="10" max="10" width="26.28515625" style="51" customWidth="1"/>
    <col min="11" max="11" width="21.85546875" style="51" bestFit="1" customWidth="1"/>
    <col min="12" max="12" width="23.85546875" style="51" customWidth="1"/>
    <col min="13" max="13" width="20.85546875" style="51" bestFit="1" customWidth="1"/>
    <col min="14" max="15" width="16" style="51"/>
    <col min="16" max="16" width="16.28515625" style="51" bestFit="1" customWidth="1"/>
    <col min="17" max="16384" width="16" style="51"/>
  </cols>
  <sheetData>
    <row r="1" spans="1:12" ht="15.6" customHeight="1" thickBot="1">
      <c r="A1" s="151" t="s">
        <v>25</v>
      </c>
      <c r="B1" s="152"/>
      <c r="C1" s="53">
        <v>202001</v>
      </c>
      <c r="F1" s="53">
        <f>C1</f>
        <v>202001</v>
      </c>
      <c r="H1" s="25" t="s">
        <v>30</v>
      </c>
      <c r="I1" s="15" t="s">
        <v>2</v>
      </c>
      <c r="J1" s="15" t="s">
        <v>2</v>
      </c>
      <c r="K1" s="15" t="s">
        <v>27</v>
      </c>
      <c r="L1" s="15" t="s">
        <v>27</v>
      </c>
    </row>
    <row r="2" spans="1:12" ht="15.6" customHeight="1">
      <c r="C2" s="109"/>
      <c r="H2" s="26" t="s">
        <v>9</v>
      </c>
      <c r="I2" s="27" t="s">
        <v>26</v>
      </c>
      <c r="J2" s="27" t="s">
        <v>26</v>
      </c>
      <c r="K2" s="27" t="s">
        <v>28</v>
      </c>
      <c r="L2" s="27" t="s">
        <v>28</v>
      </c>
    </row>
    <row r="3" spans="1:12" ht="15.6" customHeight="1" thickBot="1">
      <c r="A3" s="6" t="s">
        <v>185</v>
      </c>
      <c r="C3" s="5"/>
      <c r="D3" s="153"/>
      <c r="F3" s="7" t="s">
        <v>33</v>
      </c>
      <c r="H3" s="28" t="s">
        <v>29</v>
      </c>
      <c r="I3" s="28" t="s">
        <v>12</v>
      </c>
      <c r="J3" s="28" t="s">
        <v>24</v>
      </c>
      <c r="K3" s="28" t="s">
        <v>12</v>
      </c>
      <c r="L3" s="28" t="s">
        <v>24</v>
      </c>
    </row>
    <row r="4" spans="1:12" ht="15.6" customHeight="1">
      <c r="A4" s="51" t="s">
        <v>38</v>
      </c>
      <c r="C4" s="128">
        <v>3621735.46</v>
      </c>
      <c r="D4" s="109"/>
      <c r="H4" s="1"/>
    </row>
    <row r="5" spans="1:12" ht="15.6" customHeight="1">
      <c r="A5" s="51" t="s">
        <v>8</v>
      </c>
      <c r="C5" s="128">
        <v>31326.28</v>
      </c>
      <c r="D5" s="109"/>
      <c r="H5" s="1"/>
      <c r="I5" s="131">
        <v>0.68679999999999997</v>
      </c>
      <c r="J5" s="131">
        <v>0.31319999999999998</v>
      </c>
      <c r="K5" s="131">
        <f>ROUND(G45/(G45+K43),4)</f>
        <v>0.68210000000000004</v>
      </c>
      <c r="L5" s="131">
        <f>1-K5</f>
        <v>0.31789999999999996</v>
      </c>
    </row>
    <row r="6" spans="1:12" ht="15.6" customHeight="1" thickBot="1">
      <c r="A6" s="6" t="s">
        <v>7</v>
      </c>
      <c r="C6" s="127">
        <f>-1480748.92-422347.11-120670.6-144201.36-97212.24</f>
        <v>-2265180.23</v>
      </c>
      <c r="D6" s="109"/>
    </row>
    <row r="7" spans="1:12" ht="15.6" customHeight="1" thickBot="1">
      <c r="A7" s="9" t="s">
        <v>69</v>
      </c>
      <c r="C7" s="125">
        <f>SUM(C4:C6)</f>
        <v>1387881.5099999998</v>
      </c>
      <c r="D7" s="5"/>
      <c r="F7" s="29" t="s">
        <v>187</v>
      </c>
      <c r="G7" s="29"/>
      <c r="H7" s="154">
        <f>C32</f>
        <v>2354378.3599999994</v>
      </c>
      <c r="I7" s="30">
        <f>H7*I5</f>
        <v>1616987.0576479996</v>
      </c>
      <c r="J7" s="30">
        <f>H7*J5</f>
        <v>737391.3023519998</v>
      </c>
      <c r="K7" s="30"/>
      <c r="L7" s="30"/>
    </row>
    <row r="8" spans="1:12" ht="15.6" customHeight="1">
      <c r="A8" s="51" t="s">
        <v>39</v>
      </c>
      <c r="C8" s="128">
        <v>210567.21</v>
      </c>
      <c r="D8" s="5"/>
      <c r="H8" s="31"/>
      <c r="I8" s="31"/>
      <c r="J8" s="31"/>
      <c r="K8" s="31"/>
      <c r="L8" s="31"/>
    </row>
    <row r="9" spans="1:12" ht="15.6" customHeight="1">
      <c r="A9" s="51" t="s">
        <v>40</v>
      </c>
      <c r="C9" s="128">
        <f>12.08+9000.71</f>
        <v>9012.7899999999991</v>
      </c>
      <c r="D9" s="155"/>
      <c r="F9" s="29" t="s">
        <v>53</v>
      </c>
      <c r="H9" s="132">
        <f>C52</f>
        <v>6964408.8299999963</v>
      </c>
      <c r="I9" s="30"/>
      <c r="J9" s="30"/>
      <c r="K9" s="134">
        <f>H9*K5</f>
        <v>4750423.2629429977</v>
      </c>
      <c r="L9" s="134">
        <f>H9*L5</f>
        <v>2213985.5670569986</v>
      </c>
    </row>
    <row r="10" spans="1:12" ht="15.6" customHeight="1">
      <c r="A10" s="6" t="s">
        <v>41</v>
      </c>
      <c r="C10" s="127">
        <v>-2848.33</v>
      </c>
      <c r="D10" s="155"/>
      <c r="F10" s="32" t="s">
        <v>21</v>
      </c>
      <c r="H10" s="132">
        <f>C53</f>
        <v>17497.73</v>
      </c>
      <c r="I10" s="30"/>
      <c r="J10" s="30"/>
      <c r="K10" s="134">
        <f>H10</f>
        <v>17497.73</v>
      </c>
      <c r="L10" s="134"/>
    </row>
    <row r="11" spans="1:12" ht="15.6" customHeight="1">
      <c r="A11" s="9" t="s">
        <v>70</v>
      </c>
      <c r="C11" s="125">
        <f>SUM(C8:C10)</f>
        <v>216731.67</v>
      </c>
      <c r="D11" s="155"/>
      <c r="F11" s="32" t="s">
        <v>22</v>
      </c>
      <c r="H11" s="133">
        <f>C54</f>
        <v>8209.7199999999993</v>
      </c>
      <c r="I11" s="30"/>
      <c r="J11" s="30"/>
      <c r="K11" s="135"/>
      <c r="L11" s="135">
        <f>H11</f>
        <v>8209.7199999999993</v>
      </c>
    </row>
    <row r="12" spans="1:12" ht="15.6" customHeight="1">
      <c r="A12" s="51" t="s">
        <v>126</v>
      </c>
      <c r="C12" s="128">
        <f>-2959.06+231669.79</f>
        <v>228710.73</v>
      </c>
      <c r="D12" s="155"/>
      <c r="F12" s="32" t="s">
        <v>68</v>
      </c>
      <c r="H12" s="124">
        <f>H9+H10+H11</f>
        <v>6990116.2799999965</v>
      </c>
      <c r="I12" s="30"/>
      <c r="J12" s="30"/>
      <c r="K12" s="30">
        <f>SUM(K9:K11)</f>
        <v>4767920.9929429982</v>
      </c>
      <c r="L12" s="30">
        <f>SUM(L9:L11)</f>
        <v>2222195.2870569988</v>
      </c>
    </row>
    <row r="13" spans="1:12" ht="15.6" customHeight="1" thickBot="1">
      <c r="A13" s="6" t="s">
        <v>127</v>
      </c>
      <c r="C13" s="127">
        <v>0</v>
      </c>
      <c r="D13" s="155"/>
      <c r="G13" s="9"/>
      <c r="H13" s="103"/>
      <c r="I13" s="33"/>
      <c r="J13" s="103"/>
      <c r="K13" s="31"/>
      <c r="L13" s="103"/>
    </row>
    <row r="14" spans="1:12" ht="15.6" customHeight="1" thickBot="1">
      <c r="A14" s="9" t="s">
        <v>128</v>
      </c>
      <c r="C14" s="125">
        <f>SUM(C12:C13)</f>
        <v>228710.73</v>
      </c>
      <c r="D14" s="2"/>
      <c r="F14" s="51" t="s">
        <v>30</v>
      </c>
      <c r="G14" s="29"/>
      <c r="H14" s="154">
        <f>H12+H7</f>
        <v>9344494.6399999969</v>
      </c>
      <c r="I14" s="112">
        <f>SUM(I7:I13)</f>
        <v>1616987.0576479996</v>
      </c>
      <c r="J14" s="112">
        <f>SUM(J7:J13)</f>
        <v>737391.3023519998</v>
      </c>
      <c r="K14" s="112">
        <f>K12</f>
        <v>4767920.9929429982</v>
      </c>
      <c r="L14" s="112">
        <f>L12</f>
        <v>2222195.2870569988</v>
      </c>
    </row>
    <row r="15" spans="1:12" ht="15.6" customHeight="1">
      <c r="A15" s="51" t="s">
        <v>92</v>
      </c>
      <c r="C15" s="128">
        <f>-5367.24+454549.89</f>
        <v>449182.65</v>
      </c>
      <c r="D15" s="155"/>
      <c r="G15" s="9" t="s">
        <v>46</v>
      </c>
      <c r="H15" s="128">
        <f>H14-C57</f>
        <v>0</v>
      </c>
      <c r="I15" s="136"/>
      <c r="J15" s="128">
        <f>J7+I7-H7</f>
        <v>0</v>
      </c>
      <c r="K15" s="137"/>
      <c r="L15" s="128">
        <f>H12-K14-L14</f>
        <v>0</v>
      </c>
    </row>
    <row r="16" spans="1:12" ht="15.6" customHeight="1">
      <c r="A16" s="6" t="s">
        <v>93</v>
      </c>
      <c r="C16" s="127">
        <v>0</v>
      </c>
      <c r="D16" s="155"/>
      <c r="F16" s="104"/>
      <c r="G16" s="9"/>
      <c r="H16" s="105"/>
      <c r="I16" s="34"/>
      <c r="J16" s="105"/>
      <c r="L16" s="105"/>
    </row>
    <row r="17" spans="1:13" ht="15.6" customHeight="1" thickBot="1">
      <c r="A17" s="9" t="s">
        <v>94</v>
      </c>
      <c r="C17" s="125">
        <f>SUM(C15:C16)</f>
        <v>449182.65</v>
      </c>
      <c r="D17" s="2"/>
      <c r="G17" s="9"/>
      <c r="H17" s="105"/>
      <c r="I17" s="34"/>
      <c r="J17" s="106"/>
      <c r="L17" s="105"/>
    </row>
    <row r="18" spans="1:13" ht="15.6" customHeight="1" thickBot="1">
      <c r="A18" s="51" t="s">
        <v>79</v>
      </c>
      <c r="C18" s="128">
        <f>99088.53+9822.8-1795.34</f>
        <v>107115.99</v>
      </c>
      <c r="D18" s="155"/>
      <c r="F18" s="148" t="s">
        <v>64</v>
      </c>
      <c r="G18" s="149"/>
      <c r="H18" s="149"/>
      <c r="I18" s="150"/>
      <c r="J18" s="148" t="s">
        <v>65</v>
      </c>
      <c r="K18" s="149"/>
      <c r="L18" s="149"/>
      <c r="M18" s="150"/>
    </row>
    <row r="19" spans="1:13" ht="15.6" customHeight="1">
      <c r="A19" s="6" t="s">
        <v>80</v>
      </c>
      <c r="C19" s="127">
        <v>-2031.07</v>
      </c>
      <c r="D19" s="155"/>
      <c r="F19" s="113" t="s">
        <v>47</v>
      </c>
      <c r="G19" s="110" t="s">
        <v>10</v>
      </c>
      <c r="H19" s="110" t="s">
        <v>10</v>
      </c>
      <c r="I19" s="110" t="s">
        <v>10</v>
      </c>
      <c r="J19" s="113" t="s">
        <v>47</v>
      </c>
      <c r="K19" s="110" t="s">
        <v>10</v>
      </c>
      <c r="L19" s="110" t="s">
        <v>10</v>
      </c>
      <c r="M19" s="145" t="s">
        <v>10</v>
      </c>
    </row>
    <row r="20" spans="1:13" ht="15.6" customHeight="1" thickBot="1">
      <c r="A20" s="8" t="s">
        <v>129</v>
      </c>
      <c r="C20" s="125">
        <f>SUM(C18:C19)</f>
        <v>105084.92</v>
      </c>
      <c r="D20" s="155"/>
      <c r="F20" s="114" t="s">
        <v>78</v>
      </c>
      <c r="G20" s="111" t="s">
        <v>45</v>
      </c>
      <c r="H20" s="111" t="s">
        <v>13</v>
      </c>
      <c r="I20" s="111" t="s">
        <v>11</v>
      </c>
      <c r="J20" s="114" t="s">
        <v>78</v>
      </c>
      <c r="K20" s="111" t="s">
        <v>45</v>
      </c>
      <c r="L20" s="111" t="s">
        <v>13</v>
      </c>
      <c r="M20" s="111" t="s">
        <v>11</v>
      </c>
    </row>
    <row r="21" spans="1:13" ht="15.6" customHeight="1">
      <c r="A21" s="6" t="s">
        <v>125</v>
      </c>
      <c r="C21" s="127">
        <f>3244.88+1850</f>
        <v>5094.88</v>
      </c>
      <c r="D21" s="155"/>
      <c r="F21" s="23"/>
      <c r="G21" s="144"/>
      <c r="H21" s="144"/>
      <c r="I21" s="145"/>
      <c r="J21" s="115"/>
      <c r="K21" s="116"/>
      <c r="L21" s="116"/>
      <c r="M21" s="46"/>
    </row>
    <row r="22" spans="1:13" ht="15.6" customHeight="1">
      <c r="A22" s="8" t="s">
        <v>130</v>
      </c>
      <c r="B22" s="125"/>
      <c r="C22" s="125">
        <f>SUM(C21)</f>
        <v>5094.88</v>
      </c>
      <c r="D22" s="155"/>
      <c r="F22" s="44" t="s">
        <v>57</v>
      </c>
      <c r="G22" s="1"/>
      <c r="H22" s="1"/>
      <c r="I22" s="11"/>
      <c r="J22" s="44" t="s">
        <v>57</v>
      </c>
      <c r="K22" s="1"/>
      <c r="L22" s="1"/>
      <c r="M22" s="11"/>
    </row>
    <row r="23" spans="1:13" ht="15.6" customHeight="1">
      <c r="A23" s="47" t="s">
        <v>89</v>
      </c>
      <c r="C23" s="128">
        <v>0</v>
      </c>
      <c r="D23" s="155"/>
      <c r="F23" s="45" t="s">
        <v>14</v>
      </c>
      <c r="G23" s="156">
        <v>19882002</v>
      </c>
      <c r="H23" s="107">
        <v>9.6509999999999999E-2</v>
      </c>
      <c r="I23" s="140">
        <f t="shared" ref="I23:I31" si="0">G23*H23</f>
        <v>1918812.01302</v>
      </c>
      <c r="J23" s="45" t="s">
        <v>14</v>
      </c>
      <c r="K23" s="156">
        <v>9871600</v>
      </c>
      <c r="L23" s="107">
        <v>9.2950000000000005E-2</v>
      </c>
      <c r="M23" s="140">
        <f>K23*L23</f>
        <v>917565.22000000009</v>
      </c>
    </row>
    <row r="24" spans="1:13" ht="15.6" customHeight="1">
      <c r="A24" s="47" t="s">
        <v>95</v>
      </c>
      <c r="C24" s="128">
        <v>0</v>
      </c>
      <c r="D24" s="155"/>
      <c r="F24" s="45" t="s">
        <v>105</v>
      </c>
      <c r="G24" s="156">
        <v>20223</v>
      </c>
      <c r="H24" s="107">
        <v>9.6509999999999999E-2</v>
      </c>
      <c r="I24" s="140">
        <f t="shared" si="0"/>
        <v>1951.72173</v>
      </c>
      <c r="J24" s="45" t="s">
        <v>15</v>
      </c>
      <c r="K24" s="156">
        <v>3247879</v>
      </c>
      <c r="L24" s="107">
        <f>L23</f>
        <v>9.2950000000000005E-2</v>
      </c>
      <c r="M24" s="140">
        <f>K24*L24</f>
        <v>301890.35305000003</v>
      </c>
    </row>
    <row r="25" spans="1:13" ht="15.6" customHeight="1">
      <c r="A25" s="47" t="s">
        <v>96</v>
      </c>
      <c r="C25" s="128">
        <v>0</v>
      </c>
      <c r="D25" s="155"/>
      <c r="F25" s="45" t="s">
        <v>15</v>
      </c>
      <c r="G25" s="156">
        <v>7441465</v>
      </c>
      <c r="H25" s="107">
        <v>8.727E-2</v>
      </c>
      <c r="I25" s="140">
        <f t="shared" si="0"/>
        <v>649416.65055000002</v>
      </c>
      <c r="J25" s="45" t="s">
        <v>16</v>
      </c>
      <c r="K25" s="156">
        <v>980</v>
      </c>
      <c r="L25" s="107">
        <f t="shared" ref="L25" si="1">L24</f>
        <v>9.2950000000000005E-2</v>
      </c>
      <c r="M25" s="140">
        <f>K25*L25</f>
        <v>91.091000000000008</v>
      </c>
    </row>
    <row r="26" spans="1:13" ht="15.6" customHeight="1">
      <c r="A26" s="48" t="s">
        <v>108</v>
      </c>
      <c r="C26" s="128">
        <v>0</v>
      </c>
      <c r="D26" s="155"/>
      <c r="F26" s="45" t="s">
        <v>16</v>
      </c>
      <c r="G26" s="156">
        <v>18232</v>
      </c>
      <c r="H26" s="107">
        <v>8.727E-2</v>
      </c>
      <c r="I26" s="140">
        <f t="shared" si="0"/>
        <v>1591.10664</v>
      </c>
      <c r="J26" s="45" t="s">
        <v>17</v>
      </c>
      <c r="K26" s="156">
        <v>0</v>
      </c>
      <c r="L26" s="107" t="s">
        <v>190</v>
      </c>
      <c r="M26" s="140">
        <f>K26*L26</f>
        <v>0</v>
      </c>
    </row>
    <row r="27" spans="1:13" ht="15.6" customHeight="1">
      <c r="A27" s="8" t="s">
        <v>44</v>
      </c>
      <c r="C27" s="129">
        <f>SUM(C23:C26)</f>
        <v>0</v>
      </c>
      <c r="D27" s="155"/>
      <c r="F27" s="45" t="s">
        <v>17</v>
      </c>
      <c r="G27" s="156">
        <v>176036</v>
      </c>
      <c r="H27" s="107">
        <v>8.727E-2</v>
      </c>
      <c r="I27" s="140">
        <f t="shared" si="0"/>
        <v>15362.66172</v>
      </c>
      <c r="J27" s="45" t="s">
        <v>18</v>
      </c>
      <c r="K27" s="156">
        <v>0</v>
      </c>
      <c r="L27" s="107" t="s">
        <v>190</v>
      </c>
      <c r="M27" s="140">
        <f>K27*L27</f>
        <v>0</v>
      </c>
    </row>
    <row r="28" spans="1:13" ht="15.6" customHeight="1" thickBot="1">
      <c r="A28" s="49" t="s">
        <v>73</v>
      </c>
      <c r="C28" s="128">
        <v>0</v>
      </c>
      <c r="D28" s="2"/>
      <c r="F28" s="45" t="s">
        <v>18</v>
      </c>
      <c r="G28" s="156">
        <v>412402</v>
      </c>
      <c r="H28" s="107">
        <v>8.727E-2</v>
      </c>
      <c r="I28" s="140">
        <f t="shared" si="0"/>
        <v>35990.322540000001</v>
      </c>
      <c r="J28" s="44" t="s">
        <v>58</v>
      </c>
      <c r="K28" s="138">
        <f>SUM(K23:K27)</f>
        <v>13120459</v>
      </c>
      <c r="L28" s="139"/>
      <c r="M28" s="42">
        <f>SUM(M23:M27)</f>
        <v>1219546.6640500003</v>
      </c>
    </row>
    <row r="29" spans="1:13" ht="15.6" customHeight="1" thickTop="1" thickBot="1">
      <c r="A29" s="49" t="s">
        <v>81</v>
      </c>
      <c r="C29" s="128">
        <v>0</v>
      </c>
      <c r="D29" s="155"/>
      <c r="F29" s="45" t="s">
        <v>19</v>
      </c>
      <c r="G29" s="156">
        <v>0</v>
      </c>
      <c r="H29" s="107">
        <v>5.5910000000000001E-2</v>
      </c>
      <c r="I29" s="140">
        <f t="shared" si="0"/>
        <v>0</v>
      </c>
      <c r="J29" s="45"/>
      <c r="K29" s="13">
        <v>13120459</v>
      </c>
      <c r="L29" s="36"/>
      <c r="M29" s="141">
        <f>M28/K28</f>
        <v>9.2950000000000019E-2</v>
      </c>
    </row>
    <row r="30" spans="1:13" ht="15.6" customHeight="1" thickBot="1">
      <c r="A30" s="7" t="s">
        <v>186</v>
      </c>
      <c r="B30" s="9" t="s">
        <v>204</v>
      </c>
      <c r="C30" s="154">
        <f>C7+C11+C14+C17+C20+C22+C27+C28+C29</f>
        <v>2392686.3599999994</v>
      </c>
      <c r="D30" s="2"/>
      <c r="F30" s="45" t="s">
        <v>20</v>
      </c>
      <c r="G30" s="156">
        <v>199430</v>
      </c>
      <c r="H30" s="107">
        <v>5.5910000000000001E-2</v>
      </c>
      <c r="I30" s="140">
        <f t="shared" si="0"/>
        <v>11150.131300000001</v>
      </c>
      <c r="J30" s="45"/>
      <c r="K30" s="128">
        <f>K28-K29</f>
        <v>0</v>
      </c>
      <c r="L30" s="36" t="s">
        <v>46</v>
      </c>
      <c r="M30" s="43"/>
    </row>
    <row r="31" spans="1:13" ht="15.6" customHeight="1" thickBot="1">
      <c r="A31" s="51" t="s">
        <v>49</v>
      </c>
      <c r="C31" s="128">
        <f>-C5-C9-C13-C16-C19</f>
        <v>-38308</v>
      </c>
      <c r="D31" s="157"/>
      <c r="F31" s="45" t="s">
        <v>35</v>
      </c>
      <c r="G31" s="156">
        <v>3311586</v>
      </c>
      <c r="H31" s="107">
        <v>5.4000000000000001E-4</v>
      </c>
      <c r="I31" s="140">
        <f t="shared" si="0"/>
        <v>1788.2564400000001</v>
      </c>
      <c r="J31" s="23"/>
      <c r="K31" s="1"/>
      <c r="L31" s="107"/>
      <c r="M31" s="43"/>
    </row>
    <row r="32" spans="1:13" ht="15.6" customHeight="1" thickBot="1">
      <c r="A32" s="7" t="s">
        <v>50</v>
      </c>
      <c r="C32" s="154">
        <f>SUM(C30:C31)</f>
        <v>2354378.3599999994</v>
      </c>
      <c r="D32" s="158"/>
      <c r="F32" s="44" t="s">
        <v>58</v>
      </c>
      <c r="G32" s="138">
        <f>SUM(G23:G31)</f>
        <v>31461376</v>
      </c>
      <c r="H32" s="3"/>
      <c r="I32" s="42">
        <f>SUM(I23:I31)</f>
        <v>2636062.8639400005</v>
      </c>
      <c r="J32" s="40"/>
      <c r="K32" s="41"/>
      <c r="L32" s="1"/>
      <c r="M32" s="43"/>
    </row>
    <row r="33" spans="1:17" ht="15.6" customHeight="1">
      <c r="C33" s="130"/>
      <c r="D33" s="155"/>
      <c r="F33" s="35"/>
      <c r="G33" s="13">
        <v>31461376</v>
      </c>
      <c r="H33" s="36"/>
      <c r="I33" s="141">
        <f>I32/G32</f>
        <v>8.3787271858039539E-2</v>
      </c>
      <c r="J33" s="40"/>
      <c r="K33" s="41"/>
      <c r="L33" s="1"/>
      <c r="M33" s="11"/>
    </row>
    <row r="34" spans="1:17" ht="15.6" customHeight="1">
      <c r="A34" s="3" t="s">
        <v>42</v>
      </c>
      <c r="C34" s="130"/>
      <c r="D34" s="155"/>
      <c r="F34" s="23"/>
      <c r="G34" s="128">
        <f>G32-G33</f>
        <v>0</v>
      </c>
      <c r="H34" s="36" t="s">
        <v>46</v>
      </c>
      <c r="I34" s="11"/>
      <c r="J34" s="40"/>
      <c r="K34" s="39"/>
      <c r="L34" s="1"/>
      <c r="M34" s="11"/>
    </row>
    <row r="35" spans="1:17" ht="15.6" customHeight="1">
      <c r="A35" s="1" t="s">
        <v>60</v>
      </c>
      <c r="B35" s="8" t="s">
        <v>51</v>
      </c>
      <c r="C35" s="128">
        <v>10478070.119999999</v>
      </c>
      <c r="D35" s="155"/>
      <c r="F35" s="23"/>
      <c r="G35" s="144"/>
      <c r="H35" s="144"/>
      <c r="I35" s="145"/>
      <c r="J35" s="44" t="s">
        <v>59</v>
      </c>
      <c r="K35" s="146"/>
      <c r="L35" s="146"/>
      <c r="M35" s="147"/>
    </row>
    <row r="36" spans="1:17" ht="15.6" customHeight="1">
      <c r="A36" s="159" t="s">
        <v>5</v>
      </c>
      <c r="B36" s="8" t="s">
        <v>51</v>
      </c>
      <c r="C36" s="128"/>
      <c r="D36" s="155"/>
      <c r="F36" s="44" t="s">
        <v>59</v>
      </c>
      <c r="G36" s="1"/>
      <c r="H36" s="1"/>
      <c r="I36" s="11"/>
      <c r="J36" s="45" t="s">
        <v>14</v>
      </c>
      <c r="K36" s="156">
        <f>K23</f>
        <v>9871600</v>
      </c>
      <c r="L36" s="107">
        <v>0.15198999999999999</v>
      </c>
      <c r="M36" s="140">
        <f t="shared" ref="M36:M42" si="2">K36*L36</f>
        <v>1500384.4839999999</v>
      </c>
      <c r="P36" s="160"/>
      <c r="Q36" s="160"/>
    </row>
    <row r="37" spans="1:17" ht="15.6" customHeight="1">
      <c r="A37" s="1" t="s">
        <v>71</v>
      </c>
      <c r="B37" s="8" t="s">
        <v>72</v>
      </c>
      <c r="C37" s="128">
        <v>-30385.64</v>
      </c>
      <c r="D37" s="155"/>
      <c r="F37" s="45" t="s">
        <v>14</v>
      </c>
      <c r="G37" s="156">
        <f t="shared" ref="G37:G44" si="3">G23</f>
        <v>19882002</v>
      </c>
      <c r="H37" s="107">
        <v>0.15284</v>
      </c>
      <c r="I37" s="140">
        <f t="shared" ref="I37:I44" si="4">G37*H37</f>
        <v>3038765.1856800001</v>
      </c>
      <c r="J37" s="45" t="s">
        <v>15</v>
      </c>
      <c r="K37" s="156">
        <f>K24</f>
        <v>3247879</v>
      </c>
      <c r="L37" s="107">
        <f>L36</f>
        <v>0.15198999999999999</v>
      </c>
      <c r="M37" s="140">
        <f t="shared" si="2"/>
        <v>493645.12920999993</v>
      </c>
      <c r="P37" s="160"/>
      <c r="Q37" s="160"/>
    </row>
    <row r="38" spans="1:17" ht="15.6" customHeight="1">
      <c r="A38" s="1" t="s">
        <v>61</v>
      </c>
      <c r="B38" s="8" t="s">
        <v>62</v>
      </c>
      <c r="C38" s="128">
        <v>-500504.75</v>
      </c>
      <c r="D38" s="155"/>
      <c r="F38" s="45" t="s">
        <v>105</v>
      </c>
      <c r="G38" s="156">
        <f t="shared" si="3"/>
        <v>20223</v>
      </c>
      <c r="H38" s="107">
        <f>H37</f>
        <v>0.15284</v>
      </c>
      <c r="I38" s="140">
        <f t="shared" si="4"/>
        <v>3090.8833199999999</v>
      </c>
      <c r="J38" s="45" t="s">
        <v>16</v>
      </c>
      <c r="K38" s="156">
        <f>K25</f>
        <v>980</v>
      </c>
      <c r="L38" s="107">
        <f t="shared" ref="L38:L42" si="5">L37</f>
        <v>0.15198999999999999</v>
      </c>
      <c r="M38" s="140">
        <f t="shared" si="2"/>
        <v>148.9502</v>
      </c>
      <c r="P38" s="160"/>
      <c r="Q38" s="160"/>
    </row>
    <row r="39" spans="1:17" ht="15.6" customHeight="1">
      <c r="A39" s="1" t="s">
        <v>75</v>
      </c>
      <c r="B39" s="9" t="s">
        <v>76</v>
      </c>
      <c r="C39" s="128">
        <v>116900.62</v>
      </c>
      <c r="D39" s="155"/>
      <c r="F39" s="45" t="s">
        <v>15</v>
      </c>
      <c r="G39" s="156">
        <f t="shared" si="3"/>
        <v>7441465</v>
      </c>
      <c r="H39" s="107">
        <f t="shared" ref="H39:H44" si="6">H38</f>
        <v>0.15284</v>
      </c>
      <c r="I39" s="140">
        <f t="shared" si="4"/>
        <v>1137353.5105999999</v>
      </c>
      <c r="J39" s="45" t="s">
        <v>17</v>
      </c>
      <c r="K39" s="156">
        <f>K26</f>
        <v>0</v>
      </c>
      <c r="L39" s="107">
        <f t="shared" si="5"/>
        <v>0.15198999999999999</v>
      </c>
      <c r="M39" s="140">
        <f t="shared" si="2"/>
        <v>0</v>
      </c>
      <c r="P39" s="160"/>
      <c r="Q39" s="160"/>
    </row>
    <row r="40" spans="1:17" ht="15.6" customHeight="1" thickBot="1">
      <c r="A40" s="1" t="s">
        <v>87</v>
      </c>
      <c r="B40" s="8" t="s">
        <v>88</v>
      </c>
      <c r="C40" s="128">
        <v>1348322.43</v>
      </c>
      <c r="D40" s="155"/>
      <c r="F40" s="45" t="s">
        <v>16</v>
      </c>
      <c r="G40" s="156">
        <f t="shared" si="3"/>
        <v>18232</v>
      </c>
      <c r="H40" s="107">
        <f t="shared" si="6"/>
        <v>0.15284</v>
      </c>
      <c r="I40" s="140">
        <f t="shared" si="4"/>
        <v>2786.57888</v>
      </c>
      <c r="J40" s="45" t="s">
        <v>18</v>
      </c>
      <c r="K40" s="156">
        <f>K27</f>
        <v>0</v>
      </c>
      <c r="L40" s="107">
        <f t="shared" si="5"/>
        <v>0.15198999999999999</v>
      </c>
      <c r="M40" s="140">
        <f t="shared" si="2"/>
        <v>0</v>
      </c>
      <c r="P40" s="160"/>
      <c r="Q40" s="160"/>
    </row>
    <row r="41" spans="1:17" ht="15.6" customHeight="1" thickBot="1">
      <c r="A41" s="10" t="s">
        <v>55</v>
      </c>
      <c r="B41" s="8"/>
      <c r="C41" s="154">
        <f>SUM(C35:C40)</f>
        <v>11412402.779999997</v>
      </c>
      <c r="D41" s="155"/>
      <c r="F41" s="45" t="s">
        <v>17</v>
      </c>
      <c r="G41" s="156">
        <f t="shared" si="3"/>
        <v>176036</v>
      </c>
      <c r="H41" s="107">
        <f t="shared" si="6"/>
        <v>0.15284</v>
      </c>
      <c r="I41" s="140">
        <f t="shared" si="4"/>
        <v>26905.342240000002</v>
      </c>
      <c r="J41" s="45" t="s">
        <v>19</v>
      </c>
      <c r="K41" s="156">
        <v>0</v>
      </c>
      <c r="L41" s="107">
        <f t="shared" si="5"/>
        <v>0.15198999999999999</v>
      </c>
      <c r="M41" s="140">
        <f t="shared" si="2"/>
        <v>0</v>
      </c>
      <c r="P41" s="160"/>
      <c r="Q41" s="160"/>
    </row>
    <row r="42" spans="1:17" ht="15.6" customHeight="1">
      <c r="A42" s="161" t="s">
        <v>86</v>
      </c>
      <c r="B42" s="162" t="s">
        <v>54</v>
      </c>
      <c r="C42" s="128">
        <f>4267253.61-353110.41+0.01</f>
        <v>3914143.21</v>
      </c>
      <c r="D42" s="2"/>
      <c r="F42" s="45" t="s">
        <v>18</v>
      </c>
      <c r="G42" s="156">
        <f t="shared" si="3"/>
        <v>412402</v>
      </c>
      <c r="H42" s="107">
        <f t="shared" si="6"/>
        <v>0.15284</v>
      </c>
      <c r="I42" s="140">
        <f t="shared" si="4"/>
        <v>63031.521679999998</v>
      </c>
      <c r="J42" s="45" t="s">
        <v>20</v>
      </c>
      <c r="K42" s="156">
        <v>0</v>
      </c>
      <c r="L42" s="107">
        <f t="shared" si="5"/>
        <v>0.15198999999999999</v>
      </c>
      <c r="M42" s="140">
        <f t="shared" si="2"/>
        <v>0</v>
      </c>
      <c r="P42" s="160"/>
      <c r="Q42" s="160"/>
    </row>
    <row r="43" spans="1:17" ht="15.6" customHeight="1" thickBot="1">
      <c r="A43" s="51" t="s">
        <v>67</v>
      </c>
      <c r="B43" s="9" t="s">
        <v>51</v>
      </c>
      <c r="C43" s="128">
        <v>0</v>
      </c>
      <c r="D43" s="155"/>
      <c r="F43" s="45" t="s">
        <v>19</v>
      </c>
      <c r="G43" s="156">
        <f t="shared" si="3"/>
        <v>0</v>
      </c>
      <c r="H43" s="107">
        <f t="shared" si="6"/>
        <v>0.15284</v>
      </c>
      <c r="I43" s="140">
        <f t="shared" si="4"/>
        <v>0</v>
      </c>
      <c r="J43" s="44" t="s">
        <v>63</v>
      </c>
      <c r="K43" s="138">
        <f>SUM(K36:K42)</f>
        <v>13120459</v>
      </c>
      <c r="L43" s="139"/>
      <c r="M43" s="42">
        <f>SUM(M36:M42)</f>
        <v>1994178.5634099999</v>
      </c>
    </row>
    <row r="44" spans="1:17" ht="15.6" customHeight="1" thickTop="1" thickBot="1">
      <c r="A44" s="159" t="s">
        <v>104</v>
      </c>
      <c r="B44" s="9" t="s">
        <v>51</v>
      </c>
      <c r="C44" s="128">
        <v>7000</v>
      </c>
      <c r="D44" s="2"/>
      <c r="F44" s="45" t="s">
        <v>20</v>
      </c>
      <c r="G44" s="156">
        <f t="shared" si="3"/>
        <v>199430</v>
      </c>
      <c r="H44" s="107">
        <f t="shared" si="6"/>
        <v>0.15284</v>
      </c>
      <c r="I44" s="140">
        <f t="shared" si="4"/>
        <v>30480.8812</v>
      </c>
      <c r="J44" s="37"/>
      <c r="K44" s="13">
        <v>13120459</v>
      </c>
      <c r="L44" s="38"/>
      <c r="M44" s="142">
        <f>M43/K43</f>
        <v>0.15198999999999999</v>
      </c>
    </row>
    <row r="45" spans="1:17" ht="15.6" customHeight="1" thickBot="1">
      <c r="A45" s="1" t="s">
        <v>207</v>
      </c>
      <c r="B45" s="8" t="s">
        <v>74</v>
      </c>
      <c r="C45" s="128">
        <v>18454.84</v>
      </c>
      <c r="D45" s="157"/>
      <c r="F45" s="44" t="s">
        <v>63</v>
      </c>
      <c r="G45" s="138">
        <f>SUM(G37:G44)</f>
        <v>28149790</v>
      </c>
      <c r="H45" s="139"/>
      <c r="I45" s="42">
        <f>SUM(I37:I44)</f>
        <v>4302413.9035999998</v>
      </c>
      <c r="J45" s="14"/>
      <c r="K45" s="128">
        <f>K43-K44</f>
        <v>0</v>
      </c>
      <c r="L45" s="36" t="s">
        <v>46</v>
      </c>
      <c r="M45" s="14"/>
    </row>
    <row r="46" spans="1:17" ht="15.6" customHeight="1" thickTop="1" thickBot="1">
      <c r="A46" s="1" t="s">
        <v>98</v>
      </c>
      <c r="B46" s="8" t="s">
        <v>74</v>
      </c>
      <c r="C46" s="128">
        <v>2978.03</v>
      </c>
      <c r="D46" s="158"/>
      <c r="F46" s="37"/>
      <c r="G46" s="163">
        <v>28149790</v>
      </c>
      <c r="H46" s="38"/>
      <c r="I46" s="142">
        <f>I45/G45</f>
        <v>0.15284</v>
      </c>
      <c r="J46" s="14"/>
      <c r="K46" s="54"/>
      <c r="M46" s="14"/>
    </row>
    <row r="47" spans="1:17" ht="15.6" customHeight="1">
      <c r="A47" s="1" t="s">
        <v>106</v>
      </c>
      <c r="B47" s="8" t="s">
        <v>74</v>
      </c>
      <c r="C47" s="128">
        <v>3620.94</v>
      </c>
      <c r="D47" s="155"/>
      <c r="G47" s="128">
        <f>G45-G46</f>
        <v>0</v>
      </c>
      <c r="H47" s="36" t="s">
        <v>46</v>
      </c>
      <c r="J47" s="14"/>
      <c r="K47" s="54"/>
      <c r="M47" s="14"/>
    </row>
    <row r="48" spans="1:17" ht="15.6" customHeight="1" thickBot="1">
      <c r="A48" s="32" t="s">
        <v>52</v>
      </c>
      <c r="B48" s="9"/>
      <c r="C48" s="128">
        <f>-C31</f>
        <v>38308</v>
      </c>
      <c r="D48" s="155"/>
      <c r="J48" s="14"/>
      <c r="K48" s="13"/>
      <c r="M48" s="39"/>
    </row>
    <row r="49" spans="1:20" ht="15.6" customHeight="1">
      <c r="A49" s="51" t="s">
        <v>208</v>
      </c>
      <c r="B49" s="8" t="s">
        <v>109</v>
      </c>
      <c r="C49" s="128">
        <f>8220.36+4906.75</f>
        <v>13127.11</v>
      </c>
      <c r="D49" s="155"/>
      <c r="G49" s="13"/>
      <c r="H49" s="18" t="s">
        <v>12</v>
      </c>
      <c r="I49" s="4" t="s">
        <v>12</v>
      </c>
      <c r="J49" s="4" t="s">
        <v>24</v>
      </c>
      <c r="K49" s="16" t="s">
        <v>31</v>
      </c>
      <c r="L49" s="14"/>
    </row>
    <row r="50" spans="1:20" ht="15.6" customHeight="1" thickBot="1">
      <c r="A50" s="51" t="s">
        <v>56</v>
      </c>
      <c r="B50" s="9" t="s">
        <v>102</v>
      </c>
      <c r="C50" s="128">
        <f>707278.06-5504996.25-3272907.89</f>
        <v>-8070626.0800000001</v>
      </c>
      <c r="D50" s="2"/>
      <c r="F50" s="7" t="s">
        <v>34</v>
      </c>
      <c r="H50" s="19" t="s">
        <v>1</v>
      </c>
      <c r="I50" s="20" t="s">
        <v>2</v>
      </c>
      <c r="J50" s="20" t="s">
        <v>1</v>
      </c>
      <c r="K50" s="17" t="s">
        <v>2</v>
      </c>
    </row>
    <row r="51" spans="1:20" ht="15.6" customHeight="1">
      <c r="A51" s="51" t="s">
        <v>107</v>
      </c>
      <c r="B51" s="9" t="s">
        <v>97</v>
      </c>
      <c r="C51" s="128">
        <v>-375000</v>
      </c>
      <c r="D51" s="155"/>
      <c r="H51" s="21"/>
      <c r="I51" s="22"/>
      <c r="J51" s="22"/>
      <c r="K51" s="22"/>
      <c r="L51" s="108"/>
    </row>
    <row r="52" spans="1:20" ht="15.6" customHeight="1" thickBot="1">
      <c r="A52" s="164" t="s">
        <v>53</v>
      </c>
      <c r="B52" s="162"/>
      <c r="C52" s="24">
        <f>SUM(C41:C51)</f>
        <v>6964408.8299999963</v>
      </c>
      <c r="D52" s="153"/>
      <c r="F52" s="51" t="s">
        <v>66</v>
      </c>
      <c r="H52" s="117">
        <f>K12</f>
        <v>4767920.9929429982</v>
      </c>
      <c r="I52" s="118">
        <f>I14</f>
        <v>1616987.0576479996</v>
      </c>
      <c r="J52" s="118">
        <f>L12</f>
        <v>2222195.2870569988</v>
      </c>
      <c r="K52" s="118">
        <f>J14</f>
        <v>737391.3023519998</v>
      </c>
      <c r="L52" s="119">
        <f>SUM(H52:K52)</f>
        <v>9344494.6399999969</v>
      </c>
    </row>
    <row r="53" spans="1:20" ht="15.6" customHeight="1" thickTop="1" thickBot="1">
      <c r="A53" s="51" t="s">
        <v>205</v>
      </c>
      <c r="B53" s="9" t="s">
        <v>121</v>
      </c>
      <c r="C53" s="128">
        <v>17497.73</v>
      </c>
      <c r="D53" s="155"/>
      <c r="F53" s="51" t="s">
        <v>48</v>
      </c>
      <c r="H53" s="117">
        <f>-I45</f>
        <v>-4302413.9035999998</v>
      </c>
      <c r="I53" s="118">
        <f>-I32</f>
        <v>-2636062.8639400005</v>
      </c>
      <c r="J53" s="118">
        <f>-M43</f>
        <v>-1994178.5634099999</v>
      </c>
      <c r="K53" s="118">
        <f>-M28</f>
        <v>-1219546.6640500003</v>
      </c>
      <c r="L53" s="120">
        <f>SUM(H53:K53)</f>
        <v>-10152201.994999999</v>
      </c>
    </row>
    <row r="54" spans="1:20" ht="15.6" customHeight="1" thickBot="1">
      <c r="A54" s="51" t="s">
        <v>206</v>
      </c>
      <c r="B54" s="9" t="s">
        <v>122</v>
      </c>
      <c r="C54" s="128">
        <v>8209.7199999999993</v>
      </c>
      <c r="D54" s="155"/>
      <c r="F54" s="51" t="s">
        <v>37</v>
      </c>
      <c r="H54" s="121">
        <v>0</v>
      </c>
      <c r="I54" s="122">
        <v>0</v>
      </c>
      <c r="J54" s="122">
        <v>0</v>
      </c>
      <c r="K54" s="123">
        <v>0</v>
      </c>
      <c r="L54" s="165"/>
    </row>
    <row r="55" spans="1:20" ht="15.6" customHeight="1" thickBot="1">
      <c r="A55" s="7" t="s">
        <v>189</v>
      </c>
      <c r="C55" s="24">
        <f>SUM(C52:C54)</f>
        <v>6990116.2799999965</v>
      </c>
      <c r="D55" s="155"/>
      <c r="F55" s="7" t="s">
        <v>32</v>
      </c>
      <c r="H55" s="154">
        <f>H52+H53+H54</f>
        <v>465507.08934299834</v>
      </c>
      <c r="I55" s="154">
        <f>I52+I53+I54</f>
        <v>-1019075.8062920009</v>
      </c>
      <c r="J55" s="154">
        <f>J52+J53+J54</f>
        <v>228016.72364699887</v>
      </c>
      <c r="K55" s="154">
        <f>K52+K53+K54</f>
        <v>-482155.36169800046</v>
      </c>
      <c r="L55" s="114">
        <f>SUM(H55:K55)</f>
        <v>-807707.35500000417</v>
      </c>
    </row>
    <row r="56" spans="1:20" ht="15.6" customHeight="1" thickTop="1" thickBot="1">
      <c r="C56" s="130"/>
      <c r="D56" s="155"/>
      <c r="F56" s="51" t="s">
        <v>90</v>
      </c>
      <c r="H56" s="51" t="s">
        <v>82</v>
      </c>
      <c r="I56" s="1">
        <f>SUM(H55:I55)</f>
        <v>-553568.71694900258</v>
      </c>
      <c r="J56" s="9" t="s">
        <v>83</v>
      </c>
      <c r="K56" s="51">
        <f>SUM(J55:K55)</f>
        <v>-254138.63805100159</v>
      </c>
      <c r="L56" s="166"/>
      <c r="T56" s="167"/>
    </row>
    <row r="57" spans="1:20" ht="15.6" customHeight="1" thickBot="1">
      <c r="A57" s="9"/>
      <c r="B57" s="9" t="s">
        <v>43</v>
      </c>
      <c r="C57" s="154">
        <f>C55+C32</f>
        <v>9344494.6399999969</v>
      </c>
      <c r="D57" s="155"/>
      <c r="F57" s="157" t="s">
        <v>91</v>
      </c>
      <c r="H57" s="168"/>
    </row>
    <row r="58" spans="1:20" ht="15.6" customHeight="1" thickBot="1">
      <c r="A58" s="9"/>
      <c r="B58" s="9"/>
      <c r="C58" s="126"/>
      <c r="D58" s="155"/>
      <c r="F58" s="157"/>
      <c r="H58" s="157"/>
      <c r="K58" s="169"/>
    </row>
    <row r="59" spans="1:20" ht="15.6" customHeight="1">
      <c r="B59" s="9" t="s">
        <v>188</v>
      </c>
      <c r="C59" s="128">
        <v>9344494.6400000006</v>
      </c>
      <c r="D59" s="155"/>
      <c r="F59" s="170" t="s">
        <v>103</v>
      </c>
      <c r="G59" s="51" t="str">
        <f>IF(OR(AND(I56&gt;0,K56&gt;0),AND(I56&lt;0,K56&lt;0)),"OK","ERROR")</f>
        <v>OK</v>
      </c>
      <c r="H59" s="21" t="s">
        <v>101</v>
      </c>
      <c r="I59" s="46"/>
    </row>
    <row r="60" spans="1:20" ht="15.6" customHeight="1" thickBot="1">
      <c r="A60" s="9"/>
      <c r="B60" s="9" t="s">
        <v>77</v>
      </c>
      <c r="C60" s="128">
        <f>ROUND(C57-C59,2)</f>
        <v>0</v>
      </c>
      <c r="D60" s="155"/>
      <c r="H60" s="171" t="s">
        <v>84</v>
      </c>
      <c r="I60" s="172" t="s">
        <v>85</v>
      </c>
      <c r="J60" s="1"/>
    </row>
    <row r="61" spans="1:20" ht="15.6" customHeight="1" thickBot="1">
      <c r="C61" s="173"/>
      <c r="D61" s="2"/>
      <c r="H61" s="50" t="e">
        <f>'191010 WA DEF'!E49+'191010 WA DEF'!E50+'191010 WA DEF'!E51+'191010 WA DEF'!E56+'191010 WA DEF'!E57+'191000 WA Amort'!E49+'191000 WA Amort'!E50+'191000 WA Amort'!E51+'191000 WA Amort'!E56+'191000 WA Amort'!E57+#REF!+#REF!+#REF!+#REF!+#REF!+#REF!+#REF!+#REF!+#REF!+#REF!</f>
        <v>#REF!</v>
      </c>
      <c r="I61" s="52" t="e">
        <f>'191010 WA DEF'!F48+'191010 WA DEF'!F50+'191010 WA DEF'!F51+'191010 WA DEF'!F56+'191010 WA DEF'!F57+'191000 WA Amort'!F48+'191000 WA Amort'!F50+'191000 WA Amort'!F51+'191000 WA Amort'!F56+'191000 WA Amort'!F57+#REF!+#REF!+#REF!+#REF!+#REF!+#REF!+#REF!+#REF!+#REF!+#REF!</f>
        <v>#REF!</v>
      </c>
    </row>
    <row r="62" spans="1:20" ht="15.6" customHeight="1">
      <c r="C62" s="2"/>
      <c r="G62" s="1"/>
      <c r="I62" s="130" t="e">
        <f>H61-I61</f>
        <v>#REF!</v>
      </c>
      <c r="N62" s="1"/>
      <c r="O62" s="1"/>
      <c r="P62" s="174"/>
    </row>
    <row r="63" spans="1:20" ht="15.6" customHeight="1">
      <c r="C63" s="2"/>
      <c r="D63" s="155"/>
      <c r="S63" s="175"/>
    </row>
    <row r="64" spans="1:20" ht="15.6" customHeight="1">
      <c r="C64" s="12"/>
      <c r="D64" s="176"/>
      <c r="N64" s="32"/>
    </row>
    <row r="65" spans="4:21" ht="15.6" customHeight="1">
      <c r="D65" s="155"/>
      <c r="N65" s="32"/>
      <c r="S65" s="177"/>
    </row>
    <row r="66" spans="4:21" ht="15.6" customHeight="1">
      <c r="D66" s="155"/>
      <c r="H66" s="168"/>
      <c r="N66" s="32"/>
      <c r="S66" s="177"/>
    </row>
    <row r="67" spans="4:21" ht="15.6" customHeight="1">
      <c r="D67" s="155"/>
      <c r="N67" s="32"/>
      <c r="S67" s="178"/>
    </row>
    <row r="68" spans="4:21" ht="15.6" customHeight="1">
      <c r="D68" s="155"/>
      <c r="N68" s="32"/>
      <c r="S68" s="177"/>
    </row>
    <row r="69" spans="4:21" ht="15.6" customHeight="1">
      <c r="D69" s="2"/>
      <c r="N69" s="32"/>
    </row>
    <row r="70" spans="4:21" ht="15.6" customHeight="1">
      <c r="D70" s="155"/>
      <c r="N70" s="32"/>
      <c r="S70" s="177"/>
    </row>
    <row r="71" spans="4:21" ht="15.6" customHeight="1">
      <c r="D71" s="155"/>
    </row>
    <row r="72" spans="4:21" ht="15.6" customHeight="1">
      <c r="D72" s="155"/>
    </row>
    <row r="73" spans="4:21" ht="15.6" customHeight="1">
      <c r="D73" s="39"/>
      <c r="S73" s="179"/>
    </row>
    <row r="74" spans="4:21">
      <c r="R74" s="175"/>
      <c r="S74" s="175"/>
      <c r="T74" s="175"/>
    </row>
    <row r="76" spans="4:21">
      <c r="U76" s="180"/>
    </row>
    <row r="1474" spans="3:3">
      <c r="C1474" s="51">
        <v>-2130</v>
      </c>
    </row>
    <row r="1482" spans="3:3">
      <c r="C1482" s="5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0 I62">
    <cfRule type="cellIs" dxfId="34" priority="55" stopIfTrue="1" operator="equal">
      <formula>0</formula>
    </cfRule>
    <cfRule type="cellIs" dxfId="33" priority="56" stopIfTrue="1" operator="notEqual">
      <formula>0</formula>
    </cfRule>
  </conditionalFormatting>
  <conditionalFormatting sqref="K46:K47">
    <cfRule type="cellIs" dxfId="32" priority="48" operator="notEqual">
      <formula>0</formula>
    </cfRule>
  </conditionalFormatting>
  <conditionalFormatting sqref="C60">
    <cfRule type="cellIs" dxfId="31" priority="42" stopIfTrue="1" operator="equal">
      <formula>0</formula>
    </cfRule>
    <cfRule type="cellIs" dxfId="30" priority="43" stopIfTrue="1" operator="notEqual">
      <formula>0</formula>
    </cfRule>
  </conditionalFormatting>
  <conditionalFormatting sqref="G59">
    <cfRule type="cellIs" dxfId="29" priority="30" operator="equal">
      <formula>"ERROR"</formula>
    </cfRule>
  </conditionalFormatting>
  <conditionalFormatting sqref="G59">
    <cfRule type="cellIs" dxfId="28" priority="29" operator="equal">
      <formula>"ERROR"</formula>
    </cfRule>
  </conditionalFormatting>
  <conditionalFormatting sqref="H15">
    <cfRule type="cellIs" dxfId="27" priority="27" stopIfTrue="1" operator="equal">
      <formula>0</formula>
    </cfRule>
    <cfRule type="cellIs" dxfId="26" priority="28" stopIfTrue="1" operator="notEqual">
      <formula>0</formula>
    </cfRule>
  </conditionalFormatting>
  <conditionalFormatting sqref="H15">
    <cfRule type="cellIs" dxfId="25" priority="25" stopIfTrue="1" operator="equal">
      <formula>0</formula>
    </cfRule>
    <cfRule type="cellIs" dxfId="24" priority="26" stopIfTrue="1" operator="notEqual">
      <formula>0</formula>
    </cfRule>
  </conditionalFormatting>
  <conditionalFormatting sqref="J15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15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15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15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G34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G34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G47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G47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K30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K30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K45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K45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ignoredErrors>
    <ignoredError sqref="H9:L13 J7 I14:L1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zoomScale="90" zoomScaleNormal="90" workbookViewId="0">
      <pane ySplit="6" topLeftCell="A7" activePane="bottomLeft" state="frozen"/>
      <selection activeCell="D23" sqref="D23"/>
      <selection pane="bottomLeft"/>
    </sheetView>
  </sheetViews>
  <sheetFormatPr defaultColWidth="8.85546875" defaultRowHeight="15" outlineLevelRow="1"/>
  <cols>
    <col min="1" max="1" width="9.140625" style="77" customWidth="1"/>
    <col min="2" max="2" width="8.85546875" style="77"/>
    <col min="3" max="3" width="1.7109375" style="55" customWidth="1"/>
    <col min="4" max="4" width="13.7109375" style="77" customWidth="1"/>
    <col min="5" max="6" width="14.28515625" style="77" customWidth="1"/>
    <col min="7" max="7" width="14.7109375" style="77" bestFit="1" customWidth="1"/>
    <col min="8" max="8" width="12.140625" style="77" customWidth="1"/>
    <col min="9" max="9" width="15.28515625" style="77" bestFit="1" customWidth="1"/>
    <col min="10" max="10" width="1.7109375" style="55" customWidth="1"/>
    <col min="11" max="11" width="14.28515625" style="77" bestFit="1" customWidth="1"/>
    <col min="12" max="12" width="13.85546875" style="77" bestFit="1" customWidth="1"/>
    <col min="13" max="13" width="6.140625" style="77" customWidth="1"/>
    <col min="14" max="16" width="8.85546875" style="77"/>
    <col min="17" max="17" width="12.7109375" style="77" customWidth="1"/>
    <col min="18" max="19" width="13.140625" style="77" bestFit="1" customWidth="1"/>
    <col min="20" max="16384" width="8.85546875" style="77"/>
  </cols>
  <sheetData>
    <row r="1" spans="1:13" s="56" customFormat="1" ht="15.75">
      <c r="A1" s="181" t="s">
        <v>4</v>
      </c>
      <c r="B1" s="182"/>
      <c r="C1" s="182"/>
      <c r="D1" s="182"/>
      <c r="E1" s="182"/>
      <c r="F1" s="182"/>
      <c r="G1" s="182"/>
    </row>
    <row r="2" spans="1:13" s="56" customFormat="1" ht="15.75">
      <c r="A2" s="181" t="s">
        <v>0</v>
      </c>
      <c r="B2" s="182"/>
      <c r="C2" s="182"/>
      <c r="D2" s="182"/>
      <c r="E2" s="182"/>
      <c r="F2" s="182"/>
      <c r="G2" s="182"/>
    </row>
    <row r="3" spans="1:13" s="56" customFormat="1" ht="15.75">
      <c r="A3" s="181" t="s">
        <v>181</v>
      </c>
      <c r="B3" s="182"/>
      <c r="C3" s="182"/>
      <c r="D3" s="182"/>
      <c r="E3" s="182"/>
      <c r="F3" s="182"/>
      <c r="G3" s="182"/>
    </row>
    <row r="4" spans="1:13" s="56" customFormat="1" ht="15.75">
      <c r="A4" s="181" t="s">
        <v>182</v>
      </c>
      <c r="B4" s="182"/>
      <c r="C4" s="182"/>
      <c r="D4" s="182"/>
      <c r="E4" s="182"/>
      <c r="F4" s="182"/>
      <c r="G4" s="182"/>
    </row>
    <row r="5" spans="1:13" s="57" customFormat="1" ht="18.75">
      <c r="A5" s="183"/>
      <c r="B5" s="184"/>
      <c r="C5" s="184"/>
      <c r="D5" s="184"/>
      <c r="E5" s="184"/>
      <c r="F5" s="184"/>
      <c r="G5" s="184"/>
    </row>
    <row r="6" spans="1:13" s="187" customFormat="1" ht="56.45" customHeight="1">
      <c r="A6" s="185" t="s">
        <v>110</v>
      </c>
      <c r="B6" s="186" t="s">
        <v>100</v>
      </c>
      <c r="C6" s="58"/>
      <c r="D6" s="186" t="s">
        <v>117</v>
      </c>
      <c r="E6" s="186" t="s">
        <v>99</v>
      </c>
      <c r="F6" s="186" t="s">
        <v>1</v>
      </c>
      <c r="G6" s="186" t="s">
        <v>2</v>
      </c>
      <c r="H6" s="186" t="s">
        <v>3</v>
      </c>
      <c r="I6" s="186" t="s">
        <v>23</v>
      </c>
      <c r="J6" s="58"/>
      <c r="K6" s="186" t="s">
        <v>111</v>
      </c>
      <c r="L6" s="186" t="s">
        <v>112</v>
      </c>
      <c r="M6" s="58"/>
    </row>
    <row r="7" spans="1:13" s="187" customFormat="1" ht="15.6" hidden="1" customHeight="1" outlineLevel="1">
      <c r="A7" s="188" t="s">
        <v>113</v>
      </c>
      <c r="B7" s="189">
        <v>4.2500000000000003E-2</v>
      </c>
      <c r="C7" s="68"/>
      <c r="D7" s="190"/>
      <c r="E7" s="80">
        <v>-11107523.789999999</v>
      </c>
      <c r="F7" s="190">
        <v>-743591.9</v>
      </c>
      <c r="G7" s="190">
        <v>-1331000.46</v>
      </c>
      <c r="H7" s="80">
        <f t="shared" ref="H7:H28" si="0">ROUND(((E7)*(B7/12))+((SUM(F7:G7)/2)*(B7/12)),2)</f>
        <v>-43012.9</v>
      </c>
      <c r="I7" s="80">
        <f t="shared" ref="I7:I16" si="1">SUM(E7:H7)</f>
        <v>-13225129.049999999</v>
      </c>
      <c r="J7" s="58"/>
      <c r="K7" s="69">
        <f>_xll.Get_Balance(A7,"YTD","USD","Total","A","","001","191010","GD","WA","DL")</f>
        <v>-13242800.26</v>
      </c>
      <c r="L7" s="191">
        <f t="shared" ref="L7:L17" si="2">K7-I7</f>
        <v>-17671.210000000894</v>
      </c>
      <c r="M7" s="58"/>
    </row>
    <row r="8" spans="1:13" s="187" customFormat="1" ht="15.6" hidden="1" customHeight="1" outlineLevel="1">
      <c r="A8" s="188" t="s">
        <v>114</v>
      </c>
      <c r="B8" s="189">
        <v>4.2500000000000003E-2</v>
      </c>
      <c r="C8" s="68"/>
      <c r="D8" s="190"/>
      <c r="E8" s="80">
        <f>I7</f>
        <v>-13225129.049999999</v>
      </c>
      <c r="F8" s="190">
        <v>1500599.24</v>
      </c>
      <c r="G8" s="190">
        <v>-1492728.86</v>
      </c>
      <c r="H8" s="80">
        <f t="shared" si="0"/>
        <v>-46825.06</v>
      </c>
      <c r="I8" s="80">
        <f t="shared" si="1"/>
        <v>-13264083.729999999</v>
      </c>
      <c r="J8" s="58"/>
      <c r="K8" s="69">
        <f>_xll.Get_Balance(A8,"YTD","USD","Total","A","","001","191010","GD","WA","DL")</f>
        <v>-13281817.529999999</v>
      </c>
      <c r="L8" s="191">
        <f t="shared" si="2"/>
        <v>-17733.800000000745</v>
      </c>
      <c r="M8" s="58"/>
    </row>
    <row r="9" spans="1:13" s="187" customFormat="1" ht="15.6" hidden="1" customHeight="1" outlineLevel="1">
      <c r="A9" s="188" t="s">
        <v>115</v>
      </c>
      <c r="B9" s="189">
        <v>4.2500000000000003E-2</v>
      </c>
      <c r="C9" s="68"/>
      <c r="D9" s="190"/>
      <c r="E9" s="80">
        <f t="shared" ref="E9:E15" si="3">I8</f>
        <v>-13264083.729999999</v>
      </c>
      <c r="F9" s="190">
        <v>262271.12</v>
      </c>
      <c r="G9" s="190">
        <v>-772819.74</v>
      </c>
      <c r="H9" s="80">
        <f t="shared" si="0"/>
        <v>-47881.06</v>
      </c>
      <c r="I9" s="80">
        <f t="shared" si="1"/>
        <v>-13822513.41</v>
      </c>
      <c r="J9" s="58"/>
      <c r="K9" s="69">
        <f>_xll.Get_Balance(A9,"YTD","USD","Total","A","","001","191010","GD","WA","DL")</f>
        <v>-13840310.02</v>
      </c>
      <c r="L9" s="191">
        <f t="shared" si="2"/>
        <v>-17796.609999999404</v>
      </c>
      <c r="M9" s="58"/>
    </row>
    <row r="10" spans="1:13" s="187" customFormat="1" ht="15.6" hidden="1" customHeight="1" outlineLevel="1">
      <c r="A10" s="188" t="s">
        <v>118</v>
      </c>
      <c r="B10" s="189">
        <v>4.4699999999999997E-2</v>
      </c>
      <c r="C10" s="68"/>
      <c r="D10" s="190"/>
      <c r="E10" s="80">
        <f t="shared" si="3"/>
        <v>-13822513.41</v>
      </c>
      <c r="F10" s="190">
        <v>-1287451.4099999999</v>
      </c>
      <c r="G10" s="190">
        <v>-46824.41</v>
      </c>
      <c r="H10" s="80">
        <f t="shared" si="0"/>
        <v>-53973.95</v>
      </c>
      <c r="I10" s="80">
        <f t="shared" si="1"/>
        <v>-15210763.18</v>
      </c>
      <c r="J10" s="58"/>
      <c r="K10" s="69">
        <f>_xll.Get_Balance(A10,"YTD","USD","Total","A","","001","191010","GD","WA","DL")</f>
        <v>-15210763.189999999</v>
      </c>
      <c r="L10" s="191">
        <f t="shared" si="2"/>
        <v>-9.9999997764825821E-3</v>
      </c>
      <c r="M10" s="58"/>
    </row>
    <row r="11" spans="1:13" s="187" customFormat="1" ht="15.6" hidden="1" customHeight="1" outlineLevel="1">
      <c r="A11" s="188" t="s">
        <v>119</v>
      </c>
      <c r="B11" s="189">
        <v>4.4699999999999997E-2</v>
      </c>
      <c r="C11" s="68"/>
      <c r="D11" s="190"/>
      <c r="E11" s="80">
        <f t="shared" si="3"/>
        <v>-15210763.18</v>
      </c>
      <c r="F11" s="190">
        <v>-1208166.99</v>
      </c>
      <c r="G11" s="190">
        <v>890572.34</v>
      </c>
      <c r="H11" s="80">
        <f t="shared" si="0"/>
        <v>-57251.61</v>
      </c>
      <c r="I11" s="80">
        <f t="shared" si="1"/>
        <v>-15585609.439999999</v>
      </c>
      <c r="J11" s="58"/>
      <c r="K11" s="69">
        <f>_xll.Get_Balance(A11,"YTD","USD","Total","A","","001","191010","GD","WA","DL")</f>
        <v>-15585609.439999999</v>
      </c>
      <c r="L11" s="191">
        <f t="shared" si="2"/>
        <v>0</v>
      </c>
      <c r="M11" s="58"/>
    </row>
    <row r="12" spans="1:13" s="187" customFormat="1" ht="15.6" hidden="1" customHeight="1" outlineLevel="1">
      <c r="A12" s="188" t="s">
        <v>120</v>
      </c>
      <c r="B12" s="189">
        <v>4.4699999999999997E-2</v>
      </c>
      <c r="C12" s="68"/>
      <c r="D12" s="190"/>
      <c r="E12" s="80">
        <f t="shared" si="3"/>
        <v>-15585609.439999999</v>
      </c>
      <c r="F12" s="190">
        <v>-914700.4</v>
      </c>
      <c r="G12" s="190">
        <v>938461.95</v>
      </c>
      <c r="H12" s="80">
        <f t="shared" si="0"/>
        <v>-58012.14</v>
      </c>
      <c r="I12" s="80">
        <f t="shared" si="1"/>
        <v>-15619860.030000001</v>
      </c>
      <c r="J12" s="58"/>
      <c r="K12" s="69">
        <f>_xll.Get_Balance(A12,"YTD","USD","Total","A","","001","191010","GD","WA","DL")</f>
        <v>-15619860.029999999</v>
      </c>
      <c r="L12" s="191">
        <f t="shared" si="2"/>
        <v>0</v>
      </c>
      <c r="M12" s="58"/>
    </row>
    <row r="13" spans="1:13" s="187" customFormat="1" ht="15.6" hidden="1" customHeight="1" outlineLevel="1">
      <c r="A13" s="188" t="s">
        <v>149</v>
      </c>
      <c r="B13" s="189">
        <v>4.6899999999999997E-2</v>
      </c>
      <c r="C13" s="68"/>
      <c r="D13" s="190"/>
      <c r="E13" s="80">
        <f t="shared" si="3"/>
        <v>-15619860.030000001</v>
      </c>
      <c r="F13" s="190">
        <v>-2116989.4300000002</v>
      </c>
      <c r="G13" s="190">
        <v>1054475.72</v>
      </c>
      <c r="H13" s="80">
        <f t="shared" si="0"/>
        <v>-63123.95</v>
      </c>
      <c r="I13" s="80">
        <f t="shared" si="1"/>
        <v>-16745497.689999999</v>
      </c>
      <c r="J13" s="58"/>
      <c r="K13" s="69">
        <f>_xll.Get_Balance(A13,"YTD","USD","Total","A","","001","191010","GD","WA","DL")</f>
        <v>-16745497.689999999</v>
      </c>
      <c r="L13" s="191">
        <f t="shared" si="2"/>
        <v>0</v>
      </c>
      <c r="M13" s="58"/>
    </row>
    <row r="14" spans="1:13" s="187" customFormat="1" ht="15.6" hidden="1" customHeight="1" outlineLevel="1">
      <c r="A14" s="188" t="s">
        <v>150</v>
      </c>
      <c r="B14" s="189">
        <v>4.6899999999999997E-2</v>
      </c>
      <c r="C14" s="68"/>
      <c r="D14" s="190"/>
      <c r="E14" s="80">
        <f t="shared" si="3"/>
        <v>-16745497.689999999</v>
      </c>
      <c r="F14" s="190">
        <v>-2914665.41</v>
      </c>
      <c r="G14" s="190">
        <v>1052086.5</v>
      </c>
      <c r="H14" s="80">
        <f t="shared" si="0"/>
        <v>-69086.78</v>
      </c>
      <c r="I14" s="80">
        <f t="shared" si="1"/>
        <v>-18677163.380000003</v>
      </c>
      <c r="J14" s="58"/>
      <c r="K14" s="69">
        <f>_xll.Get_Balance(A14,"YTD","USD","Total","A","","001","191010","GD","WA","DL")</f>
        <v>-18677163.379999999</v>
      </c>
      <c r="L14" s="191">
        <f t="shared" si="2"/>
        <v>0</v>
      </c>
      <c r="M14" s="58"/>
    </row>
    <row r="15" spans="1:13" s="187" customFormat="1" ht="15.6" hidden="1" customHeight="1" outlineLevel="1">
      <c r="A15" s="188" t="s">
        <v>151</v>
      </c>
      <c r="B15" s="189">
        <v>4.6899999999999997E-2</v>
      </c>
      <c r="C15" s="68"/>
      <c r="D15" s="190"/>
      <c r="E15" s="80">
        <f t="shared" si="3"/>
        <v>-18677163.380000003</v>
      </c>
      <c r="F15" s="190">
        <v>-1246615.21</v>
      </c>
      <c r="G15" s="190">
        <v>901834.01</v>
      </c>
      <c r="H15" s="80">
        <f t="shared" si="0"/>
        <v>-73670.34</v>
      </c>
      <c r="I15" s="80">
        <f t="shared" si="1"/>
        <v>-19095614.920000002</v>
      </c>
      <c r="J15" s="58"/>
      <c r="K15" s="69">
        <f>_xll.Get_Balance(A15,"YTD","USD","Total","A","","001","191010","GD","WA","DL")</f>
        <v>-19095614.920000002</v>
      </c>
      <c r="L15" s="191">
        <f t="shared" si="2"/>
        <v>0</v>
      </c>
      <c r="M15" s="58"/>
    </row>
    <row r="16" spans="1:13" s="187" customFormat="1" ht="15.6" hidden="1" customHeight="1" outlineLevel="1">
      <c r="A16" s="188" t="s">
        <v>152</v>
      </c>
      <c r="B16" s="189">
        <v>4.9599999999999998E-2</v>
      </c>
      <c r="C16" s="68"/>
      <c r="D16" s="190"/>
      <c r="E16" s="80">
        <f>I15</f>
        <v>-19095614.920000002</v>
      </c>
      <c r="F16" s="190">
        <v>-3845502.55</v>
      </c>
      <c r="G16" s="190">
        <v>139618.94</v>
      </c>
      <c r="H16" s="80">
        <f t="shared" si="0"/>
        <v>-86587.37</v>
      </c>
      <c r="I16" s="80">
        <f t="shared" si="1"/>
        <v>-22888085.900000002</v>
      </c>
      <c r="J16" s="58"/>
      <c r="K16" s="69">
        <f>_xll.Get_Balance(A16,"YTD","USD","Total","A","","001","191010","GD","WA","DL")</f>
        <v>-22888085.899999999</v>
      </c>
      <c r="L16" s="191">
        <f t="shared" si="2"/>
        <v>0</v>
      </c>
      <c r="M16" s="58"/>
    </row>
    <row r="17" spans="1:13" s="187" customFormat="1" ht="15.6" hidden="1" customHeight="1" outlineLevel="1">
      <c r="A17" s="188" t="s">
        <v>153</v>
      </c>
      <c r="B17" s="189">
        <v>4.9599999999999998E-2</v>
      </c>
      <c r="C17" s="68"/>
      <c r="D17" s="190">
        <f>-I12</f>
        <v>15619860.030000001</v>
      </c>
      <c r="E17" s="80">
        <f>I16+D17</f>
        <v>-7268225.870000001</v>
      </c>
      <c r="F17" s="190">
        <v>-3344640.68</v>
      </c>
      <c r="G17" s="190">
        <v>-647678.44999999995</v>
      </c>
      <c r="H17" s="80">
        <f t="shared" si="0"/>
        <v>-38292.79</v>
      </c>
      <c r="I17" s="80">
        <f>SUM(E17:H17)</f>
        <v>-11298837.789999999</v>
      </c>
      <c r="J17" s="58"/>
      <c r="K17" s="69">
        <f>_xll.Get_Balance(A17,"YTD","USD","Total","A","","001","191010","GD","WA","DL")</f>
        <v>-11298837.789999999</v>
      </c>
      <c r="L17" s="191">
        <f t="shared" si="2"/>
        <v>0</v>
      </c>
      <c r="M17" s="60" t="s">
        <v>155</v>
      </c>
    </row>
    <row r="18" spans="1:13" s="187" customFormat="1" ht="16.5" collapsed="1" thickBot="1">
      <c r="A18" s="192" t="s">
        <v>142</v>
      </c>
      <c r="B18" s="193">
        <v>4.9599999999999998E-2</v>
      </c>
      <c r="C18" s="78"/>
      <c r="D18" s="194"/>
      <c r="E18" s="71">
        <f t="shared" ref="E18:E30" si="4">I17+D18</f>
        <v>-11298837.789999999</v>
      </c>
      <c r="F18" s="194">
        <v>63791.75</v>
      </c>
      <c r="G18" s="194">
        <v>-1317734.47</v>
      </c>
      <c r="H18" s="81">
        <f t="shared" si="0"/>
        <v>-49293.34</v>
      </c>
      <c r="I18" s="81">
        <f>SUM(E18:H18)</f>
        <v>-12602073.85</v>
      </c>
      <c r="J18" s="79"/>
      <c r="K18" s="71">
        <f>_xll.Get_Balance(A18,"YTD","USD","Total","A","","001","191010","GD","WA","DL")</f>
        <v>-12602073.85</v>
      </c>
      <c r="L18" s="195">
        <f t="shared" ref="L18" si="5">K18-I18</f>
        <v>0</v>
      </c>
      <c r="M18" s="76"/>
    </row>
    <row r="19" spans="1:13" s="187" customFormat="1" ht="15.75">
      <c r="A19" s="196">
        <v>201901</v>
      </c>
      <c r="B19" s="189">
        <v>5.1799999999999999E-2</v>
      </c>
      <c r="C19" s="68"/>
      <c r="D19" s="190">
        <v>0</v>
      </c>
      <c r="E19" s="80">
        <f t="shared" si="4"/>
        <v>-12602073.85</v>
      </c>
      <c r="F19" s="190">
        <v>873899.58</v>
      </c>
      <c r="G19" s="190">
        <v>-1334486.6000000001</v>
      </c>
      <c r="H19" s="80">
        <f t="shared" si="0"/>
        <v>-55393.05</v>
      </c>
      <c r="I19" s="80">
        <f>SUM(E19:H19)</f>
        <v>-13118053.92</v>
      </c>
      <c r="J19" s="70"/>
      <c r="K19" s="80">
        <f>_xll.Get_Balance(A19,"YTD","USD","Total","A","","001","191010","GD","WA","DL")</f>
        <v>-13118053.93</v>
      </c>
      <c r="L19" s="197">
        <f>K19-I19</f>
        <v>-9.9999997764825821E-3</v>
      </c>
      <c r="M19" s="76"/>
    </row>
    <row r="20" spans="1:13" s="187" customFormat="1" ht="15.75">
      <c r="A20" s="188">
        <f>A19+1</f>
        <v>201902</v>
      </c>
      <c r="B20" s="198">
        <v>5.1799999999999999E-2</v>
      </c>
      <c r="C20" s="68"/>
      <c r="D20" s="199">
        <v>0</v>
      </c>
      <c r="E20" s="80">
        <f t="shared" si="4"/>
        <v>-13118053.92</v>
      </c>
      <c r="F20" s="199">
        <v>7465399.5499999998</v>
      </c>
      <c r="G20" s="199">
        <v>-1785534.75</v>
      </c>
      <c r="H20" s="69">
        <f t="shared" si="0"/>
        <v>-44367.22</v>
      </c>
      <c r="I20" s="69">
        <f t="shared" ref="I20:I30" si="6">SUM(E20:H20)</f>
        <v>-7482556.3399999999</v>
      </c>
      <c r="J20" s="70"/>
      <c r="K20" s="69">
        <f>_xll.Get_Balance(A20,"YTD","USD","Total","A","","001","191010","GD","WA","DL")</f>
        <v>-7482556.3499999996</v>
      </c>
      <c r="L20" s="191">
        <f t="shared" ref="L20:L30" si="7">K20-I20</f>
        <v>-9.9999997764825821E-3</v>
      </c>
      <c r="M20" s="76"/>
    </row>
    <row r="21" spans="1:13" s="187" customFormat="1" ht="15.75">
      <c r="A21" s="188">
        <f t="shared" ref="A21:A30" si="8">A20+1</f>
        <v>201903</v>
      </c>
      <c r="B21" s="198">
        <v>5.1799999999999999E-2</v>
      </c>
      <c r="C21" s="68"/>
      <c r="D21" s="199">
        <v>0</v>
      </c>
      <c r="E21" s="80">
        <f t="shared" si="4"/>
        <v>-7482556.3399999999</v>
      </c>
      <c r="F21" s="199">
        <v>11814911.9</v>
      </c>
      <c r="G21" s="199">
        <v>-985772.65448000049</v>
      </c>
      <c r="H21" s="69">
        <f t="shared" si="0"/>
        <v>-8926.81</v>
      </c>
      <c r="I21" s="69">
        <f t="shared" si="6"/>
        <v>3337656.09552</v>
      </c>
      <c r="J21" s="70"/>
      <c r="K21" s="69">
        <f>_xll.Get_Balance(A21,"YTD","USD","Total","A","","001","191010","GD","WA","DL")</f>
        <v>4374910.7699999996</v>
      </c>
      <c r="L21" s="191">
        <f t="shared" si="7"/>
        <v>1037254.6744799996</v>
      </c>
      <c r="M21" s="76"/>
    </row>
    <row r="22" spans="1:13" s="187" customFormat="1" ht="15.75">
      <c r="A22" s="188">
        <f t="shared" si="8"/>
        <v>201904</v>
      </c>
      <c r="B22" s="198">
        <v>5.45E-2</v>
      </c>
      <c r="C22" s="68"/>
      <c r="D22" s="199">
        <v>0</v>
      </c>
      <c r="E22" s="80">
        <f t="shared" si="4"/>
        <v>3337656.09552</v>
      </c>
      <c r="F22" s="199">
        <v>-11480.7391099995</v>
      </c>
      <c r="G22" s="199">
        <v>186719.40449999948</v>
      </c>
      <c r="H22" s="69">
        <f t="shared" si="0"/>
        <v>15556.46</v>
      </c>
      <c r="I22" s="69">
        <f t="shared" si="6"/>
        <v>3528451.2209099997</v>
      </c>
      <c r="J22" s="70"/>
      <c r="K22" s="69">
        <f>_xll.Get_Balance(A22,"YTD","USD","Total","A","","001","191010","GD","WA","DL")</f>
        <v>4570416.76</v>
      </c>
      <c r="L22" s="191">
        <f t="shared" si="7"/>
        <v>1041965.5390900001</v>
      </c>
      <c r="M22" s="76"/>
    </row>
    <row r="23" spans="1:13" s="187" customFormat="1" ht="15.75">
      <c r="A23" s="188">
        <f t="shared" si="8"/>
        <v>201905</v>
      </c>
      <c r="B23" s="198">
        <v>5.45E-2</v>
      </c>
      <c r="C23" s="68"/>
      <c r="D23" s="199">
        <v>0</v>
      </c>
      <c r="E23" s="80">
        <f t="shared" si="4"/>
        <v>3528451.2209099997</v>
      </c>
      <c r="F23" s="199">
        <v>-952607.0659879999</v>
      </c>
      <c r="G23" s="199">
        <v>818163.24584600015</v>
      </c>
      <c r="H23" s="69">
        <f t="shared" si="0"/>
        <v>15719.75</v>
      </c>
      <c r="I23" s="69">
        <f t="shared" si="6"/>
        <v>3409727.1507679997</v>
      </c>
      <c r="J23" s="70"/>
      <c r="K23" s="69">
        <f>_xll.Get_Balance(A23,"YTD","USD","Total","A","","001","191010","GD","WA","DL")</f>
        <v>3844456.24</v>
      </c>
      <c r="L23" s="191">
        <f t="shared" si="7"/>
        <v>434729.08923200052</v>
      </c>
      <c r="M23" s="76"/>
    </row>
    <row r="24" spans="1:13" s="187" customFormat="1" ht="15.75">
      <c r="A24" s="188">
        <f t="shared" si="8"/>
        <v>201906</v>
      </c>
      <c r="B24" s="198">
        <v>5.45E-2</v>
      </c>
      <c r="C24" s="68"/>
      <c r="D24" s="199">
        <v>0</v>
      </c>
      <c r="E24" s="80">
        <f t="shared" si="4"/>
        <v>3409727.1507679997</v>
      </c>
      <c r="F24" s="199">
        <v>-1677072.7479539998</v>
      </c>
      <c r="G24" s="199">
        <v>1035638.2793719999</v>
      </c>
      <c r="H24" s="69">
        <f t="shared" si="0"/>
        <v>14029.25</v>
      </c>
      <c r="I24" s="69">
        <f t="shared" si="6"/>
        <v>2782321.932186</v>
      </c>
      <c r="J24" s="70"/>
      <c r="K24" s="69">
        <f>_xll.Get_Balance(A24,"YTD","USD","Total","A","","001","191010","GD","WA","DL")</f>
        <v>3833773.49</v>
      </c>
      <c r="L24" s="191">
        <f t="shared" si="7"/>
        <v>1051451.5578140002</v>
      </c>
      <c r="M24" s="76"/>
    </row>
    <row r="25" spans="1:13" s="187" customFormat="1" ht="15.75">
      <c r="A25" s="188">
        <f t="shared" si="8"/>
        <v>201907</v>
      </c>
      <c r="B25" s="198">
        <v>5.5E-2</v>
      </c>
      <c r="C25" s="68"/>
      <c r="D25" s="199">
        <v>0</v>
      </c>
      <c r="E25" s="80">
        <f t="shared" si="4"/>
        <v>2782321.932186</v>
      </c>
      <c r="F25" s="199">
        <v>-2084272.6869100002</v>
      </c>
      <c r="G25" s="199">
        <v>1097771.3497720002</v>
      </c>
      <c r="H25" s="69">
        <f t="shared" si="0"/>
        <v>10491.58</v>
      </c>
      <c r="I25" s="69">
        <f>SUM(E25:H25)</f>
        <v>1806312.1750480002</v>
      </c>
      <c r="J25" s="70"/>
      <c r="K25" s="69">
        <f>_xll.Get_Balance(A25,"YTD","USD","Total","A","","001","191010","GD","WA","DL")</f>
        <v>2862582.88</v>
      </c>
      <c r="L25" s="191">
        <f t="shared" si="7"/>
        <v>1056270.7049519997</v>
      </c>
      <c r="M25" s="76"/>
    </row>
    <row r="26" spans="1:13" s="187" customFormat="1" ht="15.75">
      <c r="A26" s="188">
        <f t="shared" si="8"/>
        <v>201908</v>
      </c>
      <c r="B26" s="198">
        <v>5.5E-2</v>
      </c>
      <c r="C26" s="68"/>
      <c r="D26" s="199">
        <v>0</v>
      </c>
      <c r="E26" s="80">
        <f t="shared" si="4"/>
        <v>1806312.1750480002</v>
      </c>
      <c r="F26" s="199">
        <v>-2084597.87659</v>
      </c>
      <c r="G26" s="199">
        <v>1090213.9985399998</v>
      </c>
      <c r="H26" s="69">
        <f t="shared" si="0"/>
        <v>6000.13</v>
      </c>
      <c r="I26" s="69">
        <f>SUM(E26:H26)</f>
        <v>817928.42699800001</v>
      </c>
      <c r="J26" s="70"/>
      <c r="K26" s="69">
        <f>_xll.Get_Balance(A26,"YTD","USD","Total","A","","001","191010","GD","WA","DL")</f>
        <v>1879040.38</v>
      </c>
      <c r="L26" s="191">
        <f t="shared" si="7"/>
        <v>1061111.9530019998</v>
      </c>
      <c r="M26" s="76"/>
    </row>
    <row r="27" spans="1:13" s="187" customFormat="1" ht="15.75">
      <c r="A27" s="188">
        <f t="shared" si="8"/>
        <v>201909</v>
      </c>
      <c r="B27" s="198">
        <v>5.5E-2</v>
      </c>
      <c r="C27" s="68"/>
      <c r="D27" s="199">
        <v>0</v>
      </c>
      <c r="E27" s="80">
        <f t="shared" si="4"/>
        <v>817928.42699800001</v>
      </c>
      <c r="F27" s="199">
        <v>-2896604.7876560003</v>
      </c>
      <c r="G27" s="199">
        <v>822291.11362599931</v>
      </c>
      <c r="H27" s="69">
        <f t="shared" si="0"/>
        <v>-1004.8</v>
      </c>
      <c r="I27" s="69">
        <f t="shared" si="6"/>
        <v>-1257390.047032001</v>
      </c>
      <c r="J27" s="70"/>
      <c r="K27" s="69">
        <f>_xll.Get_Balance(A27,"YTD","USD","Total","A","","001","191010","GD","WA","DL")</f>
        <v>-1257390.06</v>
      </c>
      <c r="L27" s="191">
        <f t="shared" si="7"/>
        <v>-1.2967999093234539E-2</v>
      </c>
      <c r="M27" s="76"/>
    </row>
    <row r="28" spans="1:13" s="187" customFormat="1" ht="15.75">
      <c r="A28" s="188">
        <f t="shared" si="8"/>
        <v>201910</v>
      </c>
      <c r="B28" s="198">
        <v>5.4199999999999998E-2</v>
      </c>
      <c r="C28" s="68"/>
      <c r="D28" s="199">
        <v>0</v>
      </c>
      <c r="E28" s="80">
        <f t="shared" si="4"/>
        <v>-1257390.047032001</v>
      </c>
      <c r="F28" s="199">
        <v>-678463.68177200016</v>
      </c>
      <c r="G28" s="199">
        <v>-250377.6643440004</v>
      </c>
      <c r="H28" s="69">
        <f t="shared" si="0"/>
        <v>-7776.85</v>
      </c>
      <c r="I28" s="69">
        <f t="shared" si="6"/>
        <v>-2194008.2431480014</v>
      </c>
      <c r="J28" s="70"/>
      <c r="K28" s="69">
        <f>_xll.Get_Balance(A28,"YTD","USD","Total","A","","001","191010","GD","WA","DL")</f>
        <v>-2194008.27</v>
      </c>
      <c r="L28" s="191">
        <f t="shared" si="7"/>
        <v>-2.6851998642086983E-2</v>
      </c>
      <c r="M28" s="76"/>
    </row>
    <row r="29" spans="1:13" s="187" customFormat="1" ht="15.75">
      <c r="A29" s="188">
        <f t="shared" si="8"/>
        <v>201911</v>
      </c>
      <c r="B29" s="198">
        <v>5.4199999999999998E-2</v>
      </c>
      <c r="C29" s="68"/>
      <c r="D29" s="199">
        <f>-I28</f>
        <v>2194008.2431480014</v>
      </c>
      <c r="E29" s="80">
        <f t="shared" si="4"/>
        <v>0</v>
      </c>
      <c r="F29" s="199">
        <v>149111.48603400169</v>
      </c>
      <c r="G29" s="199">
        <v>-807237.82280400023</v>
      </c>
      <c r="H29" s="69">
        <f>ROUND(((I28+D29)*(B29/12))+((SUM(F29:G29)/2)*(B29/12)),2)</f>
        <v>-1486.27</v>
      </c>
      <c r="I29" s="69">
        <f>SUM(E29:H29)</f>
        <v>-659612.60676999856</v>
      </c>
      <c r="J29" s="70"/>
      <c r="K29" s="69">
        <f>_xll.Get_Balance(A29,"YTD","USD","Total","A","","001","191010","GD","WA","DL")</f>
        <v>-659612.62</v>
      </c>
      <c r="L29" s="191">
        <f t="shared" si="7"/>
        <v>-1.3230001437477767E-2</v>
      </c>
      <c r="M29" s="60" t="s">
        <v>154</v>
      </c>
    </row>
    <row r="30" spans="1:13" s="187" customFormat="1" ht="16.5" thickBot="1">
      <c r="A30" s="192">
        <f t="shared" si="8"/>
        <v>201912</v>
      </c>
      <c r="B30" s="200">
        <v>5.4199999999999998E-2</v>
      </c>
      <c r="C30" s="78"/>
      <c r="D30" s="201">
        <v>0</v>
      </c>
      <c r="E30" s="71">
        <f t="shared" si="4"/>
        <v>-659612.60676999856</v>
      </c>
      <c r="F30" s="201">
        <f>821729.862943999-0.02</f>
        <v>821729.84294399898</v>
      </c>
      <c r="G30" s="201">
        <v>-964290.51430800045</v>
      </c>
      <c r="H30" s="71">
        <f>ROUND(((E30)*(B30/12))+((SUM(F30:G30)/2)*(B30/12)),2)</f>
        <v>-3301.2</v>
      </c>
      <c r="I30" s="71">
        <f t="shared" si="6"/>
        <v>-805474.47813399998</v>
      </c>
      <c r="J30" s="79"/>
      <c r="K30" s="71">
        <f>_xll.Get_Balance(A30,"YTD","USD","Total","A","","001","191010","GD","WA","DL")</f>
        <v>-805474.48</v>
      </c>
      <c r="L30" s="195">
        <f t="shared" si="7"/>
        <v>-1.8660000059753656E-3</v>
      </c>
      <c r="M30" s="76"/>
    </row>
    <row r="31" spans="1:13" s="187" customFormat="1" ht="15.75">
      <c r="A31" s="196">
        <v>202001</v>
      </c>
      <c r="B31" s="189">
        <v>4.9599999999999998E-2</v>
      </c>
      <c r="C31" s="68"/>
      <c r="D31" s="190">
        <v>0</v>
      </c>
      <c r="E31" s="80">
        <f t="shared" ref="E31:E42" si="9">I30+D31</f>
        <v>-805474.47813399998</v>
      </c>
      <c r="F31" s="190">
        <f>Jan!$H$55</f>
        <v>465507.08934299834</v>
      </c>
      <c r="G31" s="190">
        <f>Jan!$I$55</f>
        <v>-1019075.8062920009</v>
      </c>
      <c r="H31" s="80">
        <f>ROUND(((E31)*(B31/12))+((SUM(F31:G31)/2)*(B31/12)),2)</f>
        <v>-4473.34</v>
      </c>
      <c r="I31" s="80">
        <f>SUM(E31:H31)</f>
        <v>-1363516.5350830026</v>
      </c>
      <c r="J31" s="70"/>
      <c r="K31" s="80">
        <f>_xll.Get_Balance(A31,"YTD","USD","Total","A","","001","191010","GD","WA","DL")</f>
        <v>-805474.48</v>
      </c>
      <c r="L31" s="197">
        <f>K31-I31</f>
        <v>558042.05508300266</v>
      </c>
      <c r="M31" s="76"/>
    </row>
    <row r="32" spans="1:13" s="187" customFormat="1" ht="15.75">
      <c r="A32" s="188">
        <f>A31+1</f>
        <v>202002</v>
      </c>
      <c r="B32" s="198"/>
      <c r="C32" s="68"/>
      <c r="D32" s="199">
        <v>0</v>
      </c>
      <c r="E32" s="80">
        <f t="shared" si="9"/>
        <v>-1363516.5350830026</v>
      </c>
      <c r="F32" s="199"/>
      <c r="G32" s="199"/>
      <c r="H32" s="69">
        <f t="shared" ref="H32:H40" si="10">ROUND(((E32)*(B32/12))+((SUM(F32:G32)/2)*(B32/12)),2)</f>
        <v>0</v>
      </c>
      <c r="I32" s="69">
        <f t="shared" ref="I32:I36" si="11">SUM(E32:H32)</f>
        <v>-1363516.5350830026</v>
      </c>
      <c r="J32" s="70"/>
      <c r="K32" s="69"/>
      <c r="L32" s="191"/>
      <c r="M32" s="76"/>
    </row>
    <row r="33" spans="1:23" s="187" customFormat="1" ht="15.75">
      <c r="A33" s="188">
        <f t="shared" ref="A33:A42" si="12">A32+1</f>
        <v>202003</v>
      </c>
      <c r="B33" s="198"/>
      <c r="C33" s="68"/>
      <c r="D33" s="199">
        <v>0</v>
      </c>
      <c r="E33" s="80">
        <f t="shared" si="9"/>
        <v>-1363516.5350830026</v>
      </c>
      <c r="F33" s="199"/>
      <c r="G33" s="199"/>
      <c r="H33" s="69">
        <f t="shared" si="10"/>
        <v>0</v>
      </c>
      <c r="I33" s="69">
        <f t="shared" si="11"/>
        <v>-1363516.5350830026</v>
      </c>
      <c r="J33" s="70"/>
      <c r="K33" s="69"/>
      <c r="L33" s="191"/>
      <c r="M33" s="76"/>
    </row>
    <row r="34" spans="1:23" s="187" customFormat="1" ht="15.75">
      <c r="A34" s="188">
        <f t="shared" si="12"/>
        <v>202004</v>
      </c>
      <c r="B34" s="198"/>
      <c r="C34" s="68"/>
      <c r="D34" s="199">
        <v>0</v>
      </c>
      <c r="E34" s="80">
        <f t="shared" si="9"/>
        <v>-1363516.5350830026</v>
      </c>
      <c r="F34" s="199"/>
      <c r="G34" s="199"/>
      <c r="H34" s="69">
        <f t="shared" si="10"/>
        <v>0</v>
      </c>
      <c r="I34" s="69">
        <f t="shared" si="11"/>
        <v>-1363516.5350830026</v>
      </c>
      <c r="J34" s="70"/>
      <c r="K34" s="69"/>
      <c r="L34" s="191"/>
      <c r="M34" s="76"/>
    </row>
    <row r="35" spans="1:23" s="187" customFormat="1" ht="15.75">
      <c r="A35" s="188">
        <f t="shared" si="12"/>
        <v>202005</v>
      </c>
      <c r="B35" s="198"/>
      <c r="C35" s="68"/>
      <c r="D35" s="199">
        <v>0</v>
      </c>
      <c r="E35" s="80">
        <f t="shared" si="9"/>
        <v>-1363516.5350830026</v>
      </c>
      <c r="F35" s="199"/>
      <c r="G35" s="199"/>
      <c r="H35" s="69">
        <f t="shared" si="10"/>
        <v>0</v>
      </c>
      <c r="I35" s="69">
        <f t="shared" si="11"/>
        <v>-1363516.5350830026</v>
      </c>
      <c r="J35" s="70"/>
      <c r="K35" s="69"/>
      <c r="L35" s="191"/>
      <c r="M35" s="76"/>
    </row>
    <row r="36" spans="1:23" s="187" customFormat="1" ht="15.75">
      <c r="A36" s="188">
        <f t="shared" si="12"/>
        <v>202006</v>
      </c>
      <c r="B36" s="198"/>
      <c r="C36" s="68"/>
      <c r="D36" s="199">
        <v>0</v>
      </c>
      <c r="E36" s="80">
        <f t="shared" si="9"/>
        <v>-1363516.5350830026</v>
      </c>
      <c r="F36" s="199"/>
      <c r="G36" s="199"/>
      <c r="H36" s="69">
        <f t="shared" si="10"/>
        <v>0</v>
      </c>
      <c r="I36" s="69">
        <f t="shared" si="11"/>
        <v>-1363516.5350830026</v>
      </c>
      <c r="J36" s="70"/>
      <c r="K36" s="69"/>
      <c r="L36" s="191"/>
      <c r="M36" s="76"/>
    </row>
    <row r="37" spans="1:23" s="187" customFormat="1" ht="15.75">
      <c r="A37" s="188">
        <f t="shared" si="12"/>
        <v>202007</v>
      </c>
      <c r="B37" s="198"/>
      <c r="C37" s="68"/>
      <c r="D37" s="199">
        <v>0</v>
      </c>
      <c r="E37" s="80">
        <f t="shared" si="9"/>
        <v>-1363516.5350830026</v>
      </c>
      <c r="F37" s="199"/>
      <c r="G37" s="199"/>
      <c r="H37" s="69">
        <f t="shared" si="10"/>
        <v>0</v>
      </c>
      <c r="I37" s="69">
        <f>SUM(E37:H37)</f>
        <v>-1363516.5350830026</v>
      </c>
      <c r="J37" s="70"/>
      <c r="K37" s="69"/>
      <c r="L37" s="191"/>
      <c r="M37" s="76"/>
    </row>
    <row r="38" spans="1:23" s="187" customFormat="1" ht="15.75">
      <c r="A38" s="188">
        <f t="shared" si="12"/>
        <v>202008</v>
      </c>
      <c r="B38" s="198"/>
      <c r="C38" s="68"/>
      <c r="D38" s="199">
        <v>0</v>
      </c>
      <c r="E38" s="80">
        <f t="shared" si="9"/>
        <v>-1363516.5350830026</v>
      </c>
      <c r="F38" s="199"/>
      <c r="G38" s="199"/>
      <c r="H38" s="69">
        <f t="shared" si="10"/>
        <v>0</v>
      </c>
      <c r="I38" s="69">
        <f>SUM(E38:H38)</f>
        <v>-1363516.5350830026</v>
      </c>
      <c r="J38" s="70"/>
      <c r="K38" s="69"/>
      <c r="L38" s="191"/>
      <c r="M38" s="76"/>
    </row>
    <row r="39" spans="1:23" s="187" customFormat="1" ht="15.75">
      <c r="A39" s="188">
        <f t="shared" si="12"/>
        <v>202009</v>
      </c>
      <c r="B39" s="198"/>
      <c r="C39" s="68"/>
      <c r="D39" s="199">
        <v>0</v>
      </c>
      <c r="E39" s="80">
        <f t="shared" si="9"/>
        <v>-1363516.5350830026</v>
      </c>
      <c r="F39" s="199"/>
      <c r="G39" s="199"/>
      <c r="H39" s="69">
        <f t="shared" si="10"/>
        <v>0</v>
      </c>
      <c r="I39" s="69">
        <f t="shared" ref="I39:I40" si="13">SUM(E39:H39)</f>
        <v>-1363516.5350830026</v>
      </c>
      <c r="J39" s="70"/>
      <c r="K39" s="69"/>
      <c r="L39" s="191"/>
      <c r="M39" s="76"/>
    </row>
    <row r="40" spans="1:23" s="187" customFormat="1" ht="15.75">
      <c r="A40" s="188">
        <f t="shared" si="12"/>
        <v>202010</v>
      </c>
      <c r="B40" s="198"/>
      <c r="C40" s="68"/>
      <c r="D40" s="199">
        <v>0</v>
      </c>
      <c r="E40" s="80">
        <f t="shared" si="9"/>
        <v>-1363516.5350830026</v>
      </c>
      <c r="F40" s="199"/>
      <c r="G40" s="199"/>
      <c r="H40" s="69">
        <f t="shared" si="10"/>
        <v>0</v>
      </c>
      <c r="I40" s="69">
        <f t="shared" si="13"/>
        <v>-1363516.5350830026</v>
      </c>
      <c r="J40" s="70"/>
      <c r="K40" s="69"/>
      <c r="L40" s="191"/>
      <c r="M40" s="76"/>
    </row>
    <row r="41" spans="1:23" s="187" customFormat="1" ht="15.75">
      <c r="A41" s="188">
        <f t="shared" si="12"/>
        <v>202011</v>
      </c>
      <c r="B41" s="198"/>
      <c r="C41" s="68"/>
      <c r="D41" s="199"/>
      <c r="E41" s="80">
        <f t="shared" si="9"/>
        <v>-1363516.5350830026</v>
      </c>
      <c r="F41" s="199"/>
      <c r="G41" s="199"/>
      <c r="H41" s="69">
        <f>ROUND(((I40+D41)*(B41/12))+((SUM(F41:G41)/2)*(B41/12)),2)</f>
        <v>0</v>
      </c>
      <c r="I41" s="69">
        <f>SUM(E41:H41)</f>
        <v>-1363516.5350830026</v>
      </c>
      <c r="J41" s="70"/>
      <c r="K41" s="69"/>
      <c r="L41" s="191"/>
      <c r="M41" s="60"/>
    </row>
    <row r="42" spans="1:23" s="187" customFormat="1" ht="16.5" thickBot="1">
      <c r="A42" s="192">
        <f t="shared" si="12"/>
        <v>202012</v>
      </c>
      <c r="B42" s="200"/>
      <c r="C42" s="78"/>
      <c r="D42" s="201">
        <v>0</v>
      </c>
      <c r="E42" s="71">
        <f t="shared" si="9"/>
        <v>-1363516.5350830026</v>
      </c>
      <c r="F42" s="201"/>
      <c r="G42" s="201"/>
      <c r="H42" s="71">
        <f>ROUND(((E42)*(B42/12))+((SUM(F42:G42)/2)*(B42/12)),2)</f>
        <v>0</v>
      </c>
      <c r="I42" s="71">
        <f t="shared" ref="I42" si="14">SUM(E42:H42)</f>
        <v>-1363516.5350830026</v>
      </c>
      <c r="J42" s="79"/>
      <c r="K42" s="71"/>
      <c r="L42" s="195"/>
      <c r="M42" s="76"/>
    </row>
    <row r="43" spans="1:23" ht="15.75">
      <c r="A43" s="75"/>
      <c r="B43" s="75"/>
      <c r="C43" s="67"/>
      <c r="D43" s="72">
        <f>SUMIF($A$19:$A$42,$D46,D$19:D$42)</f>
        <v>0</v>
      </c>
      <c r="E43" s="75"/>
      <c r="F43" s="72">
        <f>SUMIF($A$19:$A$42,$D46,F$19:F$42)</f>
        <v>465507.08934299834</v>
      </c>
      <c r="G43" s="72">
        <f>SUMIF($A$19:$A$42,$D46,G$19:G$42)</f>
        <v>-1019075.8062920009</v>
      </c>
      <c r="H43" s="72">
        <f>SUMIF($A$19:$A$42,$D46,H$19:H$42)</f>
        <v>-4473.34</v>
      </c>
      <c r="I43" s="73" t="s">
        <v>131</v>
      </c>
      <c r="J43" s="67"/>
      <c r="K43" s="75"/>
      <c r="L43" s="75"/>
      <c r="M43" s="75"/>
      <c r="Q43" s="59"/>
      <c r="R43" s="60"/>
      <c r="S43" s="60"/>
      <c r="T43" s="61"/>
      <c r="U43" s="55"/>
      <c r="V43" s="55"/>
      <c r="W43" s="55"/>
    </row>
    <row r="44" spans="1:23" s="202" customFormat="1">
      <c r="A44" s="97"/>
      <c r="B44" s="97"/>
      <c r="C44" s="96"/>
      <c r="D44" s="102" t="s">
        <v>157</v>
      </c>
      <c r="E44" s="97"/>
      <c r="F44" s="102" t="s">
        <v>143</v>
      </c>
      <c r="G44" s="102" t="s">
        <v>144</v>
      </c>
      <c r="H44" s="102" t="s">
        <v>145</v>
      </c>
      <c r="I44" s="97"/>
      <c r="J44" s="96"/>
      <c r="K44" s="97"/>
      <c r="L44" s="97"/>
      <c r="M44" s="97"/>
      <c r="Q44" s="98"/>
      <c r="R44" s="98"/>
      <c r="S44" s="98"/>
      <c r="T44" s="98"/>
      <c r="U44" s="98"/>
      <c r="V44" s="98"/>
      <c r="W44" s="98"/>
    </row>
    <row r="45" spans="1:23">
      <c r="A45" s="75"/>
      <c r="B45" s="75"/>
      <c r="C45" s="67"/>
      <c r="D45" s="75"/>
      <c r="E45" s="75"/>
      <c r="F45" s="75"/>
      <c r="G45" s="75"/>
      <c r="H45" s="75"/>
      <c r="I45" s="75"/>
      <c r="J45" s="67"/>
      <c r="K45" s="75"/>
      <c r="L45" s="75"/>
      <c r="M45" s="75"/>
      <c r="Q45" s="55"/>
      <c r="R45" s="55"/>
      <c r="S45" s="55"/>
      <c r="T45" s="55"/>
      <c r="U45" s="55"/>
      <c r="V45" s="55"/>
      <c r="W45" s="55"/>
    </row>
    <row r="46" spans="1:23">
      <c r="A46" s="75"/>
      <c r="B46" s="75"/>
      <c r="C46" s="67"/>
      <c r="D46" s="203">
        <v>202001</v>
      </c>
      <c r="E46" s="62" t="s">
        <v>132</v>
      </c>
      <c r="F46" s="63"/>
      <c r="G46" s="75"/>
      <c r="H46" s="75"/>
      <c r="I46" s="75"/>
      <c r="J46" s="67"/>
      <c r="K46" s="75"/>
      <c r="L46" s="75"/>
      <c r="M46" s="75"/>
    </row>
    <row r="47" spans="1:23">
      <c r="A47" s="75"/>
      <c r="B47" s="75"/>
      <c r="C47" s="67"/>
      <c r="D47" s="64" t="s">
        <v>133</v>
      </c>
      <c r="E47" s="64" t="s">
        <v>134</v>
      </c>
      <c r="F47" s="64" t="s">
        <v>135</v>
      </c>
      <c r="G47" s="75"/>
      <c r="H47" s="75"/>
      <c r="I47" s="75"/>
      <c r="J47" s="67"/>
      <c r="K47" s="75"/>
      <c r="L47" s="75"/>
      <c r="M47" s="75"/>
    </row>
    <row r="48" spans="1:23">
      <c r="A48" s="75"/>
      <c r="B48" s="75"/>
      <c r="C48" s="74" t="s">
        <v>36</v>
      </c>
      <c r="D48" s="65" t="s">
        <v>136</v>
      </c>
      <c r="E48" s="66"/>
      <c r="F48" s="66" t="str">
        <f>IF($H$43&gt;0,ABS($H$43),"")</f>
        <v/>
      </c>
      <c r="G48" s="97" t="s">
        <v>145</v>
      </c>
      <c r="H48" s="75"/>
      <c r="I48" s="75"/>
      <c r="J48" s="67"/>
      <c r="K48" s="75"/>
      <c r="L48" s="75"/>
      <c r="M48" s="75"/>
    </row>
    <row r="49" spans="1:13">
      <c r="A49" s="75"/>
      <c r="B49" s="75"/>
      <c r="C49" s="74" t="s">
        <v>140</v>
      </c>
      <c r="D49" s="65" t="s">
        <v>137</v>
      </c>
      <c r="E49" s="66">
        <f>IF($H$43&lt;0,ABS($H$43),"")</f>
        <v>4473.34</v>
      </c>
      <c r="F49" s="66"/>
      <c r="G49" s="97" t="s">
        <v>145</v>
      </c>
      <c r="H49" s="75"/>
      <c r="I49" s="75"/>
      <c r="J49" s="67"/>
      <c r="K49" s="75"/>
      <c r="L49" s="75"/>
      <c r="M49" s="75"/>
    </row>
    <row r="50" spans="1:13">
      <c r="A50" s="75"/>
      <c r="B50" s="75"/>
      <c r="C50" s="74" t="s">
        <v>184</v>
      </c>
      <c r="D50" s="65" t="s">
        <v>138</v>
      </c>
      <c r="E50" s="66" t="str">
        <f>IF($F$43+$G$43+H43&gt;0,ABS($F$43+$G$43+H43),"")</f>
        <v/>
      </c>
      <c r="F50" s="66">
        <f>IF($F$43+$G$43+H43&lt;0,ABS($F$43+$G$43+H43),"")</f>
        <v>558042.05694900255</v>
      </c>
      <c r="G50" s="97" t="s">
        <v>146</v>
      </c>
      <c r="H50" s="75"/>
      <c r="I50" s="75"/>
      <c r="J50" s="67"/>
      <c r="K50" s="75"/>
      <c r="L50" s="75"/>
      <c r="M50" s="75"/>
    </row>
    <row r="51" spans="1:13">
      <c r="A51" s="75"/>
      <c r="B51" s="75"/>
      <c r="C51" s="74" t="s">
        <v>141</v>
      </c>
      <c r="D51" s="65" t="s">
        <v>139</v>
      </c>
      <c r="E51" s="66">
        <f>IF($F$43+$G$43&lt;0,ABS($F$43+$G$43),"")</f>
        <v>553568.71694900258</v>
      </c>
      <c r="F51" s="66" t="str">
        <f>IF($F$43+$G$43&gt;0,ABS($F$43+$G$43),"")</f>
        <v/>
      </c>
      <c r="G51" s="97" t="s">
        <v>147</v>
      </c>
      <c r="H51" s="75"/>
      <c r="I51" s="75"/>
      <c r="J51" s="67"/>
      <c r="K51" s="75"/>
      <c r="L51" s="75"/>
      <c r="M51" s="75"/>
    </row>
    <row r="52" spans="1:13">
      <c r="A52" s="75"/>
      <c r="B52" s="75"/>
      <c r="C52" s="67"/>
      <c r="D52" s="75"/>
      <c r="E52" s="75"/>
      <c r="F52" s="75"/>
      <c r="G52" s="97"/>
      <c r="H52" s="75"/>
      <c r="I52" s="75"/>
      <c r="J52" s="67"/>
      <c r="K52" s="75"/>
      <c r="L52" s="75"/>
      <c r="M52" s="75"/>
    </row>
    <row r="53" spans="1:13">
      <c r="A53" s="75"/>
      <c r="B53" s="75"/>
      <c r="C53" s="67"/>
      <c r="D53" s="75"/>
      <c r="E53" s="75"/>
      <c r="F53" s="204">
        <f>SUM(E48:E51)-SUM(F48:F51)</f>
        <v>0</v>
      </c>
      <c r="G53" s="97" t="s">
        <v>148</v>
      </c>
      <c r="H53" s="75"/>
      <c r="I53" s="75"/>
      <c r="J53" s="67"/>
      <c r="K53" s="75"/>
      <c r="L53" s="75"/>
      <c r="M53" s="75"/>
    </row>
    <row r="54" spans="1:13">
      <c r="G54" s="202"/>
    </row>
    <row r="55" spans="1:13" ht="15.75">
      <c r="D55" s="64" t="s">
        <v>156</v>
      </c>
      <c r="E55" s="205"/>
      <c r="F55" s="206"/>
      <c r="G55" s="207"/>
    </row>
    <row r="56" spans="1:13">
      <c r="D56" s="65" t="s">
        <v>138</v>
      </c>
      <c r="E56" s="66" t="str">
        <f>IF($D$43&gt;0,ABS($D$43),"")</f>
        <v/>
      </c>
      <c r="F56" s="83"/>
      <c r="G56" s="97" t="s">
        <v>157</v>
      </c>
    </row>
    <row r="57" spans="1:13">
      <c r="D57" s="82" t="s">
        <v>158</v>
      </c>
      <c r="E57" s="83"/>
      <c r="F57" s="66" t="str">
        <f>E56</f>
        <v/>
      </c>
      <c r="G57" s="84"/>
    </row>
  </sheetData>
  <pageMargins left="1" right="0" top="0.75" bottom="0.75" header="0.3" footer="0.3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zoomScale="90" zoomScaleNormal="90" workbookViewId="0">
      <pane ySplit="6" topLeftCell="A7" activePane="bottomLeft" state="frozen"/>
      <selection activeCell="D23" sqref="D23"/>
      <selection pane="bottomLeft"/>
    </sheetView>
  </sheetViews>
  <sheetFormatPr defaultColWidth="8.85546875" defaultRowHeight="12.75" outlineLevelRow="1"/>
  <cols>
    <col min="1" max="1" width="9.140625" style="75" customWidth="1"/>
    <col min="2" max="2" width="9" style="75" bestFit="1" customWidth="1"/>
    <col min="3" max="4" width="14.140625" style="75" bestFit="1" customWidth="1"/>
    <col min="5" max="5" width="12.85546875" style="75" bestFit="1" customWidth="1"/>
    <col min="6" max="6" width="14.28515625" style="75" bestFit="1" customWidth="1"/>
    <col min="7" max="7" width="10.140625" style="75" bestFit="1" customWidth="1"/>
    <col min="8" max="8" width="13.140625" style="75" bestFit="1" customWidth="1"/>
    <col min="9" max="9" width="11.5703125" style="75" bestFit="1" customWidth="1"/>
    <col min="10" max="10" width="10.140625" style="75" bestFit="1" customWidth="1"/>
    <col min="11" max="11" width="12.42578125" style="75" bestFit="1" customWidth="1"/>
    <col min="12" max="12" width="11.5703125" style="75" bestFit="1" customWidth="1"/>
    <col min="13" max="13" width="10.140625" style="75" bestFit="1" customWidth="1"/>
    <col min="14" max="14" width="11.5703125" style="75" bestFit="1" customWidth="1"/>
    <col min="15" max="15" width="11.28515625" style="75" bestFit="1" customWidth="1"/>
    <col min="16" max="16" width="14.140625" style="75" bestFit="1" customWidth="1"/>
    <col min="17" max="17" width="1.7109375" style="67" customWidth="1"/>
    <col min="18" max="18" width="14.140625" style="75" bestFit="1" customWidth="1"/>
    <col min="19" max="19" width="11.140625" style="67" bestFit="1" customWidth="1"/>
    <col min="20" max="20" width="13.5703125" style="75" customWidth="1"/>
    <col min="21" max="21" width="13.85546875" style="75" bestFit="1" customWidth="1"/>
    <col min="22" max="24" width="8.85546875" style="75"/>
    <col min="25" max="25" width="12.7109375" style="75" customWidth="1"/>
    <col min="26" max="27" width="13.140625" style="75" bestFit="1" customWidth="1"/>
    <col min="28" max="16384" width="8.85546875" style="75"/>
  </cols>
  <sheetData>
    <row r="1" spans="1:21" s="56" customFormat="1" ht="15.75">
      <c r="A1" s="208" t="s">
        <v>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21" s="56" customFormat="1" ht="15.75">
      <c r="A2" s="208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1:21" s="56" customFormat="1" ht="15.75">
      <c r="A3" s="208" t="s">
        <v>183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21" s="56" customFormat="1" ht="15.75">
      <c r="A4" s="208" t="s">
        <v>116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</row>
    <row r="5" spans="1:21" s="57" customFormat="1" ht="13.5" thickBot="1">
      <c r="A5" s="209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21" s="215" customFormat="1" ht="56.45" customHeight="1">
      <c r="A6" s="186" t="s">
        <v>110</v>
      </c>
      <c r="B6" s="186" t="s">
        <v>100</v>
      </c>
      <c r="C6" s="186" t="s">
        <v>159</v>
      </c>
      <c r="D6" s="210" t="s">
        <v>99</v>
      </c>
      <c r="E6" s="186" t="s">
        <v>162</v>
      </c>
      <c r="F6" s="211" t="s">
        <v>178</v>
      </c>
      <c r="G6" s="212" t="s">
        <v>160</v>
      </c>
      <c r="H6" s="213" t="s">
        <v>124</v>
      </c>
      <c r="I6" s="211" t="s">
        <v>179</v>
      </c>
      <c r="J6" s="212" t="s">
        <v>160</v>
      </c>
      <c r="K6" s="213" t="s">
        <v>124</v>
      </c>
      <c r="L6" s="211" t="s">
        <v>180</v>
      </c>
      <c r="M6" s="212" t="s">
        <v>160</v>
      </c>
      <c r="N6" s="213" t="s">
        <v>124</v>
      </c>
      <c r="O6" s="214" t="s">
        <v>3</v>
      </c>
      <c r="P6" s="186" t="s">
        <v>23</v>
      </c>
      <c r="Q6" s="58"/>
      <c r="R6" s="186" t="s">
        <v>111</v>
      </c>
      <c r="S6" s="186" t="s">
        <v>112</v>
      </c>
    </row>
    <row r="7" spans="1:21" s="215" customFormat="1" hidden="1" outlineLevel="1" collapsed="1">
      <c r="A7" s="85" t="s">
        <v>113</v>
      </c>
      <c r="B7" s="216">
        <v>4.2500000000000003E-2</v>
      </c>
      <c r="C7" s="69">
        <v>0</v>
      </c>
      <c r="D7" s="91">
        <v>-8772939.4499999993</v>
      </c>
      <c r="E7" s="69">
        <v>0</v>
      </c>
      <c r="F7" s="217">
        <f>20257484+22671</f>
        <v>20280155</v>
      </c>
      <c r="G7" s="218">
        <v>9.0670000000000001E-2</v>
      </c>
      <c r="H7" s="92">
        <f>F7*G7</f>
        <v>1838801.6538500001</v>
      </c>
      <c r="I7" s="219">
        <v>6608892</v>
      </c>
      <c r="J7" s="218">
        <v>7.4749999999999997E-2</v>
      </c>
      <c r="K7" s="92">
        <f>I7*J7</f>
        <v>494014.67699999997</v>
      </c>
      <c r="L7" s="219">
        <v>362835</v>
      </c>
      <c r="M7" s="218">
        <v>4.7449999999999999E-2</v>
      </c>
      <c r="N7" s="92">
        <f>L7*M7</f>
        <v>17216.52075</v>
      </c>
      <c r="O7" s="90">
        <f t="shared" ref="O7:O16" si="0">ROUND(((D7*B7/12)+(E7+H7+K7+N7)/2*B7/12),2)</f>
        <v>-26909.31</v>
      </c>
      <c r="P7" s="69">
        <f>D7+H7+K7+N7+O7</f>
        <v>-6449815.9083999982</v>
      </c>
      <c r="Q7" s="60"/>
      <c r="R7" s="69">
        <f>_xll.Get_Balance(A7,"YTD","USD","Total","A","","001","191000","GD","WA","DL")</f>
        <v>-6449815.9100000001</v>
      </c>
      <c r="S7" s="191">
        <f>R7-P7</f>
        <v>-1.6000019386410713E-3</v>
      </c>
    </row>
    <row r="8" spans="1:21" s="215" customFormat="1" hidden="1" outlineLevel="1">
      <c r="A8" s="85" t="s">
        <v>114</v>
      </c>
      <c r="B8" s="216">
        <v>4.2500000000000003E-2</v>
      </c>
      <c r="C8" s="69">
        <v>0</v>
      </c>
      <c r="D8" s="91">
        <f t="shared" ref="D8:D18" si="1">P7+C8</f>
        <v>-6449815.9083999982</v>
      </c>
      <c r="E8" s="69">
        <v>-370.51</v>
      </c>
      <c r="F8" s="217">
        <f>18179866+21014</f>
        <v>18200880</v>
      </c>
      <c r="G8" s="218">
        <v>9.0670000000000001E-2</v>
      </c>
      <c r="H8" s="92">
        <f t="shared" ref="H8:H15" si="2">F8*G8</f>
        <v>1650273.7896</v>
      </c>
      <c r="I8" s="220">
        <v>7202971</v>
      </c>
      <c r="J8" s="218">
        <v>7.4749999999999997E-2</v>
      </c>
      <c r="K8" s="92">
        <f t="shared" ref="K8:K15" si="3">I8*J8</f>
        <v>538422.08224999998</v>
      </c>
      <c r="L8" s="220">
        <v>448875</v>
      </c>
      <c r="M8" s="218">
        <v>4.7449999999999999E-2</v>
      </c>
      <c r="N8" s="92">
        <f t="shared" ref="N8:N15" si="4">L8*M8</f>
        <v>21299.118749999998</v>
      </c>
      <c r="O8" s="90">
        <f t="shared" si="0"/>
        <v>-18930.22</v>
      </c>
      <c r="P8" s="69">
        <f>D8+E8+H8+K8+N8+O8</f>
        <v>-4259121.6477999976</v>
      </c>
      <c r="Q8" s="60"/>
      <c r="R8" s="69">
        <f>_xll.Get_Balance(A8,"YTD","USD","Total","A","","001","191000","GD","WA","DL")</f>
        <v>-4259121.6500000004</v>
      </c>
      <c r="S8" s="191">
        <f t="shared" ref="S8:S9" si="5">R8-P8</f>
        <v>-2.2000027820467949E-3</v>
      </c>
    </row>
    <row r="9" spans="1:21" s="215" customFormat="1" hidden="1" outlineLevel="1">
      <c r="A9" s="85" t="s">
        <v>115</v>
      </c>
      <c r="B9" s="216">
        <v>4.2500000000000003E-2</v>
      </c>
      <c r="C9" s="69">
        <v>0</v>
      </c>
      <c r="D9" s="91">
        <f t="shared" si="1"/>
        <v>-4259121.6477999976</v>
      </c>
      <c r="E9" s="69">
        <v>0</v>
      </c>
      <c r="F9" s="217">
        <f>15771469+19043</f>
        <v>15790512</v>
      </c>
      <c r="G9" s="218">
        <v>9.0670000000000001E-2</v>
      </c>
      <c r="H9" s="92">
        <f t="shared" si="2"/>
        <v>1431725.7230400001</v>
      </c>
      <c r="I9" s="220">
        <v>5606266</v>
      </c>
      <c r="J9" s="218">
        <v>7.4749999999999997E-2</v>
      </c>
      <c r="K9" s="92">
        <f t="shared" si="3"/>
        <v>419068.3835</v>
      </c>
      <c r="L9" s="220">
        <v>345298</v>
      </c>
      <c r="M9" s="218">
        <v>4.7449999999999999E-2</v>
      </c>
      <c r="N9" s="92">
        <f t="shared" si="4"/>
        <v>16384.390100000001</v>
      </c>
      <c r="O9" s="90">
        <f t="shared" si="0"/>
        <v>-11777.93</v>
      </c>
      <c r="P9" s="69">
        <f t="shared" ref="P9:P18" si="6">D9+E9+H9+K9+N9+O9</f>
        <v>-2403721.0811599977</v>
      </c>
      <c r="Q9" s="60"/>
      <c r="R9" s="69">
        <f>_xll.Get_Balance(A9,"YTD","USD","Total","A","","001","191000","GD","WA","DL")</f>
        <v>-2403721.08</v>
      </c>
      <c r="S9" s="191">
        <f t="shared" si="5"/>
        <v>1.1599976569414139E-3</v>
      </c>
      <c r="U9" s="221"/>
    </row>
    <row r="10" spans="1:21" s="215" customFormat="1" hidden="1" outlineLevel="1" collapsed="1">
      <c r="A10" s="85" t="s">
        <v>118</v>
      </c>
      <c r="B10" s="216">
        <v>4.4699999999999997E-2</v>
      </c>
      <c r="C10" s="69">
        <v>0</v>
      </c>
      <c r="D10" s="91">
        <f t="shared" si="1"/>
        <v>-2403721.0811599977</v>
      </c>
      <c r="E10" s="69">
        <v>0</v>
      </c>
      <c r="F10" s="217">
        <f>9759881+11770</f>
        <v>9771651</v>
      </c>
      <c r="G10" s="218">
        <v>9.0670000000000001E-2</v>
      </c>
      <c r="H10" s="92">
        <f t="shared" si="2"/>
        <v>885995.59617000003</v>
      </c>
      <c r="I10" s="220">
        <v>4266905</v>
      </c>
      <c r="J10" s="218">
        <v>7.4749999999999997E-2</v>
      </c>
      <c r="K10" s="92">
        <f t="shared" si="3"/>
        <v>318951.14874999999</v>
      </c>
      <c r="L10" s="220">
        <v>305691</v>
      </c>
      <c r="M10" s="218">
        <v>4.7449999999999999E-2</v>
      </c>
      <c r="N10" s="92">
        <f t="shared" si="4"/>
        <v>14505.03795</v>
      </c>
      <c r="O10" s="90">
        <f t="shared" si="0"/>
        <v>-6682.63</v>
      </c>
      <c r="P10" s="69">
        <f t="shared" si="6"/>
        <v>-1190951.9282899976</v>
      </c>
      <c r="Q10" s="60"/>
      <c r="R10" s="69">
        <f>_xll.Get_Balance(A10,"YTD","USD","Total","A","","001","191000","GD","WA","DL")</f>
        <v>-1190951.93</v>
      </c>
      <c r="S10" s="191">
        <f t="shared" ref="S10:S12" si="7">R10-P10</f>
        <v>-1.7100023105740547E-3</v>
      </c>
    </row>
    <row r="11" spans="1:21" s="215" customFormat="1" hidden="1" outlineLevel="1">
      <c r="A11" s="85" t="s">
        <v>119</v>
      </c>
      <c r="B11" s="216">
        <v>4.4699999999999997E-2</v>
      </c>
      <c r="C11" s="69">
        <v>0</v>
      </c>
      <c r="D11" s="91">
        <f t="shared" si="1"/>
        <v>-1190951.9282899976</v>
      </c>
      <c r="E11" s="69">
        <v>0</v>
      </c>
      <c r="F11" s="217">
        <f>3286813+4240</f>
        <v>3291053</v>
      </c>
      <c r="G11" s="218">
        <v>9.0670000000000001E-2</v>
      </c>
      <c r="H11" s="92">
        <f t="shared" si="2"/>
        <v>298399.77551000001</v>
      </c>
      <c r="I11" s="220">
        <v>2210506</v>
      </c>
      <c r="J11" s="218">
        <v>7.4749999999999997E-2</v>
      </c>
      <c r="K11" s="92">
        <f t="shared" si="3"/>
        <v>165235.3235</v>
      </c>
      <c r="L11" s="220">
        <v>234262</v>
      </c>
      <c r="M11" s="218">
        <v>4.7449999999999999E-2</v>
      </c>
      <c r="N11" s="92">
        <f t="shared" si="4"/>
        <v>11115.731900000001</v>
      </c>
      <c r="O11" s="90">
        <f t="shared" si="0"/>
        <v>-3552.07</v>
      </c>
      <c r="P11" s="69">
        <f t="shared" si="6"/>
        <v>-719753.16737999755</v>
      </c>
      <c r="Q11" s="60"/>
      <c r="R11" s="69">
        <f>_xll.Get_Balance(A11,"YTD","USD","Total","A","","001","191000","GD","WA","DL")</f>
        <v>-719753.17</v>
      </c>
      <c r="S11" s="191">
        <f t="shared" si="7"/>
        <v>-2.6200024876743555E-3</v>
      </c>
    </row>
    <row r="12" spans="1:21" s="215" customFormat="1" hidden="1" outlineLevel="1">
      <c r="A12" s="85" t="s">
        <v>120</v>
      </c>
      <c r="B12" s="216">
        <v>4.4699999999999997E-2</v>
      </c>
      <c r="C12" s="69">
        <v>0</v>
      </c>
      <c r="D12" s="91">
        <f t="shared" si="1"/>
        <v>-719753.16737999755</v>
      </c>
      <c r="E12" s="69">
        <v>0</v>
      </c>
      <c r="F12" s="217">
        <f>2630854+2604</f>
        <v>2633458</v>
      </c>
      <c r="G12" s="218">
        <v>9.0670000000000001E-2</v>
      </c>
      <c r="H12" s="92">
        <f t="shared" si="2"/>
        <v>238775.63686</v>
      </c>
      <c r="I12" s="220">
        <v>1922676</v>
      </c>
      <c r="J12" s="218">
        <v>7.4749999999999997E-2</v>
      </c>
      <c r="K12" s="92">
        <f t="shared" si="3"/>
        <v>143720.03099999999</v>
      </c>
      <c r="L12" s="220">
        <v>318982</v>
      </c>
      <c r="M12" s="218">
        <v>4.7449999999999999E-2</v>
      </c>
      <c r="N12" s="92">
        <f t="shared" si="4"/>
        <v>15135.695900000001</v>
      </c>
      <c r="O12" s="90">
        <f t="shared" si="0"/>
        <v>-1940.49</v>
      </c>
      <c r="P12" s="69">
        <f t="shared" si="6"/>
        <v>-324062.29361999762</v>
      </c>
      <c r="Q12" s="60"/>
      <c r="R12" s="69">
        <f>_xll.Get_Balance(A12,"YTD","USD","Total","A","","001","191000","GD","WA","DL")</f>
        <v>-324062.3</v>
      </c>
      <c r="S12" s="191">
        <f t="shared" si="7"/>
        <v>-6.3800023635849357E-3</v>
      </c>
      <c r="U12" s="221"/>
    </row>
    <row r="13" spans="1:21" s="75" customFormat="1" hidden="1" outlineLevel="1">
      <c r="A13" s="85" t="s">
        <v>149</v>
      </c>
      <c r="B13" s="216">
        <v>4.6899999999999997E-2</v>
      </c>
      <c r="C13" s="69">
        <v>0</v>
      </c>
      <c r="D13" s="91">
        <f t="shared" si="1"/>
        <v>-324062.29361999762</v>
      </c>
      <c r="E13" s="69">
        <v>0</v>
      </c>
      <c r="F13" s="217">
        <f>2294066+2356</f>
        <v>2296422</v>
      </c>
      <c r="G13" s="218">
        <v>9.0670000000000001E-2</v>
      </c>
      <c r="H13" s="92">
        <f t="shared" si="2"/>
        <v>208216.58274000001</v>
      </c>
      <c r="I13" s="220">
        <v>1476772</v>
      </c>
      <c r="J13" s="218">
        <v>7.4749999999999997E-2</v>
      </c>
      <c r="K13" s="92">
        <f t="shared" si="3"/>
        <v>110388.70699999999</v>
      </c>
      <c r="L13" s="220">
        <v>256335</v>
      </c>
      <c r="M13" s="218">
        <v>4.7449999999999999E-2</v>
      </c>
      <c r="N13" s="92">
        <f t="shared" si="4"/>
        <v>12163.09575</v>
      </c>
      <c r="O13" s="90">
        <f t="shared" si="0"/>
        <v>-620.16999999999996</v>
      </c>
      <c r="P13" s="69">
        <f t="shared" si="6"/>
        <v>6085.921870002383</v>
      </c>
      <c r="Q13" s="60"/>
      <c r="R13" s="69">
        <f>_xll.Get_Balance(A13,"YTD","USD","Total","A","","001","191000","GD","WA","DL")</f>
        <v>6085.92</v>
      </c>
      <c r="S13" s="191">
        <f t="shared" ref="S13:S18" si="8">R13-P13</f>
        <v>-1.8700023829296697E-3</v>
      </c>
    </row>
    <row r="14" spans="1:21" s="75" customFormat="1" hidden="1" outlineLevel="1">
      <c r="A14" s="85" t="s">
        <v>150</v>
      </c>
      <c r="B14" s="216">
        <v>4.6899999999999997E-2</v>
      </c>
      <c r="C14" s="69">
        <v>0</v>
      </c>
      <c r="D14" s="91">
        <f t="shared" si="1"/>
        <v>6085.921870002383</v>
      </c>
      <c r="E14" s="69">
        <v>0</v>
      </c>
      <c r="F14" s="217">
        <f>2214130+1944</f>
        <v>2216074</v>
      </c>
      <c r="G14" s="218">
        <v>9.0670000000000001E-2</v>
      </c>
      <c r="H14" s="92">
        <f t="shared" si="2"/>
        <v>200931.42958</v>
      </c>
      <c r="I14" s="220">
        <v>1588311</v>
      </c>
      <c r="J14" s="218">
        <v>7.4749999999999997E-2</v>
      </c>
      <c r="K14" s="92">
        <f t="shared" si="3"/>
        <v>118726.24725</v>
      </c>
      <c r="L14" s="220">
        <v>306054</v>
      </c>
      <c r="M14" s="218">
        <v>4.7449999999999999E-2</v>
      </c>
      <c r="N14" s="92">
        <f t="shared" si="4"/>
        <v>14522.2623</v>
      </c>
      <c r="O14" s="90">
        <f t="shared" si="0"/>
        <v>676.83</v>
      </c>
      <c r="P14" s="69">
        <f t="shared" si="6"/>
        <v>340942.69100000238</v>
      </c>
      <c r="Q14" s="60"/>
      <c r="R14" s="69">
        <f>_xll.Get_Balance(A14,"YTD","USD","Total","A","","001","191000","GD","WA","DL")</f>
        <v>340942.69</v>
      </c>
      <c r="S14" s="191">
        <f t="shared" si="8"/>
        <v>-1.0000023758038878E-3</v>
      </c>
    </row>
    <row r="15" spans="1:21" s="75" customFormat="1" hidden="1" outlineLevel="1">
      <c r="A15" s="85" t="s">
        <v>151</v>
      </c>
      <c r="B15" s="216">
        <v>4.6899999999999997E-2</v>
      </c>
      <c r="C15" s="69">
        <v>0</v>
      </c>
      <c r="D15" s="91">
        <f t="shared" si="1"/>
        <v>340942.69100000238</v>
      </c>
      <c r="E15" s="69">
        <v>0</v>
      </c>
      <c r="F15" s="217">
        <f>3077139+3129</f>
        <v>3080268</v>
      </c>
      <c r="G15" s="218">
        <v>9.0670000000000001E-2</v>
      </c>
      <c r="H15" s="92">
        <f t="shared" si="2"/>
        <v>279287.89955999999</v>
      </c>
      <c r="I15" s="220">
        <v>1948398</v>
      </c>
      <c r="J15" s="218">
        <v>7.4749999999999997E-2</v>
      </c>
      <c r="K15" s="92">
        <f t="shared" si="3"/>
        <v>145642.75049999999</v>
      </c>
      <c r="L15" s="220">
        <v>302898</v>
      </c>
      <c r="M15" s="218">
        <v>4.7449999999999999E-2</v>
      </c>
      <c r="N15" s="92">
        <f t="shared" si="4"/>
        <v>14372.5101</v>
      </c>
      <c r="O15" s="90">
        <f t="shared" si="0"/>
        <v>2190.9899999999998</v>
      </c>
      <c r="P15" s="69">
        <f t="shared" si="6"/>
        <v>782436.84116000228</v>
      </c>
      <c r="Q15" s="60"/>
      <c r="R15" s="69">
        <f>_xll.Get_Balance(A15,"YTD","USD","Total","A","","001","191000","GD","WA","DL")</f>
        <v>782436.84</v>
      </c>
      <c r="S15" s="191">
        <f t="shared" si="8"/>
        <v>-1.160002313554287E-3</v>
      </c>
    </row>
    <row r="16" spans="1:21" s="75" customFormat="1" hidden="1" outlineLevel="1">
      <c r="A16" s="85" t="s">
        <v>152</v>
      </c>
      <c r="B16" s="216">
        <v>4.9599999999999998E-2</v>
      </c>
      <c r="C16" s="69">
        <v>0</v>
      </c>
      <c r="D16" s="91">
        <f t="shared" si="1"/>
        <v>782436.84116000228</v>
      </c>
      <c r="E16" s="69">
        <v>0</v>
      </c>
      <c r="F16" s="217">
        <f>8390464+10239</f>
        <v>8400703</v>
      </c>
      <c r="G16" s="218">
        <v>9.0670000000000001E-2</v>
      </c>
      <c r="H16" s="92">
        <f>F16*G16</f>
        <v>761691.74101</v>
      </c>
      <c r="I16" s="220">
        <v>3674467</v>
      </c>
      <c r="J16" s="218">
        <v>7.4749999999999997E-2</v>
      </c>
      <c r="K16" s="92">
        <f>I16*J16</f>
        <v>274666.40824999998</v>
      </c>
      <c r="L16" s="220">
        <v>398880</v>
      </c>
      <c r="M16" s="218">
        <v>4.7449999999999999E-2</v>
      </c>
      <c r="N16" s="92">
        <f>L16*M16</f>
        <v>18926.856</v>
      </c>
      <c r="O16" s="90">
        <f t="shared" si="0"/>
        <v>5414.99</v>
      </c>
      <c r="P16" s="69">
        <f t="shared" si="6"/>
        <v>1843136.8364200019</v>
      </c>
      <c r="Q16" s="60"/>
      <c r="R16" s="69">
        <f>_xll.Get_Balance(A16,"YTD","USD","Total","A","","001","191000","GD","WA","DL")</f>
        <v>1843136.84</v>
      </c>
      <c r="S16" s="191">
        <f t="shared" si="8"/>
        <v>3.5799981560558081E-3</v>
      </c>
    </row>
    <row r="17" spans="1:19" s="75" customFormat="1" hidden="1" outlineLevel="1">
      <c r="A17" s="85" t="s">
        <v>153</v>
      </c>
      <c r="B17" s="216">
        <v>4.9599999999999998E-2</v>
      </c>
      <c r="C17" s="199">
        <f>-'191010 WA DEF'!D17</f>
        <v>-15619860.030000001</v>
      </c>
      <c r="D17" s="91">
        <f t="shared" si="1"/>
        <v>-13776723.19358</v>
      </c>
      <c r="E17" s="199">
        <v>193448.89</v>
      </c>
      <c r="F17" s="217">
        <f>15558764+17080</f>
        <v>15575844</v>
      </c>
      <c r="G17" s="190" t="s">
        <v>161</v>
      </c>
      <c r="H17" s="222">
        <f>1422577+1562</f>
        <v>1424139</v>
      </c>
      <c r="I17" s="220">
        <v>5726364</v>
      </c>
      <c r="J17" s="190" t="s">
        <v>161</v>
      </c>
      <c r="K17" s="222">
        <v>435855</v>
      </c>
      <c r="L17" s="220">
        <v>420845</v>
      </c>
      <c r="M17" s="190" t="s">
        <v>161</v>
      </c>
      <c r="N17" s="222">
        <v>20101</v>
      </c>
      <c r="O17" s="90">
        <f>ROUND(((D17*B17/12)+(E17+H17+K17+N17)/2*B17/12),2)</f>
        <v>-52658.47</v>
      </c>
      <c r="P17" s="69">
        <f t="shared" si="6"/>
        <v>-11755837.77358</v>
      </c>
      <c r="Q17" s="60"/>
      <c r="R17" s="69">
        <f>_xll.Get_Balance(A17,"YTD","USD","Total","A","","001","191000","GD","WA","DL")</f>
        <v>-11755837.77</v>
      </c>
      <c r="S17" s="191">
        <f t="shared" si="8"/>
        <v>3.580000251531601E-3</v>
      </c>
    </row>
    <row r="18" spans="1:19" s="75" customFormat="1" ht="13.5" collapsed="1" thickBot="1">
      <c r="A18" s="86" t="s">
        <v>142</v>
      </c>
      <c r="B18" s="223">
        <v>4.9599999999999998E-2</v>
      </c>
      <c r="C18" s="71">
        <v>0</v>
      </c>
      <c r="D18" s="93">
        <f t="shared" si="1"/>
        <v>-11755837.77358</v>
      </c>
      <c r="E18" s="71">
        <v>0</v>
      </c>
      <c r="F18" s="224">
        <f>20570424+21435</f>
        <v>20591859</v>
      </c>
      <c r="G18" s="194" t="s">
        <v>161</v>
      </c>
      <c r="H18" s="225">
        <f>1881352+1961</f>
        <v>1883313</v>
      </c>
      <c r="I18" s="226">
        <v>18064862</v>
      </c>
      <c r="J18" s="194" t="s">
        <v>161</v>
      </c>
      <c r="K18" s="225">
        <v>1229205</v>
      </c>
      <c r="L18" s="226">
        <v>-10914823</v>
      </c>
      <c r="M18" s="194" t="s">
        <v>161</v>
      </c>
      <c r="N18" s="225">
        <v>-399712</v>
      </c>
      <c r="O18" s="94">
        <f>ROUND(((D18*B18/12)+(E18+H18+K18+N18)/2*B18/12),2)</f>
        <v>-42984.33</v>
      </c>
      <c r="P18" s="71">
        <f t="shared" si="6"/>
        <v>-9086016.1035799999</v>
      </c>
      <c r="Q18" s="95"/>
      <c r="R18" s="71">
        <f>_xll.Get_Balance(A18,"YTD","USD","Total","A","","001","191000","GD","WA","DL")</f>
        <v>-9086016.0999999996</v>
      </c>
      <c r="S18" s="195">
        <f t="shared" si="8"/>
        <v>3.580000251531601E-3</v>
      </c>
    </row>
    <row r="19" spans="1:19" s="75" customFormat="1">
      <c r="A19" s="87" t="s">
        <v>163</v>
      </c>
      <c r="B19" s="216">
        <v>5.1799999999999999E-2</v>
      </c>
      <c r="C19" s="80">
        <v>0</v>
      </c>
      <c r="D19" s="88">
        <f t="shared" ref="D19:D26" si="9">P18+C19</f>
        <v>-9086016.1035799999</v>
      </c>
      <c r="E19" s="80">
        <v>0</v>
      </c>
      <c r="F19" s="217">
        <f>21076213+21566</f>
        <v>21097779</v>
      </c>
      <c r="G19" s="218">
        <v>9.1660000000000005E-2</v>
      </c>
      <c r="H19" s="92">
        <f>F19*G19</f>
        <v>1933822.4231400001</v>
      </c>
      <c r="I19" s="220">
        <v>4326716</v>
      </c>
      <c r="J19" s="218">
        <v>7.6249999999999998E-2</v>
      </c>
      <c r="K19" s="92">
        <f>I19*J19</f>
        <v>329912.09499999997</v>
      </c>
      <c r="L19" s="220">
        <v>3809625</v>
      </c>
      <c r="M19" s="218">
        <v>4.7800000000000002E-2</v>
      </c>
      <c r="N19" s="92">
        <f>L19*M19</f>
        <v>182100.07500000001</v>
      </c>
      <c r="O19" s="89">
        <f t="shared" ref="O19:O26" si="10">ROUND(((D19*B19/12)+(E19+H19+K19+N19)/2*B19/12),2)</f>
        <v>-33942.379999999997</v>
      </c>
      <c r="P19" s="80">
        <f t="shared" ref="P19:P26" si="11">D19+E19+H19+K19+N19+O19</f>
        <v>-6674123.8904399993</v>
      </c>
      <c r="Q19" s="60"/>
      <c r="R19" s="80">
        <f>_xll.Get_Balance(A19,"YTD","USD","Total","A","","001","191000","GD","WA","DL")</f>
        <v>-6674123.8799999999</v>
      </c>
      <c r="S19" s="197">
        <f t="shared" ref="S19:S26" si="12">R19-P19</f>
        <v>1.0439999401569366E-2</v>
      </c>
    </row>
    <row r="20" spans="1:19" s="75" customFormat="1">
      <c r="A20" s="85" t="s">
        <v>164</v>
      </c>
      <c r="B20" s="216">
        <v>5.1799999999999999E-2</v>
      </c>
      <c r="C20" s="69">
        <v>0</v>
      </c>
      <c r="D20" s="91">
        <f t="shared" si="9"/>
        <v>-6674123.8904399993</v>
      </c>
      <c r="E20" s="69">
        <v>0</v>
      </c>
      <c r="F20" s="217">
        <f>23394682+23936</f>
        <v>23418618</v>
      </c>
      <c r="G20" s="218">
        <v>9.1660000000000005E-2</v>
      </c>
      <c r="H20" s="92">
        <f t="shared" ref="H20:H28" si="13">F20*G20</f>
        <v>2146550.5258800001</v>
      </c>
      <c r="I20" s="220">
        <v>8977809</v>
      </c>
      <c r="J20" s="218">
        <v>7.6249999999999998E-2</v>
      </c>
      <c r="K20" s="92">
        <f t="shared" ref="K20:K28" si="14">I20*J20</f>
        <v>684557.93625000003</v>
      </c>
      <c r="L20" s="220">
        <v>177522</v>
      </c>
      <c r="M20" s="218">
        <v>4.7800000000000002E-2</v>
      </c>
      <c r="N20" s="92">
        <f t="shared" ref="N20:N28" si="15">L20*M20</f>
        <v>8485.5516000000007</v>
      </c>
      <c r="O20" s="90">
        <f t="shared" si="10"/>
        <v>-22681.18</v>
      </c>
      <c r="P20" s="69">
        <f t="shared" si="11"/>
        <v>-3857211.0567099988</v>
      </c>
      <c r="Q20" s="60"/>
      <c r="R20" s="69">
        <f>_xll.Get_Balance(A20,"YTD","USD","Total","A","","001","191000","GD","WA","DL")</f>
        <v>-3857211.04</v>
      </c>
      <c r="S20" s="191">
        <f t="shared" si="12"/>
        <v>1.6709998715668917E-2</v>
      </c>
    </row>
    <row r="21" spans="1:19" s="75" customFormat="1">
      <c r="A21" s="85" t="s">
        <v>165</v>
      </c>
      <c r="B21" s="216">
        <v>5.1799999999999999E-2</v>
      </c>
      <c r="C21" s="69">
        <v>0</v>
      </c>
      <c r="D21" s="91">
        <f t="shared" si="9"/>
        <v>-3857211.0567099988</v>
      </c>
      <c r="E21" s="69">
        <v>0</v>
      </c>
      <c r="F21" s="217">
        <f>18476572+18913</f>
        <v>18495485</v>
      </c>
      <c r="G21" s="218">
        <v>9.1660000000000005E-2</v>
      </c>
      <c r="H21" s="92">
        <f t="shared" si="13"/>
        <v>1695296.1551000001</v>
      </c>
      <c r="I21" s="220">
        <v>6826624</v>
      </c>
      <c r="J21" s="218">
        <v>7.6249999999999998E-2</v>
      </c>
      <c r="K21" s="92">
        <f t="shared" si="14"/>
        <v>520530.08</v>
      </c>
      <c r="L21" s="220">
        <v>115935</v>
      </c>
      <c r="M21" s="218">
        <v>4.7800000000000002E-2</v>
      </c>
      <c r="N21" s="92">
        <f t="shared" si="15"/>
        <v>5541.6930000000002</v>
      </c>
      <c r="O21" s="90">
        <f t="shared" si="10"/>
        <v>-11855.84</v>
      </c>
      <c r="P21" s="69">
        <f t="shared" si="11"/>
        <v>-1647698.9686099987</v>
      </c>
      <c r="Q21" s="60"/>
      <c r="R21" s="69">
        <f>_xll.Get_Balance(A21,"YTD","USD","Total","A","","001","191000","GD","WA","DL")</f>
        <v>-1647698.95</v>
      </c>
      <c r="S21" s="191">
        <f t="shared" si="12"/>
        <v>1.8609998747706413E-2</v>
      </c>
    </row>
    <row r="22" spans="1:19" s="75" customFormat="1">
      <c r="A22" s="85" t="s">
        <v>166</v>
      </c>
      <c r="B22" s="216">
        <v>5.45E-2</v>
      </c>
      <c r="C22" s="69">
        <v>0</v>
      </c>
      <c r="D22" s="91">
        <f t="shared" si="9"/>
        <v>-1647698.9686099987</v>
      </c>
      <c r="E22" s="69">
        <v>0</v>
      </c>
      <c r="F22" s="217">
        <f>8678511+9640</f>
        <v>8688151</v>
      </c>
      <c r="G22" s="218">
        <v>9.1660000000000005E-2</v>
      </c>
      <c r="H22" s="92">
        <f t="shared" si="13"/>
        <v>796355.92066000006</v>
      </c>
      <c r="I22" s="220">
        <v>4528915</v>
      </c>
      <c r="J22" s="218">
        <v>7.6249999999999998E-2</v>
      </c>
      <c r="K22" s="92">
        <f t="shared" si="14"/>
        <v>345329.76874999999</v>
      </c>
      <c r="L22" s="220">
        <v>108923</v>
      </c>
      <c r="M22" s="218">
        <v>4.7800000000000002E-2</v>
      </c>
      <c r="N22" s="92">
        <f t="shared" si="15"/>
        <v>5206.5194000000001</v>
      </c>
      <c r="O22" s="90">
        <f t="shared" si="10"/>
        <v>-4878.8999999999996</v>
      </c>
      <c r="P22" s="69">
        <f t="shared" si="11"/>
        <v>-505685.65979999868</v>
      </c>
      <c r="Q22" s="60"/>
      <c r="R22" s="69">
        <f>_xll.Get_Balance(A22,"YTD","USD","Total","A","","001","191000","GD","WA","DL")</f>
        <v>-505685.64</v>
      </c>
      <c r="S22" s="191">
        <f t="shared" si="12"/>
        <v>1.979999867035076E-2</v>
      </c>
    </row>
    <row r="23" spans="1:19" s="75" customFormat="1">
      <c r="A23" s="85" t="s">
        <v>123</v>
      </c>
      <c r="B23" s="216">
        <v>5.45E-2</v>
      </c>
      <c r="C23" s="69">
        <v>0</v>
      </c>
      <c r="D23" s="91">
        <f t="shared" si="9"/>
        <v>-505685.65979999868</v>
      </c>
      <c r="E23" s="69">
        <v>0</v>
      </c>
      <c r="F23" s="217">
        <f>4312435+4874</f>
        <v>4317309</v>
      </c>
      <c r="G23" s="218">
        <v>9.1660000000000005E-2</v>
      </c>
      <c r="H23" s="92">
        <f t="shared" si="13"/>
        <v>395724.54294000001</v>
      </c>
      <c r="I23" s="220">
        <v>2394969</v>
      </c>
      <c r="J23" s="218">
        <v>7.6249999999999998E-2</v>
      </c>
      <c r="K23" s="92">
        <f t="shared" si="14"/>
        <v>182616.38625000001</v>
      </c>
      <c r="L23" s="220">
        <v>97867</v>
      </c>
      <c r="M23" s="218">
        <v>4.7800000000000002E-2</v>
      </c>
      <c r="N23" s="92">
        <f t="shared" si="15"/>
        <v>4678.0425999999998</v>
      </c>
      <c r="O23" s="90">
        <f t="shared" si="10"/>
        <v>-972.72</v>
      </c>
      <c r="P23" s="69">
        <f t="shared" si="11"/>
        <v>76360.59199000134</v>
      </c>
      <c r="Q23" s="60"/>
      <c r="R23" s="69">
        <f>_xll.Get_Balance(A23,"YTD","USD","Total","A","","001","191000","GD","WA","DL")</f>
        <v>76360.62</v>
      </c>
      <c r="S23" s="191">
        <f t="shared" si="12"/>
        <v>2.8009998655761592E-2</v>
      </c>
    </row>
    <row r="24" spans="1:19" s="75" customFormat="1">
      <c r="A24" s="85" t="s">
        <v>167</v>
      </c>
      <c r="B24" s="216">
        <v>5.45E-2</v>
      </c>
      <c r="C24" s="69">
        <v>0</v>
      </c>
      <c r="D24" s="91">
        <f t="shared" si="9"/>
        <v>76360.59199000134</v>
      </c>
      <c r="E24" s="69">
        <v>0</v>
      </c>
      <c r="F24" s="217">
        <f>2497712+2253</f>
        <v>2499965</v>
      </c>
      <c r="G24" s="218">
        <v>9.1660000000000005E-2</v>
      </c>
      <c r="H24" s="92">
        <f t="shared" si="13"/>
        <v>229146.79190000001</v>
      </c>
      <c r="I24" s="220">
        <v>2410231</v>
      </c>
      <c r="J24" s="218">
        <v>7.6249999999999998E-2</v>
      </c>
      <c r="K24" s="92">
        <f t="shared" si="14"/>
        <v>183780.11374999999</v>
      </c>
      <c r="L24" s="220">
        <v>-90738</v>
      </c>
      <c r="M24" s="218">
        <v>4.7800000000000002E-2</v>
      </c>
      <c r="N24" s="92">
        <f t="shared" si="15"/>
        <v>-4337.2764000000006</v>
      </c>
      <c r="O24" s="90">
        <f t="shared" si="10"/>
        <v>1274.6400000000001</v>
      </c>
      <c r="P24" s="69">
        <f t="shared" si="11"/>
        <v>486224.8612400014</v>
      </c>
      <c r="Q24" s="60"/>
      <c r="R24" s="69">
        <f>_xll.Get_Balance(A24,"YTD","USD","Total","A","","001","191000","GD","WA","DL")</f>
        <v>486224.89</v>
      </c>
      <c r="S24" s="191">
        <f t="shared" si="12"/>
        <v>2.8759998618625104E-2</v>
      </c>
    </row>
    <row r="25" spans="1:19" s="75" customFormat="1">
      <c r="A25" s="85" t="s">
        <v>168</v>
      </c>
      <c r="B25" s="216">
        <v>5.5E-2</v>
      </c>
      <c r="C25" s="69">
        <v>0</v>
      </c>
      <c r="D25" s="91">
        <f t="shared" si="9"/>
        <v>486224.8612400014</v>
      </c>
      <c r="E25" s="69">
        <v>0</v>
      </c>
      <c r="F25" s="217">
        <f>2393172+1928</f>
        <v>2395100</v>
      </c>
      <c r="G25" s="218">
        <v>9.1660000000000005E-2</v>
      </c>
      <c r="H25" s="92">
        <f t="shared" si="13"/>
        <v>219534.86600000001</v>
      </c>
      <c r="I25" s="220">
        <v>1815710</v>
      </c>
      <c r="J25" s="218">
        <v>7.6249999999999998E-2</v>
      </c>
      <c r="K25" s="92">
        <f t="shared" si="14"/>
        <v>138447.88749999998</v>
      </c>
      <c r="L25" s="220">
        <v>133593</v>
      </c>
      <c r="M25" s="218">
        <v>4.7800000000000002E-2</v>
      </c>
      <c r="N25" s="92">
        <f t="shared" si="15"/>
        <v>6385.7454000000007</v>
      </c>
      <c r="O25" s="90">
        <f t="shared" si="10"/>
        <v>3063.54</v>
      </c>
      <c r="P25" s="69">
        <f t="shared" si="11"/>
        <v>853656.90014000144</v>
      </c>
      <c r="Q25" s="60"/>
      <c r="R25" s="69">
        <f>_xll.Get_Balance(A25,"YTD","USD","Total","A","","001","191000","GD","WA","DL")</f>
        <v>853656.93</v>
      </c>
      <c r="S25" s="191">
        <f t="shared" si="12"/>
        <v>2.985999861266464E-2</v>
      </c>
    </row>
    <row r="26" spans="1:19" s="75" customFormat="1">
      <c r="A26" s="85" t="s">
        <v>169</v>
      </c>
      <c r="B26" s="216">
        <v>5.5E-2</v>
      </c>
      <c r="C26" s="69">
        <v>0</v>
      </c>
      <c r="D26" s="91">
        <f t="shared" si="9"/>
        <v>853656.90014000144</v>
      </c>
      <c r="E26" s="69">
        <v>0</v>
      </c>
      <c r="F26" s="217">
        <f>2217255+1943</f>
        <v>2219198</v>
      </c>
      <c r="G26" s="218">
        <v>9.1660000000000005E-2</v>
      </c>
      <c r="H26" s="92">
        <f t="shared" si="13"/>
        <v>203411.68868000002</v>
      </c>
      <c r="I26" s="220">
        <v>1827018</v>
      </c>
      <c r="J26" s="218">
        <v>7.6249999999999998E-2</v>
      </c>
      <c r="K26" s="92">
        <f t="shared" si="14"/>
        <v>139310.1225</v>
      </c>
      <c r="L26" s="220">
        <v>137205</v>
      </c>
      <c r="M26" s="218">
        <v>4.7800000000000002E-2</v>
      </c>
      <c r="N26" s="92">
        <f t="shared" si="15"/>
        <v>6558.3990000000003</v>
      </c>
      <c r="O26" s="90">
        <f t="shared" si="10"/>
        <v>4713.03</v>
      </c>
      <c r="P26" s="69">
        <f t="shared" si="11"/>
        <v>1207650.1403200016</v>
      </c>
      <c r="Q26" s="60"/>
      <c r="R26" s="69">
        <f>_xll.Get_Balance(A26,"YTD","USD","Total","A","","001","191000","GD","WA","DL")</f>
        <v>1207650.17</v>
      </c>
      <c r="S26" s="191">
        <f t="shared" si="12"/>
        <v>2.967999828979373E-2</v>
      </c>
    </row>
    <row r="27" spans="1:19" s="75" customFormat="1">
      <c r="A27" s="85" t="s">
        <v>170</v>
      </c>
      <c r="B27" s="216">
        <v>5.5E-2</v>
      </c>
      <c r="C27" s="69">
        <v>0</v>
      </c>
      <c r="D27" s="91">
        <f t="shared" ref="D27:D38" si="16">P26+C27</f>
        <v>1207650.1403200016</v>
      </c>
      <c r="E27" s="69">
        <v>0</v>
      </c>
      <c r="F27" s="217">
        <f>3669449+3444</f>
        <v>3672893</v>
      </c>
      <c r="G27" s="218">
        <v>9.1660000000000005E-2</v>
      </c>
      <c r="H27" s="92">
        <f t="shared" si="13"/>
        <v>336657.37238000002</v>
      </c>
      <c r="I27" s="220">
        <v>2844010</v>
      </c>
      <c r="J27" s="218">
        <v>7.6249999999999998E-2</v>
      </c>
      <c r="K27" s="92">
        <f t="shared" si="14"/>
        <v>216855.76249999998</v>
      </c>
      <c r="L27" s="220">
        <v>110085</v>
      </c>
      <c r="M27" s="218">
        <v>4.7800000000000002E-2</v>
      </c>
      <c r="N27" s="92">
        <f t="shared" si="15"/>
        <v>5262.0630000000001</v>
      </c>
      <c r="O27" s="90">
        <f t="shared" ref="O27:O38" si="17">ROUND(((D27*B27/12)+(E27+H27+K27+N27)/2*B27/12),2)</f>
        <v>6815.59</v>
      </c>
      <c r="P27" s="69">
        <f t="shared" ref="P27:P38" si="18">D27+E27+H27+K27+N27+O27</f>
        <v>1773240.9282000018</v>
      </c>
      <c r="Q27" s="60"/>
      <c r="R27" s="69">
        <f>_xll.Get_Balance(A27,"YTD","USD","Total","A","","001","191000","GD","WA","DL")</f>
        <v>1773240.96</v>
      </c>
      <c r="S27" s="191">
        <f t="shared" ref="S27:S31" si="19">R27-P27</f>
        <v>3.1799998134374619E-2</v>
      </c>
    </row>
    <row r="28" spans="1:19" s="75" customFormat="1">
      <c r="A28" s="85" t="s">
        <v>171</v>
      </c>
      <c r="B28" s="216">
        <v>5.4199999999999998E-2</v>
      </c>
      <c r="C28" s="69">
        <v>0</v>
      </c>
      <c r="D28" s="91">
        <f t="shared" si="16"/>
        <v>1773240.9282000018</v>
      </c>
      <c r="E28" s="69">
        <v>0</v>
      </c>
      <c r="F28" s="217">
        <f>12751665+10264</f>
        <v>12761929</v>
      </c>
      <c r="G28" s="218">
        <v>9.1660000000000005E-2</v>
      </c>
      <c r="H28" s="92">
        <f t="shared" si="13"/>
        <v>1169758.4121400001</v>
      </c>
      <c r="I28" s="220">
        <v>5304408</v>
      </c>
      <c r="J28" s="218">
        <v>7.6249999999999998E-2</v>
      </c>
      <c r="K28" s="92">
        <f t="shared" si="14"/>
        <v>404461.11</v>
      </c>
      <c r="L28" s="220">
        <v>187475</v>
      </c>
      <c r="M28" s="218">
        <v>4.7800000000000002E-2</v>
      </c>
      <c r="N28" s="92">
        <f t="shared" si="15"/>
        <v>8961.3050000000003</v>
      </c>
      <c r="O28" s="90">
        <f t="shared" si="17"/>
        <v>11584.49</v>
      </c>
      <c r="P28" s="69">
        <f t="shared" si="18"/>
        <v>3368006.2453400022</v>
      </c>
      <c r="Q28" s="60"/>
      <c r="R28" s="69">
        <f>_xll.Get_Balance(A28,"YTD","USD","Total","A","","001","191000","GD","WA","DL")</f>
        <v>3368006.27</v>
      </c>
      <c r="S28" s="191">
        <f t="shared" si="19"/>
        <v>2.4659997783601284E-2</v>
      </c>
    </row>
    <row r="29" spans="1:19" s="75" customFormat="1">
      <c r="A29" s="85" t="s">
        <v>172</v>
      </c>
      <c r="B29" s="216">
        <v>5.4199999999999998E-2</v>
      </c>
      <c r="C29" s="199">
        <f>-'191010 WA DEF'!D29</f>
        <v>-2194008.2431480014</v>
      </c>
      <c r="D29" s="91">
        <f t="shared" si="16"/>
        <v>1173998.0021920009</v>
      </c>
      <c r="E29" s="199">
        <v>121937.23</v>
      </c>
      <c r="F29" s="217">
        <f>17314620+14846</f>
        <v>17329466</v>
      </c>
      <c r="G29" s="190" t="s">
        <v>161</v>
      </c>
      <c r="H29" s="222">
        <f>-74799-51</f>
        <v>-74850</v>
      </c>
      <c r="I29" s="220">
        <v>6504463</v>
      </c>
      <c r="J29" s="190" t="s">
        <v>161</v>
      </c>
      <c r="K29" s="222">
        <v>-104887</v>
      </c>
      <c r="L29" s="220">
        <v>195352</v>
      </c>
      <c r="M29" s="190" t="s">
        <v>161</v>
      </c>
      <c r="N29" s="222">
        <v>-7404</v>
      </c>
      <c r="O29" s="90">
        <f>ROUND(((D29*B29/12)+(E29+H29+K29+N29)/2*B29/12),2)</f>
        <v>5155.3100000000004</v>
      </c>
      <c r="P29" s="69">
        <f t="shared" si="18"/>
        <v>1113949.5421920009</v>
      </c>
      <c r="Q29" s="60"/>
      <c r="R29" s="69">
        <f>_xll.Get_Balance(A29,"YTD","USD","Total","A","","001","191000","GD","WA","DL")</f>
        <v>1113949.54</v>
      </c>
      <c r="S29" s="191">
        <f t="shared" si="19"/>
        <v>-2.1920008584856987E-3</v>
      </c>
    </row>
    <row r="30" spans="1:19" s="75" customFormat="1" ht="13.5" thickBot="1">
      <c r="A30" s="86" t="s">
        <v>173</v>
      </c>
      <c r="B30" s="223">
        <v>5.4199999999999998E-2</v>
      </c>
      <c r="C30" s="71">
        <v>0</v>
      </c>
      <c r="D30" s="93">
        <f t="shared" si="16"/>
        <v>1113949.5421920009</v>
      </c>
      <c r="E30" s="71">
        <v>0</v>
      </c>
      <c r="F30" s="224">
        <f>19606500+18755</f>
        <v>19625255</v>
      </c>
      <c r="G30" s="194" t="s">
        <v>161</v>
      </c>
      <c r="H30" s="225">
        <f>-73713-65</f>
        <v>-73778</v>
      </c>
      <c r="I30" s="226">
        <v>7275662</v>
      </c>
      <c r="J30" s="194" t="s">
        <v>161</v>
      </c>
      <c r="K30" s="225">
        <v>-63487</v>
      </c>
      <c r="L30" s="226">
        <v>161699</v>
      </c>
      <c r="M30" s="194" t="s">
        <v>161</v>
      </c>
      <c r="N30" s="225">
        <v>-1668</v>
      </c>
      <c r="O30" s="94">
        <f t="shared" si="17"/>
        <v>4717.58</v>
      </c>
      <c r="P30" s="71">
        <f t="shared" si="18"/>
        <v>979734.12219200085</v>
      </c>
      <c r="Q30" s="95"/>
      <c r="R30" s="71">
        <f>_xll.Get_Balance(A30,"YTD","USD","Total","A","","001","191000","GD","WA","DL")</f>
        <v>979734.12</v>
      </c>
      <c r="S30" s="195">
        <f t="shared" si="19"/>
        <v>-2.1920008584856987E-3</v>
      </c>
    </row>
    <row r="31" spans="1:19" s="75" customFormat="1">
      <c r="A31" s="143" t="s">
        <v>191</v>
      </c>
      <c r="B31" s="216">
        <f>'191010 WA DEF'!B31</f>
        <v>4.9599999999999998E-2</v>
      </c>
      <c r="C31" s="80">
        <v>0</v>
      </c>
      <c r="D31" s="88">
        <f t="shared" si="16"/>
        <v>979734.12219200085</v>
      </c>
      <c r="E31" s="80">
        <v>0</v>
      </c>
      <c r="F31" s="217">
        <f>19882002+20223</f>
        <v>19902225</v>
      </c>
      <c r="G31" s="218">
        <v>-4.0899999999999999E-3</v>
      </c>
      <c r="H31" s="92">
        <f>F31*G31</f>
        <v>-81400.100250000003</v>
      </c>
      <c r="I31" s="220">
        <v>7441465</v>
      </c>
      <c r="J31" s="218">
        <v>-1.035E-2</v>
      </c>
      <c r="K31" s="92">
        <f>I31*J31</f>
        <v>-77019.162750000003</v>
      </c>
      <c r="L31" s="220">
        <v>176036</v>
      </c>
      <c r="M31" s="218">
        <v>-1.035E-2</v>
      </c>
      <c r="N31" s="92">
        <f>L31*M31</f>
        <v>-1821.9726000000001</v>
      </c>
      <c r="O31" s="89">
        <f>ROUND(((D31*B31/12)+(E31+H31+K31+N31)/2*B31/12),2)</f>
        <v>3718.4</v>
      </c>
      <c r="P31" s="80">
        <f>D31+E31+H31+K31+N31+O31</f>
        <v>823211.28659200086</v>
      </c>
      <c r="Q31" s="60"/>
      <c r="R31" s="80">
        <f>_xll.Get_Balance(A31,"YTD","USD","Total","A","","001","191000","GD","WA","DL")</f>
        <v>979734.12</v>
      </c>
      <c r="S31" s="197">
        <f t="shared" si="19"/>
        <v>156522.83340799913</v>
      </c>
    </row>
    <row r="32" spans="1:19" s="75" customFormat="1">
      <c r="A32" s="143" t="s">
        <v>192</v>
      </c>
      <c r="B32" s="216"/>
      <c r="C32" s="69">
        <v>0</v>
      </c>
      <c r="D32" s="91">
        <f t="shared" si="16"/>
        <v>823211.28659200086</v>
      </c>
      <c r="E32" s="69">
        <v>0</v>
      </c>
      <c r="F32" s="217"/>
      <c r="G32" s="218"/>
      <c r="H32" s="92">
        <f t="shared" ref="H32:H40" si="20">F32*G32</f>
        <v>0</v>
      </c>
      <c r="I32" s="220"/>
      <c r="J32" s="218"/>
      <c r="K32" s="92">
        <f t="shared" ref="K32:K40" si="21">I32*J32</f>
        <v>0</v>
      </c>
      <c r="L32" s="220"/>
      <c r="M32" s="218"/>
      <c r="N32" s="92">
        <f t="shared" ref="N32:N40" si="22">L32*M32</f>
        <v>0</v>
      </c>
      <c r="O32" s="90">
        <f t="shared" si="17"/>
        <v>0</v>
      </c>
      <c r="P32" s="69">
        <f t="shared" si="18"/>
        <v>823211.28659200086</v>
      </c>
      <c r="Q32" s="60"/>
      <c r="R32" s="69"/>
      <c r="S32" s="191"/>
    </row>
    <row r="33" spans="1:23" s="75" customFormat="1">
      <c r="A33" s="143" t="s">
        <v>193</v>
      </c>
      <c r="B33" s="216"/>
      <c r="C33" s="69">
        <v>0</v>
      </c>
      <c r="D33" s="91">
        <f t="shared" si="16"/>
        <v>823211.28659200086</v>
      </c>
      <c r="E33" s="69">
        <v>0</v>
      </c>
      <c r="F33" s="217"/>
      <c r="G33" s="218"/>
      <c r="H33" s="92">
        <f t="shared" si="20"/>
        <v>0</v>
      </c>
      <c r="I33" s="220"/>
      <c r="J33" s="218"/>
      <c r="K33" s="92">
        <f t="shared" si="21"/>
        <v>0</v>
      </c>
      <c r="L33" s="220"/>
      <c r="M33" s="218"/>
      <c r="N33" s="92">
        <f t="shared" si="22"/>
        <v>0</v>
      </c>
      <c r="O33" s="90">
        <f t="shared" si="17"/>
        <v>0</v>
      </c>
      <c r="P33" s="69">
        <f t="shared" si="18"/>
        <v>823211.28659200086</v>
      </c>
      <c r="Q33" s="60"/>
      <c r="R33" s="69"/>
      <c r="S33" s="191"/>
    </row>
    <row r="34" spans="1:23" s="75" customFormat="1">
      <c r="A34" s="143" t="s">
        <v>194</v>
      </c>
      <c r="B34" s="216"/>
      <c r="C34" s="69">
        <v>0</v>
      </c>
      <c r="D34" s="91">
        <f t="shared" si="16"/>
        <v>823211.28659200086</v>
      </c>
      <c r="E34" s="69">
        <v>0</v>
      </c>
      <c r="F34" s="217"/>
      <c r="G34" s="218"/>
      <c r="H34" s="92">
        <f t="shared" si="20"/>
        <v>0</v>
      </c>
      <c r="I34" s="220"/>
      <c r="J34" s="218"/>
      <c r="K34" s="92">
        <f t="shared" si="21"/>
        <v>0</v>
      </c>
      <c r="L34" s="220"/>
      <c r="M34" s="218"/>
      <c r="N34" s="92">
        <f t="shared" si="22"/>
        <v>0</v>
      </c>
      <c r="O34" s="90">
        <f t="shared" si="17"/>
        <v>0</v>
      </c>
      <c r="P34" s="69">
        <f t="shared" si="18"/>
        <v>823211.28659200086</v>
      </c>
      <c r="Q34" s="60"/>
      <c r="R34" s="69"/>
      <c r="S34" s="191"/>
    </row>
    <row r="35" spans="1:23" s="75" customFormat="1">
      <c r="A35" s="143" t="s">
        <v>195</v>
      </c>
      <c r="B35" s="216"/>
      <c r="C35" s="69">
        <v>0</v>
      </c>
      <c r="D35" s="91">
        <f t="shared" si="16"/>
        <v>823211.28659200086</v>
      </c>
      <c r="E35" s="69">
        <v>0</v>
      </c>
      <c r="F35" s="217"/>
      <c r="G35" s="218"/>
      <c r="H35" s="92">
        <f t="shared" si="20"/>
        <v>0</v>
      </c>
      <c r="I35" s="220"/>
      <c r="J35" s="218"/>
      <c r="K35" s="92">
        <f t="shared" si="21"/>
        <v>0</v>
      </c>
      <c r="L35" s="220"/>
      <c r="M35" s="218"/>
      <c r="N35" s="92">
        <f t="shared" si="22"/>
        <v>0</v>
      </c>
      <c r="O35" s="90">
        <f t="shared" si="17"/>
        <v>0</v>
      </c>
      <c r="P35" s="69">
        <f t="shared" si="18"/>
        <v>823211.28659200086</v>
      </c>
      <c r="Q35" s="60"/>
      <c r="R35" s="69"/>
      <c r="S35" s="191"/>
    </row>
    <row r="36" spans="1:23" s="75" customFormat="1">
      <c r="A36" s="143" t="s">
        <v>196</v>
      </c>
      <c r="B36" s="216"/>
      <c r="C36" s="69">
        <v>0</v>
      </c>
      <c r="D36" s="91">
        <f t="shared" si="16"/>
        <v>823211.28659200086</v>
      </c>
      <c r="E36" s="69">
        <v>0</v>
      </c>
      <c r="F36" s="217"/>
      <c r="G36" s="218"/>
      <c r="H36" s="92">
        <f t="shared" si="20"/>
        <v>0</v>
      </c>
      <c r="I36" s="220"/>
      <c r="J36" s="218"/>
      <c r="K36" s="92">
        <f t="shared" si="21"/>
        <v>0</v>
      </c>
      <c r="L36" s="220"/>
      <c r="M36" s="218"/>
      <c r="N36" s="92">
        <f t="shared" si="22"/>
        <v>0</v>
      </c>
      <c r="O36" s="90">
        <f t="shared" si="17"/>
        <v>0</v>
      </c>
      <c r="P36" s="69">
        <f t="shared" si="18"/>
        <v>823211.28659200086</v>
      </c>
      <c r="Q36" s="60"/>
      <c r="R36" s="69"/>
      <c r="S36" s="191"/>
    </row>
    <row r="37" spans="1:23" s="75" customFormat="1">
      <c r="A37" s="143" t="s">
        <v>197</v>
      </c>
      <c r="B37" s="216"/>
      <c r="C37" s="69">
        <v>0</v>
      </c>
      <c r="D37" s="91">
        <f t="shared" si="16"/>
        <v>823211.28659200086</v>
      </c>
      <c r="E37" s="69">
        <v>0</v>
      </c>
      <c r="F37" s="217"/>
      <c r="G37" s="218"/>
      <c r="H37" s="92">
        <f t="shared" si="20"/>
        <v>0</v>
      </c>
      <c r="I37" s="220"/>
      <c r="J37" s="218"/>
      <c r="K37" s="92">
        <f t="shared" si="21"/>
        <v>0</v>
      </c>
      <c r="L37" s="220"/>
      <c r="M37" s="218"/>
      <c r="N37" s="92">
        <f t="shared" si="22"/>
        <v>0</v>
      </c>
      <c r="O37" s="90">
        <f t="shared" si="17"/>
        <v>0</v>
      </c>
      <c r="P37" s="69">
        <f t="shared" si="18"/>
        <v>823211.28659200086</v>
      </c>
      <c r="Q37" s="60"/>
      <c r="R37" s="69"/>
      <c r="S37" s="191"/>
    </row>
    <row r="38" spans="1:23" s="75" customFormat="1">
      <c r="A38" s="143" t="s">
        <v>198</v>
      </c>
      <c r="B38" s="216"/>
      <c r="C38" s="69">
        <v>0</v>
      </c>
      <c r="D38" s="91">
        <f t="shared" si="16"/>
        <v>823211.28659200086</v>
      </c>
      <c r="E38" s="69">
        <v>0</v>
      </c>
      <c r="F38" s="217"/>
      <c r="G38" s="218"/>
      <c r="H38" s="92">
        <f t="shared" si="20"/>
        <v>0</v>
      </c>
      <c r="I38" s="220"/>
      <c r="J38" s="218"/>
      <c r="K38" s="92">
        <f t="shared" si="21"/>
        <v>0</v>
      </c>
      <c r="L38" s="220"/>
      <c r="M38" s="218"/>
      <c r="N38" s="92">
        <f t="shared" si="22"/>
        <v>0</v>
      </c>
      <c r="O38" s="90">
        <f t="shared" si="17"/>
        <v>0</v>
      </c>
      <c r="P38" s="69">
        <f t="shared" si="18"/>
        <v>823211.28659200086</v>
      </c>
      <c r="Q38" s="60"/>
      <c r="R38" s="69"/>
      <c r="S38" s="191"/>
    </row>
    <row r="39" spans="1:23" s="75" customFormat="1">
      <c r="A39" s="143" t="s">
        <v>199</v>
      </c>
      <c r="B39" s="216"/>
      <c r="C39" s="69">
        <v>0</v>
      </c>
      <c r="D39" s="91">
        <f t="shared" ref="D39:D42" si="23">P38+C39</f>
        <v>823211.28659200086</v>
      </c>
      <c r="E39" s="69">
        <v>0</v>
      </c>
      <c r="F39" s="217"/>
      <c r="G39" s="218"/>
      <c r="H39" s="92">
        <f t="shared" si="20"/>
        <v>0</v>
      </c>
      <c r="I39" s="220"/>
      <c r="J39" s="218"/>
      <c r="K39" s="92">
        <f t="shared" si="21"/>
        <v>0</v>
      </c>
      <c r="L39" s="220"/>
      <c r="M39" s="218"/>
      <c r="N39" s="92">
        <f t="shared" si="22"/>
        <v>0</v>
      </c>
      <c r="O39" s="90">
        <f t="shared" ref="O39:O40" si="24">ROUND(((D39*B39/12)+(E39+H39+K39+N39)/2*B39/12),2)</f>
        <v>0</v>
      </c>
      <c r="P39" s="69">
        <f t="shared" ref="P39:P42" si="25">D39+E39+H39+K39+N39+O39</f>
        <v>823211.28659200086</v>
      </c>
      <c r="Q39" s="60"/>
      <c r="R39" s="69"/>
      <c r="S39" s="191"/>
    </row>
    <row r="40" spans="1:23" s="75" customFormat="1">
      <c r="A40" s="143" t="s">
        <v>200</v>
      </c>
      <c r="B40" s="216"/>
      <c r="C40" s="69">
        <v>0</v>
      </c>
      <c r="D40" s="91">
        <f t="shared" si="23"/>
        <v>823211.28659200086</v>
      </c>
      <c r="E40" s="69">
        <v>0</v>
      </c>
      <c r="F40" s="217"/>
      <c r="G40" s="218"/>
      <c r="H40" s="92">
        <f t="shared" si="20"/>
        <v>0</v>
      </c>
      <c r="I40" s="220"/>
      <c r="J40" s="218"/>
      <c r="K40" s="92">
        <f t="shared" si="21"/>
        <v>0</v>
      </c>
      <c r="L40" s="220"/>
      <c r="M40" s="218"/>
      <c r="N40" s="92">
        <f t="shared" si="22"/>
        <v>0</v>
      </c>
      <c r="O40" s="90">
        <f t="shared" si="24"/>
        <v>0</v>
      </c>
      <c r="P40" s="69">
        <f t="shared" si="25"/>
        <v>823211.28659200086</v>
      </c>
      <c r="Q40" s="60"/>
      <c r="R40" s="69"/>
      <c r="S40" s="191"/>
    </row>
    <row r="41" spans="1:23" s="75" customFormat="1">
      <c r="A41" s="143" t="s">
        <v>201</v>
      </c>
      <c r="B41" s="216"/>
      <c r="C41" s="199">
        <f>-'191010 WA DEF'!D41</f>
        <v>0</v>
      </c>
      <c r="D41" s="91">
        <f t="shared" si="23"/>
        <v>823211.28659200086</v>
      </c>
      <c r="E41" s="199"/>
      <c r="F41" s="217"/>
      <c r="G41" s="190" t="s">
        <v>161</v>
      </c>
      <c r="H41" s="222"/>
      <c r="I41" s="220"/>
      <c r="J41" s="190" t="s">
        <v>161</v>
      </c>
      <c r="K41" s="222"/>
      <c r="L41" s="220"/>
      <c r="M41" s="190" t="s">
        <v>161</v>
      </c>
      <c r="N41" s="222"/>
      <c r="O41" s="90">
        <f>ROUND(((D41*B41/12)+(E41+H41+K41+N41)/2*B41/12),2)</f>
        <v>0</v>
      </c>
      <c r="P41" s="69">
        <f t="shared" si="25"/>
        <v>823211.28659200086</v>
      </c>
      <c r="Q41" s="60"/>
      <c r="R41" s="69"/>
      <c r="S41" s="191"/>
    </row>
    <row r="42" spans="1:23" s="75" customFormat="1">
      <c r="A42" s="143" t="s">
        <v>202</v>
      </c>
      <c r="B42" s="216"/>
      <c r="C42" s="69">
        <v>0</v>
      </c>
      <c r="D42" s="91">
        <f t="shared" si="23"/>
        <v>823211.28659200086</v>
      </c>
      <c r="E42" s="69">
        <v>0</v>
      </c>
      <c r="F42" s="217"/>
      <c r="G42" s="190" t="s">
        <v>161</v>
      </c>
      <c r="H42" s="222"/>
      <c r="I42" s="220"/>
      <c r="J42" s="190" t="s">
        <v>161</v>
      </c>
      <c r="K42" s="222"/>
      <c r="L42" s="220"/>
      <c r="M42" s="190" t="s">
        <v>161</v>
      </c>
      <c r="N42" s="222"/>
      <c r="O42" s="90">
        <f t="shared" ref="O42" si="26">ROUND(((D42*B42/12)+(E42+H42+K42+N42)/2*B42/12),2)</f>
        <v>0</v>
      </c>
      <c r="P42" s="69">
        <f t="shared" si="25"/>
        <v>823211.28659200086</v>
      </c>
      <c r="Q42" s="60"/>
      <c r="R42" s="69"/>
      <c r="S42" s="191"/>
    </row>
    <row r="43" spans="1:23" s="202" customFormat="1" ht="15.75">
      <c r="A43" s="97"/>
      <c r="B43" s="97"/>
      <c r="C43" s="96"/>
      <c r="D43" s="72"/>
      <c r="E43" s="72">
        <f>SUMIF($A$19:$A$42,$D46,E$19:E$42)</f>
        <v>0</v>
      </c>
      <c r="F43" s="72"/>
      <c r="G43" s="72"/>
      <c r="H43" s="72">
        <f>SUMIF($A$19:$A$42,$D46,H$19:H$42)</f>
        <v>-81400.100250000003</v>
      </c>
      <c r="I43" s="73"/>
      <c r="J43" s="96"/>
      <c r="K43" s="72">
        <f>SUMIF($A$19:$A$42,$D46,K$19:K$42)</f>
        <v>-77019.162750000003</v>
      </c>
      <c r="L43" s="97"/>
      <c r="M43" s="97"/>
      <c r="N43" s="72">
        <f>SUMIF($A$19:$A$42,$D46,N$19:N$42)</f>
        <v>-1821.9726000000001</v>
      </c>
      <c r="O43" s="72">
        <f>SUMIF($A$19:$A$42,$D46,O$19:O$42)</f>
        <v>3718.4</v>
      </c>
      <c r="P43" s="73" t="s">
        <v>131</v>
      </c>
      <c r="Q43" s="99"/>
      <c r="R43" s="100"/>
      <c r="S43" s="100"/>
      <c r="T43" s="101"/>
      <c r="U43" s="98"/>
      <c r="V43" s="98"/>
      <c r="W43" s="98"/>
    </row>
    <row r="44" spans="1:23" s="202" customFormat="1" ht="15">
      <c r="A44" s="97"/>
      <c r="B44" s="97"/>
      <c r="C44" s="96"/>
      <c r="D44" s="102"/>
      <c r="E44" s="102" t="s">
        <v>145</v>
      </c>
      <c r="F44" s="102"/>
      <c r="G44" s="102"/>
      <c r="H44" s="102" t="s">
        <v>143</v>
      </c>
      <c r="I44" s="97"/>
      <c r="J44" s="96"/>
      <c r="K44" s="102" t="s">
        <v>143</v>
      </c>
      <c r="L44" s="102"/>
      <c r="M44" s="102"/>
      <c r="N44" s="227" t="s">
        <v>143</v>
      </c>
      <c r="O44" s="102" t="s">
        <v>144</v>
      </c>
      <c r="Q44" s="98"/>
      <c r="R44" s="98"/>
      <c r="S44" s="98"/>
      <c r="T44" s="98"/>
      <c r="U44" s="98"/>
      <c r="V44" s="98"/>
      <c r="W44" s="98"/>
    </row>
    <row r="45" spans="1:23" s="77" customFormat="1" ht="15">
      <c r="A45" s="75"/>
      <c r="B45" s="75"/>
      <c r="C45" s="67"/>
      <c r="D45" s="75"/>
      <c r="E45" s="75"/>
      <c r="F45" s="75"/>
      <c r="G45" s="75"/>
      <c r="H45" s="75"/>
      <c r="I45" s="75"/>
      <c r="J45" s="67"/>
      <c r="K45" s="75"/>
      <c r="L45" s="75"/>
      <c r="M45" s="75"/>
      <c r="Q45" s="55"/>
      <c r="R45" s="55"/>
      <c r="S45" s="55"/>
      <c r="T45" s="55"/>
      <c r="U45" s="55"/>
      <c r="V45" s="55"/>
      <c r="W45" s="55"/>
    </row>
    <row r="46" spans="1:23" s="77" customFormat="1" ht="15">
      <c r="A46" s="75"/>
      <c r="B46" s="75"/>
      <c r="C46" s="67"/>
      <c r="D46" s="203">
        <v>202001</v>
      </c>
      <c r="E46" s="62" t="s">
        <v>132</v>
      </c>
      <c r="F46" s="63"/>
      <c r="G46" s="75"/>
      <c r="H46" s="75"/>
      <c r="I46" s="75"/>
      <c r="J46" s="67"/>
      <c r="K46" s="75"/>
      <c r="L46" s="75"/>
      <c r="M46" s="75"/>
    </row>
    <row r="47" spans="1:23" s="77" customFormat="1" ht="15">
      <c r="A47" s="75"/>
      <c r="B47" s="75"/>
      <c r="C47" s="67"/>
      <c r="D47" s="64" t="s">
        <v>133</v>
      </c>
      <c r="E47" s="64" t="s">
        <v>134</v>
      </c>
      <c r="F47" s="64" t="s">
        <v>135</v>
      </c>
      <c r="G47" s="75"/>
      <c r="H47" s="75"/>
      <c r="I47" s="75"/>
      <c r="J47" s="67"/>
      <c r="K47" s="75"/>
      <c r="L47" s="75"/>
      <c r="M47" s="75"/>
    </row>
    <row r="48" spans="1:23" s="77" customFormat="1" ht="15">
      <c r="A48" s="75"/>
      <c r="B48" s="75"/>
      <c r="C48" s="74" t="s">
        <v>36</v>
      </c>
      <c r="D48" s="65" t="s">
        <v>136</v>
      </c>
      <c r="E48" s="66"/>
      <c r="F48" s="66">
        <f>IF($O$43&gt;0,ABS($O$43),"")</f>
        <v>3718.4</v>
      </c>
      <c r="G48" s="97" t="s">
        <v>144</v>
      </c>
      <c r="H48" s="75"/>
      <c r="I48" s="75"/>
      <c r="J48" s="67"/>
      <c r="K48" s="75"/>
      <c r="L48" s="75"/>
      <c r="M48" s="75"/>
    </row>
    <row r="49" spans="1:18" s="77" customFormat="1" ht="15">
      <c r="A49" s="75"/>
      <c r="B49" s="75"/>
      <c r="C49" s="74" t="s">
        <v>140</v>
      </c>
      <c r="D49" s="65" t="s">
        <v>137</v>
      </c>
      <c r="E49" s="66" t="str">
        <f>IF($O$43&lt;0,ABS($O$43),"")</f>
        <v/>
      </c>
      <c r="F49" s="66"/>
      <c r="G49" s="97" t="s">
        <v>203</v>
      </c>
      <c r="H49" s="75"/>
      <c r="I49" s="75"/>
      <c r="J49" s="67"/>
      <c r="K49" s="75"/>
      <c r="L49" s="75"/>
      <c r="M49" s="75"/>
    </row>
    <row r="50" spans="1:18" s="77" customFormat="1" ht="15">
      <c r="A50" s="75"/>
      <c r="B50" s="75"/>
      <c r="C50" s="74" t="s">
        <v>6</v>
      </c>
      <c r="D50" s="65" t="s">
        <v>158</v>
      </c>
      <c r="E50" s="66" t="str">
        <f>IF(H43+$K$43+$N$43+O43&gt;0,ABS(H43+$K$43+$N$43+O43),"")</f>
        <v/>
      </c>
      <c r="F50" s="66">
        <f>IF(H43+$K$43+$N$43+O43&lt;0,ABS(H43+$K$43+$N$43+O43),"")</f>
        <v>156522.83560000002</v>
      </c>
      <c r="G50" s="97" t="s">
        <v>176</v>
      </c>
      <c r="H50" s="75"/>
      <c r="I50" s="75"/>
      <c r="J50" s="67"/>
      <c r="K50" s="75"/>
      <c r="L50" s="75"/>
      <c r="M50" s="75"/>
    </row>
    <row r="51" spans="1:18" s="77" customFormat="1" ht="15">
      <c r="A51" s="75"/>
      <c r="B51" s="75"/>
      <c r="C51" s="74" t="s">
        <v>177</v>
      </c>
      <c r="D51" s="65" t="s">
        <v>174</v>
      </c>
      <c r="E51" s="66">
        <f>IF(H43+$K$43+$N$43&lt;0,ABS(H43+$K$43+$N$43),"")</f>
        <v>160241.23560000001</v>
      </c>
      <c r="F51" s="66" t="str">
        <f>IF(H43+$K$43+$N$43&gt;0,ABS(H43+$K$43+$N$43),"")</f>
        <v/>
      </c>
      <c r="G51" s="97" t="s">
        <v>143</v>
      </c>
      <c r="H51" s="75"/>
      <c r="I51" s="75"/>
      <c r="J51" s="67"/>
      <c r="K51" s="75"/>
      <c r="L51" s="75"/>
      <c r="M51" s="75"/>
    </row>
    <row r="52" spans="1:18" s="77" customFormat="1" ht="15">
      <c r="A52" s="75"/>
      <c r="B52" s="75"/>
      <c r="C52" s="67"/>
      <c r="D52" s="75"/>
      <c r="E52" s="75"/>
      <c r="F52" s="75"/>
      <c r="G52" s="97"/>
      <c r="H52" s="75"/>
      <c r="I52" s="75"/>
      <c r="J52" s="67"/>
      <c r="K52" s="75"/>
      <c r="L52" s="75"/>
      <c r="M52" s="75"/>
    </row>
    <row r="53" spans="1:18" s="77" customFormat="1" ht="15">
      <c r="A53" s="75"/>
      <c r="B53" s="75"/>
      <c r="C53" s="67"/>
      <c r="D53" s="75"/>
      <c r="E53" s="75"/>
      <c r="F53" s="204">
        <f>SUM(E48:E51)-SUM(F48:F51)</f>
        <v>0</v>
      </c>
      <c r="G53" s="97" t="s">
        <v>148</v>
      </c>
      <c r="H53" s="75"/>
      <c r="I53" s="75"/>
      <c r="J53" s="67"/>
      <c r="K53" s="75"/>
      <c r="L53" s="75"/>
      <c r="M53" s="75"/>
    </row>
    <row r="54" spans="1:18" s="77" customFormat="1" ht="15">
      <c r="C54" s="55"/>
      <c r="G54" s="202"/>
      <c r="J54" s="55"/>
    </row>
    <row r="55" spans="1:18" s="77" customFormat="1" ht="15.75">
      <c r="C55" s="55"/>
      <c r="D55" s="64" t="s">
        <v>175</v>
      </c>
      <c r="E55" s="205"/>
      <c r="F55" s="206"/>
      <c r="G55" s="207"/>
      <c r="J55" s="55"/>
    </row>
    <row r="56" spans="1:18" s="77" customFormat="1" ht="15">
      <c r="C56" s="55"/>
      <c r="D56" s="82" t="s">
        <v>158</v>
      </c>
      <c r="E56" s="66" t="str">
        <f>IF($E$43&gt;0,ABS($E$43),"")</f>
        <v/>
      </c>
      <c r="F56" s="83"/>
      <c r="G56" s="97" t="s">
        <v>145</v>
      </c>
      <c r="J56" s="55"/>
    </row>
    <row r="57" spans="1:18" s="77" customFormat="1" ht="15">
      <c r="C57" s="55"/>
      <c r="D57" s="82" t="s">
        <v>174</v>
      </c>
      <c r="E57" s="83"/>
      <c r="F57" s="66" t="str">
        <f>E56</f>
        <v/>
      </c>
      <c r="G57" s="84"/>
      <c r="J57" s="55"/>
    </row>
    <row r="58" spans="1:18" s="75" customFormat="1">
      <c r="P58" s="67"/>
      <c r="R58" s="67"/>
    </row>
    <row r="59" spans="1:18" s="75" customFormat="1">
      <c r="P59" s="67"/>
      <c r="R59" s="67"/>
    </row>
  </sheetData>
  <pageMargins left="1" right="0" top="0.75" bottom="0.75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1CA1E62DAF3B44937B817BD22EF062" ma:contentTypeVersion="56" ma:contentTypeDescription="" ma:contentTypeScope="" ma:versionID="8cb08b966df5bc4f4ed32991d6001b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2020-02-27T08:00:00+00:00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CE01FE1-FDAC-4C49-8B17-ED73D385975C}"/>
</file>

<file path=customXml/itemProps2.xml><?xml version="1.0" encoding="utf-8"?>
<ds:datastoreItem xmlns:ds="http://schemas.openxmlformats.org/officeDocument/2006/customXml" ds:itemID="{46818F1D-1D4E-48A2-96F1-40C3CE016828}"/>
</file>

<file path=customXml/itemProps3.xml><?xml version="1.0" encoding="utf-8"?>
<ds:datastoreItem xmlns:ds="http://schemas.openxmlformats.org/officeDocument/2006/customXml" ds:itemID="{CB05BAD0-77A1-4489-A063-15E82BA57108}"/>
</file>

<file path=customXml/itemProps4.xml><?xml version="1.0" encoding="utf-8"?>
<ds:datastoreItem xmlns:ds="http://schemas.openxmlformats.org/officeDocument/2006/customXml" ds:itemID="{AC35D401-174F-4F27-B84D-87F61DCF0D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Jan</vt:lpstr>
      <vt:lpstr>191010 WA DEF</vt:lpstr>
      <vt:lpstr>191000 WA Amort</vt:lpstr>
      <vt:lpstr>'191000 WA Amort'!Print_Area</vt:lpstr>
      <vt:lpstr>'191010 WA DEF'!Print_Area</vt:lpstr>
      <vt:lpstr>Jan!Print_Area</vt:lpstr>
      <vt:lpstr>Jan!Print_Titles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Kaylene Schultz</cp:lastModifiedBy>
  <cp:lastPrinted>2020-02-05T23:45:59Z</cp:lastPrinted>
  <dcterms:created xsi:type="dcterms:W3CDTF">2003-05-01T14:02:57Z</dcterms:created>
  <dcterms:modified xsi:type="dcterms:W3CDTF">2020-02-27T21:13:12Z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0x0101006E56B4D1795A2E4DB2F0B01679ED314A00E31CA1E62DAF3B44937B817BD22EF062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