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comments2.xml" ContentType="application/vnd.openxmlformats-officedocument.spreadsheetml.comment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xl/comments8.xml" ContentType="application/vnd.openxmlformats-officedocument.spreadsheetml.comments+xml"/>
  <Override PartName="/xl/activeX/activeX1.xml" ContentType="application/vnd.ms-office.activeX+xml"/>
  <Override PartName="/xl/comments7.xml" ContentType="application/vnd.openxmlformats-officedocument.spreadsheetml.comments+xml"/>
  <Override PartName="/xl/activeX/activeX1.bin" ContentType="application/vnd.ms-office.activeX"/>
  <Override PartName="/xl/comments9.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en\Documents\Zippy\Wutc\Rate Cases\2021\"/>
    </mc:Choice>
  </mc:AlternateContent>
  <bookViews>
    <workbookView xWindow="0" yWindow="0" windowWidth="28800" windowHeight="13335" tabRatio="912" firstSheet="33" activeTab="41"/>
  </bookViews>
  <sheets>
    <sheet name="Lurito" sheetId="1" r:id="rId1"/>
    <sheet name="Staff Adjustment Summary" sheetId="71" r:id="rId2"/>
    <sheet name="Staff LG Total" sheetId="70" r:id="rId3"/>
    <sheet name="Results of Operations Staff " sheetId="2" r:id="rId4"/>
    <sheet name="Results of Operations Regulated" sheetId="21" r:id="rId5"/>
    <sheet name="Staff Pro Forma" sheetId="69" r:id="rId6"/>
    <sheet name="Restating AJEs" sheetId="10" r:id="rId7"/>
    <sheet name="Proforma AJEs" sheetId="9" r:id="rId8"/>
    <sheet name="Cost Allocations" sheetId="24" r:id="rId9"/>
    <sheet name="Cost Allocations-Contracts" sheetId="3" r:id="rId10"/>
    <sheet name="Cost Allocations-Recycle" sheetId="12" r:id="rId11"/>
    <sheet name="Cost Allocations-Rolloff" sheetId="13" r:id="rId12"/>
    <sheet name="Depr Allocation" sheetId="8" r:id="rId13"/>
    <sheet name="Hours &amp; Miles" sheetId="5" r:id="rId14"/>
    <sheet name="Container Count" sheetId="6" r:id="rId15"/>
    <sheet name="DEPN2K" sheetId="68" r:id="rId16"/>
    <sheet name="Wutc Balance Sheet" sheetId="7" r:id="rId17"/>
    <sheet name="Monthy Income Statements" sheetId="4" r:id="rId18"/>
    <sheet name="Priceout-Chelan" sheetId="14" r:id="rId19"/>
    <sheet name="Priceout-Douglas" sheetId="15" r:id="rId20"/>
    <sheet name="Priceout-Okanogan" sheetId="16" r:id="rId21"/>
    <sheet name="Lurito-Chelan" sheetId="18" r:id="rId22"/>
    <sheet name="Lurito-Douglas" sheetId="19" r:id="rId23"/>
    <sheet name="Lurito-Okanogan" sheetId="20" r:id="rId24"/>
    <sheet name="Overhead Allocation" sheetId="25" r:id="rId25"/>
    <sheet name="Depr Allocation by County" sheetId="26" r:id="rId26"/>
    <sheet name="Hours &amp; Miles by County" sheetId="27" r:id="rId27"/>
    <sheet name="Container Count by County" sheetId="28" r:id="rId28"/>
    <sheet name="Drop Box Allocation" sheetId="29" r:id="rId29"/>
    <sheet name="Disposal Fee Breakdown" sheetId="30" r:id="rId30"/>
    <sheet name="Service Counts" sheetId="31" r:id="rId31"/>
    <sheet name="Wage Summary" sheetId="32" r:id="rId32"/>
    <sheet name="L&amp;I" sheetId="33" r:id="rId33"/>
    <sheet name="Health Insurance" sheetId="34" r:id="rId34"/>
    <sheet name="City Contracts" sheetId="35" r:id="rId35"/>
    <sheet name="Disposal Fees" sheetId="36" r:id="rId36"/>
    <sheet name="Previous rate increases" sheetId="37" r:id="rId37"/>
    <sheet name="Fuel Summary" sheetId="38" r:id="rId38"/>
    <sheet name="Fuel Proforma" sheetId="39" r:id="rId39"/>
    <sheet name="Employment Security" sheetId="40" r:id="rId40"/>
    <sheet name="Rent" sheetId="41" r:id="rId41"/>
    <sheet name="Checklist" sheetId="42" r:id="rId42"/>
    <sheet name="General Data" sheetId="43" r:id="rId43"/>
    <sheet name="Monthly Data-Hours &amp; Miles" sheetId="44" r:id="rId44"/>
    <sheet name="Monthly Data-Container Count" sheetId="45" r:id="rId45"/>
    <sheet name="Monthly Data-Disposal Fees" sheetId="46" r:id="rId46"/>
    <sheet name="Service Count Data" sheetId="47" r:id="rId47"/>
    <sheet name="Pateros Service Counts" sheetId="48" r:id="rId48"/>
    <sheet name="Bridgeport Service Counts" sheetId="49" r:id="rId49"/>
  </sheets>
  <definedNames>
    <definedName name="_Regression_Int">0</definedName>
    <definedName name="aa">#REF!</definedName>
    <definedName name="aaa">#REF!</definedName>
    <definedName name="aaaaa">#REF!</definedName>
    <definedName name="aaaaaa">#REF!</definedName>
    <definedName name="_xlnm.Database">DEPN2K!$A$1</definedName>
    <definedName name="Database_MI">DEPN2K!$A$1</definedName>
    <definedName name="Debt_Rate" localSheetId="2">'Staff LG Total'!$K$27</definedName>
    <definedName name="debtP" localSheetId="2">'Staff LG Total'!$I$27</definedName>
    <definedName name="Equity_percent" localSheetId="2">'Staff LG Total'!$S$58</definedName>
    <definedName name="equityP" localSheetId="2">'Staff LG Total'!$I$26</definedName>
    <definedName name="expenses" localSheetId="2">'Staff LG Total'!$I$8</definedName>
    <definedName name="g">#REF!</definedName>
    <definedName name="gg">#REF!</definedName>
    <definedName name="ggg">#REF!</definedName>
    <definedName name="ggggg">#REF!</definedName>
    <definedName name="gggggg">#REF!</definedName>
    <definedName name="INPUT" localSheetId="2">'Staff LG Total'!#REF!</definedName>
    <definedName name="INPUT">#REF!</definedName>
    <definedName name="INPUTc">#REF!</definedName>
    <definedName name="Investment" localSheetId="2">'Staff LG Total'!$J$28</definedName>
    <definedName name="PAGE_1">DEPN2K!$A$1:$AA$52</definedName>
    <definedName name="Pfd_weighted" localSheetId="2">'Staff LG Total'!$U$57</definedName>
    <definedName name="_xlnm.Print_Area" localSheetId="48">'Bridgeport Service Counts'!$A$1:$V$49</definedName>
    <definedName name="_xlnm.Print_Area" localSheetId="15">DEPN2K!$B$1:$AA$330</definedName>
    <definedName name="_xlnm.Print_Area" localSheetId="13">'Hours &amp; Miles'!$A$1:$P$86</definedName>
    <definedName name="_xlnm.Print_Area" localSheetId="0">Lurito!$A$1:$I$35</definedName>
    <definedName name="_xlnm.Print_Area" localSheetId="21">'Lurito-Chelan'!$A$1:$I$34</definedName>
    <definedName name="_xlnm.Print_Area" localSheetId="22">'Lurito-Douglas'!$A$1:$I$35</definedName>
    <definedName name="_xlnm.Print_Area" localSheetId="23">'Lurito-Okanogan'!$A$1:$I$33</definedName>
    <definedName name="_xlnm.Print_Area" localSheetId="47">'Pateros Service Counts'!$X$6:$AI$39</definedName>
    <definedName name="_xlnm.Print_Area" localSheetId="18">'Priceout-Chelan'!$A$1:$K$81</definedName>
    <definedName name="_xlnm.Print_Area" localSheetId="19">'Priceout-Douglas'!$A$1:$K$77</definedName>
    <definedName name="_xlnm.Print_Area" localSheetId="20">'Priceout-Okanogan'!$A$1:$K$77</definedName>
    <definedName name="_xlnm.Print_Area" localSheetId="4">'Results of Operations Regulated'!$A$1:$L$107</definedName>
    <definedName name="_xlnm.Print_Area" localSheetId="3">'Results of Operations Staff '!$A$1:$P$109</definedName>
    <definedName name="_xlnm.Print_Area" localSheetId="46">'Service Count Data'!$A$1:$O$285</definedName>
    <definedName name="_xlnm.Print_Area" localSheetId="30">'Service Counts'!$A$1:$AG$101</definedName>
    <definedName name="_xlnm.Print_Area" localSheetId="2">'Staff LG Total'!$F$2:$N$49</definedName>
    <definedName name="_xlnm.Print_Area" localSheetId="31">'Wage Summary'!$A$1:$R$58</definedName>
    <definedName name="_xlnm.Print_Area" localSheetId="16">'Wutc Balance Sheet'!$A$1:$I$221</definedName>
    <definedName name="_xlnm.Print_Area">DEPN2K!$A$1:$AA$52</definedName>
    <definedName name="Print_Area_MI" localSheetId="2">#REF!</definedName>
    <definedName name="Print_Area_MI">DEPN2K!$A$1:$AA$52</definedName>
    <definedName name="Print_Area_MIc">#REF!</definedName>
    <definedName name="_xlnm.Print_Titles" localSheetId="30">'Service Counts'!$A:$B,'Service Counts'!$1:$8</definedName>
    <definedName name="regDebt_weighted" localSheetId="2">'Staff LG Total'!$U$56</definedName>
    <definedName name="Revenue" localSheetId="2">'Staff LG Total'!$I$7</definedName>
    <definedName name="slope" localSheetId="2">'Staff LG Total'!$Y$58</definedName>
    <definedName name="slope">#REF!</definedName>
    <definedName name="ssssss">#REF!</definedName>
    <definedName name="taxrate" localSheetId="2">'Staff LG Total'!$J$38</definedName>
    <definedName name="y_inter1" localSheetId="2">'Staff LG Total'!$X$55</definedName>
    <definedName name="y_inter1">#REF!</definedName>
    <definedName name="y_inter2" localSheetId="2">'Staff LG Total'!$X$56</definedName>
    <definedName name="y_inter2">#REF!</definedName>
    <definedName name="y_inter3" localSheetId="2">'Staff LG Total'!$Z$55</definedName>
    <definedName name="y_inter3">#REF!</definedName>
    <definedName name="y_inter4" localSheetId="2">'Staff LG Total'!$Z$56</definedName>
    <definedName name="y_inter4">#REF!</definedName>
  </definedNames>
  <calcPr calcId="152511"/>
</workbook>
</file>

<file path=xl/calcChain.xml><?xml version="1.0" encoding="utf-8"?>
<calcChain xmlns="http://schemas.openxmlformats.org/spreadsheetml/2006/main">
  <c r="E56" i="42" l="1"/>
  <c r="E55" i="42"/>
  <c r="E54" i="42"/>
  <c r="E53" i="42"/>
  <c r="E52" i="42"/>
  <c r="E51" i="42"/>
  <c r="E35" i="42"/>
  <c r="E34" i="42"/>
  <c r="E32" i="42"/>
  <c r="E31" i="42"/>
  <c r="F31" i="42" s="1"/>
  <c r="E33" i="42"/>
  <c r="F33" i="42" s="1"/>
  <c r="E29" i="42"/>
  <c r="F29" i="42" s="1"/>
  <c r="E28" i="42"/>
  <c r="F28" i="42" s="1"/>
  <c r="E27" i="42"/>
  <c r="F27" i="42" s="1"/>
  <c r="E25" i="42"/>
  <c r="E24" i="42"/>
  <c r="E23" i="42"/>
  <c r="F23" i="42" s="1"/>
  <c r="E22" i="42"/>
  <c r="F22" i="42" s="1"/>
  <c r="E21" i="42"/>
  <c r="E20" i="42"/>
  <c r="O81" i="44"/>
  <c r="E30" i="42"/>
  <c r="F30" i="42" s="1"/>
  <c r="E57" i="42"/>
  <c r="E58" i="42"/>
  <c r="I19" i="10"/>
  <c r="I25" i="10"/>
  <c r="H85" i="2"/>
  <c r="L52" i="68"/>
  <c r="L51" i="68"/>
  <c r="H43" i="9"/>
  <c r="D55" i="69"/>
  <c r="E55" i="2"/>
  <c r="E26" i="42"/>
  <c r="K26" i="28"/>
  <c r="K24" i="28"/>
  <c r="K22" i="28"/>
  <c r="E10" i="42" l="1"/>
  <c r="E59" i="42"/>
  <c r="P34" i="48"/>
  <c r="E60" i="42"/>
  <c r="E42" i="42"/>
  <c r="X93" i="31"/>
  <c r="U93" i="31"/>
  <c r="L93" i="31"/>
  <c r="O93" i="31"/>
  <c r="E48" i="42"/>
  <c r="F48" i="42" s="1"/>
  <c r="E65" i="42"/>
  <c r="E16" i="42"/>
  <c r="E46" i="42"/>
  <c r="E45" i="42"/>
  <c r="AG238" i="68"/>
  <c r="AF238" i="68"/>
  <c r="AE238" i="68"/>
  <c r="AD238" i="68"/>
  <c r="AC238" i="68"/>
  <c r="V238" i="68" s="1"/>
  <c r="W238" i="68" s="1"/>
  <c r="Y238" i="68" s="1"/>
  <c r="Q238" i="68"/>
  <c r="O238" i="68"/>
  <c r="P238" i="68" s="1"/>
  <c r="T238" i="68" s="1"/>
  <c r="N238" i="68"/>
  <c r="I238" i="68"/>
  <c r="AG180" i="68"/>
  <c r="AF180" i="68"/>
  <c r="AD180" i="68"/>
  <c r="AC180" i="68"/>
  <c r="Q180" i="68"/>
  <c r="N180" i="68"/>
  <c r="O180" i="68" s="1"/>
  <c r="I180" i="68"/>
  <c r="AE180" i="68" s="1"/>
  <c r="Z238" i="68" l="1"/>
  <c r="R238" i="68"/>
  <c r="P180" i="68"/>
  <c r="T180" i="68" s="1"/>
  <c r="AB238" i="68"/>
  <c r="AA238" i="68"/>
  <c r="V180" i="68"/>
  <c r="W180" i="68" s="1"/>
  <c r="Y180" i="68" s="1"/>
  <c r="Z180" i="68" s="1"/>
  <c r="R180" i="68"/>
  <c r="E63" i="42"/>
  <c r="E62" i="42"/>
  <c r="E61" i="42"/>
  <c r="E64" i="42"/>
  <c r="E44" i="42"/>
  <c r="E41" i="42"/>
  <c r="E47" i="42"/>
  <c r="D29" i="40"/>
  <c r="D27" i="40"/>
  <c r="D21" i="40"/>
  <c r="D17" i="40"/>
  <c r="D16" i="40"/>
  <c r="A33" i="40"/>
  <c r="A32" i="40"/>
  <c r="A31" i="40"/>
  <c r="A30" i="40"/>
  <c r="C29" i="40"/>
  <c r="A29" i="40"/>
  <c r="A28" i="40"/>
  <c r="C27" i="40"/>
  <c r="A27" i="40"/>
  <c r="A26" i="40"/>
  <c r="A25" i="40"/>
  <c r="A24" i="40"/>
  <c r="A23" i="40"/>
  <c r="A22" i="40"/>
  <c r="C21" i="40"/>
  <c r="A21" i="40"/>
  <c r="A20" i="40"/>
  <c r="A19" i="40"/>
  <c r="A18" i="40"/>
  <c r="C17" i="40"/>
  <c r="A17" i="40"/>
  <c r="C16" i="40"/>
  <c r="A16" i="40"/>
  <c r="AB180" i="68" l="1"/>
  <c r="AA180" i="68"/>
  <c r="F20" i="34"/>
  <c r="E40" i="42"/>
  <c r="E39" i="42"/>
  <c r="E43" i="42"/>
  <c r="E15" i="42"/>
  <c r="E14" i="42"/>
  <c r="E13" i="42"/>
  <c r="E12" i="42"/>
  <c r="E11" i="42"/>
  <c r="N40" i="32"/>
  <c r="N37" i="32"/>
  <c r="N36" i="32"/>
  <c r="E57" i="32"/>
  <c r="P30" i="32" s="1"/>
  <c r="A57" i="32"/>
  <c r="C46" i="32"/>
  <c r="E46" i="32" s="1"/>
  <c r="P19" i="32" s="1"/>
  <c r="A46" i="32"/>
  <c r="C54" i="32"/>
  <c r="E54" i="32" s="1"/>
  <c r="P27" i="32" s="1"/>
  <c r="A54" i="32"/>
  <c r="C41" i="32"/>
  <c r="E41" i="32" s="1"/>
  <c r="P14" i="32" s="1"/>
  <c r="A41" i="32"/>
  <c r="N27" i="32" l="1"/>
  <c r="M27" i="32"/>
  <c r="N19" i="32"/>
  <c r="M19" i="32"/>
  <c r="N14" i="32"/>
  <c r="M14" i="32"/>
  <c r="L256" i="68"/>
  <c r="L184" i="68"/>
  <c r="I316" i="68"/>
  <c r="L319" i="68"/>
  <c r="AG315" i="68"/>
  <c r="AF315" i="68"/>
  <c r="AE315" i="68"/>
  <c r="AD315" i="68"/>
  <c r="AC315" i="68"/>
  <c r="V315" i="68" s="1"/>
  <c r="W315" i="68" s="1"/>
  <c r="Y315" i="68" s="1"/>
  <c r="Q315" i="68"/>
  <c r="N315" i="68"/>
  <c r="O315" i="68" s="1"/>
  <c r="I315" i="68"/>
  <c r="L295" i="68"/>
  <c r="AG291" i="68"/>
  <c r="AF291" i="68"/>
  <c r="AE291" i="68"/>
  <c r="AD291" i="68"/>
  <c r="AC291" i="68"/>
  <c r="Q291" i="68"/>
  <c r="N291" i="68"/>
  <c r="O291" i="68" s="1"/>
  <c r="I291" i="68"/>
  <c r="L286" i="68"/>
  <c r="AG282" i="68"/>
  <c r="AF282" i="68"/>
  <c r="AE282" i="68"/>
  <c r="P282" i="68" s="1"/>
  <c r="T282" i="68" s="1"/>
  <c r="AD282" i="68"/>
  <c r="AC282" i="68"/>
  <c r="Q282" i="68"/>
  <c r="N282" i="68"/>
  <c r="O282" i="68" s="1"/>
  <c r="I282" i="68"/>
  <c r="AG48" i="68"/>
  <c r="AF48" i="68"/>
  <c r="AD48" i="68"/>
  <c r="AC48" i="68"/>
  <c r="Q48" i="68"/>
  <c r="N48" i="68"/>
  <c r="O48" i="68" s="1"/>
  <c r="I48" i="68"/>
  <c r="AE48" i="68" s="1"/>
  <c r="L249" i="68"/>
  <c r="L242" i="68"/>
  <c r="AG237" i="68"/>
  <c r="AF237" i="68"/>
  <c r="AD237" i="68"/>
  <c r="AC237" i="68"/>
  <c r="Q237" i="68"/>
  <c r="N237" i="68"/>
  <c r="O237" i="68" s="1"/>
  <c r="I237" i="68"/>
  <c r="AE237" i="68" s="1"/>
  <c r="AG179" i="68"/>
  <c r="AF179" i="68"/>
  <c r="AD179" i="68"/>
  <c r="AC179" i="68"/>
  <c r="Q179" i="68"/>
  <c r="N179" i="68"/>
  <c r="O179" i="68" s="1"/>
  <c r="I179" i="68"/>
  <c r="AE179" i="68" s="1"/>
  <c r="AG178" i="68"/>
  <c r="AF178" i="68"/>
  <c r="AD178" i="68"/>
  <c r="AC178" i="68"/>
  <c r="Q178" i="68"/>
  <c r="N178" i="68"/>
  <c r="O178" i="68" s="1"/>
  <c r="I178" i="68"/>
  <c r="AE178" i="68" s="1"/>
  <c r="AL32" i="68"/>
  <c r="AM32" i="68" s="1"/>
  <c r="AL31" i="68"/>
  <c r="AG47" i="68"/>
  <c r="AF47" i="68"/>
  <c r="AD47" i="68"/>
  <c r="AC47" i="68"/>
  <c r="Q47" i="68"/>
  <c r="N47" i="68"/>
  <c r="O47" i="68" s="1"/>
  <c r="I47" i="68"/>
  <c r="AE47" i="68" s="1"/>
  <c r="P48" i="68" l="1"/>
  <c r="T48" i="68" s="1"/>
  <c r="V48" i="68"/>
  <c r="W48" i="68" s="1"/>
  <c r="Y48" i="68" s="1"/>
  <c r="P291" i="68"/>
  <c r="T291" i="68" s="1"/>
  <c r="V282" i="68"/>
  <c r="W282" i="68" s="1"/>
  <c r="Y282" i="68" s="1"/>
  <c r="R282" i="68"/>
  <c r="AM31" i="68"/>
  <c r="AP31" i="68"/>
  <c r="P237" i="68"/>
  <c r="T237" i="68" s="1"/>
  <c r="V291" i="68"/>
  <c r="W291" i="68" s="1"/>
  <c r="Y291" i="68" s="1"/>
  <c r="P315" i="68"/>
  <c r="R291" i="68"/>
  <c r="Z291" i="68"/>
  <c r="AA291" i="68" s="1"/>
  <c r="Z282" i="68"/>
  <c r="AB282" i="68" s="1"/>
  <c r="R48" i="68"/>
  <c r="Z48" i="68"/>
  <c r="AA48" i="68" s="1"/>
  <c r="AB48" i="68"/>
  <c r="V237" i="68"/>
  <c r="W237" i="68" s="1"/>
  <c r="Y237" i="68" s="1"/>
  <c r="P179" i="68"/>
  <c r="T179" i="68" s="1"/>
  <c r="V178" i="68"/>
  <c r="W178" i="68" s="1"/>
  <c r="Y178" i="68" s="1"/>
  <c r="V179" i="68"/>
  <c r="W179" i="68" s="1"/>
  <c r="Y179" i="68" s="1"/>
  <c r="P178" i="68"/>
  <c r="T178" i="68" s="1"/>
  <c r="P47" i="68"/>
  <c r="T47" i="68" s="1"/>
  <c r="V47" i="68"/>
  <c r="W47" i="68" s="1"/>
  <c r="Y47" i="68" s="1"/>
  <c r="T29" i="49"/>
  <c r="T27" i="49"/>
  <c r="T26" i="49"/>
  <c r="T25" i="49"/>
  <c r="T24" i="49"/>
  <c r="T23" i="49"/>
  <c r="T22" i="49"/>
  <c r="T21" i="49"/>
  <c r="T20" i="49"/>
  <c r="T19" i="49"/>
  <c r="T18" i="49"/>
  <c r="T16" i="49"/>
  <c r="T15" i="49"/>
  <c r="T14" i="49"/>
  <c r="T13" i="49"/>
  <c r="T12" i="49"/>
  <c r="S12" i="49"/>
  <c r="R237" i="68" l="1"/>
  <c r="Z237" i="68"/>
  <c r="AB237" i="68" s="1"/>
  <c r="Z47" i="68"/>
  <c r="R315" i="68"/>
  <c r="T315" i="68"/>
  <c r="Z315" i="68" s="1"/>
  <c r="AA282" i="68"/>
  <c r="AA237" i="68"/>
  <c r="Z178" i="68"/>
  <c r="AB178" i="68" s="1"/>
  <c r="R178" i="68"/>
  <c r="R47" i="68"/>
  <c r="R179" i="68"/>
  <c r="Z179" i="68"/>
  <c r="AB179" i="68" s="1"/>
  <c r="AA47" i="68"/>
  <c r="AB47" i="68"/>
  <c r="U30" i="48"/>
  <c r="U26" i="48"/>
  <c r="T33" i="48"/>
  <c r="S33" i="48"/>
  <c r="T31" i="48"/>
  <c r="S31" i="48"/>
  <c r="U31" i="48" s="1"/>
  <c r="T30" i="48"/>
  <c r="S30" i="48"/>
  <c r="T29" i="48"/>
  <c r="S29" i="48"/>
  <c r="T28" i="48"/>
  <c r="S28" i="48"/>
  <c r="T27" i="48"/>
  <c r="S27" i="48"/>
  <c r="U27" i="48" s="1"/>
  <c r="T26" i="48"/>
  <c r="S26" i="48"/>
  <c r="T25" i="48"/>
  <c r="S25" i="48"/>
  <c r="T24" i="48"/>
  <c r="S24" i="48"/>
  <c r="T23" i="48"/>
  <c r="S23" i="48"/>
  <c r="T22" i="48"/>
  <c r="S22" i="48"/>
  <c r="U22" i="48" s="1"/>
  <c r="T21" i="48"/>
  <c r="S21" i="48"/>
  <c r="T20" i="48"/>
  <c r="S20" i="48"/>
  <c r="T19" i="48"/>
  <c r="S19" i="48"/>
  <c r="U19" i="48" s="1"/>
  <c r="T18" i="48"/>
  <c r="S18" i="48"/>
  <c r="T16" i="48"/>
  <c r="S16" i="48"/>
  <c r="U16" i="48" s="1"/>
  <c r="T15" i="48"/>
  <c r="S15" i="48"/>
  <c r="T14" i="48"/>
  <c r="S14" i="48"/>
  <c r="T13" i="48"/>
  <c r="S13" i="48"/>
  <c r="T12" i="48"/>
  <c r="S12" i="48"/>
  <c r="U23" i="49"/>
  <c r="U19" i="49"/>
  <c r="U16" i="49"/>
  <c r="U12" i="49"/>
  <c r="S29" i="49"/>
  <c r="S27" i="49"/>
  <c r="U27" i="49" s="1"/>
  <c r="S26" i="49"/>
  <c r="S25" i="49"/>
  <c r="S24" i="49"/>
  <c r="S23" i="49"/>
  <c r="S22" i="49"/>
  <c r="S21" i="49"/>
  <c r="S20" i="49"/>
  <c r="S19" i="49"/>
  <c r="S18" i="49"/>
  <c r="S16" i="49"/>
  <c r="S15" i="49"/>
  <c r="S14" i="49"/>
  <c r="S13" i="49"/>
  <c r="AA285" i="47"/>
  <c r="AA284" i="47"/>
  <c r="AA283" i="47"/>
  <c r="AA282" i="47"/>
  <c r="AA281" i="47"/>
  <c r="AA280" i="47"/>
  <c r="AA279" i="47"/>
  <c r="AA278" i="47"/>
  <c r="AA277" i="47"/>
  <c r="AA276" i="47"/>
  <c r="AA275" i="47"/>
  <c r="AA274" i="47"/>
  <c r="AA273" i="47"/>
  <c r="AA272" i="47"/>
  <c r="AA271" i="47"/>
  <c r="AA270" i="47"/>
  <c r="AA269" i="47"/>
  <c r="AA268" i="47"/>
  <c r="AA267" i="47"/>
  <c r="AA266" i="47"/>
  <c r="AA265" i="47"/>
  <c r="AA264" i="47"/>
  <c r="AA263" i="47"/>
  <c r="AA262" i="47"/>
  <c r="AA261" i="47"/>
  <c r="AA260" i="47"/>
  <c r="AA259" i="47"/>
  <c r="AA258" i="47"/>
  <c r="AA257" i="47"/>
  <c r="AA256" i="47"/>
  <c r="AA255" i="47"/>
  <c r="AA254" i="47"/>
  <c r="AA253" i="47"/>
  <c r="AA252" i="47"/>
  <c r="AA251" i="47"/>
  <c r="AA250" i="47"/>
  <c r="AA249" i="47"/>
  <c r="AA248" i="47"/>
  <c r="AA247" i="47"/>
  <c r="AA246" i="47"/>
  <c r="AA245" i="47"/>
  <c r="AA244" i="47"/>
  <c r="AA243" i="47"/>
  <c r="AA242" i="47"/>
  <c r="AA241" i="47"/>
  <c r="AA240" i="47"/>
  <c r="AA239" i="47"/>
  <c r="AA238" i="47"/>
  <c r="AA237" i="47"/>
  <c r="AA236" i="47"/>
  <c r="AA235" i="47"/>
  <c r="AA234" i="47"/>
  <c r="AA233" i="47"/>
  <c r="AA232" i="47"/>
  <c r="AA231" i="47"/>
  <c r="AA230" i="47"/>
  <c r="AA229" i="47"/>
  <c r="AA228" i="47"/>
  <c r="AA227" i="47"/>
  <c r="AA226" i="47"/>
  <c r="AA225" i="47"/>
  <c r="AA224" i="47"/>
  <c r="AA223" i="47"/>
  <c r="AA222" i="47"/>
  <c r="AA221" i="47"/>
  <c r="AA220" i="47"/>
  <c r="AA219" i="47"/>
  <c r="AA218" i="47"/>
  <c r="AA217" i="47"/>
  <c r="AA216" i="47"/>
  <c r="AA215" i="47"/>
  <c r="AA214" i="47"/>
  <c r="AA213" i="47"/>
  <c r="AA212" i="47"/>
  <c r="AA211" i="47"/>
  <c r="AA210" i="47"/>
  <c r="AA209" i="47"/>
  <c r="AA208" i="47"/>
  <c r="AA207" i="47"/>
  <c r="AA206" i="47"/>
  <c r="AA205" i="47"/>
  <c r="AA204" i="47"/>
  <c r="AA203" i="47"/>
  <c r="AA202" i="47"/>
  <c r="AA201" i="47"/>
  <c r="AA200" i="47"/>
  <c r="AA199" i="47"/>
  <c r="AA198" i="47"/>
  <c r="AA197" i="47"/>
  <c r="AA196" i="47"/>
  <c r="AA195" i="47"/>
  <c r="AA194" i="47"/>
  <c r="AA193" i="47"/>
  <c r="AA192" i="47"/>
  <c r="AA191" i="47"/>
  <c r="AA190" i="47"/>
  <c r="AA189" i="47"/>
  <c r="AA188" i="47"/>
  <c r="AA187" i="47"/>
  <c r="AA186" i="47"/>
  <c r="AA185" i="47"/>
  <c r="AA184" i="47"/>
  <c r="AA183" i="47"/>
  <c r="AA182" i="47"/>
  <c r="AA181" i="47"/>
  <c r="AA180" i="47"/>
  <c r="AA179" i="47"/>
  <c r="AA178" i="47"/>
  <c r="AA177" i="47"/>
  <c r="AA176" i="47"/>
  <c r="AA175" i="47"/>
  <c r="AA174" i="47"/>
  <c r="AA173" i="47"/>
  <c r="AA172" i="47"/>
  <c r="AA171" i="47"/>
  <c r="AA170" i="47"/>
  <c r="AA169" i="47"/>
  <c r="AA168" i="47"/>
  <c r="AA167" i="47"/>
  <c r="AA166" i="47"/>
  <c r="AA165" i="47"/>
  <c r="AA164" i="47"/>
  <c r="AA163" i="47"/>
  <c r="AA162" i="47"/>
  <c r="AA161" i="47"/>
  <c r="AA160" i="47"/>
  <c r="AA159" i="47"/>
  <c r="AA158" i="47"/>
  <c r="AA157" i="47"/>
  <c r="AA156" i="47"/>
  <c r="AA155" i="47"/>
  <c r="AA154" i="47"/>
  <c r="AA153" i="47"/>
  <c r="AA152" i="47"/>
  <c r="AA151" i="47"/>
  <c r="AA150" i="47"/>
  <c r="AA149" i="47"/>
  <c r="AA148" i="47"/>
  <c r="AA147" i="47"/>
  <c r="AA146" i="47"/>
  <c r="AA145" i="47"/>
  <c r="AA144" i="47"/>
  <c r="AA143" i="47"/>
  <c r="AA142" i="47"/>
  <c r="AA141" i="47"/>
  <c r="AA140" i="47"/>
  <c r="AA139" i="47"/>
  <c r="AA138" i="47"/>
  <c r="AA137" i="47"/>
  <c r="AA136" i="47"/>
  <c r="AA135" i="47"/>
  <c r="AA134" i="47"/>
  <c r="AA133" i="47"/>
  <c r="AA132" i="47"/>
  <c r="AA131" i="47"/>
  <c r="AA130" i="47"/>
  <c r="AA129" i="47"/>
  <c r="AA128" i="47"/>
  <c r="AA127" i="47"/>
  <c r="AA126" i="47"/>
  <c r="AA125" i="47"/>
  <c r="AA124" i="47"/>
  <c r="AA123" i="47"/>
  <c r="AA122" i="47"/>
  <c r="AA121" i="47"/>
  <c r="AA120" i="47"/>
  <c r="AA119" i="47"/>
  <c r="AA118" i="47"/>
  <c r="AA117" i="47"/>
  <c r="AA116" i="47"/>
  <c r="AA115" i="47"/>
  <c r="AA114" i="47"/>
  <c r="AA113" i="47"/>
  <c r="AA112" i="47"/>
  <c r="AA111" i="47"/>
  <c r="AA110" i="47"/>
  <c r="AA109" i="47"/>
  <c r="AA108" i="47"/>
  <c r="AA107" i="47"/>
  <c r="AA106" i="47"/>
  <c r="AA105" i="47"/>
  <c r="AA104" i="47"/>
  <c r="AA103" i="47"/>
  <c r="AA102" i="47"/>
  <c r="AA101" i="47"/>
  <c r="AA100" i="47"/>
  <c r="AA99" i="47"/>
  <c r="AA98" i="47"/>
  <c r="AA97" i="47"/>
  <c r="AA96" i="47"/>
  <c r="AA95" i="47"/>
  <c r="AA94" i="47"/>
  <c r="AA93" i="47"/>
  <c r="AA92" i="47"/>
  <c r="AA91" i="47"/>
  <c r="AA90" i="47"/>
  <c r="AA89" i="47"/>
  <c r="AA88" i="47"/>
  <c r="AA87" i="47"/>
  <c r="AA86" i="47"/>
  <c r="AA85" i="47"/>
  <c r="AA84" i="47"/>
  <c r="AA83" i="47"/>
  <c r="AA82" i="47"/>
  <c r="AA81" i="47"/>
  <c r="AA80" i="47"/>
  <c r="AA79" i="47"/>
  <c r="AA78" i="47"/>
  <c r="AA77" i="47"/>
  <c r="AA76" i="47"/>
  <c r="AA75" i="47"/>
  <c r="AA74" i="47"/>
  <c r="AA73" i="47"/>
  <c r="AA72" i="47"/>
  <c r="AA71" i="47"/>
  <c r="AA70" i="47"/>
  <c r="AA69" i="47"/>
  <c r="AA68" i="47"/>
  <c r="AA67" i="47"/>
  <c r="AA66" i="47"/>
  <c r="AA65" i="47"/>
  <c r="AA64" i="47"/>
  <c r="AA63" i="47"/>
  <c r="AA62" i="47"/>
  <c r="AA61" i="47"/>
  <c r="AA60" i="47"/>
  <c r="AA59" i="47"/>
  <c r="AA58" i="47"/>
  <c r="AA57" i="47"/>
  <c r="AA56" i="47"/>
  <c r="AA55" i="47"/>
  <c r="AA54" i="47"/>
  <c r="AA53" i="47"/>
  <c r="AA52" i="47"/>
  <c r="AA51" i="47"/>
  <c r="AA50" i="47"/>
  <c r="AA49" i="47"/>
  <c r="AA48" i="47"/>
  <c r="AA47" i="47"/>
  <c r="AA46" i="47"/>
  <c r="AA45" i="47"/>
  <c r="AA44" i="47"/>
  <c r="AA43" i="47"/>
  <c r="AA42" i="47"/>
  <c r="AA41" i="47"/>
  <c r="AA40" i="47"/>
  <c r="AA39" i="47"/>
  <c r="AA38" i="47"/>
  <c r="AA37" i="47"/>
  <c r="AA36" i="47"/>
  <c r="AA35" i="47"/>
  <c r="AA34" i="47"/>
  <c r="AA33" i="47"/>
  <c r="AA32" i="47"/>
  <c r="AA31" i="47"/>
  <c r="AA30" i="47"/>
  <c r="AA29" i="47"/>
  <c r="AA28" i="47"/>
  <c r="AA27" i="47"/>
  <c r="AA26" i="47"/>
  <c r="AA25" i="47"/>
  <c r="AA24" i="47"/>
  <c r="AA23" i="47"/>
  <c r="AA22" i="47"/>
  <c r="AA21" i="47"/>
  <c r="AA20" i="47"/>
  <c r="AA19" i="47"/>
  <c r="AA18" i="47"/>
  <c r="AA17" i="47"/>
  <c r="AA16" i="47"/>
  <c r="AA15" i="47"/>
  <c r="AA14" i="47"/>
  <c r="AA13" i="47"/>
  <c r="AA12" i="47"/>
  <c r="AA11" i="47"/>
  <c r="AA10" i="47"/>
  <c r="AB315" i="68" l="1"/>
  <c r="AA315" i="68"/>
  <c r="AA178" i="68"/>
  <c r="AA179" i="68"/>
  <c r="U28" i="48"/>
  <c r="U29" i="48"/>
  <c r="U24" i="48"/>
  <c r="U25" i="48"/>
  <c r="U18" i="48"/>
  <c r="U13" i="48"/>
  <c r="U14" i="48"/>
  <c r="U23" i="48"/>
  <c r="U15" i="48"/>
  <c r="U20" i="48"/>
  <c r="U33" i="48"/>
  <c r="U12" i="48"/>
  <c r="U21" i="48"/>
  <c r="U22" i="49"/>
  <c r="U18" i="49"/>
  <c r="U13" i="49"/>
  <c r="U24" i="49"/>
  <c r="U20" i="49"/>
  <c r="U15" i="49"/>
  <c r="U29" i="49"/>
  <c r="U14" i="49"/>
  <c r="U26" i="49"/>
  <c r="U25" i="49"/>
  <c r="U21" i="49"/>
  <c r="F21" i="27"/>
  <c r="F20" i="27"/>
  <c r="F19" i="27"/>
  <c r="E21" i="27"/>
  <c r="E20" i="27"/>
  <c r="E19" i="27"/>
  <c r="D21" i="27"/>
  <c r="D20" i="27"/>
  <c r="D19" i="27"/>
  <c r="K67" i="5" l="1"/>
  <c r="K66" i="5"/>
  <c r="K65" i="5"/>
  <c r="K64" i="5"/>
  <c r="K63" i="5"/>
  <c r="K62" i="5"/>
  <c r="K61" i="5"/>
  <c r="K60" i="5"/>
  <c r="K59" i="5"/>
  <c r="K58" i="5"/>
  <c r="K57" i="5"/>
  <c r="J67" i="5"/>
  <c r="J66" i="5"/>
  <c r="J65" i="5"/>
  <c r="J64" i="5"/>
  <c r="J63" i="5"/>
  <c r="J62" i="5"/>
  <c r="J61" i="5"/>
  <c r="J60" i="5"/>
  <c r="J59" i="5"/>
  <c r="J58" i="5"/>
  <c r="J57" i="5"/>
  <c r="K56" i="5"/>
  <c r="J56" i="5"/>
  <c r="J43" i="5"/>
  <c r="J42" i="5"/>
  <c r="J41" i="5"/>
  <c r="J40" i="5"/>
  <c r="J39" i="5"/>
  <c r="J38" i="5"/>
  <c r="J37" i="5"/>
  <c r="J36" i="5"/>
  <c r="J35" i="5"/>
  <c r="J34" i="5"/>
  <c r="J33" i="5"/>
  <c r="J32" i="5"/>
  <c r="K43" i="5"/>
  <c r="K42" i="5"/>
  <c r="K41" i="5"/>
  <c r="K40" i="5"/>
  <c r="K39" i="5"/>
  <c r="K38" i="5"/>
  <c r="K37" i="5"/>
  <c r="K36" i="5"/>
  <c r="K35" i="5"/>
  <c r="K34" i="5"/>
  <c r="K33" i="5"/>
  <c r="K32" i="5"/>
  <c r="F66" i="5"/>
  <c r="F65" i="5"/>
  <c r="F64" i="5"/>
  <c r="F63" i="5"/>
  <c r="E67" i="5"/>
  <c r="E66" i="5"/>
  <c r="E65" i="5"/>
  <c r="E64" i="5"/>
  <c r="E63" i="5"/>
  <c r="A67" i="5"/>
  <c r="A66" i="5"/>
  <c r="A65" i="5"/>
  <c r="A64" i="5"/>
  <c r="A63" i="5"/>
  <c r="A42" i="5"/>
  <c r="A41" i="5"/>
  <c r="A40" i="5"/>
  <c r="A39" i="5"/>
  <c r="F43" i="5"/>
  <c r="F42" i="5"/>
  <c r="F41" i="5"/>
  <c r="F40" i="5"/>
  <c r="F39" i="5"/>
  <c r="E43" i="5"/>
  <c r="E42" i="5"/>
  <c r="E41" i="5"/>
  <c r="E40" i="5"/>
  <c r="E39" i="5"/>
  <c r="K21" i="5"/>
  <c r="J21" i="5"/>
  <c r="F21" i="5"/>
  <c r="E21" i="5"/>
  <c r="K20" i="5"/>
  <c r="J20" i="5"/>
  <c r="F20" i="5"/>
  <c r="E20" i="5"/>
  <c r="K19" i="5"/>
  <c r="J19" i="5"/>
  <c r="F19" i="5"/>
  <c r="E19" i="5"/>
  <c r="K18" i="5"/>
  <c r="J18" i="5"/>
  <c r="F18" i="5"/>
  <c r="E18" i="5"/>
  <c r="K17" i="5"/>
  <c r="J17" i="5"/>
  <c r="F17" i="5"/>
  <c r="E17" i="5"/>
  <c r="C19" i="5"/>
  <c r="A21" i="5"/>
  <c r="A20" i="5"/>
  <c r="A19" i="5"/>
  <c r="A18" i="5"/>
  <c r="A17" i="5"/>
  <c r="F64" i="27"/>
  <c r="E64" i="27"/>
  <c r="D64" i="27"/>
  <c r="F63" i="27"/>
  <c r="E63" i="27"/>
  <c r="D63" i="27"/>
  <c r="F62" i="27"/>
  <c r="E62" i="27"/>
  <c r="D62" i="27"/>
  <c r="C62" i="27" s="1"/>
  <c r="F61" i="27"/>
  <c r="C61" i="27" s="1"/>
  <c r="E61" i="27"/>
  <c r="D61" i="27"/>
  <c r="F60" i="27"/>
  <c r="E60" i="27"/>
  <c r="D60" i="27"/>
  <c r="A64" i="27"/>
  <c r="A63" i="27"/>
  <c r="A62" i="27"/>
  <c r="A61" i="27"/>
  <c r="A60" i="27"/>
  <c r="A39" i="27"/>
  <c r="A40" i="27"/>
  <c r="A41" i="27"/>
  <c r="A42" i="27"/>
  <c r="F42" i="27"/>
  <c r="E42" i="27"/>
  <c r="C42" i="27" s="1"/>
  <c r="D42" i="27"/>
  <c r="F41" i="27"/>
  <c r="E41" i="27"/>
  <c r="C41" i="27" s="1"/>
  <c r="D41" i="27"/>
  <c r="F40" i="27"/>
  <c r="E40" i="27"/>
  <c r="D40" i="27"/>
  <c r="F39" i="27"/>
  <c r="E39" i="27"/>
  <c r="D39" i="27"/>
  <c r="F38" i="27"/>
  <c r="E38" i="27"/>
  <c r="D38" i="27"/>
  <c r="A38" i="27"/>
  <c r="C40" i="27"/>
  <c r="F18" i="27"/>
  <c r="E18" i="27"/>
  <c r="D18" i="27"/>
  <c r="F17" i="27"/>
  <c r="E17" i="27"/>
  <c r="D17" i="27"/>
  <c r="A21" i="27"/>
  <c r="A20" i="27"/>
  <c r="A19" i="27"/>
  <c r="A18" i="27"/>
  <c r="A17" i="27"/>
  <c r="I73" i="44"/>
  <c r="H73" i="44"/>
  <c r="G73" i="44"/>
  <c r="F73" i="44"/>
  <c r="E73" i="44"/>
  <c r="D73" i="44"/>
  <c r="C73" i="44"/>
  <c r="I69" i="44"/>
  <c r="H69" i="44"/>
  <c r="G69" i="44"/>
  <c r="F69" i="44"/>
  <c r="E69" i="44"/>
  <c r="D69" i="44"/>
  <c r="C69" i="44"/>
  <c r="I67" i="44"/>
  <c r="H67" i="44"/>
  <c r="G67" i="44"/>
  <c r="F67" i="44"/>
  <c r="E67" i="44"/>
  <c r="D67" i="44"/>
  <c r="C67" i="44"/>
  <c r="I55" i="44"/>
  <c r="H55" i="44"/>
  <c r="G55" i="44"/>
  <c r="F55" i="44"/>
  <c r="E55" i="44"/>
  <c r="D55" i="44"/>
  <c r="C55" i="44"/>
  <c r="I51" i="44"/>
  <c r="H51" i="44"/>
  <c r="G51" i="44"/>
  <c r="F51" i="44"/>
  <c r="E51" i="44"/>
  <c r="D51" i="44"/>
  <c r="C51" i="44"/>
  <c r="I49" i="44"/>
  <c r="H49" i="44"/>
  <c r="G49" i="44"/>
  <c r="F49" i="44"/>
  <c r="E49" i="44"/>
  <c r="D49" i="44"/>
  <c r="C49" i="44"/>
  <c r="C41" i="44"/>
  <c r="C59" i="44" s="1"/>
  <c r="I38" i="44"/>
  <c r="H38" i="44"/>
  <c r="G38" i="44"/>
  <c r="F38" i="44"/>
  <c r="E38" i="44"/>
  <c r="D38" i="44"/>
  <c r="C38" i="44"/>
  <c r="I34" i="44"/>
  <c r="H34" i="44"/>
  <c r="G34" i="44"/>
  <c r="F34" i="44"/>
  <c r="E34" i="44"/>
  <c r="D34" i="44"/>
  <c r="C34" i="44"/>
  <c r="I32" i="44"/>
  <c r="H32" i="44"/>
  <c r="G32" i="44"/>
  <c r="F32" i="44"/>
  <c r="E32" i="44"/>
  <c r="D32" i="44"/>
  <c r="C32" i="44"/>
  <c r="I24" i="44"/>
  <c r="I41" i="44" s="1"/>
  <c r="I59" i="44" s="1"/>
  <c r="H24" i="44"/>
  <c r="H41" i="44" s="1"/>
  <c r="H59" i="44" s="1"/>
  <c r="G24" i="44"/>
  <c r="G41" i="44" s="1"/>
  <c r="G59" i="44" s="1"/>
  <c r="F24" i="44"/>
  <c r="F41" i="44" s="1"/>
  <c r="F59" i="44" s="1"/>
  <c r="E24" i="44"/>
  <c r="E41" i="44" s="1"/>
  <c r="E59" i="44" s="1"/>
  <c r="D24" i="44"/>
  <c r="D41" i="44" s="1"/>
  <c r="D59" i="44" s="1"/>
  <c r="C24" i="44"/>
  <c r="I21" i="44"/>
  <c r="H21" i="44"/>
  <c r="G21" i="44"/>
  <c r="F21" i="44"/>
  <c r="E21" i="44"/>
  <c r="D21" i="44"/>
  <c r="C21" i="44"/>
  <c r="I17" i="44"/>
  <c r="H17" i="44"/>
  <c r="G17" i="44"/>
  <c r="F17" i="44"/>
  <c r="E17" i="44"/>
  <c r="D17" i="44"/>
  <c r="C17" i="44"/>
  <c r="I15" i="44"/>
  <c r="H15" i="44"/>
  <c r="G15" i="44"/>
  <c r="F15" i="44"/>
  <c r="E15" i="44"/>
  <c r="D15" i="44"/>
  <c r="C15" i="44"/>
  <c r="N73" i="44"/>
  <c r="M73" i="44"/>
  <c r="L73" i="44"/>
  <c r="N69" i="44"/>
  <c r="M69" i="44"/>
  <c r="L69" i="44"/>
  <c r="N67" i="44"/>
  <c r="C43" i="5" s="1"/>
  <c r="M67" i="44"/>
  <c r="C42" i="5" s="1"/>
  <c r="L67" i="44"/>
  <c r="C41" i="5" s="1"/>
  <c r="D41" i="5" s="1"/>
  <c r="H41" i="5" s="1"/>
  <c r="N55" i="44"/>
  <c r="M55" i="44"/>
  <c r="L55" i="44"/>
  <c r="N51" i="44"/>
  <c r="M51" i="44"/>
  <c r="L51" i="44"/>
  <c r="N49" i="44"/>
  <c r="C67" i="5" s="1"/>
  <c r="M49" i="44"/>
  <c r="C66" i="5" s="1"/>
  <c r="D66" i="5" s="1"/>
  <c r="H66" i="5" s="1"/>
  <c r="I66" i="5" s="1"/>
  <c r="L49" i="44"/>
  <c r="C65" i="5" s="1"/>
  <c r="N38" i="44"/>
  <c r="M38" i="44"/>
  <c r="L38" i="44"/>
  <c r="N34" i="44"/>
  <c r="M34" i="44"/>
  <c r="L34" i="44"/>
  <c r="N32" i="44"/>
  <c r="C21" i="5" s="1"/>
  <c r="M32" i="44"/>
  <c r="C20" i="5" s="1"/>
  <c r="D20" i="5" s="1"/>
  <c r="H20" i="5" s="1"/>
  <c r="L32" i="44"/>
  <c r="N24" i="44"/>
  <c r="N41" i="44" s="1"/>
  <c r="N59" i="44" s="1"/>
  <c r="M24" i="44"/>
  <c r="M41" i="44" s="1"/>
  <c r="M59" i="44" s="1"/>
  <c r="L24" i="44"/>
  <c r="L41" i="44" s="1"/>
  <c r="L59" i="44" s="1"/>
  <c r="N21" i="44"/>
  <c r="M21" i="44"/>
  <c r="L21" i="44"/>
  <c r="N17" i="44"/>
  <c r="M17" i="44"/>
  <c r="L17" i="44"/>
  <c r="N15" i="44"/>
  <c r="M15" i="44"/>
  <c r="L15" i="44"/>
  <c r="K73" i="44"/>
  <c r="K69" i="44"/>
  <c r="K67" i="44"/>
  <c r="C40" i="5" s="1"/>
  <c r="K55" i="44"/>
  <c r="K51" i="44"/>
  <c r="K49" i="44"/>
  <c r="C64" i="5" s="1"/>
  <c r="K41" i="44"/>
  <c r="K59" i="44" s="1"/>
  <c r="K38" i="44"/>
  <c r="K34" i="44"/>
  <c r="K32" i="44"/>
  <c r="C18" i="5" s="1"/>
  <c r="K24" i="44"/>
  <c r="K21" i="44"/>
  <c r="K17" i="44"/>
  <c r="K15" i="44"/>
  <c r="AI37" i="48"/>
  <c r="AH37" i="48"/>
  <c r="AG37" i="48"/>
  <c r="AF37" i="48"/>
  <c r="AE37" i="48"/>
  <c r="AD37" i="48"/>
  <c r="AC37" i="48"/>
  <c r="AB37" i="48"/>
  <c r="AA37" i="48"/>
  <c r="Z37" i="48"/>
  <c r="Y37" i="48"/>
  <c r="X37" i="48"/>
  <c r="F38" i="13"/>
  <c r="M38" i="13" s="1"/>
  <c r="N38" i="13" s="1"/>
  <c r="A60" i="39"/>
  <c r="A59" i="39"/>
  <c r="A58" i="39"/>
  <c r="A57" i="39"/>
  <c r="A56" i="39"/>
  <c r="A55" i="39"/>
  <c r="K51" i="38"/>
  <c r="J51" i="38"/>
  <c r="G51" i="38"/>
  <c r="D51" i="38"/>
  <c r="K50" i="38"/>
  <c r="J50" i="38"/>
  <c r="G50" i="38"/>
  <c r="D50" i="38"/>
  <c r="K49" i="38"/>
  <c r="J49" i="38"/>
  <c r="G49" i="38"/>
  <c r="D49" i="38"/>
  <c r="K48" i="38"/>
  <c r="J48" i="38"/>
  <c r="G48" i="38"/>
  <c r="D48" i="38"/>
  <c r="K47" i="38"/>
  <c r="J47" i="38"/>
  <c r="G47" i="38"/>
  <c r="D47" i="38"/>
  <c r="K46" i="38"/>
  <c r="J46" i="38"/>
  <c r="G46" i="38"/>
  <c r="D46" i="38"/>
  <c r="K45" i="38"/>
  <c r="J45" i="38"/>
  <c r="G45" i="38"/>
  <c r="D45" i="38"/>
  <c r="K44" i="38"/>
  <c r="J44" i="38"/>
  <c r="G44" i="38"/>
  <c r="D44" i="38"/>
  <c r="K43" i="38"/>
  <c r="J43" i="38"/>
  <c r="G43" i="38"/>
  <c r="D43" i="38"/>
  <c r="K42" i="38"/>
  <c r="J42" i="38"/>
  <c r="G42" i="38"/>
  <c r="D42" i="38"/>
  <c r="K41" i="38"/>
  <c r="J41" i="38"/>
  <c r="G41" i="38"/>
  <c r="D41" i="38"/>
  <c r="K40" i="38"/>
  <c r="J40" i="38"/>
  <c r="G40" i="38"/>
  <c r="D40" i="38"/>
  <c r="K39" i="38"/>
  <c r="J39" i="38"/>
  <c r="G39" i="38"/>
  <c r="D39" i="38"/>
  <c r="K38" i="38"/>
  <c r="J38" i="38"/>
  <c r="G38" i="38"/>
  <c r="D38" i="38"/>
  <c r="K37" i="38"/>
  <c r="J37" i="38"/>
  <c r="G37" i="38"/>
  <c r="D37" i="38"/>
  <c r="K36" i="38"/>
  <c r="J36" i="38"/>
  <c r="G36" i="38"/>
  <c r="D36" i="38"/>
  <c r="K35" i="38"/>
  <c r="J35" i="38"/>
  <c r="G35" i="38"/>
  <c r="D35" i="38"/>
  <c r="K34" i="38"/>
  <c r="J34" i="38"/>
  <c r="G34" i="38"/>
  <c r="D34" i="38"/>
  <c r="P18" i="38"/>
  <c r="P17" i="38"/>
  <c r="P16" i="38"/>
  <c r="P15" i="38"/>
  <c r="P14" i="38"/>
  <c r="P13" i="38"/>
  <c r="P12" i="38"/>
  <c r="P11" i="38"/>
  <c r="P19" i="38"/>
  <c r="N75" i="7"/>
  <c r="N70" i="7"/>
  <c r="L209" i="68"/>
  <c r="AG177" i="68"/>
  <c r="AF177" i="68"/>
  <c r="AD177" i="68"/>
  <c r="AC177" i="68"/>
  <c r="Q177" i="68"/>
  <c r="N177" i="68"/>
  <c r="O177" i="68" s="1"/>
  <c r="I177" i="68"/>
  <c r="AE177" i="68" s="1"/>
  <c r="O71" i="4"/>
  <c r="C72" i="69" s="1"/>
  <c r="E72" i="69" s="1"/>
  <c r="I72" i="69" s="1"/>
  <c r="C73" i="3" s="1"/>
  <c r="K113" i="4"/>
  <c r="J113" i="4"/>
  <c r="I113" i="4"/>
  <c r="H113" i="4"/>
  <c r="G113" i="4"/>
  <c r="F113" i="4"/>
  <c r="E113" i="4"/>
  <c r="D113" i="4"/>
  <c r="C113" i="4"/>
  <c r="K100" i="4"/>
  <c r="J100" i="4"/>
  <c r="I100" i="4"/>
  <c r="H100" i="4"/>
  <c r="G100" i="4"/>
  <c r="F100" i="4"/>
  <c r="E100" i="4"/>
  <c r="D100" i="4"/>
  <c r="C100" i="4"/>
  <c r="K20" i="4"/>
  <c r="J20" i="4"/>
  <c r="I20" i="4"/>
  <c r="H20" i="4"/>
  <c r="G20" i="4"/>
  <c r="F20" i="4"/>
  <c r="E20" i="4"/>
  <c r="D20" i="4"/>
  <c r="C20" i="4"/>
  <c r="D172" i="7" l="1"/>
  <c r="C72" i="2"/>
  <c r="F72" i="2" s="1"/>
  <c r="J72" i="2" s="1"/>
  <c r="U37" i="48"/>
  <c r="D21" i="5"/>
  <c r="H21" i="5" s="1"/>
  <c r="D43" i="5"/>
  <c r="H43" i="5" s="1"/>
  <c r="I43" i="5" s="1"/>
  <c r="C60" i="27"/>
  <c r="C39" i="27"/>
  <c r="D64" i="5"/>
  <c r="H64" i="5" s="1"/>
  <c r="I64" i="5" s="1"/>
  <c r="D19" i="5"/>
  <c r="H19" i="5" s="1"/>
  <c r="V177" i="68"/>
  <c r="W177" i="68" s="1"/>
  <c r="Y177" i="68" s="1"/>
  <c r="P177" i="68"/>
  <c r="T177" i="68" s="1"/>
  <c r="C64" i="27"/>
  <c r="I21" i="5"/>
  <c r="D42" i="5"/>
  <c r="H42" i="5" s="1"/>
  <c r="C63" i="27"/>
  <c r="I20" i="5"/>
  <c r="D65" i="5"/>
  <c r="H65" i="5" s="1"/>
  <c r="I65" i="5" s="1"/>
  <c r="I19" i="5"/>
  <c r="G102" i="4"/>
  <c r="G115" i="4" s="1"/>
  <c r="G117" i="4" s="1"/>
  <c r="D40" i="5"/>
  <c r="H40" i="5" s="1"/>
  <c r="I40" i="5" s="1"/>
  <c r="I42" i="5"/>
  <c r="I41" i="5"/>
  <c r="D18" i="5"/>
  <c r="H18" i="5" s="1"/>
  <c r="I18" i="5" s="1"/>
  <c r="C38" i="27"/>
  <c r="D102" i="4"/>
  <c r="D115" i="4" s="1"/>
  <c r="D117" i="4" s="1"/>
  <c r="J102" i="4"/>
  <c r="J115" i="4" s="1"/>
  <c r="J117" i="4" s="1"/>
  <c r="C102" i="4"/>
  <c r="C115" i="4" s="1"/>
  <c r="C117" i="4" s="1"/>
  <c r="H102" i="4"/>
  <c r="H115" i="4" s="1"/>
  <c r="H117" i="4" s="1"/>
  <c r="I102" i="4"/>
  <c r="I115" i="4" s="1"/>
  <c r="I117" i="4" s="1"/>
  <c r="K102" i="4"/>
  <c r="K115" i="4" s="1"/>
  <c r="K117" i="4" s="1"/>
  <c r="F102" i="4"/>
  <c r="F115" i="4" s="1"/>
  <c r="F117" i="4" s="1"/>
  <c r="E102" i="4"/>
  <c r="E115" i="4" s="1"/>
  <c r="E117" i="4" s="1"/>
  <c r="W75" i="37"/>
  <c r="W74" i="37"/>
  <c r="W70" i="37"/>
  <c r="W69" i="37"/>
  <c r="W68" i="37"/>
  <c r="W67" i="37"/>
  <c r="W66" i="37"/>
  <c r="W65" i="37"/>
  <c r="W64" i="37"/>
  <c r="W63" i="37"/>
  <c r="W62" i="37"/>
  <c r="W61" i="37"/>
  <c r="W60" i="37"/>
  <c r="W59" i="37"/>
  <c r="W58" i="37"/>
  <c r="W57" i="37"/>
  <c r="W56" i="37"/>
  <c r="W55" i="37"/>
  <c r="W52" i="37"/>
  <c r="W51" i="37"/>
  <c r="W50" i="37"/>
  <c r="W49" i="37"/>
  <c r="W48" i="37"/>
  <c r="W47" i="37"/>
  <c r="W46" i="37"/>
  <c r="W45" i="37"/>
  <c r="W44" i="37"/>
  <c r="W43" i="37"/>
  <c r="W42" i="37"/>
  <c r="W41" i="37"/>
  <c r="W40" i="37"/>
  <c r="W39" i="37"/>
  <c r="W38" i="37"/>
  <c r="W35" i="37"/>
  <c r="W34" i="37"/>
  <c r="W33" i="37"/>
  <c r="W32" i="37"/>
  <c r="W31" i="37"/>
  <c r="W30" i="37"/>
  <c r="W29" i="37"/>
  <c r="W28" i="37"/>
  <c r="W27" i="37"/>
  <c r="W26" i="37"/>
  <c r="W25" i="37"/>
  <c r="W24" i="37"/>
  <c r="W23" i="37"/>
  <c r="W22" i="37"/>
  <c r="W21" i="37"/>
  <c r="W20" i="37"/>
  <c r="W19" i="37"/>
  <c r="W18" i="37"/>
  <c r="W17" i="37"/>
  <c r="W16" i="37"/>
  <c r="W15" i="37"/>
  <c r="W14" i="37"/>
  <c r="W13" i="37"/>
  <c r="W12" i="37"/>
  <c r="W11" i="37"/>
  <c r="T75" i="37"/>
  <c r="T74" i="37"/>
  <c r="T70" i="37"/>
  <c r="T69" i="37"/>
  <c r="T68" i="37"/>
  <c r="T67" i="37"/>
  <c r="T66" i="37"/>
  <c r="T65" i="37"/>
  <c r="T64" i="37"/>
  <c r="T63" i="37"/>
  <c r="T62" i="37"/>
  <c r="T61" i="37"/>
  <c r="T60" i="37"/>
  <c r="T59" i="37"/>
  <c r="T58" i="37"/>
  <c r="T57" i="37"/>
  <c r="T56" i="37"/>
  <c r="T55" i="37"/>
  <c r="T52" i="37"/>
  <c r="T51" i="37"/>
  <c r="T50" i="37"/>
  <c r="T49" i="37"/>
  <c r="T48" i="37"/>
  <c r="T47" i="37"/>
  <c r="T46" i="37"/>
  <c r="T45" i="37"/>
  <c r="T44" i="37"/>
  <c r="T43" i="37"/>
  <c r="T42" i="37"/>
  <c r="T41" i="37"/>
  <c r="T40" i="37"/>
  <c r="T39" i="37"/>
  <c r="T38" i="37"/>
  <c r="T35" i="37"/>
  <c r="T34" i="37"/>
  <c r="T33" i="37"/>
  <c r="T32" i="37"/>
  <c r="T31" i="37"/>
  <c r="T30" i="37"/>
  <c r="T29" i="37"/>
  <c r="T28" i="37"/>
  <c r="T27" i="37"/>
  <c r="T26" i="37"/>
  <c r="T25" i="37"/>
  <c r="T24" i="37"/>
  <c r="T23" i="37"/>
  <c r="T22" i="37"/>
  <c r="T21" i="37"/>
  <c r="T20" i="37"/>
  <c r="T19" i="37"/>
  <c r="T18" i="37"/>
  <c r="T17" i="37"/>
  <c r="T16" i="37"/>
  <c r="T15" i="37"/>
  <c r="T14" i="37"/>
  <c r="T13" i="37"/>
  <c r="T12" i="37"/>
  <c r="T11" i="37"/>
  <c r="O75" i="37"/>
  <c r="O74" i="37"/>
  <c r="O70" i="37"/>
  <c r="O69" i="37"/>
  <c r="O68" i="37"/>
  <c r="O67" i="37"/>
  <c r="O66" i="37"/>
  <c r="O65" i="37"/>
  <c r="O64" i="37"/>
  <c r="O63" i="37"/>
  <c r="O62" i="37"/>
  <c r="O61" i="37"/>
  <c r="O60" i="37"/>
  <c r="O59" i="37"/>
  <c r="O58" i="37"/>
  <c r="O57" i="37"/>
  <c r="O56" i="37"/>
  <c r="O55" i="37"/>
  <c r="O52" i="37"/>
  <c r="O51" i="37"/>
  <c r="O50" i="37"/>
  <c r="O49" i="37"/>
  <c r="O48" i="37"/>
  <c r="O47" i="37"/>
  <c r="O46" i="37"/>
  <c r="O45" i="37"/>
  <c r="O44" i="37"/>
  <c r="O43" i="37"/>
  <c r="O42" i="37"/>
  <c r="O41" i="37"/>
  <c r="O40" i="37"/>
  <c r="O39" i="37"/>
  <c r="O38" i="37"/>
  <c r="O35" i="37"/>
  <c r="O34" i="37"/>
  <c r="O33" i="37"/>
  <c r="O32" i="37"/>
  <c r="O31" i="37"/>
  <c r="O30" i="37"/>
  <c r="O29" i="37"/>
  <c r="O28" i="37"/>
  <c r="O27" i="37"/>
  <c r="O26" i="37"/>
  <c r="O25" i="37"/>
  <c r="O24" i="37"/>
  <c r="O23" i="37"/>
  <c r="O22" i="37"/>
  <c r="O21" i="37"/>
  <c r="O20" i="37"/>
  <c r="O19" i="37"/>
  <c r="O18" i="37"/>
  <c r="O17" i="37"/>
  <c r="O16" i="37"/>
  <c r="O15" i="37"/>
  <c r="O14" i="37"/>
  <c r="O13" i="37"/>
  <c r="O12" i="37"/>
  <c r="O11" i="37"/>
  <c r="L75" i="37"/>
  <c r="L74" i="37"/>
  <c r="L70" i="37"/>
  <c r="L69" i="37"/>
  <c r="L68" i="37"/>
  <c r="L67" i="37"/>
  <c r="L66" i="37"/>
  <c r="L65" i="37"/>
  <c r="L64" i="37"/>
  <c r="L63" i="37"/>
  <c r="L62" i="37"/>
  <c r="L61" i="37"/>
  <c r="L60" i="37"/>
  <c r="L59" i="37"/>
  <c r="L58" i="37"/>
  <c r="L57" i="37"/>
  <c r="L56" i="37"/>
  <c r="L55" i="37"/>
  <c r="L52" i="37"/>
  <c r="L51" i="37"/>
  <c r="L50" i="37"/>
  <c r="L49" i="37"/>
  <c r="L48" i="37"/>
  <c r="L47" i="37"/>
  <c r="L46" i="37"/>
  <c r="L45" i="37"/>
  <c r="L44" i="37"/>
  <c r="L43" i="37"/>
  <c r="L42" i="37"/>
  <c r="L41" i="37"/>
  <c r="L40" i="37"/>
  <c r="L39" i="37"/>
  <c r="L38"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G75" i="37"/>
  <c r="G74" i="37"/>
  <c r="G70" i="37"/>
  <c r="G69" i="37"/>
  <c r="G68" i="37"/>
  <c r="G67" i="37"/>
  <c r="G66" i="37"/>
  <c r="G65" i="37"/>
  <c r="G64" i="37"/>
  <c r="G63" i="37"/>
  <c r="G62" i="37"/>
  <c r="G61" i="37"/>
  <c r="G60" i="37"/>
  <c r="G59" i="37"/>
  <c r="G58" i="37"/>
  <c r="G57" i="37"/>
  <c r="G56" i="37"/>
  <c r="G55" i="37"/>
  <c r="G52" i="37"/>
  <c r="G51" i="37"/>
  <c r="G50" i="37"/>
  <c r="G49" i="37"/>
  <c r="G48" i="37"/>
  <c r="G47" i="37"/>
  <c r="G46" i="37"/>
  <c r="G45" i="37"/>
  <c r="G44" i="37"/>
  <c r="G43" i="37"/>
  <c r="G42" i="37"/>
  <c r="G41" i="37"/>
  <c r="G40" i="37"/>
  <c r="G39" i="37"/>
  <c r="G38" i="37"/>
  <c r="G35" i="37"/>
  <c r="G34" i="37"/>
  <c r="G33" i="37"/>
  <c r="G32" i="37"/>
  <c r="G31" i="37"/>
  <c r="G30" i="37"/>
  <c r="G29" i="37"/>
  <c r="G28" i="37"/>
  <c r="G27" i="37"/>
  <c r="G26" i="37"/>
  <c r="G25" i="37"/>
  <c r="G24" i="37"/>
  <c r="G23" i="37"/>
  <c r="G22" i="37"/>
  <c r="G21" i="37"/>
  <c r="G20" i="37"/>
  <c r="G19" i="37"/>
  <c r="G18" i="37"/>
  <c r="G17" i="37"/>
  <c r="G16" i="37"/>
  <c r="G15" i="37"/>
  <c r="G14" i="37"/>
  <c r="G13" i="37"/>
  <c r="G12" i="37"/>
  <c r="G11" i="37"/>
  <c r="D75" i="37"/>
  <c r="D74" i="37"/>
  <c r="D70" i="37"/>
  <c r="D69" i="37"/>
  <c r="D68" i="37"/>
  <c r="D67" i="37"/>
  <c r="D66" i="37"/>
  <c r="D65" i="37"/>
  <c r="D64" i="37"/>
  <c r="D63" i="37"/>
  <c r="D62" i="37"/>
  <c r="D61" i="37"/>
  <c r="D60" i="37"/>
  <c r="D59" i="37"/>
  <c r="D58" i="37"/>
  <c r="D57" i="37"/>
  <c r="D56" i="37"/>
  <c r="D55" i="37"/>
  <c r="D52" i="37"/>
  <c r="D51" i="37"/>
  <c r="D50" i="37"/>
  <c r="D49" i="37"/>
  <c r="D48" i="37"/>
  <c r="D47" i="37"/>
  <c r="D46" i="37"/>
  <c r="D45" i="37"/>
  <c r="D44" i="37"/>
  <c r="D43" i="37"/>
  <c r="D42" i="37"/>
  <c r="D41" i="37"/>
  <c r="D40" i="37"/>
  <c r="D39" i="37"/>
  <c r="D38"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E23" i="35"/>
  <c r="E22" i="35"/>
  <c r="E21" i="35"/>
  <c r="E20" i="35"/>
  <c r="E19" i="35"/>
  <c r="E18" i="35"/>
  <c r="E17" i="35"/>
  <c r="E16" i="35"/>
  <c r="E15" i="35"/>
  <c r="E14" i="35"/>
  <c r="E13" i="35"/>
  <c r="E12" i="35"/>
  <c r="B23" i="35"/>
  <c r="B22" i="35"/>
  <c r="B21" i="35"/>
  <c r="B20" i="35"/>
  <c r="B19" i="35"/>
  <c r="B18" i="35"/>
  <c r="B17" i="35"/>
  <c r="B16" i="35"/>
  <c r="B15" i="35"/>
  <c r="B14" i="35"/>
  <c r="B13" i="35"/>
  <c r="B12" i="35"/>
  <c r="D23" i="35"/>
  <c r="D22" i="35"/>
  <c r="D21" i="35"/>
  <c r="D20" i="35"/>
  <c r="D19" i="35"/>
  <c r="D18" i="35"/>
  <c r="D17" i="35"/>
  <c r="D16" i="35"/>
  <c r="D15" i="35"/>
  <c r="D14" i="35"/>
  <c r="D13" i="35"/>
  <c r="D12" i="35"/>
  <c r="D33" i="14"/>
  <c r="AG44" i="68"/>
  <c r="AF44" i="68"/>
  <c r="AD44" i="68"/>
  <c r="AC44" i="68"/>
  <c r="Q44" i="68"/>
  <c r="N44" i="68"/>
  <c r="O44" i="68" s="1"/>
  <c r="I44" i="68"/>
  <c r="AE44" i="68" s="1"/>
  <c r="AG43" i="68"/>
  <c r="AF43" i="68"/>
  <c r="AD43" i="68"/>
  <c r="AC43" i="68"/>
  <c r="Q43" i="68"/>
  <c r="N43" i="68"/>
  <c r="O43" i="68" s="1"/>
  <c r="I43" i="68"/>
  <c r="AE43" i="68" s="1"/>
  <c r="AG281" i="68"/>
  <c r="AF281" i="68"/>
  <c r="AD281" i="68"/>
  <c r="AC281" i="68"/>
  <c r="Q281" i="68"/>
  <c r="N281" i="68"/>
  <c r="O281" i="68" s="1"/>
  <c r="I281" i="68"/>
  <c r="AE281" i="68" s="1"/>
  <c r="AG280" i="68"/>
  <c r="AF280" i="68"/>
  <c r="AD280" i="68"/>
  <c r="AC280" i="68"/>
  <c r="Q280" i="68"/>
  <c r="N280" i="68"/>
  <c r="O280" i="68" s="1"/>
  <c r="I280" i="68"/>
  <c r="AE280" i="68" s="1"/>
  <c r="L255" i="68"/>
  <c r="I253" i="68"/>
  <c r="AE253" i="68" s="1"/>
  <c r="AG253" i="68"/>
  <c r="AF253" i="68"/>
  <c r="AD253" i="68"/>
  <c r="AC253" i="68"/>
  <c r="Q253" i="68"/>
  <c r="N253" i="68"/>
  <c r="O253" i="68" s="1"/>
  <c r="AG46" i="68"/>
  <c r="AF46" i="68"/>
  <c r="AD46" i="68"/>
  <c r="AC46" i="68"/>
  <c r="Q46" i="68"/>
  <c r="N46" i="68"/>
  <c r="O46" i="68" s="1"/>
  <c r="I46" i="68"/>
  <c r="AE46" i="68" s="1"/>
  <c r="AG45" i="68"/>
  <c r="AF45" i="68"/>
  <c r="AD45" i="68"/>
  <c r="AC45" i="68"/>
  <c r="Q45" i="68"/>
  <c r="N45" i="68"/>
  <c r="O45" i="68" s="1"/>
  <c r="I45" i="68"/>
  <c r="AE45" i="68" s="1"/>
  <c r="AG42" i="68"/>
  <c r="AF42" i="68"/>
  <c r="AD42" i="68"/>
  <c r="AC42" i="68"/>
  <c r="Q42" i="68"/>
  <c r="N42" i="68"/>
  <c r="O42" i="68" s="1"/>
  <c r="I42" i="68"/>
  <c r="AE42" i="68" s="1"/>
  <c r="AG176" i="68"/>
  <c r="AF176" i="68"/>
  <c r="AD176" i="68"/>
  <c r="AC176" i="68"/>
  <c r="Q176" i="68"/>
  <c r="N176" i="68"/>
  <c r="O176" i="68" s="1"/>
  <c r="I176" i="68"/>
  <c r="AE176" i="68" s="1"/>
  <c r="AG175" i="68"/>
  <c r="AF175" i="68"/>
  <c r="AD175" i="68"/>
  <c r="AC175" i="68"/>
  <c r="Q175" i="68"/>
  <c r="N175" i="68"/>
  <c r="O175" i="68" s="1"/>
  <c r="I175" i="68"/>
  <c r="AE175" i="68" s="1"/>
  <c r="AG174" i="68"/>
  <c r="AF174" i="68"/>
  <c r="AD174" i="68"/>
  <c r="AC174" i="68"/>
  <c r="Q174" i="68"/>
  <c r="N174" i="68"/>
  <c r="O174" i="68" s="1"/>
  <c r="I174" i="68"/>
  <c r="AE174" i="68" s="1"/>
  <c r="AG173" i="68"/>
  <c r="AF173" i="68"/>
  <c r="AD173" i="68"/>
  <c r="AC173" i="68"/>
  <c r="Q173" i="68"/>
  <c r="N173" i="68"/>
  <c r="O173" i="68" s="1"/>
  <c r="I173" i="68"/>
  <c r="AE173" i="68" s="1"/>
  <c r="E31" i="41"/>
  <c r="F31" i="41"/>
  <c r="C40" i="32"/>
  <c r="E40" i="32" s="1"/>
  <c r="P13" i="32" s="1"/>
  <c r="Q13" i="32" s="1"/>
  <c r="A40" i="32"/>
  <c r="N13" i="32"/>
  <c r="M13" i="32"/>
  <c r="G15" i="9"/>
  <c r="G14" i="9"/>
  <c r="G13" i="9"/>
  <c r="G12" i="9"/>
  <c r="G11" i="9"/>
  <c r="G10" i="9"/>
  <c r="N30" i="32"/>
  <c r="N38" i="32" s="1"/>
  <c r="M30" i="32"/>
  <c r="AC260" i="47"/>
  <c r="AC259" i="47"/>
  <c r="W276" i="47"/>
  <c r="W275" i="47"/>
  <c r="W269" i="47"/>
  <c r="AC207" i="47"/>
  <c r="AC276" i="47" s="1"/>
  <c r="AC206" i="47"/>
  <c r="AC275" i="47" s="1"/>
  <c r="AC205" i="47"/>
  <c r="AC274" i="47" s="1"/>
  <c r="AC204" i="47"/>
  <c r="AC273" i="47" s="1"/>
  <c r="AC203" i="47"/>
  <c r="AC272" i="47" s="1"/>
  <c r="AC202" i="47"/>
  <c r="AC271" i="47" s="1"/>
  <c r="AC199" i="47"/>
  <c r="AC268" i="47" s="1"/>
  <c r="W207" i="47"/>
  <c r="W206" i="47"/>
  <c r="W205" i="47"/>
  <c r="W274" i="47" s="1"/>
  <c r="W200" i="47"/>
  <c r="AC195" i="47"/>
  <c r="AC267" i="47" s="1"/>
  <c r="AC194" i="47"/>
  <c r="AC266" i="47" s="1"/>
  <c r="AC193" i="47"/>
  <c r="AC265" i="47" s="1"/>
  <c r="AC192" i="47"/>
  <c r="AC191" i="47"/>
  <c r="AC188" i="47"/>
  <c r="AC187" i="47"/>
  <c r="AC186" i="47"/>
  <c r="AC185" i="47"/>
  <c r="AC184" i="47"/>
  <c r="W195" i="47"/>
  <c r="W267" i="47" s="1"/>
  <c r="W192" i="47"/>
  <c r="W191" i="47"/>
  <c r="W189" i="47"/>
  <c r="W261" i="47" s="1"/>
  <c r="W188" i="47"/>
  <c r="W260" i="47" s="1"/>
  <c r="W184" i="47"/>
  <c r="U285" i="47"/>
  <c r="U284" i="47"/>
  <c r="U283" i="47"/>
  <c r="U282" i="47"/>
  <c r="U281" i="47"/>
  <c r="U280" i="47"/>
  <c r="U279" i="47"/>
  <c r="U278" i="47"/>
  <c r="U277" i="47"/>
  <c r="U276" i="47"/>
  <c r="U275" i="47"/>
  <c r="U274" i="47"/>
  <c r="U273" i="47"/>
  <c r="U272" i="47"/>
  <c r="U271" i="47"/>
  <c r="U270" i="47"/>
  <c r="U269" i="47"/>
  <c r="U268" i="47"/>
  <c r="U267" i="47"/>
  <c r="U266" i="47"/>
  <c r="U265" i="47"/>
  <c r="U264" i="47"/>
  <c r="U263" i="47"/>
  <c r="U262" i="47"/>
  <c r="U261" i="47"/>
  <c r="U260" i="47"/>
  <c r="U259" i="47"/>
  <c r="U258" i="47"/>
  <c r="U257" i="47"/>
  <c r="U256" i="47"/>
  <c r="U255" i="47"/>
  <c r="U254" i="47"/>
  <c r="U253" i="47"/>
  <c r="U252" i="47"/>
  <c r="U251" i="47"/>
  <c r="U250" i="47"/>
  <c r="U249" i="47"/>
  <c r="U248" i="47"/>
  <c r="U247" i="47"/>
  <c r="U246" i="47"/>
  <c r="U245" i="47"/>
  <c r="U244" i="47"/>
  <c r="U243" i="47"/>
  <c r="U242" i="47"/>
  <c r="U241" i="47"/>
  <c r="U240" i="47"/>
  <c r="U239" i="47"/>
  <c r="U238" i="47"/>
  <c r="U237" i="47"/>
  <c r="U236" i="47"/>
  <c r="U235" i="47"/>
  <c r="U234" i="47"/>
  <c r="U233" i="47"/>
  <c r="U232" i="47"/>
  <c r="U231" i="47"/>
  <c r="U230" i="47"/>
  <c r="U229" i="47"/>
  <c r="U228" i="47"/>
  <c r="U227" i="47"/>
  <c r="U226" i="47"/>
  <c r="U225" i="47"/>
  <c r="U224" i="47"/>
  <c r="U223" i="47"/>
  <c r="U222" i="47"/>
  <c r="U221" i="47"/>
  <c r="U220" i="47"/>
  <c r="U219" i="47"/>
  <c r="U218" i="47"/>
  <c r="U217" i="47"/>
  <c r="U216" i="47"/>
  <c r="U215" i="47"/>
  <c r="U214" i="47"/>
  <c r="U213" i="47"/>
  <c r="U212" i="47"/>
  <c r="U211" i="47"/>
  <c r="U210" i="47"/>
  <c r="U209" i="47"/>
  <c r="U208" i="47"/>
  <c r="U207" i="47"/>
  <c r="U206" i="47"/>
  <c r="U205" i="47"/>
  <c r="U204" i="47"/>
  <c r="W204" i="47" s="1"/>
  <c r="W273" i="47" s="1"/>
  <c r="U203" i="47"/>
  <c r="W203" i="47" s="1"/>
  <c r="W272" i="47" s="1"/>
  <c r="U202" i="47"/>
  <c r="W202" i="47" s="1"/>
  <c r="W271" i="47" s="1"/>
  <c r="U201" i="47"/>
  <c r="W201" i="47" s="1"/>
  <c r="W270" i="47" s="1"/>
  <c r="U200" i="47"/>
  <c r="U199" i="47"/>
  <c r="W199" i="47" s="1"/>
  <c r="W268" i="47" s="1"/>
  <c r="U198" i="47"/>
  <c r="X198" i="47" s="1"/>
  <c r="U28" i="31" s="1"/>
  <c r="S29" i="37" s="1"/>
  <c r="V29" i="37" s="1"/>
  <c r="U197" i="47"/>
  <c r="X197" i="47" s="1"/>
  <c r="L28" i="31" s="1"/>
  <c r="K29" i="37" s="1"/>
  <c r="N29" i="37" s="1"/>
  <c r="P29" i="37" s="1"/>
  <c r="U196" i="47"/>
  <c r="U195" i="47"/>
  <c r="U194" i="47"/>
  <c r="W194" i="47" s="1"/>
  <c r="W266" i="47" s="1"/>
  <c r="U193" i="47"/>
  <c r="W193" i="47" s="1"/>
  <c r="W265" i="47" s="1"/>
  <c r="U192" i="47"/>
  <c r="U191" i="47"/>
  <c r="U190" i="47"/>
  <c r="W190" i="47" s="1"/>
  <c r="U189" i="47"/>
  <c r="U188" i="47"/>
  <c r="U187" i="47"/>
  <c r="W187" i="47" s="1"/>
  <c r="W259" i="47" s="1"/>
  <c r="U186" i="47"/>
  <c r="W186" i="47" s="1"/>
  <c r="U185" i="47"/>
  <c r="W185" i="47" s="1"/>
  <c r="U184" i="47"/>
  <c r="U183" i="47"/>
  <c r="U182" i="47"/>
  <c r="U181" i="47"/>
  <c r="U180" i="47"/>
  <c r="U179" i="47"/>
  <c r="U178" i="47"/>
  <c r="U177" i="47"/>
  <c r="U176" i="47"/>
  <c r="U175" i="47"/>
  <c r="U174" i="47"/>
  <c r="U173" i="47"/>
  <c r="U172" i="47"/>
  <c r="U171" i="47"/>
  <c r="U170" i="47"/>
  <c r="U169" i="47"/>
  <c r="U168" i="47"/>
  <c r="U167" i="47"/>
  <c r="U166" i="47"/>
  <c r="U165" i="47"/>
  <c r="U164" i="47"/>
  <c r="U163" i="47"/>
  <c r="U162" i="47"/>
  <c r="U161" i="47"/>
  <c r="U160" i="47"/>
  <c r="U159" i="47"/>
  <c r="U158" i="47"/>
  <c r="U157" i="47"/>
  <c r="U156" i="47"/>
  <c r="U155" i="47"/>
  <c r="U154" i="47"/>
  <c r="U153" i="47"/>
  <c r="U152" i="47"/>
  <c r="U151" i="47"/>
  <c r="U150" i="47"/>
  <c r="U149" i="47"/>
  <c r="U148" i="47"/>
  <c r="U147" i="47"/>
  <c r="U146" i="47"/>
  <c r="U145" i="47"/>
  <c r="U144" i="47"/>
  <c r="U143" i="47"/>
  <c r="U142" i="47"/>
  <c r="U141" i="47"/>
  <c r="U140" i="47"/>
  <c r="U139" i="47"/>
  <c r="U138" i="47"/>
  <c r="U137" i="47"/>
  <c r="U136" i="47"/>
  <c r="U135" i="47"/>
  <c r="U134" i="47"/>
  <c r="U133" i="47"/>
  <c r="U132" i="47"/>
  <c r="U131" i="47"/>
  <c r="U130" i="47"/>
  <c r="U129" i="47"/>
  <c r="U128" i="47"/>
  <c r="U127" i="47"/>
  <c r="U126" i="47"/>
  <c r="U125" i="47"/>
  <c r="U124" i="47"/>
  <c r="U123" i="47"/>
  <c r="U122" i="47"/>
  <c r="U121" i="47"/>
  <c r="U120" i="47"/>
  <c r="U119" i="47"/>
  <c r="U118" i="47"/>
  <c r="U117" i="47"/>
  <c r="U116" i="47"/>
  <c r="U115" i="47"/>
  <c r="U114" i="47"/>
  <c r="U113" i="47"/>
  <c r="U112" i="47"/>
  <c r="U111" i="47"/>
  <c r="U110" i="47"/>
  <c r="U109" i="47"/>
  <c r="U108" i="47"/>
  <c r="U107" i="47"/>
  <c r="U106" i="47"/>
  <c r="U105" i="47"/>
  <c r="U104" i="47"/>
  <c r="U103" i="47"/>
  <c r="U102" i="47"/>
  <c r="U101" i="47"/>
  <c r="U100" i="47"/>
  <c r="U99" i="47"/>
  <c r="U98" i="47"/>
  <c r="U97" i="47"/>
  <c r="U96" i="47"/>
  <c r="U95" i="47"/>
  <c r="U94" i="47"/>
  <c r="U93" i="47"/>
  <c r="U92" i="47"/>
  <c r="U91" i="47"/>
  <c r="U90" i="47"/>
  <c r="U89" i="47"/>
  <c r="U88" i="47"/>
  <c r="U87" i="47"/>
  <c r="U86" i="47"/>
  <c r="U85" i="47"/>
  <c r="U84" i="47"/>
  <c r="U83" i="47"/>
  <c r="U82" i="47"/>
  <c r="U81" i="47"/>
  <c r="U80" i="47"/>
  <c r="U79" i="47"/>
  <c r="U78" i="47"/>
  <c r="U77" i="47"/>
  <c r="U76" i="47"/>
  <c r="U75" i="47"/>
  <c r="U74" i="47"/>
  <c r="U73" i="47"/>
  <c r="U72" i="47"/>
  <c r="U71" i="47"/>
  <c r="U70" i="47"/>
  <c r="U69" i="47"/>
  <c r="U68" i="47"/>
  <c r="U67" i="47"/>
  <c r="U66" i="47"/>
  <c r="U65" i="47"/>
  <c r="X65" i="47" s="1"/>
  <c r="L100" i="31" s="1"/>
  <c r="U64" i="47"/>
  <c r="X64" i="47" s="1"/>
  <c r="C100" i="31" s="1"/>
  <c r="U63" i="47"/>
  <c r="U62" i="47"/>
  <c r="U61" i="47"/>
  <c r="U60" i="47"/>
  <c r="U59" i="47"/>
  <c r="U58" i="47"/>
  <c r="U57" i="47"/>
  <c r="U56" i="47"/>
  <c r="U55" i="47"/>
  <c r="U54" i="47"/>
  <c r="U53" i="47"/>
  <c r="U52" i="47"/>
  <c r="U51" i="47"/>
  <c r="U50" i="47"/>
  <c r="U49" i="47"/>
  <c r="U48" i="47"/>
  <c r="U47" i="47"/>
  <c r="U46" i="47"/>
  <c r="U45" i="47"/>
  <c r="U44" i="47"/>
  <c r="U43" i="47"/>
  <c r="U42" i="47"/>
  <c r="U41" i="47"/>
  <c r="U40" i="47"/>
  <c r="U39" i="47"/>
  <c r="U38" i="47"/>
  <c r="U37" i="47"/>
  <c r="U36" i="47"/>
  <c r="U35" i="47"/>
  <c r="U34" i="47"/>
  <c r="U33" i="47"/>
  <c r="U32" i="47"/>
  <c r="U31" i="47"/>
  <c r="U30" i="47"/>
  <c r="U29" i="47"/>
  <c r="U28" i="47"/>
  <c r="U27" i="47"/>
  <c r="U26" i="47"/>
  <c r="U25" i="47"/>
  <c r="U24" i="47"/>
  <c r="U23" i="47"/>
  <c r="U22" i="47"/>
  <c r="U21" i="47"/>
  <c r="U20" i="47"/>
  <c r="U19" i="47"/>
  <c r="U18" i="47"/>
  <c r="U17" i="47"/>
  <c r="U16" i="47"/>
  <c r="U15" i="47"/>
  <c r="U14" i="47"/>
  <c r="U13" i="47"/>
  <c r="U12" i="47"/>
  <c r="U11" i="47"/>
  <c r="U10" i="47"/>
  <c r="AD198" i="47"/>
  <c r="X28" i="31" s="1"/>
  <c r="O198" i="47"/>
  <c r="R198" i="47" s="1"/>
  <c r="AD197" i="47"/>
  <c r="O28" i="31" s="1"/>
  <c r="Q28" i="31" s="1"/>
  <c r="O197" i="47"/>
  <c r="R197" i="47" s="1"/>
  <c r="AD196" i="47"/>
  <c r="F28" i="31" s="1"/>
  <c r="X196" i="47"/>
  <c r="C28" i="31" s="1"/>
  <c r="C29" i="37" s="1"/>
  <c r="F29" i="37" s="1"/>
  <c r="O196" i="47"/>
  <c r="R196" i="47" s="1"/>
  <c r="AC201" i="47"/>
  <c r="AC270" i="47" s="1"/>
  <c r="AC200" i="47"/>
  <c r="AC269" i="47" s="1"/>
  <c r="AC190" i="47"/>
  <c r="AC189" i="47"/>
  <c r="AC261" i="47" s="1"/>
  <c r="AD65" i="47"/>
  <c r="O100" i="31" s="1"/>
  <c r="AD64" i="47"/>
  <c r="F100" i="31" s="1"/>
  <c r="AC66" i="47"/>
  <c r="AD66" i="47"/>
  <c r="X100" i="31" s="1"/>
  <c r="X66" i="47"/>
  <c r="U100" i="31" s="1"/>
  <c r="O66" i="47"/>
  <c r="R66" i="47" s="1"/>
  <c r="AC65" i="47"/>
  <c r="O65" i="47"/>
  <c r="R65" i="47" s="1"/>
  <c r="AC64" i="47"/>
  <c r="O64" i="47"/>
  <c r="R64" i="47" s="1"/>
  <c r="I82" i="44"/>
  <c r="I81" i="44"/>
  <c r="H81" i="9"/>
  <c r="H83" i="9" s="1"/>
  <c r="H86" i="9" s="1"/>
  <c r="A54" i="39"/>
  <c r="A53" i="39"/>
  <c r="A52" i="39"/>
  <c r="A51" i="39"/>
  <c r="A50" i="39"/>
  <c r="A49" i="39"/>
  <c r="A48" i="39"/>
  <c r="A47" i="39"/>
  <c r="A46" i="39"/>
  <c r="A45" i="39"/>
  <c r="A44" i="39"/>
  <c r="A43" i="39"/>
  <c r="A42" i="39"/>
  <c r="A41" i="39"/>
  <c r="A40" i="39"/>
  <c r="A39" i="39"/>
  <c r="A38" i="39"/>
  <c r="A37" i="39"/>
  <c r="A22" i="39"/>
  <c r="A21" i="39"/>
  <c r="A20" i="39"/>
  <c r="A19" i="39"/>
  <c r="A18" i="39"/>
  <c r="A17" i="39"/>
  <c r="A16" i="39"/>
  <c r="A15" i="39"/>
  <c r="A14" i="39"/>
  <c r="A13" i="39"/>
  <c r="A12" i="39"/>
  <c r="A11" i="39"/>
  <c r="Q45" i="39"/>
  <c r="R44" i="39"/>
  <c r="Q44" i="39"/>
  <c r="P45" i="39"/>
  <c r="P44" i="39"/>
  <c r="I42" i="39"/>
  <c r="H42" i="39"/>
  <c r="J42" i="39" s="1"/>
  <c r="F42" i="39"/>
  <c r="E42" i="39"/>
  <c r="G42" i="39" s="1"/>
  <c r="C42" i="39"/>
  <c r="D42" i="39" s="1"/>
  <c r="B42" i="39"/>
  <c r="I41" i="39"/>
  <c r="H41" i="39"/>
  <c r="F41" i="39"/>
  <c r="E41" i="39"/>
  <c r="C41" i="39"/>
  <c r="K41" i="39" s="1"/>
  <c r="B41" i="39"/>
  <c r="D41" i="39" s="1"/>
  <c r="I40" i="39"/>
  <c r="H40" i="39"/>
  <c r="F40" i="39"/>
  <c r="E40" i="39"/>
  <c r="C40" i="39"/>
  <c r="K40" i="39" s="1"/>
  <c r="B40" i="39"/>
  <c r="D40" i="39" s="1"/>
  <c r="I39" i="39"/>
  <c r="H39" i="39"/>
  <c r="F39" i="39"/>
  <c r="E39" i="39"/>
  <c r="C39" i="39"/>
  <c r="B39" i="39"/>
  <c r="D39" i="39" s="1"/>
  <c r="I38" i="39"/>
  <c r="H38" i="39"/>
  <c r="J38" i="39" s="1"/>
  <c r="F38" i="39"/>
  <c r="E38" i="39"/>
  <c r="C38" i="39"/>
  <c r="B38" i="39"/>
  <c r="I37" i="39"/>
  <c r="H37" i="39"/>
  <c r="J37" i="39" s="1"/>
  <c r="F37" i="39"/>
  <c r="E37" i="39"/>
  <c r="C37" i="39"/>
  <c r="B37" i="39"/>
  <c r="D37" i="39" s="1"/>
  <c r="P38" i="12"/>
  <c r="Q38" i="12" s="1"/>
  <c r="I38" i="12"/>
  <c r="K38" i="3"/>
  <c r="H38" i="3"/>
  <c r="O38" i="3"/>
  <c r="P38" i="3" s="1"/>
  <c r="O36" i="4"/>
  <c r="H55" i="2" l="1"/>
  <c r="H55" i="69"/>
  <c r="J40" i="39"/>
  <c r="K39" i="39"/>
  <c r="G39" i="39"/>
  <c r="D38" i="39"/>
  <c r="C37" i="2"/>
  <c r="F37" i="2" s="1"/>
  <c r="J37" i="2" s="1"/>
  <c r="D137" i="7"/>
  <c r="Z177" i="68"/>
  <c r="R177" i="68"/>
  <c r="P46" i="68"/>
  <c r="R46" i="68" s="1"/>
  <c r="I83" i="44"/>
  <c r="J39" i="39"/>
  <c r="G41" i="39"/>
  <c r="G40" i="39"/>
  <c r="J41" i="39"/>
  <c r="K38" i="39"/>
  <c r="G37" i="39"/>
  <c r="K37" i="39"/>
  <c r="G38" i="39"/>
  <c r="K42" i="39"/>
  <c r="AA177" i="68"/>
  <c r="AB177" i="68"/>
  <c r="P175" i="68"/>
  <c r="R175" i="68" s="1"/>
  <c r="P174" i="68"/>
  <c r="R174" i="68" s="1"/>
  <c r="P281" i="68"/>
  <c r="R281" i="68" s="1"/>
  <c r="V44" i="68"/>
  <c r="W44" i="68" s="1"/>
  <c r="Y44" i="68" s="1"/>
  <c r="P176" i="68"/>
  <c r="R176" i="68" s="1"/>
  <c r="P43" i="68"/>
  <c r="R43" i="68" s="1"/>
  <c r="P44" i="68"/>
  <c r="R44" i="68" s="1"/>
  <c r="P280" i="68"/>
  <c r="T280" i="68" s="1"/>
  <c r="P173" i="68"/>
  <c r="T173" i="68" s="1"/>
  <c r="P42" i="68"/>
  <c r="T42" i="68" s="1"/>
  <c r="P45" i="68"/>
  <c r="T45" i="68" s="1"/>
  <c r="T46" i="68"/>
  <c r="C37" i="69"/>
  <c r="E37" i="69" s="1"/>
  <c r="I37" i="69" s="1"/>
  <c r="C38" i="3" s="1"/>
  <c r="R13" i="32"/>
  <c r="X29" i="37"/>
  <c r="H29" i="37"/>
  <c r="E29" i="37"/>
  <c r="U29" i="37"/>
  <c r="M29" i="37"/>
  <c r="Q29" i="37" s="1"/>
  <c r="V43" i="68"/>
  <c r="W43" i="68" s="1"/>
  <c r="Y43" i="68" s="1"/>
  <c r="V281" i="68"/>
  <c r="W281" i="68" s="1"/>
  <c r="Y281" i="68" s="1"/>
  <c r="V280" i="68"/>
  <c r="W280" i="68" s="1"/>
  <c r="Y280" i="68" s="1"/>
  <c r="V253" i="68"/>
  <c r="W253" i="68" s="1"/>
  <c r="Y253" i="68" s="1"/>
  <c r="P253" i="68"/>
  <c r="T253" i="68" s="1"/>
  <c r="V46" i="68"/>
  <c r="W46" i="68" s="1"/>
  <c r="Y46" i="68" s="1"/>
  <c r="V45" i="68"/>
  <c r="W45" i="68" s="1"/>
  <c r="Y45" i="68" s="1"/>
  <c r="V42" i="68"/>
  <c r="W42" i="68" s="1"/>
  <c r="Y42" i="68" s="1"/>
  <c r="V176" i="68"/>
  <c r="W176" i="68" s="1"/>
  <c r="Y176" i="68" s="1"/>
  <c r="V174" i="68"/>
  <c r="W174" i="68" s="1"/>
  <c r="Y174" i="68" s="1"/>
  <c r="V173" i="68"/>
  <c r="W173" i="68" s="1"/>
  <c r="Y173" i="68" s="1"/>
  <c r="V175" i="68"/>
  <c r="W175" i="68" s="1"/>
  <c r="Y175" i="68" s="1"/>
  <c r="Z28" i="31"/>
  <c r="F8" i="70"/>
  <c r="F9" i="70" s="1"/>
  <c r="F10" i="70" s="1"/>
  <c r="F11" i="70" s="1"/>
  <c r="F12" i="70" s="1"/>
  <c r="F13" i="70" s="1"/>
  <c r="F14" i="70" s="1"/>
  <c r="F15" i="70" s="1"/>
  <c r="F16" i="70" s="1"/>
  <c r="F17" i="70" s="1"/>
  <c r="F18" i="70" s="1"/>
  <c r="F19" i="70" s="1"/>
  <c r="F20" i="70" s="1"/>
  <c r="F21" i="70" s="1"/>
  <c r="F22" i="70" s="1"/>
  <c r="F23" i="70" s="1"/>
  <c r="F24" i="70" s="1"/>
  <c r="F25" i="70" s="1"/>
  <c r="F26" i="70" s="1"/>
  <c r="F27" i="70" s="1"/>
  <c r="F28" i="70" s="1"/>
  <c r="F29" i="70" s="1"/>
  <c r="F30" i="70" s="1"/>
  <c r="F31" i="70" s="1"/>
  <c r="F32" i="70" s="1"/>
  <c r="F33" i="70" s="1"/>
  <c r="F34" i="70" s="1"/>
  <c r="F35" i="70" s="1"/>
  <c r="F36" i="70" s="1"/>
  <c r="F37" i="70" s="1"/>
  <c r="F38" i="70" s="1"/>
  <c r="F39" i="70" s="1"/>
  <c r="F40" i="70" s="1"/>
  <c r="F41" i="70" s="1"/>
  <c r="F42" i="70" s="1"/>
  <c r="F43" i="70" s="1"/>
  <c r="F44" i="70" s="1"/>
  <c r="F45" i="70" s="1"/>
  <c r="F46" i="70" s="1"/>
  <c r="F47" i="70" s="1"/>
  <c r="F48" i="70" s="1"/>
  <c r="F49" i="70" s="1"/>
  <c r="V13" i="70"/>
  <c r="I27" i="70"/>
  <c r="K27" i="70"/>
  <c r="V28" i="70"/>
  <c r="J38" i="70"/>
  <c r="K38" i="70" s="1"/>
  <c r="Z68" i="70" s="1"/>
  <c r="V39" i="70"/>
  <c r="J43" i="70"/>
  <c r="J44" i="70"/>
  <c r="J45" i="70"/>
  <c r="J46" i="70"/>
  <c r="U56" i="70"/>
  <c r="V11" i="70" s="1"/>
  <c r="U57" i="70"/>
  <c r="S59" i="70"/>
  <c r="Y68" i="70"/>
  <c r="T281" i="68" l="1"/>
  <c r="Z281" i="68" s="1"/>
  <c r="AB281" i="68" s="1"/>
  <c r="R45" i="68"/>
  <c r="T175" i="68"/>
  <c r="Z175" i="68" s="1"/>
  <c r="AB175" i="68" s="1"/>
  <c r="T176" i="68"/>
  <c r="T174" i="68"/>
  <c r="Z174" i="68" s="1"/>
  <c r="AB174" i="68" s="1"/>
  <c r="T44" i="68"/>
  <c r="Z44" i="68" s="1"/>
  <c r="AB44" i="68" s="1"/>
  <c r="T43" i="68"/>
  <c r="Z43" i="68" s="1"/>
  <c r="AB43" i="68" s="1"/>
  <c r="Z176" i="68"/>
  <c r="AB176" i="68" s="1"/>
  <c r="R280" i="68"/>
  <c r="R42" i="68"/>
  <c r="R173" i="68"/>
  <c r="Z280" i="68"/>
  <c r="AB280" i="68" s="1"/>
  <c r="Z173" i="68"/>
  <c r="AB173" i="68" s="1"/>
  <c r="Z45" i="68"/>
  <c r="AB45" i="68" s="1"/>
  <c r="Z46" i="68"/>
  <c r="AB46" i="68" s="1"/>
  <c r="AA16" i="70"/>
  <c r="Y29" i="37"/>
  <c r="I29" i="37"/>
  <c r="AA29" i="37" s="1"/>
  <c r="Z253" i="68"/>
  <c r="AB253" i="68" s="1"/>
  <c r="R253" i="68"/>
  <c r="Z42" i="68"/>
  <c r="AB42" i="68" s="1"/>
  <c r="AA33" i="70"/>
  <c r="J47" i="70"/>
  <c r="AA21" i="70"/>
  <c r="AA32" i="70"/>
  <c r="AA34" i="70"/>
  <c r="L27" i="70"/>
  <c r="AA28" i="70"/>
  <c r="AA39" i="70"/>
  <c r="AA31" i="70"/>
  <c r="AA27" i="70"/>
  <c r="AA29" i="70"/>
  <c r="AA36" i="70"/>
  <c r="AA37" i="70"/>
  <c r="AA38" i="70"/>
  <c r="V34" i="70"/>
  <c r="V33" i="70"/>
  <c r="V32" i="70"/>
  <c r="V38" i="70"/>
  <c r="V37" i="70"/>
  <c r="V36" i="70"/>
  <c r="V29" i="70"/>
  <c r="V27" i="70"/>
  <c r="AA11" i="70"/>
  <c r="AA13" i="70"/>
  <c r="I26" i="70"/>
  <c r="AA6" i="70"/>
  <c r="AA8" i="70"/>
  <c r="AA14" i="70"/>
  <c r="AA17" i="70"/>
  <c r="AA22" i="70"/>
  <c r="AA24" i="70"/>
  <c r="AA26" i="70"/>
  <c r="AA9" i="70"/>
  <c r="AA12" i="70"/>
  <c r="AA19" i="70"/>
  <c r="V6" i="70"/>
  <c r="V8" i="70"/>
  <c r="V14" i="70"/>
  <c r="V17" i="70"/>
  <c r="V22" i="70"/>
  <c r="V24" i="70"/>
  <c r="V26" i="70"/>
  <c r="V9" i="70"/>
  <c r="V12" i="70"/>
  <c r="V7" i="70"/>
  <c r="V16" i="70"/>
  <c r="V18" i="70"/>
  <c r="V19" i="70"/>
  <c r="V21" i="70"/>
  <c r="V23" i="70"/>
  <c r="V31" i="70"/>
  <c r="AA23" i="70"/>
  <c r="AA18" i="70"/>
  <c r="AA7" i="70"/>
  <c r="AJ57" i="68"/>
  <c r="C40" i="3"/>
  <c r="C51" i="3"/>
  <c r="C57" i="3"/>
  <c r="C60" i="3"/>
  <c r="C64" i="3"/>
  <c r="C84" i="3"/>
  <c r="C87" i="3"/>
  <c r="C89" i="3"/>
  <c r="C98" i="3"/>
  <c r="P36" i="68"/>
  <c r="AL37" i="68"/>
  <c r="AL34" i="68"/>
  <c r="AI57" i="68"/>
  <c r="AA281" i="68" l="1"/>
  <c r="AA44" i="68"/>
  <c r="AA173" i="68"/>
  <c r="AL57" i="68"/>
  <c r="AA175" i="68"/>
  <c r="AA176" i="68"/>
  <c r="AA280" i="68"/>
  <c r="AA45" i="68"/>
  <c r="AA46" i="68"/>
  <c r="AA43" i="68"/>
  <c r="AA174" i="68"/>
  <c r="AA253" i="68"/>
  <c r="AA42" i="68"/>
  <c r="I28" i="70"/>
  <c r="AL59" i="68"/>
  <c r="AL60" i="68" s="1"/>
  <c r="H89" i="9" s="1"/>
  <c r="H91" i="9" l="1"/>
  <c r="H92" i="9"/>
  <c r="H90" i="9"/>
  <c r="O33" i="14"/>
  <c r="H85" i="69" l="1"/>
  <c r="AD52" i="47"/>
  <c r="F10" i="31" s="1"/>
  <c r="H10" i="31" s="1"/>
  <c r="W13" i="25"/>
  <c r="W14" i="25"/>
  <c r="W15" i="25"/>
  <c r="W16" i="25"/>
  <c r="V50" i="8"/>
  <c r="W50" i="8"/>
  <c r="X50" i="8"/>
  <c r="Y50" i="8"/>
  <c r="Y53" i="8" s="1"/>
  <c r="AB50" i="8"/>
  <c r="V51" i="8"/>
  <c r="Y51" i="8"/>
  <c r="AB51" i="8"/>
  <c r="V49" i="8"/>
  <c r="W49" i="8"/>
  <c r="X49" i="8"/>
  <c r="Y49" i="8"/>
  <c r="AB49" i="8"/>
  <c r="AB53" i="8" s="1"/>
  <c r="AC49" i="8"/>
  <c r="U38" i="8"/>
  <c r="V53" i="8"/>
  <c r="J28" i="9"/>
  <c r="E28" i="9"/>
  <c r="U40" i="8"/>
  <c r="V26" i="8"/>
  <c r="Y26" i="8"/>
  <c r="AB26" i="8"/>
  <c r="V27" i="8"/>
  <c r="Y27" i="8"/>
  <c r="AB27" i="8"/>
  <c r="V25" i="8"/>
  <c r="V29" i="8" s="1"/>
  <c r="Y25" i="8"/>
  <c r="Y29" i="8" s="1"/>
  <c r="AB25" i="8"/>
  <c r="AC25" i="8"/>
  <c r="AB29" i="8"/>
  <c r="AD267" i="68"/>
  <c r="AF267" i="68"/>
  <c r="AG267" i="68"/>
  <c r="AD268" i="68"/>
  <c r="AF268" i="68"/>
  <c r="AG268" i="68"/>
  <c r="AD269" i="68"/>
  <c r="AF269" i="68"/>
  <c r="AG269" i="68"/>
  <c r="AD270" i="68"/>
  <c r="AF270" i="68"/>
  <c r="AG270" i="68"/>
  <c r="AD271" i="68"/>
  <c r="AF271" i="68"/>
  <c r="AG271" i="68"/>
  <c r="AD272" i="68"/>
  <c r="AF272" i="68"/>
  <c r="AG272" i="68"/>
  <c r="AD273" i="68"/>
  <c r="AF273" i="68"/>
  <c r="AG273" i="68"/>
  <c r="AD274" i="68"/>
  <c r="AF274" i="68"/>
  <c r="AG274" i="68"/>
  <c r="AD275" i="68"/>
  <c r="AF275" i="68"/>
  <c r="AG275" i="68"/>
  <c r="Q267" i="68"/>
  <c r="Q268" i="68"/>
  <c r="Q269" i="68"/>
  <c r="Q270" i="68"/>
  <c r="Q271" i="68"/>
  <c r="Q272" i="68"/>
  <c r="Q273" i="68"/>
  <c r="Q274" i="68"/>
  <c r="Q275" i="68"/>
  <c r="I275" i="68"/>
  <c r="AE275" i="68" s="1"/>
  <c r="I273" i="68"/>
  <c r="AE273" i="68" s="1"/>
  <c r="I271" i="68"/>
  <c r="AE271" i="68" s="1"/>
  <c r="I269" i="68"/>
  <c r="AE269" i="68"/>
  <c r="I267" i="68"/>
  <c r="AE267" i="68" s="1"/>
  <c r="P267" i="68" s="1"/>
  <c r="AC275" i="68"/>
  <c r="AC273" i="68"/>
  <c r="AC271" i="68"/>
  <c r="AC269" i="68"/>
  <c r="AC267" i="68"/>
  <c r="N267" i="68"/>
  <c r="O267" i="68" s="1"/>
  <c r="N268" i="68"/>
  <c r="O268" i="68" s="1"/>
  <c r="N269" i="68"/>
  <c r="O269" i="68" s="1"/>
  <c r="N270" i="68"/>
  <c r="O270" i="68" s="1"/>
  <c r="N271" i="68"/>
  <c r="O271" i="68" s="1"/>
  <c r="N272" i="68"/>
  <c r="O272" i="68" s="1"/>
  <c r="N273" i="68"/>
  <c r="O273" i="68" s="1"/>
  <c r="N274" i="68"/>
  <c r="O274" i="68" s="1"/>
  <c r="N275" i="68"/>
  <c r="O275" i="68" s="1"/>
  <c r="L59" i="68"/>
  <c r="AC56" i="68"/>
  <c r="AD56" i="68"/>
  <c r="AF56" i="68"/>
  <c r="AG56" i="68"/>
  <c r="AC57" i="68"/>
  <c r="AD57" i="68"/>
  <c r="AF57" i="68"/>
  <c r="AG57" i="68"/>
  <c r="Q56" i="68"/>
  <c r="Q57" i="68"/>
  <c r="N56" i="68"/>
  <c r="O56" i="68" s="1"/>
  <c r="N57" i="68"/>
  <c r="O57" i="68" s="1"/>
  <c r="I56" i="68"/>
  <c r="AE56" i="68" s="1"/>
  <c r="I57" i="68"/>
  <c r="AE57" i="68" s="1"/>
  <c r="AC32" i="68"/>
  <c r="AD32" i="68"/>
  <c r="AF32" i="68"/>
  <c r="AG32" i="68"/>
  <c r="N32" i="68"/>
  <c r="O32" i="68" s="1"/>
  <c r="I32" i="68"/>
  <c r="AE32" i="68"/>
  <c r="N15" i="68"/>
  <c r="O15" i="68" s="1"/>
  <c r="N17" i="68"/>
  <c r="O17" i="68" s="1"/>
  <c r="N19" i="68"/>
  <c r="O19" i="68" s="1"/>
  <c r="N21" i="68"/>
  <c r="O21" i="68" s="1"/>
  <c r="N22" i="68"/>
  <c r="O22" i="68" s="1"/>
  <c r="N23" i="68"/>
  <c r="O23" i="68" s="1"/>
  <c r="N25" i="68"/>
  <c r="O25" i="68" s="1"/>
  <c r="N27" i="68"/>
  <c r="O27" i="68" s="1"/>
  <c r="N29" i="68"/>
  <c r="O29" i="68" s="1"/>
  <c r="N14" i="68"/>
  <c r="O14" i="68" s="1"/>
  <c r="N13" i="68"/>
  <c r="O13" i="68" s="1"/>
  <c r="I14" i="68"/>
  <c r="AE14" i="68" s="1"/>
  <c r="I15" i="68"/>
  <c r="AE15" i="68" s="1"/>
  <c r="I16" i="68"/>
  <c r="AE16" i="68" s="1"/>
  <c r="I17" i="68"/>
  <c r="AE17" i="68" s="1"/>
  <c r="I18" i="68"/>
  <c r="AE18" i="68" s="1"/>
  <c r="I19" i="68"/>
  <c r="AE19" i="68" s="1"/>
  <c r="I20" i="68"/>
  <c r="AE20" i="68" s="1"/>
  <c r="I21" i="68"/>
  <c r="AE21" i="68" s="1"/>
  <c r="I22" i="68"/>
  <c r="AE22" i="68" s="1"/>
  <c r="I23" i="68"/>
  <c r="AE23" i="68" s="1"/>
  <c r="I24" i="68"/>
  <c r="AE24" i="68" s="1"/>
  <c r="I25" i="68"/>
  <c r="AE25" i="68" s="1"/>
  <c r="I26" i="68"/>
  <c r="AE26" i="68" s="1"/>
  <c r="I27" i="68"/>
  <c r="AE27" i="68" s="1"/>
  <c r="I28" i="68"/>
  <c r="AE28" i="68" s="1"/>
  <c r="I29" i="68"/>
  <c r="AE29" i="68" s="1"/>
  <c r="I30" i="68"/>
  <c r="AE30" i="68" s="1"/>
  <c r="Q14" i="68"/>
  <c r="Q15" i="68"/>
  <c r="Q16" i="68"/>
  <c r="Q17" i="68"/>
  <c r="Q18" i="68"/>
  <c r="Q19" i="68"/>
  <c r="Q20" i="68"/>
  <c r="Q21" i="68"/>
  <c r="Q22" i="68"/>
  <c r="Q23" i="68"/>
  <c r="Q24" i="68"/>
  <c r="Q25" i="68"/>
  <c r="Q26" i="68"/>
  <c r="Q27" i="68"/>
  <c r="Q28" i="68"/>
  <c r="Q29" i="68"/>
  <c r="Q30" i="68"/>
  <c r="AC17" i="68"/>
  <c r="AD17" i="68"/>
  <c r="AF17" i="68"/>
  <c r="AG17" i="68"/>
  <c r="AC18" i="68"/>
  <c r="AD18" i="68"/>
  <c r="AF18" i="68"/>
  <c r="AG18" i="68"/>
  <c r="AC19" i="68"/>
  <c r="AD19" i="68"/>
  <c r="AF19" i="68"/>
  <c r="AG19" i="68"/>
  <c r="AC20" i="68"/>
  <c r="AD20" i="68"/>
  <c r="AF20" i="68"/>
  <c r="AG20" i="68"/>
  <c r="AC21" i="68"/>
  <c r="AD21" i="68"/>
  <c r="AF21" i="68"/>
  <c r="AG21" i="68"/>
  <c r="AC22" i="68"/>
  <c r="AD22" i="68"/>
  <c r="AF22" i="68"/>
  <c r="AG22" i="68"/>
  <c r="AC23" i="68"/>
  <c r="AD23" i="68"/>
  <c r="AF23" i="68"/>
  <c r="AG23" i="68"/>
  <c r="AC24" i="68"/>
  <c r="AD24" i="68"/>
  <c r="AF24" i="68"/>
  <c r="AG24" i="68"/>
  <c r="AC25" i="68"/>
  <c r="AD25" i="68"/>
  <c r="AF25" i="68"/>
  <c r="AG25" i="68"/>
  <c r="AC26" i="68"/>
  <c r="AD26" i="68"/>
  <c r="AF26" i="68"/>
  <c r="AG26" i="68"/>
  <c r="AC27" i="68"/>
  <c r="AD27" i="68"/>
  <c r="AF27" i="68"/>
  <c r="AG27" i="68"/>
  <c r="AC28" i="68"/>
  <c r="AD28" i="68"/>
  <c r="AF28" i="68"/>
  <c r="AG28" i="68"/>
  <c r="AC29" i="68"/>
  <c r="AD29" i="68"/>
  <c r="AF29" i="68"/>
  <c r="AG29" i="68"/>
  <c r="AC30" i="68"/>
  <c r="AD30" i="68"/>
  <c r="AF30" i="68"/>
  <c r="AG30" i="68"/>
  <c r="AC14" i="68"/>
  <c r="AD14" i="68"/>
  <c r="AF14" i="68"/>
  <c r="AG14" i="68"/>
  <c r="AC15" i="68"/>
  <c r="AD15" i="68"/>
  <c r="AF15" i="68"/>
  <c r="AG15" i="68"/>
  <c r="AC16" i="68"/>
  <c r="AD16" i="68"/>
  <c r="AF16" i="68"/>
  <c r="AG16" i="68"/>
  <c r="N30" i="68"/>
  <c r="O30" i="68" s="1"/>
  <c r="N28" i="68"/>
  <c r="O28" i="68"/>
  <c r="N24" i="68"/>
  <c r="O24" i="68" s="1"/>
  <c r="N20" i="68"/>
  <c r="O20" i="68" s="1"/>
  <c r="N20" i="32"/>
  <c r="Y12" i="69"/>
  <c r="Y13" i="69"/>
  <c r="Y16" i="69"/>
  <c r="Y18" i="69"/>
  <c r="Y19" i="69"/>
  <c r="Y55" i="69"/>
  <c r="Y57" i="69"/>
  <c r="Y58" i="69"/>
  <c r="Y87" i="69"/>
  <c r="Y95" i="69"/>
  <c r="N12" i="32"/>
  <c r="N41" i="32" s="1"/>
  <c r="S17" i="69"/>
  <c r="Y17" i="69" s="1"/>
  <c r="H17" i="24"/>
  <c r="O17" i="24" s="1"/>
  <c r="P17" i="24" s="1"/>
  <c r="H47" i="69"/>
  <c r="D47" i="69"/>
  <c r="C62" i="69"/>
  <c r="E62" i="69" s="1"/>
  <c r="I62" i="69" s="1"/>
  <c r="C63" i="3" s="1"/>
  <c r="C57" i="69"/>
  <c r="E57" i="69" s="1"/>
  <c r="I57" i="69" s="1"/>
  <c r="C58" i="3" s="1"/>
  <c r="C39" i="21"/>
  <c r="O39" i="21" s="1"/>
  <c r="C50" i="21"/>
  <c r="O50" i="21" s="1"/>
  <c r="C56" i="21"/>
  <c r="O56" i="21" s="1"/>
  <c r="C59" i="21"/>
  <c r="O59" i="21" s="1"/>
  <c r="C63" i="21"/>
  <c r="C82" i="21"/>
  <c r="O82" i="21" s="1"/>
  <c r="C85" i="21"/>
  <c r="C87" i="21"/>
  <c r="O87" i="21" s="1"/>
  <c r="C96" i="21"/>
  <c r="O96" i="21" s="1"/>
  <c r="H1" i="21"/>
  <c r="T14" i="2" s="1"/>
  <c r="O85" i="21"/>
  <c r="I13" i="68"/>
  <c r="AE13" i="68" s="1"/>
  <c r="Q13" i="68"/>
  <c r="AC13" i="68"/>
  <c r="AD13" i="68"/>
  <c r="AF13" i="68"/>
  <c r="AG13" i="68"/>
  <c r="I31" i="68"/>
  <c r="AE31" i="68" s="1"/>
  <c r="N31" i="68"/>
  <c r="O31" i="68" s="1"/>
  <c r="Q31" i="68"/>
  <c r="R31" i="68" s="1"/>
  <c r="AC31" i="68"/>
  <c r="AD31" i="68"/>
  <c r="AF31" i="68"/>
  <c r="AG31" i="68"/>
  <c r="I33" i="68"/>
  <c r="AE33" i="68" s="1"/>
  <c r="N33" i="68"/>
  <c r="O33" i="68" s="1"/>
  <c r="Q33" i="68"/>
  <c r="T33" i="68" s="1"/>
  <c r="AC33" i="68"/>
  <c r="AD33" i="68"/>
  <c r="AF33" i="68"/>
  <c r="AG33" i="68"/>
  <c r="I34" i="68"/>
  <c r="AE34" i="68" s="1"/>
  <c r="N34" i="68"/>
  <c r="O34" i="68" s="1"/>
  <c r="Q34" i="68"/>
  <c r="AC34" i="68"/>
  <c r="AD34" i="68"/>
  <c r="AF34" i="68"/>
  <c r="AG34" i="68"/>
  <c r="I35" i="68"/>
  <c r="AE35" i="68" s="1"/>
  <c r="N35" i="68"/>
  <c r="O35" i="68" s="1"/>
  <c r="Q35" i="68"/>
  <c r="AC35" i="68"/>
  <c r="AD35" i="68"/>
  <c r="AF35" i="68"/>
  <c r="AG35" i="68"/>
  <c r="I36" i="68"/>
  <c r="AE36" i="68"/>
  <c r="N36" i="68"/>
  <c r="O36" i="68" s="1"/>
  <c r="AC36" i="68"/>
  <c r="AD36" i="68"/>
  <c r="AF36" i="68"/>
  <c r="AG36" i="68"/>
  <c r="I37" i="68"/>
  <c r="AE37" i="68" s="1"/>
  <c r="N37" i="68"/>
  <c r="O37" i="68" s="1"/>
  <c r="Q37" i="68"/>
  <c r="AC37" i="68"/>
  <c r="AD37" i="68"/>
  <c r="AF37" i="68"/>
  <c r="AG37" i="68"/>
  <c r="I38" i="68"/>
  <c r="AE38" i="68" s="1"/>
  <c r="N38" i="68"/>
  <c r="O38" i="68" s="1"/>
  <c r="Q38" i="68"/>
  <c r="AC38" i="68"/>
  <c r="AD38" i="68"/>
  <c r="AF38" i="68"/>
  <c r="AG38" i="68"/>
  <c r="I39" i="68"/>
  <c r="AE39" i="68" s="1"/>
  <c r="N39" i="68"/>
  <c r="O39" i="68" s="1"/>
  <c r="Q39" i="68"/>
  <c r="AC39" i="68"/>
  <c r="AD39" i="68"/>
  <c r="AF39" i="68"/>
  <c r="AG39" i="68"/>
  <c r="I40" i="68"/>
  <c r="AE40" i="68" s="1"/>
  <c r="N40" i="68"/>
  <c r="O40" i="68" s="1"/>
  <c r="Q40" i="68"/>
  <c r="AC40" i="68"/>
  <c r="AD40" i="68"/>
  <c r="AF40" i="68"/>
  <c r="AG40" i="68"/>
  <c r="I41" i="68"/>
  <c r="AE41" i="68" s="1"/>
  <c r="N41" i="68"/>
  <c r="O41" i="68" s="1"/>
  <c r="Q41" i="68"/>
  <c r="AC41" i="68"/>
  <c r="AD41" i="68"/>
  <c r="AF41" i="68"/>
  <c r="AG41" i="68"/>
  <c r="I49" i="68"/>
  <c r="AE49" i="68" s="1"/>
  <c r="N49" i="68"/>
  <c r="O49" i="68" s="1"/>
  <c r="Q49" i="68"/>
  <c r="AC49" i="68"/>
  <c r="AD49" i="68"/>
  <c r="AF49" i="68"/>
  <c r="AG49" i="68"/>
  <c r="I55" i="68"/>
  <c r="AE55" i="68" s="1"/>
  <c r="N55" i="68"/>
  <c r="N59" i="68" s="1"/>
  <c r="Q55" i="68"/>
  <c r="AC55" i="68"/>
  <c r="AD55" i="68"/>
  <c r="AF55" i="68"/>
  <c r="AG55" i="68"/>
  <c r="L60" i="68"/>
  <c r="I62" i="68"/>
  <c r="AE62" i="68"/>
  <c r="N62" i="68"/>
  <c r="O62" i="68" s="1"/>
  <c r="Q62" i="68"/>
  <c r="AC62" i="68"/>
  <c r="AD62" i="68"/>
  <c r="AF62" i="68"/>
  <c r="AG62" i="68"/>
  <c r="I63" i="68"/>
  <c r="AE63" i="68"/>
  <c r="N63" i="68"/>
  <c r="O63" i="68" s="1"/>
  <c r="Q63" i="68"/>
  <c r="AC63" i="68"/>
  <c r="AD63" i="68"/>
  <c r="AF63" i="68"/>
  <c r="AG63" i="68"/>
  <c r="I64" i="68"/>
  <c r="AE64" i="68" s="1"/>
  <c r="N64" i="68"/>
  <c r="O64" i="68" s="1"/>
  <c r="Q64" i="68"/>
  <c r="AC64" i="68"/>
  <c r="AD64" i="68"/>
  <c r="AF64" i="68"/>
  <c r="AG64" i="68"/>
  <c r="I65" i="68"/>
  <c r="AE65" i="68" s="1"/>
  <c r="N65" i="68"/>
  <c r="O65" i="68" s="1"/>
  <c r="Q65" i="68"/>
  <c r="AC65" i="68"/>
  <c r="AD65" i="68"/>
  <c r="AF65" i="68"/>
  <c r="AG65" i="68"/>
  <c r="I66" i="68"/>
  <c r="AE66" i="68" s="1"/>
  <c r="N66" i="68"/>
  <c r="O66" i="68" s="1"/>
  <c r="Q66" i="68"/>
  <c r="AC66" i="68"/>
  <c r="AD66" i="68"/>
  <c r="AF66" i="68"/>
  <c r="AG66" i="68"/>
  <c r="I67" i="68"/>
  <c r="AE67" i="68" s="1"/>
  <c r="N67" i="68"/>
  <c r="O67" i="68" s="1"/>
  <c r="Q67" i="68"/>
  <c r="AC67" i="68"/>
  <c r="AD67" i="68"/>
  <c r="AF67" i="68"/>
  <c r="AG67" i="68"/>
  <c r="I68" i="68"/>
  <c r="AE68" i="68" s="1"/>
  <c r="N68" i="68"/>
  <c r="O68" i="68" s="1"/>
  <c r="Q68" i="68"/>
  <c r="AC68" i="68"/>
  <c r="AD68" i="68"/>
  <c r="AF68" i="68"/>
  <c r="AG68" i="68"/>
  <c r="I69" i="68"/>
  <c r="AE69" i="68" s="1"/>
  <c r="N69" i="68"/>
  <c r="O69" i="68" s="1"/>
  <c r="Q69" i="68"/>
  <c r="AC69" i="68"/>
  <c r="AD69" i="68"/>
  <c r="AF69" i="68"/>
  <c r="AG69" i="68"/>
  <c r="I70" i="68"/>
  <c r="AE70" i="68" s="1"/>
  <c r="N70" i="68"/>
  <c r="O70" i="68" s="1"/>
  <c r="Q70" i="68"/>
  <c r="AC70" i="68"/>
  <c r="AD70" i="68"/>
  <c r="AF70" i="68"/>
  <c r="AG70" i="68"/>
  <c r="I71" i="68"/>
  <c r="AE71" i="68"/>
  <c r="N71" i="68"/>
  <c r="O71" i="68" s="1"/>
  <c r="Q71" i="68"/>
  <c r="AC71" i="68"/>
  <c r="AD71" i="68"/>
  <c r="AF71" i="68"/>
  <c r="AG71" i="68"/>
  <c r="I72" i="68"/>
  <c r="AE72" i="68" s="1"/>
  <c r="N72" i="68"/>
  <c r="O72" i="68" s="1"/>
  <c r="Q72" i="68"/>
  <c r="AC72" i="68"/>
  <c r="AD72" i="68"/>
  <c r="AF72" i="68"/>
  <c r="AG72" i="68"/>
  <c r="I73" i="68"/>
  <c r="AE73" i="68" s="1"/>
  <c r="N73" i="68"/>
  <c r="O73" i="68" s="1"/>
  <c r="Q73" i="68"/>
  <c r="AC73" i="68"/>
  <c r="AD73" i="68"/>
  <c r="AF73" i="68"/>
  <c r="AG73" i="68"/>
  <c r="I74" i="68"/>
  <c r="AE74" i="68" s="1"/>
  <c r="N74" i="68"/>
  <c r="O74" i="68" s="1"/>
  <c r="Q74" i="68"/>
  <c r="AC74" i="68"/>
  <c r="AD74" i="68"/>
  <c r="AF74" i="68"/>
  <c r="AG74" i="68"/>
  <c r="I75" i="68"/>
  <c r="AE75" i="68" s="1"/>
  <c r="N75" i="68"/>
  <c r="O75" i="68" s="1"/>
  <c r="Q75" i="68"/>
  <c r="AC75" i="68"/>
  <c r="AD75" i="68"/>
  <c r="AF75" i="68"/>
  <c r="AG75" i="68"/>
  <c r="I76" i="68"/>
  <c r="AE76" i="68" s="1"/>
  <c r="N76" i="68"/>
  <c r="O76" i="68" s="1"/>
  <c r="Q76" i="68"/>
  <c r="AC76" i="68"/>
  <c r="AD76" i="68"/>
  <c r="AF76" i="68"/>
  <c r="AG76" i="68"/>
  <c r="I77" i="68"/>
  <c r="AE77" i="68" s="1"/>
  <c r="N77" i="68"/>
  <c r="O77" i="68" s="1"/>
  <c r="Q77" i="68"/>
  <c r="AC77" i="68"/>
  <c r="AD77" i="68"/>
  <c r="AF77" i="68"/>
  <c r="AG77" i="68"/>
  <c r="I78" i="68"/>
  <c r="AE78" i="68" s="1"/>
  <c r="N78" i="68"/>
  <c r="O78" i="68" s="1"/>
  <c r="Q78" i="68"/>
  <c r="AC78" i="68"/>
  <c r="AD78" i="68"/>
  <c r="AF78" i="68"/>
  <c r="AG78" i="68"/>
  <c r="I79" i="68"/>
  <c r="AE79" i="68" s="1"/>
  <c r="N79" i="68"/>
  <c r="O79" i="68" s="1"/>
  <c r="Q79" i="68"/>
  <c r="AC79" i="68"/>
  <c r="AD79" i="68"/>
  <c r="AF79" i="68"/>
  <c r="AG79" i="68"/>
  <c r="I80" i="68"/>
  <c r="AE80" i="68"/>
  <c r="N80" i="68"/>
  <c r="O80" i="68" s="1"/>
  <c r="Q80" i="68"/>
  <c r="AC80" i="68"/>
  <c r="AD80" i="68"/>
  <c r="AF80" i="68"/>
  <c r="AG80" i="68"/>
  <c r="I81" i="68"/>
  <c r="AE81" i="68" s="1"/>
  <c r="N81" i="68"/>
  <c r="O81" i="68" s="1"/>
  <c r="Q81" i="68"/>
  <c r="AC81" i="68"/>
  <c r="AD81" i="68"/>
  <c r="AF81" i="68"/>
  <c r="AG81" i="68"/>
  <c r="I82" i="68"/>
  <c r="AE82" i="68" s="1"/>
  <c r="N82" i="68"/>
  <c r="O82" i="68"/>
  <c r="Q82" i="68"/>
  <c r="AC82" i="68"/>
  <c r="AD82" i="68"/>
  <c r="AF82" i="68"/>
  <c r="AG82" i="68"/>
  <c r="I83" i="68"/>
  <c r="AE83" i="68" s="1"/>
  <c r="N83" i="68"/>
  <c r="O83" i="68" s="1"/>
  <c r="Q83" i="68"/>
  <c r="AC83" i="68"/>
  <c r="AD83" i="68"/>
  <c r="AF83" i="68"/>
  <c r="AG83" i="68"/>
  <c r="I84" i="68"/>
  <c r="AE84" i="68" s="1"/>
  <c r="N84" i="68"/>
  <c r="O84" i="68" s="1"/>
  <c r="Q84" i="68"/>
  <c r="AC84" i="68"/>
  <c r="AD84" i="68"/>
  <c r="AF84" i="68"/>
  <c r="AG84" i="68"/>
  <c r="I85" i="68"/>
  <c r="AE85" i="68" s="1"/>
  <c r="N85" i="68"/>
  <c r="O85" i="68" s="1"/>
  <c r="Q85" i="68"/>
  <c r="AC85" i="68"/>
  <c r="AD85" i="68"/>
  <c r="AF85" i="68"/>
  <c r="AG85" i="68"/>
  <c r="I86" i="68"/>
  <c r="AE86" i="68" s="1"/>
  <c r="N86" i="68"/>
  <c r="O86" i="68" s="1"/>
  <c r="Q86" i="68"/>
  <c r="AC86" i="68"/>
  <c r="AD86" i="68"/>
  <c r="AF86" i="68"/>
  <c r="AG86" i="68"/>
  <c r="I87" i="68"/>
  <c r="AE87" i="68" s="1"/>
  <c r="N87" i="68"/>
  <c r="O87" i="68" s="1"/>
  <c r="Q87" i="68"/>
  <c r="AC87" i="68"/>
  <c r="AD87" i="68"/>
  <c r="AF87" i="68"/>
  <c r="AG87" i="68"/>
  <c r="I88" i="68"/>
  <c r="AE88" i="68" s="1"/>
  <c r="N88" i="68"/>
  <c r="O88" i="68" s="1"/>
  <c r="Q88" i="68"/>
  <c r="AC88" i="68"/>
  <c r="AD88" i="68"/>
  <c r="AF88" i="68"/>
  <c r="AG88" i="68"/>
  <c r="I89" i="68"/>
  <c r="AE89" i="68" s="1"/>
  <c r="N89" i="68"/>
  <c r="O89" i="68" s="1"/>
  <c r="Q89" i="68"/>
  <c r="AC89" i="68"/>
  <c r="AD89" i="68"/>
  <c r="AF89" i="68"/>
  <c r="AG89" i="68"/>
  <c r="I90" i="68"/>
  <c r="AE90" i="68" s="1"/>
  <c r="N90" i="68"/>
  <c r="O90" i="68" s="1"/>
  <c r="Q90" i="68"/>
  <c r="AC90" i="68"/>
  <c r="AD90" i="68"/>
  <c r="AF90" i="68"/>
  <c r="AG90" i="68"/>
  <c r="I91" i="68"/>
  <c r="AE91" i="68" s="1"/>
  <c r="N91" i="68"/>
  <c r="O91" i="68" s="1"/>
  <c r="Q91" i="68"/>
  <c r="AC91" i="68"/>
  <c r="AD91" i="68"/>
  <c r="AF91" i="68"/>
  <c r="AG91" i="68"/>
  <c r="I92" i="68"/>
  <c r="AE92" i="68" s="1"/>
  <c r="N92" i="68"/>
  <c r="O92" i="68" s="1"/>
  <c r="Q92" i="68"/>
  <c r="AC92" i="68"/>
  <c r="AD92" i="68"/>
  <c r="AF92" i="68"/>
  <c r="AG92" i="68"/>
  <c r="I93" i="68"/>
  <c r="AE93" i="68" s="1"/>
  <c r="N93" i="68"/>
  <c r="O93" i="68" s="1"/>
  <c r="Q93" i="68"/>
  <c r="AC93" i="68"/>
  <c r="AD93" i="68"/>
  <c r="AF93" i="68"/>
  <c r="AG93" i="68"/>
  <c r="I94" i="68"/>
  <c r="AE94" i="68" s="1"/>
  <c r="N94" i="68"/>
  <c r="O94" i="68" s="1"/>
  <c r="Q94" i="68"/>
  <c r="AC94" i="68"/>
  <c r="AD94" i="68"/>
  <c r="AF94" i="68"/>
  <c r="AG94" i="68"/>
  <c r="I95" i="68"/>
  <c r="AE95" i="68" s="1"/>
  <c r="N95" i="68"/>
  <c r="O95" i="68" s="1"/>
  <c r="Q95" i="68"/>
  <c r="AC95" i="68"/>
  <c r="AD95" i="68"/>
  <c r="AF95" i="68"/>
  <c r="AG95" i="68"/>
  <c r="I96" i="68"/>
  <c r="AE96" i="68" s="1"/>
  <c r="N96" i="68"/>
  <c r="O96" i="68" s="1"/>
  <c r="Q96" i="68"/>
  <c r="AC96" i="68"/>
  <c r="AD96" i="68"/>
  <c r="AF96" i="68"/>
  <c r="AG96" i="68"/>
  <c r="I97" i="68"/>
  <c r="AE97" i="68" s="1"/>
  <c r="N97" i="68"/>
  <c r="O97" i="68" s="1"/>
  <c r="Q97" i="68"/>
  <c r="AC97" i="68"/>
  <c r="AD97" i="68"/>
  <c r="AF97" i="68"/>
  <c r="AG97" i="68"/>
  <c r="I98" i="68"/>
  <c r="AE98" i="68" s="1"/>
  <c r="N98" i="68"/>
  <c r="O98" i="68" s="1"/>
  <c r="Q98" i="68"/>
  <c r="AC98" i="68"/>
  <c r="AD98" i="68"/>
  <c r="AF98" i="68"/>
  <c r="AG98" i="68"/>
  <c r="I99" i="68"/>
  <c r="AE99" i="68" s="1"/>
  <c r="N99" i="68"/>
  <c r="O99" i="68" s="1"/>
  <c r="Q99" i="68"/>
  <c r="AC99" i="68"/>
  <c r="AD99" i="68"/>
  <c r="AF99" i="68"/>
  <c r="AG99" i="68"/>
  <c r="I100" i="68"/>
  <c r="AE100" i="68" s="1"/>
  <c r="N100" i="68"/>
  <c r="O100" i="68" s="1"/>
  <c r="Q100" i="68"/>
  <c r="AC100" i="68"/>
  <c r="AD100" i="68"/>
  <c r="AF100" i="68"/>
  <c r="AG100" i="68"/>
  <c r="I101" i="68"/>
  <c r="AE101" i="68" s="1"/>
  <c r="N101" i="68"/>
  <c r="O101" i="68" s="1"/>
  <c r="Q101" i="68"/>
  <c r="AC101" i="68"/>
  <c r="AD101" i="68"/>
  <c r="AF101" i="68"/>
  <c r="AG101" i="68"/>
  <c r="I102" i="68"/>
  <c r="AE102" i="68" s="1"/>
  <c r="N102" i="68"/>
  <c r="O102" i="68" s="1"/>
  <c r="Q102" i="68"/>
  <c r="AC102" i="68"/>
  <c r="AD102" i="68"/>
  <c r="AF102" i="68"/>
  <c r="AG102" i="68"/>
  <c r="I103" i="68"/>
  <c r="AE103" i="68" s="1"/>
  <c r="N103" i="68"/>
  <c r="O103" i="68" s="1"/>
  <c r="Q103" i="68"/>
  <c r="AC103" i="68"/>
  <c r="AD103" i="68"/>
  <c r="AF103" i="68"/>
  <c r="AG103" i="68"/>
  <c r="I104" i="68"/>
  <c r="AE104" i="68" s="1"/>
  <c r="N104" i="68"/>
  <c r="O104" i="68" s="1"/>
  <c r="Q104" i="68"/>
  <c r="AC104" i="68"/>
  <c r="AD104" i="68"/>
  <c r="AF104" i="68"/>
  <c r="AG104" i="68"/>
  <c r="I105" i="68"/>
  <c r="AE105" i="68" s="1"/>
  <c r="N105" i="68"/>
  <c r="O105" i="68" s="1"/>
  <c r="Q105" i="68"/>
  <c r="AC105" i="68"/>
  <c r="AD105" i="68"/>
  <c r="AF105" i="68"/>
  <c r="AG105" i="68"/>
  <c r="I106" i="68"/>
  <c r="AE106" i="68" s="1"/>
  <c r="N106" i="68"/>
  <c r="O106" i="68" s="1"/>
  <c r="Q106" i="68"/>
  <c r="AC106" i="68"/>
  <c r="AD106" i="68"/>
  <c r="AF106" i="68"/>
  <c r="AG106" i="68"/>
  <c r="I107" i="68"/>
  <c r="AE107" i="68" s="1"/>
  <c r="N107" i="68"/>
  <c r="O107" i="68" s="1"/>
  <c r="Q107" i="68"/>
  <c r="AC107" i="68"/>
  <c r="AD107" i="68"/>
  <c r="AF107" i="68"/>
  <c r="AG107" i="68"/>
  <c r="I108" i="68"/>
  <c r="AE108" i="68" s="1"/>
  <c r="N108" i="68"/>
  <c r="O108" i="68" s="1"/>
  <c r="Q108" i="68"/>
  <c r="AC108" i="68"/>
  <c r="AD108" i="68"/>
  <c r="AF108" i="68"/>
  <c r="AG108" i="68"/>
  <c r="I109" i="68"/>
  <c r="AE109" i="68" s="1"/>
  <c r="N109" i="68"/>
  <c r="O109" i="68" s="1"/>
  <c r="Q109" i="68"/>
  <c r="AC109" i="68"/>
  <c r="AD109" i="68"/>
  <c r="AF109" i="68"/>
  <c r="AG109" i="68"/>
  <c r="I110" i="68"/>
  <c r="AE110" i="68" s="1"/>
  <c r="N110" i="68"/>
  <c r="O110" i="68" s="1"/>
  <c r="Q110" i="68"/>
  <c r="AC110" i="68"/>
  <c r="AD110" i="68"/>
  <c r="AF110" i="68"/>
  <c r="AG110" i="68"/>
  <c r="I111" i="68"/>
  <c r="AE111" i="68" s="1"/>
  <c r="N111" i="68"/>
  <c r="O111" i="68" s="1"/>
  <c r="Q111" i="68"/>
  <c r="AC111" i="68"/>
  <c r="AD111" i="68"/>
  <c r="AF111" i="68"/>
  <c r="AG111" i="68"/>
  <c r="I112" i="68"/>
  <c r="AE112" i="68" s="1"/>
  <c r="N112" i="68"/>
  <c r="O112" i="68" s="1"/>
  <c r="Q112" i="68"/>
  <c r="AC112" i="68"/>
  <c r="AD112" i="68"/>
  <c r="AF112" i="68"/>
  <c r="AG112" i="68"/>
  <c r="I113" i="68"/>
  <c r="AE113" i="68" s="1"/>
  <c r="N113" i="68"/>
  <c r="O113" i="68" s="1"/>
  <c r="Q113" i="68"/>
  <c r="AC113" i="68"/>
  <c r="AD113" i="68"/>
  <c r="AF113" i="68"/>
  <c r="AG113" i="68"/>
  <c r="I114" i="68"/>
  <c r="AE114" i="68" s="1"/>
  <c r="N114" i="68"/>
  <c r="O114" i="68" s="1"/>
  <c r="Q114" i="68"/>
  <c r="AC114" i="68"/>
  <c r="AD114" i="68"/>
  <c r="AF114" i="68"/>
  <c r="AG114" i="68"/>
  <c r="I115" i="68"/>
  <c r="AE115" i="68" s="1"/>
  <c r="N115" i="68"/>
  <c r="O115" i="68"/>
  <c r="Q115" i="68"/>
  <c r="AC115" i="68"/>
  <c r="AD115" i="68"/>
  <c r="AF115" i="68"/>
  <c r="AG115" i="68"/>
  <c r="I116" i="68"/>
  <c r="AE116" i="68" s="1"/>
  <c r="N116" i="68"/>
  <c r="O116" i="68" s="1"/>
  <c r="Q116" i="68"/>
  <c r="AC116" i="68"/>
  <c r="AD116" i="68"/>
  <c r="AF116" i="68"/>
  <c r="AG116" i="68"/>
  <c r="I117" i="68"/>
  <c r="AE117" i="68"/>
  <c r="N117" i="68"/>
  <c r="O117" i="68"/>
  <c r="Q117" i="68"/>
  <c r="AC117" i="68"/>
  <c r="AD117" i="68"/>
  <c r="AF117" i="68"/>
  <c r="AG117" i="68"/>
  <c r="I118" i="68"/>
  <c r="AE118" i="68" s="1"/>
  <c r="N118" i="68"/>
  <c r="O118" i="68" s="1"/>
  <c r="Q118" i="68"/>
  <c r="AC118" i="68"/>
  <c r="AD118" i="68"/>
  <c r="AF118" i="68"/>
  <c r="AG118" i="68"/>
  <c r="I119" i="68"/>
  <c r="AE119" i="68" s="1"/>
  <c r="N119" i="68"/>
  <c r="O119" i="68" s="1"/>
  <c r="Q119" i="68"/>
  <c r="AC119" i="68"/>
  <c r="AD119" i="68"/>
  <c r="AF119" i="68"/>
  <c r="AG119" i="68"/>
  <c r="I120" i="68"/>
  <c r="AE120" i="68" s="1"/>
  <c r="N120" i="68"/>
  <c r="O120" i="68" s="1"/>
  <c r="Q120" i="68"/>
  <c r="AC120" i="68"/>
  <c r="AD120" i="68"/>
  <c r="AF120" i="68"/>
  <c r="AG120" i="68"/>
  <c r="I121" i="68"/>
  <c r="AE121" i="68" s="1"/>
  <c r="N121" i="68"/>
  <c r="O121" i="68" s="1"/>
  <c r="Q121" i="68"/>
  <c r="AC121" i="68"/>
  <c r="AD121" i="68"/>
  <c r="AF121" i="68"/>
  <c r="AG121" i="68"/>
  <c r="I122" i="68"/>
  <c r="AE122" i="68"/>
  <c r="N122" i="68"/>
  <c r="O122" i="68" s="1"/>
  <c r="Q122" i="68"/>
  <c r="AC122" i="68"/>
  <c r="AD122" i="68"/>
  <c r="AF122" i="68"/>
  <c r="AG122" i="68"/>
  <c r="I123" i="68"/>
  <c r="AE123" i="68"/>
  <c r="N123" i="68"/>
  <c r="O123" i="68" s="1"/>
  <c r="Q123" i="68"/>
  <c r="AC123" i="68"/>
  <c r="AD123" i="68"/>
  <c r="AF123" i="68"/>
  <c r="AG123" i="68"/>
  <c r="I124" i="68"/>
  <c r="AE124" i="68" s="1"/>
  <c r="N124" i="68"/>
  <c r="O124" i="68" s="1"/>
  <c r="Q124" i="68"/>
  <c r="AC124" i="68"/>
  <c r="AD124" i="68"/>
  <c r="AF124" i="68"/>
  <c r="AG124" i="68"/>
  <c r="I125" i="68"/>
  <c r="AE125" i="68" s="1"/>
  <c r="N125" i="68"/>
  <c r="O125" i="68" s="1"/>
  <c r="Q125" i="68"/>
  <c r="AC125" i="68"/>
  <c r="AD125" i="68"/>
  <c r="AF125" i="68"/>
  <c r="AG125" i="68"/>
  <c r="I126" i="68"/>
  <c r="AE126" i="68" s="1"/>
  <c r="N126" i="68"/>
  <c r="O126" i="68" s="1"/>
  <c r="Q126" i="68"/>
  <c r="AC126" i="68"/>
  <c r="AD126" i="68"/>
  <c r="AF126" i="68"/>
  <c r="AG126" i="68"/>
  <c r="I127" i="68"/>
  <c r="AE127" i="68" s="1"/>
  <c r="N127" i="68"/>
  <c r="O127" i="68" s="1"/>
  <c r="Q127" i="68"/>
  <c r="AC127" i="68"/>
  <c r="AD127" i="68"/>
  <c r="AF127" i="68"/>
  <c r="AG127" i="68"/>
  <c r="I128" i="68"/>
  <c r="AE128" i="68" s="1"/>
  <c r="N128" i="68"/>
  <c r="O128" i="68" s="1"/>
  <c r="Q128" i="68"/>
  <c r="AC128" i="68"/>
  <c r="AD128" i="68"/>
  <c r="AF128" i="68"/>
  <c r="AG128" i="68"/>
  <c r="I129" i="68"/>
  <c r="AE129" i="68" s="1"/>
  <c r="N129" i="68"/>
  <c r="O129" i="68" s="1"/>
  <c r="Q129" i="68"/>
  <c r="AC129" i="68"/>
  <c r="AD129" i="68"/>
  <c r="AF129" i="68"/>
  <c r="AG129" i="68"/>
  <c r="I130" i="68"/>
  <c r="AE130" i="68" s="1"/>
  <c r="N130" i="68"/>
  <c r="O130" i="68" s="1"/>
  <c r="Q130" i="68"/>
  <c r="AC130" i="68"/>
  <c r="AD130" i="68"/>
  <c r="AF130" i="68"/>
  <c r="AG130" i="68"/>
  <c r="I131" i="68"/>
  <c r="AE131" i="68" s="1"/>
  <c r="N131" i="68"/>
  <c r="O131" i="68" s="1"/>
  <c r="Q131" i="68"/>
  <c r="AC131" i="68"/>
  <c r="AD131" i="68"/>
  <c r="AF131" i="68"/>
  <c r="AG131" i="68"/>
  <c r="I132" i="68"/>
  <c r="AE132" i="68" s="1"/>
  <c r="N132" i="68"/>
  <c r="O132" i="68" s="1"/>
  <c r="Q132" i="68"/>
  <c r="AC132" i="68"/>
  <c r="AD132" i="68"/>
  <c r="AF132" i="68"/>
  <c r="AG132" i="68"/>
  <c r="I133" i="68"/>
  <c r="AE133" i="68" s="1"/>
  <c r="N133" i="68"/>
  <c r="O133" i="68" s="1"/>
  <c r="Q133" i="68"/>
  <c r="AC133" i="68"/>
  <c r="AD133" i="68"/>
  <c r="AF133" i="68"/>
  <c r="AG133" i="68"/>
  <c r="I134" i="68"/>
  <c r="AE134" i="68" s="1"/>
  <c r="N134" i="68"/>
  <c r="O134" i="68" s="1"/>
  <c r="Q134" i="68"/>
  <c r="AC134" i="68"/>
  <c r="AD134" i="68"/>
  <c r="AF134" i="68"/>
  <c r="AG134" i="68"/>
  <c r="I135" i="68"/>
  <c r="AE135" i="68" s="1"/>
  <c r="N135" i="68"/>
  <c r="O135" i="68" s="1"/>
  <c r="Q135" i="68"/>
  <c r="AC135" i="68"/>
  <c r="AD135" i="68"/>
  <c r="AF135" i="68"/>
  <c r="AG135" i="68"/>
  <c r="I136" i="68"/>
  <c r="AE136" i="68" s="1"/>
  <c r="N136" i="68"/>
  <c r="O136" i="68" s="1"/>
  <c r="Q136" i="68"/>
  <c r="AC136" i="68"/>
  <c r="AD136" i="68"/>
  <c r="AF136" i="68"/>
  <c r="AG136" i="68"/>
  <c r="I137" i="68"/>
  <c r="AE137" i="68" s="1"/>
  <c r="N137" i="68"/>
  <c r="O137" i="68" s="1"/>
  <c r="Q137" i="68"/>
  <c r="AC137" i="68"/>
  <c r="AD137" i="68"/>
  <c r="AF137" i="68"/>
  <c r="AG137" i="68"/>
  <c r="I138" i="68"/>
  <c r="AE138" i="68" s="1"/>
  <c r="N138" i="68"/>
  <c r="O138" i="68" s="1"/>
  <c r="Q138" i="68"/>
  <c r="AC138" i="68"/>
  <c r="AD138" i="68"/>
  <c r="AF138" i="68"/>
  <c r="AG138" i="68"/>
  <c r="I139" i="68"/>
  <c r="AE139" i="68" s="1"/>
  <c r="N139" i="68"/>
  <c r="O139" i="68"/>
  <c r="Q139" i="68"/>
  <c r="AC139" i="68"/>
  <c r="AD139" i="68"/>
  <c r="AF139" i="68"/>
  <c r="AG139" i="68"/>
  <c r="I140" i="68"/>
  <c r="AE140" i="68" s="1"/>
  <c r="N140" i="68"/>
  <c r="O140" i="68" s="1"/>
  <c r="Q140" i="68"/>
  <c r="AC140" i="68"/>
  <c r="AD140" i="68"/>
  <c r="AF140" i="68"/>
  <c r="AG140" i="68"/>
  <c r="I141" i="68"/>
  <c r="AE141" i="68" s="1"/>
  <c r="N141" i="68"/>
  <c r="O141" i="68" s="1"/>
  <c r="Q141" i="68"/>
  <c r="AC141" i="68"/>
  <c r="AD141" i="68"/>
  <c r="AF141" i="68"/>
  <c r="AG141" i="68"/>
  <c r="I142" i="68"/>
  <c r="AE142" i="68" s="1"/>
  <c r="N142" i="68"/>
  <c r="O142" i="68"/>
  <c r="Q142" i="68"/>
  <c r="AC142" i="68"/>
  <c r="AD142" i="68"/>
  <c r="AF142" i="68"/>
  <c r="AG142" i="68"/>
  <c r="I143" i="68"/>
  <c r="AE143" i="68" s="1"/>
  <c r="N143" i="68"/>
  <c r="O143" i="68"/>
  <c r="Q143" i="68"/>
  <c r="AC143" i="68"/>
  <c r="AD143" i="68"/>
  <c r="AF143" i="68"/>
  <c r="AG143" i="68"/>
  <c r="I144" i="68"/>
  <c r="AE144" i="68" s="1"/>
  <c r="N144" i="68"/>
  <c r="O144" i="68" s="1"/>
  <c r="Q144" i="68"/>
  <c r="AC144" i="68"/>
  <c r="AD144" i="68"/>
  <c r="AF144" i="68"/>
  <c r="AG144" i="68"/>
  <c r="I145" i="68"/>
  <c r="AE145" i="68" s="1"/>
  <c r="N145" i="68"/>
  <c r="O145" i="68" s="1"/>
  <c r="Q145" i="68"/>
  <c r="AC145" i="68"/>
  <c r="AD145" i="68"/>
  <c r="AF145" i="68"/>
  <c r="AG145" i="68"/>
  <c r="I146" i="68"/>
  <c r="AE146" i="68" s="1"/>
  <c r="N146" i="68"/>
  <c r="O146" i="68" s="1"/>
  <c r="Q146" i="68"/>
  <c r="AC146" i="68"/>
  <c r="AD146" i="68"/>
  <c r="AF146" i="68"/>
  <c r="AG146" i="68"/>
  <c r="I147" i="68"/>
  <c r="AE147" i="68" s="1"/>
  <c r="N147" i="68"/>
  <c r="O147" i="68" s="1"/>
  <c r="Q147" i="68"/>
  <c r="AC147" i="68"/>
  <c r="AD147" i="68"/>
  <c r="AF147" i="68"/>
  <c r="AG147" i="68"/>
  <c r="I148" i="68"/>
  <c r="AE148" i="68" s="1"/>
  <c r="N148" i="68"/>
  <c r="O148" i="68" s="1"/>
  <c r="Q148" i="68"/>
  <c r="AC148" i="68"/>
  <c r="AD148" i="68"/>
  <c r="AF148" i="68"/>
  <c r="AG148" i="68"/>
  <c r="I149" i="68"/>
  <c r="AE149" i="68" s="1"/>
  <c r="N149" i="68"/>
  <c r="O149" i="68" s="1"/>
  <c r="Q149" i="68"/>
  <c r="AC149" i="68"/>
  <c r="AD149" i="68"/>
  <c r="AF149" i="68"/>
  <c r="AG149" i="68"/>
  <c r="I150" i="68"/>
  <c r="AE150" i="68" s="1"/>
  <c r="N150" i="68"/>
  <c r="O150" i="68" s="1"/>
  <c r="Q150" i="68"/>
  <c r="AC150" i="68"/>
  <c r="AD150" i="68"/>
  <c r="AF150" i="68"/>
  <c r="AG150" i="68"/>
  <c r="I151" i="68"/>
  <c r="AE151" i="68" s="1"/>
  <c r="N151" i="68"/>
  <c r="O151" i="68" s="1"/>
  <c r="Q151" i="68"/>
  <c r="AC151" i="68"/>
  <c r="AD151" i="68"/>
  <c r="AF151" i="68"/>
  <c r="AG151" i="68"/>
  <c r="I152" i="68"/>
  <c r="AE152" i="68" s="1"/>
  <c r="N152" i="68"/>
  <c r="O152" i="68" s="1"/>
  <c r="Q152" i="68"/>
  <c r="AC152" i="68"/>
  <c r="AD152" i="68"/>
  <c r="AF152" i="68"/>
  <c r="AG152" i="68"/>
  <c r="I153" i="68"/>
  <c r="AE153" i="68" s="1"/>
  <c r="N153" i="68"/>
  <c r="O153" i="68" s="1"/>
  <c r="Q153" i="68"/>
  <c r="AC153" i="68"/>
  <c r="AD153" i="68"/>
  <c r="AF153" i="68"/>
  <c r="AG153" i="68"/>
  <c r="I154" i="68"/>
  <c r="AE154" i="68" s="1"/>
  <c r="N154" i="68"/>
  <c r="O154" i="68" s="1"/>
  <c r="Q154" i="68"/>
  <c r="AC154" i="68"/>
  <c r="AD154" i="68"/>
  <c r="AF154" i="68"/>
  <c r="AG154" i="68"/>
  <c r="I155" i="68"/>
  <c r="AE155" i="68" s="1"/>
  <c r="N155" i="68"/>
  <c r="O155" i="68" s="1"/>
  <c r="Q155" i="68"/>
  <c r="AC155" i="68"/>
  <c r="AD155" i="68"/>
  <c r="AF155" i="68"/>
  <c r="AG155" i="68"/>
  <c r="I156" i="68"/>
  <c r="AE156" i="68" s="1"/>
  <c r="N156" i="68"/>
  <c r="O156" i="68" s="1"/>
  <c r="Q156" i="68"/>
  <c r="AC156" i="68"/>
  <c r="AD156" i="68"/>
  <c r="AF156" i="68"/>
  <c r="AG156" i="68"/>
  <c r="I157" i="68"/>
  <c r="AE157" i="68" s="1"/>
  <c r="N157" i="68"/>
  <c r="O157" i="68" s="1"/>
  <c r="Q157" i="68"/>
  <c r="AC157" i="68"/>
  <c r="AD157" i="68"/>
  <c r="AF157" i="68"/>
  <c r="AG157" i="68"/>
  <c r="I158" i="68"/>
  <c r="AE158" i="68"/>
  <c r="N158" i="68"/>
  <c r="O158" i="68" s="1"/>
  <c r="Q158" i="68"/>
  <c r="AC158" i="68"/>
  <c r="AD158" i="68"/>
  <c r="AF158" i="68"/>
  <c r="AG158" i="68"/>
  <c r="I159" i="68"/>
  <c r="AE159" i="68"/>
  <c r="N159" i="68"/>
  <c r="O159" i="68" s="1"/>
  <c r="Q159" i="68"/>
  <c r="AC159" i="68"/>
  <c r="AD159" i="68"/>
  <c r="AF159" i="68"/>
  <c r="AG159" i="68"/>
  <c r="I160" i="68"/>
  <c r="AE160" i="68" s="1"/>
  <c r="N160" i="68"/>
  <c r="O160" i="68" s="1"/>
  <c r="Q160" i="68"/>
  <c r="AC160" i="68"/>
  <c r="AD160" i="68"/>
  <c r="AF160" i="68"/>
  <c r="AG160" i="68"/>
  <c r="I161" i="68"/>
  <c r="AE161" i="68" s="1"/>
  <c r="N161" i="68"/>
  <c r="O161" i="68" s="1"/>
  <c r="Q161" i="68"/>
  <c r="AC161" i="68"/>
  <c r="AD161" i="68"/>
  <c r="AF161" i="68"/>
  <c r="AG161" i="68"/>
  <c r="I162" i="68"/>
  <c r="AE162" i="68"/>
  <c r="N162" i="68"/>
  <c r="O162" i="68"/>
  <c r="Q162" i="68"/>
  <c r="AC162" i="68"/>
  <c r="AD162" i="68"/>
  <c r="AF162" i="68"/>
  <c r="AG162" i="68"/>
  <c r="I163" i="68"/>
  <c r="AE163" i="68" s="1"/>
  <c r="N163" i="68"/>
  <c r="O163" i="68" s="1"/>
  <c r="Q163" i="68"/>
  <c r="AC163" i="68"/>
  <c r="AD163" i="68"/>
  <c r="AF163" i="68"/>
  <c r="AG163" i="68"/>
  <c r="I164" i="68"/>
  <c r="AE164" i="68"/>
  <c r="N164" i="68"/>
  <c r="O164" i="68"/>
  <c r="Q164" i="68"/>
  <c r="AC164" i="68"/>
  <c r="AD164" i="68"/>
  <c r="AF164" i="68"/>
  <c r="AG164" i="68"/>
  <c r="I165" i="68"/>
  <c r="AE165" i="68" s="1"/>
  <c r="N165" i="68"/>
  <c r="O165" i="68" s="1"/>
  <c r="Q165" i="68"/>
  <c r="AC165" i="68"/>
  <c r="AD165" i="68"/>
  <c r="AF165" i="68"/>
  <c r="AG165" i="68"/>
  <c r="I166" i="68"/>
  <c r="AE166" i="68" s="1"/>
  <c r="N166" i="68"/>
  <c r="O166" i="68" s="1"/>
  <c r="Q166" i="68"/>
  <c r="AC166" i="68"/>
  <c r="AD166" i="68"/>
  <c r="AF166" i="68"/>
  <c r="AG166" i="68"/>
  <c r="I167" i="68"/>
  <c r="AE167" i="68" s="1"/>
  <c r="N167" i="68"/>
  <c r="O167" i="68" s="1"/>
  <c r="Q167" i="68"/>
  <c r="AC167" i="68"/>
  <c r="AD167" i="68"/>
  <c r="AF167" i="68"/>
  <c r="AG167" i="68"/>
  <c r="I168" i="68"/>
  <c r="AE168" i="68" s="1"/>
  <c r="N168" i="68"/>
  <c r="O168" i="68" s="1"/>
  <c r="Q168" i="68"/>
  <c r="AC168" i="68"/>
  <c r="AD168" i="68"/>
  <c r="AF168" i="68"/>
  <c r="AG168" i="68"/>
  <c r="I169" i="68"/>
  <c r="AE169" i="68" s="1"/>
  <c r="N169" i="68"/>
  <c r="O169" i="68"/>
  <c r="Q169" i="68"/>
  <c r="AC169" i="68"/>
  <c r="AD169" i="68"/>
  <c r="AF169" i="68"/>
  <c r="AG169" i="68"/>
  <c r="I170" i="68"/>
  <c r="AE170" i="68" s="1"/>
  <c r="N170" i="68"/>
  <c r="O170" i="68" s="1"/>
  <c r="Q170" i="68"/>
  <c r="AC170" i="68"/>
  <c r="AD170" i="68"/>
  <c r="AF170" i="68"/>
  <c r="AG170" i="68"/>
  <c r="I171" i="68"/>
  <c r="AE171" i="68" s="1"/>
  <c r="N171" i="68"/>
  <c r="O171" i="68" s="1"/>
  <c r="Q171" i="68"/>
  <c r="AC171" i="68"/>
  <c r="AD171" i="68"/>
  <c r="AF171" i="68"/>
  <c r="AG171" i="68"/>
  <c r="I172" i="68"/>
  <c r="AE172" i="68" s="1"/>
  <c r="N172" i="68"/>
  <c r="O172" i="68" s="1"/>
  <c r="Q172" i="68"/>
  <c r="AC172" i="68"/>
  <c r="AD172" i="68"/>
  <c r="AF172" i="68"/>
  <c r="AG172" i="68"/>
  <c r="I181" i="68"/>
  <c r="AE181" i="68" s="1"/>
  <c r="N181" i="68"/>
  <c r="Q181" i="68"/>
  <c r="AC181" i="68"/>
  <c r="AD181" i="68"/>
  <c r="AF181" i="68"/>
  <c r="AG181" i="68"/>
  <c r="L183" i="68"/>
  <c r="I186" i="68"/>
  <c r="AE186" i="68" s="1"/>
  <c r="N186" i="68"/>
  <c r="O186" i="68"/>
  <c r="Q186" i="68"/>
  <c r="AC186" i="68"/>
  <c r="AD186" i="68"/>
  <c r="AF186" i="68"/>
  <c r="AG186" i="68"/>
  <c r="I187" i="68"/>
  <c r="AE187" i="68" s="1"/>
  <c r="N187" i="68"/>
  <c r="O187" i="68"/>
  <c r="Q187" i="68"/>
  <c r="AC187" i="68"/>
  <c r="AD187" i="68"/>
  <c r="AF187" i="68"/>
  <c r="AG187" i="68"/>
  <c r="I188" i="68"/>
  <c r="AE188" i="68" s="1"/>
  <c r="N188" i="68"/>
  <c r="O188" i="68"/>
  <c r="Q188" i="68"/>
  <c r="T188" i="68" s="1"/>
  <c r="AC188" i="68"/>
  <c r="AD188" i="68"/>
  <c r="AF188" i="68"/>
  <c r="AG188" i="68"/>
  <c r="I189" i="68"/>
  <c r="AE189" i="68" s="1"/>
  <c r="N189" i="68"/>
  <c r="O189" i="68" s="1"/>
  <c r="Q189" i="68"/>
  <c r="R189" i="68" s="1"/>
  <c r="AC189" i="68"/>
  <c r="AD189" i="68"/>
  <c r="AF189" i="68"/>
  <c r="AG189" i="68"/>
  <c r="I190" i="68"/>
  <c r="AE190" i="68" s="1"/>
  <c r="N190" i="68"/>
  <c r="O190" i="68" s="1"/>
  <c r="Q190" i="68"/>
  <c r="AC190" i="68"/>
  <c r="AD190" i="68"/>
  <c r="AF190" i="68"/>
  <c r="AG190" i="68"/>
  <c r="I191" i="68"/>
  <c r="AE191" i="68" s="1"/>
  <c r="N191" i="68"/>
  <c r="O191" i="68" s="1"/>
  <c r="Q191" i="68"/>
  <c r="AC191" i="68"/>
  <c r="AD191" i="68"/>
  <c r="AF191" i="68"/>
  <c r="AG191" i="68"/>
  <c r="I192" i="68"/>
  <c r="AE192" i="68" s="1"/>
  <c r="N192" i="68"/>
  <c r="O192" i="68" s="1"/>
  <c r="Q192" i="68"/>
  <c r="AC192" i="68"/>
  <c r="AD192" i="68"/>
  <c r="AF192" i="68"/>
  <c r="AG192" i="68"/>
  <c r="I193" i="68"/>
  <c r="AE193" i="68"/>
  <c r="N193" i="68"/>
  <c r="O193" i="68"/>
  <c r="Q193" i="68"/>
  <c r="AC193" i="68"/>
  <c r="AD193" i="68"/>
  <c r="AF193" i="68"/>
  <c r="AG193" i="68"/>
  <c r="I194" i="68"/>
  <c r="AE194" i="68" s="1"/>
  <c r="N194" i="68"/>
  <c r="O194" i="68" s="1"/>
  <c r="Q194" i="68"/>
  <c r="AC194" i="68"/>
  <c r="AD194" i="68"/>
  <c r="AF194" i="68"/>
  <c r="AG194" i="68"/>
  <c r="I195" i="68"/>
  <c r="AE195" i="68" s="1"/>
  <c r="N195" i="68"/>
  <c r="O195" i="68" s="1"/>
  <c r="Q195" i="68"/>
  <c r="AC195" i="68"/>
  <c r="AD195" i="68"/>
  <c r="AF195" i="68"/>
  <c r="AG195" i="68"/>
  <c r="I196" i="68"/>
  <c r="AE196" i="68" s="1"/>
  <c r="N196" i="68"/>
  <c r="O196" i="68" s="1"/>
  <c r="Q196" i="68"/>
  <c r="AC196" i="68"/>
  <c r="AD196" i="68"/>
  <c r="AF196" i="68"/>
  <c r="AG196" i="68"/>
  <c r="I197" i="68"/>
  <c r="AE197" i="68" s="1"/>
  <c r="N197" i="68"/>
  <c r="O197" i="68"/>
  <c r="Q197" i="68"/>
  <c r="AC197" i="68"/>
  <c r="AD197" i="68"/>
  <c r="AF197" i="68"/>
  <c r="AG197" i="68"/>
  <c r="I198" i="68"/>
  <c r="AE198" i="68" s="1"/>
  <c r="N198" i="68"/>
  <c r="O198" i="68"/>
  <c r="Q198" i="68"/>
  <c r="AC198" i="68"/>
  <c r="AD198" i="68"/>
  <c r="AF198" i="68"/>
  <c r="AG198" i="68"/>
  <c r="I199" i="68"/>
  <c r="AE199" i="68" s="1"/>
  <c r="N199" i="68"/>
  <c r="O199" i="68" s="1"/>
  <c r="Q199" i="68"/>
  <c r="AC199" i="68"/>
  <c r="AD199" i="68"/>
  <c r="AF199" i="68"/>
  <c r="AG199" i="68"/>
  <c r="I200" i="68"/>
  <c r="AE200" i="68" s="1"/>
  <c r="N200" i="68"/>
  <c r="O200" i="68" s="1"/>
  <c r="Q200" i="68"/>
  <c r="AC200" i="68"/>
  <c r="AD200" i="68"/>
  <c r="AF200" i="68"/>
  <c r="AG200" i="68"/>
  <c r="I201" i="68"/>
  <c r="AE201" i="68" s="1"/>
  <c r="N201" i="68"/>
  <c r="O201" i="68"/>
  <c r="Q201" i="68"/>
  <c r="AC201" i="68"/>
  <c r="AD201" i="68"/>
  <c r="AF201" i="68"/>
  <c r="AG201" i="68"/>
  <c r="I202" i="68"/>
  <c r="AE202" i="68" s="1"/>
  <c r="N202" i="68"/>
  <c r="O202" i="68"/>
  <c r="Q202" i="68"/>
  <c r="AC202" i="68"/>
  <c r="AD202" i="68"/>
  <c r="AF202" i="68"/>
  <c r="AG202" i="68"/>
  <c r="I203" i="68"/>
  <c r="AE203" i="68" s="1"/>
  <c r="N203" i="68"/>
  <c r="O203" i="68" s="1"/>
  <c r="Q203" i="68"/>
  <c r="AC203" i="68"/>
  <c r="AD203" i="68"/>
  <c r="AF203" i="68"/>
  <c r="AG203" i="68"/>
  <c r="I204" i="68"/>
  <c r="AE204" i="68" s="1"/>
  <c r="N204" i="68"/>
  <c r="O204" i="68" s="1"/>
  <c r="Q204" i="68"/>
  <c r="AC204" i="68"/>
  <c r="AD204" i="68"/>
  <c r="AF204" i="68"/>
  <c r="AG204" i="68"/>
  <c r="I205" i="68"/>
  <c r="AE205" i="68" s="1"/>
  <c r="N205" i="68"/>
  <c r="O205" i="68" s="1"/>
  <c r="Q205" i="68"/>
  <c r="AC205" i="68"/>
  <c r="AD205" i="68"/>
  <c r="AF205" i="68"/>
  <c r="AG205" i="68"/>
  <c r="I206" i="68"/>
  <c r="AE206" i="68"/>
  <c r="N206" i="68"/>
  <c r="O206" i="68" s="1"/>
  <c r="Q206" i="68"/>
  <c r="AC206" i="68"/>
  <c r="AD206" i="68"/>
  <c r="AF206" i="68"/>
  <c r="AG206" i="68"/>
  <c r="L208" i="68"/>
  <c r="I211" i="68"/>
  <c r="AE211" i="68" s="1"/>
  <c r="N211" i="68"/>
  <c r="O211" i="68" s="1"/>
  <c r="Q211" i="68"/>
  <c r="AC211" i="68"/>
  <c r="AD211" i="68"/>
  <c r="AF211" i="68"/>
  <c r="AG211" i="68"/>
  <c r="I212" i="68"/>
  <c r="AE212" i="68" s="1"/>
  <c r="N212" i="68"/>
  <c r="O212" i="68"/>
  <c r="Q212" i="68"/>
  <c r="AC212" i="68"/>
  <c r="AD212" i="68"/>
  <c r="AF212" i="68"/>
  <c r="AG212" i="68"/>
  <c r="I213" i="68"/>
  <c r="AE213" i="68" s="1"/>
  <c r="N213" i="68"/>
  <c r="O213" i="68" s="1"/>
  <c r="Q213" i="68"/>
  <c r="AC213" i="68"/>
  <c r="AD213" i="68"/>
  <c r="AF213" i="68"/>
  <c r="AG213" i="68"/>
  <c r="I214" i="68"/>
  <c r="AE214" i="68" s="1"/>
  <c r="N214" i="68"/>
  <c r="O214" i="68" s="1"/>
  <c r="Q214" i="68"/>
  <c r="AC214" i="68"/>
  <c r="AD214" i="68"/>
  <c r="AF214" i="68"/>
  <c r="AG214" i="68"/>
  <c r="I215" i="68"/>
  <c r="AE215" i="68" s="1"/>
  <c r="N215" i="68"/>
  <c r="O215" i="68" s="1"/>
  <c r="Q215" i="68"/>
  <c r="AC215" i="68"/>
  <c r="AD215" i="68"/>
  <c r="AF215" i="68"/>
  <c r="AG215" i="68"/>
  <c r="I216" i="68"/>
  <c r="AE216" i="68" s="1"/>
  <c r="N216" i="68"/>
  <c r="O216" i="68"/>
  <c r="Q216" i="68"/>
  <c r="AC216" i="68"/>
  <c r="AD216" i="68"/>
  <c r="AF216" i="68"/>
  <c r="AG216" i="68"/>
  <c r="I217" i="68"/>
  <c r="AE217" i="68" s="1"/>
  <c r="N217" i="68"/>
  <c r="O217" i="68" s="1"/>
  <c r="Q217" i="68"/>
  <c r="AC217" i="68"/>
  <c r="AD217" i="68"/>
  <c r="AF217" i="68"/>
  <c r="AG217" i="68"/>
  <c r="I218" i="68"/>
  <c r="AE218" i="68"/>
  <c r="N218" i="68"/>
  <c r="O218" i="68"/>
  <c r="Q218" i="68"/>
  <c r="AC218" i="68"/>
  <c r="AD218" i="68"/>
  <c r="AF218" i="68"/>
  <c r="AG218" i="68"/>
  <c r="I219" i="68"/>
  <c r="AE219" i="68" s="1"/>
  <c r="N219" i="68"/>
  <c r="O219" i="68" s="1"/>
  <c r="Q219" i="68"/>
  <c r="AC219" i="68"/>
  <c r="AD219" i="68"/>
  <c r="AF219" i="68"/>
  <c r="AG219" i="68"/>
  <c r="I220" i="68"/>
  <c r="AE220" i="68"/>
  <c r="N220" i="68"/>
  <c r="O220" i="68" s="1"/>
  <c r="Q220" i="68"/>
  <c r="AC220" i="68"/>
  <c r="AD220" i="68"/>
  <c r="AF220" i="68"/>
  <c r="AG220" i="68"/>
  <c r="I221" i="68"/>
  <c r="AE221" i="68"/>
  <c r="N221" i="68"/>
  <c r="O221" i="68"/>
  <c r="Q221" i="68"/>
  <c r="AC221" i="68"/>
  <c r="AD221" i="68"/>
  <c r="AF221" i="68"/>
  <c r="AG221" i="68"/>
  <c r="I222" i="68"/>
  <c r="AE222" i="68" s="1"/>
  <c r="N222" i="68"/>
  <c r="O222" i="68" s="1"/>
  <c r="Q222" i="68"/>
  <c r="AC222" i="68"/>
  <c r="AD222" i="68"/>
  <c r="AF222" i="68"/>
  <c r="AG222" i="68"/>
  <c r="I223" i="68"/>
  <c r="AE223" i="68" s="1"/>
  <c r="N223" i="68"/>
  <c r="O223" i="68" s="1"/>
  <c r="Q223" i="68"/>
  <c r="AC223" i="68"/>
  <c r="AD223" i="68"/>
  <c r="AF223" i="68"/>
  <c r="AG223" i="68"/>
  <c r="I224" i="68"/>
  <c r="AE224" i="68" s="1"/>
  <c r="N224" i="68"/>
  <c r="O224" i="68" s="1"/>
  <c r="Q224" i="68"/>
  <c r="AC224" i="68"/>
  <c r="AD224" i="68"/>
  <c r="AF224" i="68"/>
  <c r="AG224" i="68"/>
  <c r="I225" i="68"/>
  <c r="AE225" i="68" s="1"/>
  <c r="N225" i="68"/>
  <c r="O225" i="68" s="1"/>
  <c r="Q225" i="68"/>
  <c r="AC225" i="68"/>
  <c r="AD225" i="68"/>
  <c r="AF225" i="68"/>
  <c r="AG225" i="68"/>
  <c r="I226" i="68"/>
  <c r="AE226" i="68" s="1"/>
  <c r="N226" i="68"/>
  <c r="O226" i="68" s="1"/>
  <c r="Q226" i="68"/>
  <c r="AC226" i="68"/>
  <c r="AD226" i="68"/>
  <c r="AF226" i="68"/>
  <c r="AG226" i="68"/>
  <c r="I227" i="68"/>
  <c r="AE227" i="68" s="1"/>
  <c r="N227" i="68"/>
  <c r="O227" i="68" s="1"/>
  <c r="Q227" i="68"/>
  <c r="AC227" i="68"/>
  <c r="AD227" i="68"/>
  <c r="AF227" i="68"/>
  <c r="AG227" i="68"/>
  <c r="I228" i="68"/>
  <c r="AE228" i="68" s="1"/>
  <c r="N228" i="68"/>
  <c r="O228" i="68" s="1"/>
  <c r="Q228" i="68"/>
  <c r="AC228" i="68"/>
  <c r="AD228" i="68"/>
  <c r="AF228" i="68"/>
  <c r="AG228" i="68"/>
  <c r="I229" i="68"/>
  <c r="AE229" i="68" s="1"/>
  <c r="N229" i="68"/>
  <c r="O229" i="68" s="1"/>
  <c r="Q229" i="68"/>
  <c r="AC229" i="68"/>
  <c r="AD229" i="68"/>
  <c r="AF229" i="68"/>
  <c r="AG229" i="68"/>
  <c r="I230" i="68"/>
  <c r="AE230" i="68" s="1"/>
  <c r="N230" i="68"/>
  <c r="O230" i="68" s="1"/>
  <c r="Q230" i="68"/>
  <c r="AC230" i="68"/>
  <c r="AD230" i="68"/>
  <c r="AF230" i="68"/>
  <c r="AG230" i="68"/>
  <c r="I231" i="68"/>
  <c r="AE231" i="68" s="1"/>
  <c r="N231" i="68"/>
  <c r="O231" i="68" s="1"/>
  <c r="Q231" i="68"/>
  <c r="AC231" i="68"/>
  <c r="AD231" i="68"/>
  <c r="AF231" i="68"/>
  <c r="AG231" i="68"/>
  <c r="I232" i="68"/>
  <c r="AE232" i="68" s="1"/>
  <c r="N232" i="68"/>
  <c r="O232" i="68" s="1"/>
  <c r="Q232" i="68"/>
  <c r="AC232" i="68"/>
  <c r="AD232" i="68"/>
  <c r="AF232" i="68"/>
  <c r="AG232" i="68"/>
  <c r="I233" i="68"/>
  <c r="AE233" i="68" s="1"/>
  <c r="N233" i="68"/>
  <c r="O233" i="68" s="1"/>
  <c r="Q233" i="68"/>
  <c r="AC233" i="68"/>
  <c r="AD233" i="68"/>
  <c r="AF233" i="68"/>
  <c r="AG233" i="68"/>
  <c r="I234" i="68"/>
  <c r="AE234" i="68" s="1"/>
  <c r="N234" i="68"/>
  <c r="O234" i="68" s="1"/>
  <c r="Q234" i="68"/>
  <c r="AC234" i="68"/>
  <c r="AD234" i="68"/>
  <c r="AF234" i="68"/>
  <c r="AG234" i="68"/>
  <c r="I235" i="68"/>
  <c r="AE235" i="68" s="1"/>
  <c r="N235" i="68"/>
  <c r="O235" i="68" s="1"/>
  <c r="Q235" i="68"/>
  <c r="AC235" i="68"/>
  <c r="AD235" i="68"/>
  <c r="AF235" i="68"/>
  <c r="AG235" i="68"/>
  <c r="I236" i="68"/>
  <c r="AE236" i="68" s="1"/>
  <c r="N236" i="68"/>
  <c r="O236" i="68" s="1"/>
  <c r="Q236" i="68"/>
  <c r="AC236" i="68"/>
  <c r="AD236" i="68"/>
  <c r="AF236" i="68"/>
  <c r="AG236" i="68"/>
  <c r="I239" i="68"/>
  <c r="AE239" i="68" s="1"/>
  <c r="N239" i="68"/>
  <c r="O239" i="68" s="1"/>
  <c r="Q239" i="68"/>
  <c r="AC239" i="68"/>
  <c r="AD239" i="68"/>
  <c r="AF239" i="68"/>
  <c r="AG239" i="68"/>
  <c r="L241" i="68"/>
  <c r="I245" i="68"/>
  <c r="AE245" i="68" s="1"/>
  <c r="N245" i="68"/>
  <c r="O245" i="68" s="1"/>
  <c r="Q245" i="68"/>
  <c r="AC245" i="68"/>
  <c r="AD245" i="68"/>
  <c r="AF245" i="68"/>
  <c r="AG245" i="68"/>
  <c r="I246" i="68"/>
  <c r="AE246" i="68" s="1"/>
  <c r="N246" i="68"/>
  <c r="O246" i="68" s="1"/>
  <c r="Q246" i="68"/>
  <c r="AC246" i="68"/>
  <c r="AD246" i="68"/>
  <c r="AF246" i="68"/>
  <c r="AG246" i="68"/>
  <c r="L248" i="68"/>
  <c r="I252" i="68"/>
  <c r="AE252" i="68" s="1"/>
  <c r="N252" i="68"/>
  <c r="N255" i="68" s="1"/>
  <c r="O252" i="68"/>
  <c r="Q252" i="68"/>
  <c r="AC252" i="68"/>
  <c r="AD252" i="68"/>
  <c r="AF252" i="68"/>
  <c r="AG252" i="68"/>
  <c r="I259" i="68"/>
  <c r="AE259" i="68" s="1"/>
  <c r="N259" i="68"/>
  <c r="O259" i="68" s="1"/>
  <c r="Q259" i="68"/>
  <c r="AC259" i="68"/>
  <c r="AD259" i="68"/>
  <c r="AF259" i="68"/>
  <c r="AG259" i="68"/>
  <c r="I260" i="68"/>
  <c r="AE260" i="68" s="1"/>
  <c r="N260" i="68"/>
  <c r="O260" i="68"/>
  <c r="Q260" i="68"/>
  <c r="AC260" i="68"/>
  <c r="AD260" i="68"/>
  <c r="AF260" i="68"/>
  <c r="AG260" i="68"/>
  <c r="I261" i="68"/>
  <c r="AE261" i="68" s="1"/>
  <c r="N261" i="68"/>
  <c r="O261" i="68"/>
  <c r="Q261" i="68"/>
  <c r="AC261" i="68"/>
  <c r="AD261" i="68"/>
  <c r="AF261" i="68"/>
  <c r="AG261" i="68"/>
  <c r="I262" i="68"/>
  <c r="AE262" i="68" s="1"/>
  <c r="N262" i="68"/>
  <c r="O262" i="68" s="1"/>
  <c r="Q262" i="68"/>
  <c r="AC262" i="68"/>
  <c r="AD262" i="68"/>
  <c r="AF262" i="68"/>
  <c r="AG262" i="68"/>
  <c r="I263" i="68"/>
  <c r="AE263" i="68" s="1"/>
  <c r="N263" i="68"/>
  <c r="O263" i="68" s="1"/>
  <c r="Q263" i="68"/>
  <c r="AC263" i="68"/>
  <c r="AD263" i="68"/>
  <c r="AF263" i="68"/>
  <c r="AG263" i="68"/>
  <c r="I264" i="68"/>
  <c r="AE264" i="68" s="1"/>
  <c r="N264" i="68"/>
  <c r="O264" i="68" s="1"/>
  <c r="Q264" i="68"/>
  <c r="AC264" i="68"/>
  <c r="AD264" i="68"/>
  <c r="AF264" i="68"/>
  <c r="AG264" i="68"/>
  <c r="I265" i="68"/>
  <c r="AE265" i="68" s="1"/>
  <c r="N265" i="68"/>
  <c r="O265" i="68"/>
  <c r="Q265" i="68"/>
  <c r="AC265" i="68"/>
  <c r="AD265" i="68"/>
  <c r="AF265" i="68"/>
  <c r="AG265" i="68"/>
  <c r="I266" i="68"/>
  <c r="AE266" i="68" s="1"/>
  <c r="N266" i="68"/>
  <c r="O266" i="68" s="1"/>
  <c r="Q266" i="68"/>
  <c r="AC266" i="68"/>
  <c r="AD266" i="68"/>
  <c r="AF266" i="68"/>
  <c r="AG266" i="68"/>
  <c r="I268" i="68"/>
  <c r="AE268" i="68" s="1"/>
  <c r="AC268" i="68"/>
  <c r="I270" i="68"/>
  <c r="AE270" i="68" s="1"/>
  <c r="AC270" i="68"/>
  <c r="I272" i="68"/>
  <c r="AE272" i="68" s="1"/>
  <c r="AC272" i="68"/>
  <c r="I274" i="68"/>
  <c r="AE274" i="68" s="1"/>
  <c r="AC274" i="68"/>
  <c r="I276" i="68"/>
  <c r="AE276" i="68" s="1"/>
  <c r="N276" i="68"/>
  <c r="O276" i="68" s="1"/>
  <c r="Q276" i="68"/>
  <c r="AC276" i="68"/>
  <c r="AD276" i="68"/>
  <c r="AF276" i="68"/>
  <c r="AG276" i="68"/>
  <c r="I277" i="68"/>
  <c r="AE277" i="68" s="1"/>
  <c r="N277" i="68"/>
  <c r="O277" i="68" s="1"/>
  <c r="Q277" i="68"/>
  <c r="T277" i="68" s="1"/>
  <c r="AC277" i="68"/>
  <c r="AD277" i="68"/>
  <c r="AF277" i="68"/>
  <c r="AG277" i="68"/>
  <c r="I278" i="68"/>
  <c r="AE278" i="68" s="1"/>
  <c r="N278" i="68"/>
  <c r="O278" i="68" s="1"/>
  <c r="Q278" i="68"/>
  <c r="AC278" i="68"/>
  <c r="AD278" i="68"/>
  <c r="AF278" i="68"/>
  <c r="AG278" i="68"/>
  <c r="I279" i="68"/>
  <c r="AE279" i="68" s="1"/>
  <c r="N279" i="68"/>
  <c r="O279" i="68"/>
  <c r="Q279" i="68"/>
  <c r="AC279" i="68"/>
  <c r="AD279" i="68"/>
  <c r="AF279" i="68"/>
  <c r="AG279" i="68"/>
  <c r="I283" i="68"/>
  <c r="AE283" i="68" s="1"/>
  <c r="N283" i="68"/>
  <c r="O283" i="68" s="1"/>
  <c r="Q283" i="68"/>
  <c r="AC283" i="68"/>
  <c r="AD283" i="68"/>
  <c r="AF283" i="68"/>
  <c r="AG283" i="68"/>
  <c r="L285" i="68"/>
  <c r="I288" i="68"/>
  <c r="AE288" i="68" s="1"/>
  <c r="N288" i="68"/>
  <c r="O288" i="68" s="1"/>
  <c r="Q288" i="68"/>
  <c r="AC288" i="68"/>
  <c r="AD288" i="68"/>
  <c r="AF288" i="68"/>
  <c r="AG288" i="68"/>
  <c r="I289" i="68"/>
  <c r="AE289" i="68" s="1"/>
  <c r="N289" i="68"/>
  <c r="O289" i="68"/>
  <c r="Q289" i="68"/>
  <c r="AC289" i="68"/>
  <c r="AD289" i="68"/>
  <c r="AF289" i="68"/>
  <c r="AG289" i="68"/>
  <c r="I290" i="68"/>
  <c r="AE290" i="68" s="1"/>
  <c r="N290" i="68"/>
  <c r="O290" i="68" s="1"/>
  <c r="Q290" i="68"/>
  <c r="AC290" i="68"/>
  <c r="AD290" i="68"/>
  <c r="AF290" i="68"/>
  <c r="AG290" i="68"/>
  <c r="I292" i="68"/>
  <c r="AE292" i="68" s="1"/>
  <c r="N292" i="68"/>
  <c r="O292" i="68" s="1"/>
  <c r="Q292" i="68"/>
  <c r="AC292" i="68"/>
  <c r="AD292" i="68"/>
  <c r="AF292" i="68"/>
  <c r="AG292" i="68"/>
  <c r="L294" i="68"/>
  <c r="I297" i="68"/>
  <c r="AE297" i="68" s="1"/>
  <c r="N297" i="68"/>
  <c r="O297" i="68" s="1"/>
  <c r="Q297" i="68"/>
  <c r="AC297" i="68"/>
  <c r="AD297" i="68"/>
  <c r="AF297" i="68"/>
  <c r="AG297" i="68"/>
  <c r="I298" i="68"/>
  <c r="AE298" i="68" s="1"/>
  <c r="N298" i="68"/>
  <c r="O298" i="68" s="1"/>
  <c r="Q298" i="68"/>
  <c r="AC298" i="68"/>
  <c r="AD298" i="68"/>
  <c r="AF298" i="68"/>
  <c r="AG298" i="68"/>
  <c r="I299" i="68"/>
  <c r="AE299" i="68" s="1"/>
  <c r="N299" i="68"/>
  <c r="O299" i="68"/>
  <c r="Q299" i="68"/>
  <c r="AC299" i="68"/>
  <c r="AD299" i="68"/>
  <c r="AF299" i="68"/>
  <c r="AG299" i="68"/>
  <c r="I300" i="68"/>
  <c r="AE300" i="68" s="1"/>
  <c r="N300" i="68"/>
  <c r="O300" i="68" s="1"/>
  <c r="Q300" i="68"/>
  <c r="AC300" i="68"/>
  <c r="AD300" i="68"/>
  <c r="AF300" i="68"/>
  <c r="AG300" i="68"/>
  <c r="I301" i="68"/>
  <c r="AE301" i="68" s="1"/>
  <c r="N301" i="68"/>
  <c r="O301" i="68" s="1"/>
  <c r="Q301" i="68"/>
  <c r="AC301" i="68"/>
  <c r="AD301" i="68"/>
  <c r="AF301" i="68"/>
  <c r="AG301" i="68"/>
  <c r="I302" i="68"/>
  <c r="AE302" i="68" s="1"/>
  <c r="N302" i="68"/>
  <c r="O302" i="68" s="1"/>
  <c r="Q302" i="68"/>
  <c r="AC302" i="68"/>
  <c r="AD302" i="68"/>
  <c r="AF302" i="68"/>
  <c r="AG302" i="68"/>
  <c r="I303" i="68"/>
  <c r="AE303" i="68" s="1"/>
  <c r="N303" i="68"/>
  <c r="O303" i="68" s="1"/>
  <c r="Q303" i="68"/>
  <c r="AC303" i="68"/>
  <c r="AD303" i="68"/>
  <c r="AF303" i="68"/>
  <c r="AG303" i="68"/>
  <c r="I304" i="68"/>
  <c r="AE304" i="68" s="1"/>
  <c r="N304" i="68"/>
  <c r="O304" i="68" s="1"/>
  <c r="Q304" i="68"/>
  <c r="AC304" i="68"/>
  <c r="AD304" i="68"/>
  <c r="AF304" i="68"/>
  <c r="AG304" i="68"/>
  <c r="I305" i="68"/>
  <c r="AE305" i="68" s="1"/>
  <c r="N305" i="68"/>
  <c r="O305" i="68" s="1"/>
  <c r="Q305" i="68"/>
  <c r="AC305" i="68"/>
  <c r="AD305" i="68"/>
  <c r="AF305" i="68"/>
  <c r="AG305" i="68"/>
  <c r="I306" i="68"/>
  <c r="AE306" i="68" s="1"/>
  <c r="N306" i="68"/>
  <c r="O306" i="68" s="1"/>
  <c r="Q306" i="68"/>
  <c r="AC306" i="68"/>
  <c r="AD306" i="68"/>
  <c r="AF306" i="68"/>
  <c r="AG306" i="68"/>
  <c r="I307" i="68"/>
  <c r="AE307" i="68" s="1"/>
  <c r="N307" i="68"/>
  <c r="O307" i="68" s="1"/>
  <c r="Q307" i="68"/>
  <c r="AC307" i="68"/>
  <c r="AD307" i="68"/>
  <c r="AF307" i="68"/>
  <c r="AG307" i="68"/>
  <c r="I308" i="68"/>
  <c r="AE308" i="68" s="1"/>
  <c r="N308" i="68"/>
  <c r="O308" i="68" s="1"/>
  <c r="Q308" i="68"/>
  <c r="AC308" i="68"/>
  <c r="AD308" i="68"/>
  <c r="AF308" i="68"/>
  <c r="AG308" i="68"/>
  <c r="I309" i="68"/>
  <c r="AE309" i="68" s="1"/>
  <c r="N309" i="68"/>
  <c r="O309" i="68" s="1"/>
  <c r="Q309" i="68"/>
  <c r="AC309" i="68"/>
  <c r="AD309" i="68"/>
  <c r="AF309" i="68"/>
  <c r="AG309" i="68"/>
  <c r="I310" i="68"/>
  <c r="AE310" i="68" s="1"/>
  <c r="N310" i="68"/>
  <c r="O310" i="68" s="1"/>
  <c r="Q310" i="68"/>
  <c r="AC310" i="68"/>
  <c r="AD310" i="68"/>
  <c r="AF310" i="68"/>
  <c r="AG310" i="68"/>
  <c r="I311" i="68"/>
  <c r="AE311" i="68" s="1"/>
  <c r="N311" i="68"/>
  <c r="O311" i="68" s="1"/>
  <c r="Q311" i="68"/>
  <c r="AC311" i="68"/>
  <c r="AD311" i="68"/>
  <c r="AF311" i="68"/>
  <c r="AG311" i="68"/>
  <c r="I312" i="68"/>
  <c r="AE312" i="68" s="1"/>
  <c r="N312" i="68"/>
  <c r="O312" i="68" s="1"/>
  <c r="Q312" i="68"/>
  <c r="AC312" i="68"/>
  <c r="AD312" i="68"/>
  <c r="AF312" i="68"/>
  <c r="AG312" i="68"/>
  <c r="I313" i="68"/>
  <c r="AE313" i="68" s="1"/>
  <c r="N313" i="68"/>
  <c r="O313" i="68" s="1"/>
  <c r="Q313" i="68"/>
  <c r="AC313" i="68"/>
  <c r="AD313" i="68"/>
  <c r="AF313" i="68"/>
  <c r="AG313" i="68"/>
  <c r="I314" i="68"/>
  <c r="AE314" i="68" s="1"/>
  <c r="N314" i="68"/>
  <c r="O314" i="68" s="1"/>
  <c r="Q314" i="68"/>
  <c r="AC314" i="68"/>
  <c r="AD314" i="68"/>
  <c r="AF314" i="68"/>
  <c r="AG314" i="68"/>
  <c r="AE316" i="68"/>
  <c r="N316" i="68"/>
  <c r="O316" i="68" s="1"/>
  <c r="Q316" i="68"/>
  <c r="AC316" i="68"/>
  <c r="AD316" i="68"/>
  <c r="AF316" i="68"/>
  <c r="AG316" i="68"/>
  <c r="L318" i="68"/>
  <c r="M318" i="68"/>
  <c r="AI321" i="68"/>
  <c r="AJ321" i="68"/>
  <c r="AK321" i="68"/>
  <c r="P12" i="49"/>
  <c r="P13" i="49"/>
  <c r="P14" i="49"/>
  <c r="P15" i="49"/>
  <c r="P16" i="49"/>
  <c r="P18" i="49"/>
  <c r="P19" i="49"/>
  <c r="P20" i="49"/>
  <c r="P39" i="49" s="1"/>
  <c r="P21" i="49"/>
  <c r="P40" i="49" s="1"/>
  <c r="P22" i="49"/>
  <c r="P23" i="49"/>
  <c r="P42" i="49" s="1"/>
  <c r="P24" i="49"/>
  <c r="P43" i="49" s="1"/>
  <c r="P25" i="49"/>
  <c r="P44" i="49" s="1"/>
  <c r="P26" i="49"/>
  <c r="P45" i="49" s="1"/>
  <c r="P27" i="49"/>
  <c r="P46" i="49" s="1"/>
  <c r="P29" i="49"/>
  <c r="P41" i="49"/>
  <c r="P12" i="48"/>
  <c r="X12" i="48"/>
  <c r="Y12" i="48"/>
  <c r="Z12" i="48"/>
  <c r="AA12" i="48"/>
  <c r="AB12" i="48"/>
  <c r="AC12" i="48"/>
  <c r="AD12" i="48"/>
  <c r="AE12" i="48"/>
  <c r="AF12" i="48"/>
  <c r="AG12" i="48"/>
  <c r="AH12" i="48"/>
  <c r="AI12" i="48"/>
  <c r="P13" i="48"/>
  <c r="X13" i="48"/>
  <c r="Y13" i="48"/>
  <c r="Z13" i="48"/>
  <c r="AA13" i="48"/>
  <c r="AB13" i="48"/>
  <c r="AC13" i="48"/>
  <c r="AD13" i="48"/>
  <c r="AE13" i="48"/>
  <c r="AF13" i="48"/>
  <c r="AG13" i="48"/>
  <c r="AH13" i="48"/>
  <c r="AI13" i="48"/>
  <c r="P14" i="48"/>
  <c r="X14" i="48"/>
  <c r="Y14" i="48"/>
  <c r="Z14" i="48"/>
  <c r="AA14" i="48"/>
  <c r="AB14" i="48"/>
  <c r="AC14" i="48"/>
  <c r="AD14" i="48"/>
  <c r="AE14" i="48"/>
  <c r="AF14" i="48"/>
  <c r="AG14" i="48"/>
  <c r="AH14" i="48"/>
  <c r="AI14" i="48"/>
  <c r="P15" i="48"/>
  <c r="X15" i="48"/>
  <c r="Y15" i="48"/>
  <c r="Z15" i="48"/>
  <c r="AA15" i="48"/>
  <c r="AB15" i="48"/>
  <c r="AC15" i="48"/>
  <c r="AD15" i="48"/>
  <c r="AE15" i="48"/>
  <c r="AF15" i="48"/>
  <c r="AG15" i="48"/>
  <c r="AH15" i="48"/>
  <c r="AI15" i="48"/>
  <c r="P16" i="48"/>
  <c r="X16" i="48"/>
  <c r="Y16" i="48"/>
  <c r="Z16" i="48"/>
  <c r="AA16" i="48"/>
  <c r="AB16" i="48"/>
  <c r="AC16" i="48"/>
  <c r="AD16" i="48"/>
  <c r="AE16" i="48"/>
  <c r="AF16" i="48"/>
  <c r="AG16" i="48"/>
  <c r="AH16" i="48"/>
  <c r="AI16" i="48"/>
  <c r="P18" i="48"/>
  <c r="X18" i="48"/>
  <c r="Y18" i="48"/>
  <c r="Z18" i="48"/>
  <c r="AA18" i="48"/>
  <c r="AB18" i="48"/>
  <c r="AC18" i="48"/>
  <c r="AD18" i="48"/>
  <c r="AE18" i="48"/>
  <c r="AF18" i="48"/>
  <c r="AG18" i="48"/>
  <c r="AH18" i="48"/>
  <c r="AI18" i="48"/>
  <c r="P19" i="48"/>
  <c r="X19" i="48"/>
  <c r="Y19" i="48"/>
  <c r="Z19" i="48"/>
  <c r="AA19" i="48"/>
  <c r="AB19" i="48"/>
  <c r="AC19" i="48"/>
  <c r="AD19" i="48"/>
  <c r="AE19" i="48"/>
  <c r="AF19" i="48"/>
  <c r="AG19" i="48"/>
  <c r="AH19" i="48"/>
  <c r="AI19" i="48"/>
  <c r="P20" i="48"/>
  <c r="X20" i="48"/>
  <c r="Y20" i="48"/>
  <c r="Z20" i="48"/>
  <c r="AA20" i="48"/>
  <c r="AB20" i="48"/>
  <c r="AC20" i="48"/>
  <c r="AD20" i="48"/>
  <c r="AE20" i="48"/>
  <c r="AF20" i="48"/>
  <c r="AG20" i="48"/>
  <c r="AH20" i="48"/>
  <c r="AI20" i="48"/>
  <c r="P21" i="48"/>
  <c r="X21" i="48"/>
  <c r="Y21" i="48"/>
  <c r="Z21" i="48"/>
  <c r="AA21" i="48"/>
  <c r="AB21" i="48"/>
  <c r="AC21" i="48"/>
  <c r="AD21" i="48"/>
  <c r="AE21" i="48"/>
  <c r="AF21" i="48"/>
  <c r="AG21" i="48"/>
  <c r="AH21" i="48"/>
  <c r="AI21" i="48"/>
  <c r="P22" i="48"/>
  <c r="X22" i="48"/>
  <c r="Y22" i="48"/>
  <c r="Z22" i="48"/>
  <c r="AA22" i="48"/>
  <c r="AB22" i="48"/>
  <c r="AC22" i="48"/>
  <c r="AD22" i="48"/>
  <c r="AE22" i="48"/>
  <c r="AF22" i="48"/>
  <c r="AG22" i="48"/>
  <c r="AH22" i="48"/>
  <c r="AI22" i="48"/>
  <c r="P23" i="48"/>
  <c r="X23" i="48"/>
  <c r="Y23" i="48"/>
  <c r="Z23" i="48"/>
  <c r="AA23" i="48"/>
  <c r="AB23" i="48"/>
  <c r="AC23" i="48"/>
  <c r="AD23" i="48"/>
  <c r="AE23" i="48"/>
  <c r="AF23" i="48"/>
  <c r="AG23" i="48"/>
  <c r="AH23" i="48"/>
  <c r="AI23" i="48"/>
  <c r="P24" i="48"/>
  <c r="X24" i="48"/>
  <c r="Y24" i="48"/>
  <c r="Z24" i="48"/>
  <c r="AA24" i="48"/>
  <c r="AB24" i="48"/>
  <c r="AC24" i="48"/>
  <c r="AD24" i="48"/>
  <c r="AE24" i="48"/>
  <c r="AF24" i="48"/>
  <c r="AG24" i="48"/>
  <c r="AH24" i="48"/>
  <c r="AI24" i="48"/>
  <c r="P25" i="48"/>
  <c r="X25" i="48"/>
  <c r="Y25" i="48"/>
  <c r="Z25" i="48"/>
  <c r="AA25" i="48"/>
  <c r="AB25" i="48"/>
  <c r="AC25" i="48"/>
  <c r="AD25" i="48"/>
  <c r="AE25" i="48"/>
  <c r="AF25" i="48"/>
  <c r="AG25" i="48"/>
  <c r="AH25" i="48"/>
  <c r="AI25" i="48"/>
  <c r="P26" i="48"/>
  <c r="X26" i="48"/>
  <c r="Y26" i="48"/>
  <c r="Z26" i="48"/>
  <c r="AA26" i="48"/>
  <c r="AB26" i="48"/>
  <c r="AC26" i="48"/>
  <c r="AD26" i="48"/>
  <c r="AE26" i="48"/>
  <c r="AF26" i="48"/>
  <c r="AG26" i="48"/>
  <c r="AH26" i="48"/>
  <c r="AI26" i="48"/>
  <c r="P27" i="48"/>
  <c r="X27" i="48"/>
  <c r="Y27" i="48"/>
  <c r="Z27" i="48"/>
  <c r="AA27" i="48"/>
  <c r="AB27" i="48"/>
  <c r="AC27" i="48"/>
  <c r="AD27" i="48"/>
  <c r="AE27" i="48"/>
  <c r="AF27" i="48"/>
  <c r="AG27" i="48"/>
  <c r="AH27" i="48"/>
  <c r="AI27" i="48"/>
  <c r="P28" i="48"/>
  <c r="X28" i="48"/>
  <c r="Y28" i="48"/>
  <c r="Z28" i="48"/>
  <c r="AA28" i="48"/>
  <c r="AB28" i="48"/>
  <c r="AC28" i="48"/>
  <c r="AD28" i="48"/>
  <c r="AE28" i="48"/>
  <c r="AF28" i="48"/>
  <c r="AG28" i="48"/>
  <c r="AH28" i="48"/>
  <c r="AI28" i="48"/>
  <c r="P29" i="48"/>
  <c r="X29" i="48"/>
  <c r="Y29" i="48"/>
  <c r="Z29" i="48"/>
  <c r="AA29" i="48"/>
  <c r="AB29" i="48"/>
  <c r="AC29" i="48"/>
  <c r="AD29" i="48"/>
  <c r="AE29" i="48"/>
  <c r="AF29" i="48"/>
  <c r="AG29" i="48"/>
  <c r="AH29" i="48"/>
  <c r="AI29" i="48"/>
  <c r="P30" i="48"/>
  <c r="X30" i="48"/>
  <c r="Y30" i="48"/>
  <c r="Z30" i="48"/>
  <c r="AA30" i="48"/>
  <c r="AB30" i="48"/>
  <c r="AC30" i="48"/>
  <c r="AD30" i="48"/>
  <c r="AE30" i="48"/>
  <c r="AF30" i="48"/>
  <c r="AG30" i="48"/>
  <c r="AH30" i="48"/>
  <c r="AI30" i="48"/>
  <c r="P31" i="48"/>
  <c r="X31" i="48"/>
  <c r="Y31" i="48"/>
  <c r="Z31" i="48"/>
  <c r="AA31" i="48"/>
  <c r="AB31" i="48"/>
  <c r="AC31" i="48"/>
  <c r="AD31" i="48"/>
  <c r="AE31" i="48"/>
  <c r="AF31" i="48"/>
  <c r="AG31" i="48"/>
  <c r="AH31" i="48"/>
  <c r="AI31" i="48"/>
  <c r="P33" i="48"/>
  <c r="X33" i="48"/>
  <c r="Y33" i="48"/>
  <c r="Z33" i="48"/>
  <c r="AA33" i="48"/>
  <c r="AB33" i="48"/>
  <c r="AC33" i="48"/>
  <c r="AD33" i="48"/>
  <c r="AE33" i="48"/>
  <c r="AF33" i="48"/>
  <c r="AG33" i="48"/>
  <c r="AH33" i="48"/>
  <c r="AI33" i="48"/>
  <c r="O10" i="47"/>
  <c r="O11" i="47"/>
  <c r="O12" i="47"/>
  <c r="O13" i="47"/>
  <c r="O14" i="47"/>
  <c r="O15" i="47"/>
  <c r="O16" i="47"/>
  <c r="O17" i="47"/>
  <c r="O18" i="47"/>
  <c r="O19" i="47"/>
  <c r="O20" i="47"/>
  <c r="O21" i="47"/>
  <c r="O22" i="47"/>
  <c r="O23" i="47"/>
  <c r="O24" i="47"/>
  <c r="O25" i="47"/>
  <c r="O26" i="47"/>
  <c r="O27" i="47"/>
  <c r="O28" i="47"/>
  <c r="X28" i="47"/>
  <c r="C20" i="31" s="1"/>
  <c r="C21" i="37" s="1"/>
  <c r="O29" i="47"/>
  <c r="X29" i="47"/>
  <c r="L20" i="31" s="1"/>
  <c r="K21" i="37" s="1"/>
  <c r="O30" i="47"/>
  <c r="X30" i="47"/>
  <c r="U20" i="31" s="1"/>
  <c r="S21" i="37" s="1"/>
  <c r="O31" i="47"/>
  <c r="X31" i="47"/>
  <c r="C21" i="31" s="1"/>
  <c r="C22" i="37" s="1"/>
  <c r="O32" i="47"/>
  <c r="X32" i="47"/>
  <c r="L21" i="31" s="1"/>
  <c r="K22" i="37" s="1"/>
  <c r="O33" i="47"/>
  <c r="X33" i="47"/>
  <c r="U21" i="31" s="1"/>
  <c r="S22" i="37" s="1"/>
  <c r="O34" i="47"/>
  <c r="X34" i="47"/>
  <c r="C22" i="31" s="1"/>
  <c r="C23" i="37" s="1"/>
  <c r="O35" i="47"/>
  <c r="X35" i="47"/>
  <c r="L22" i="31" s="1"/>
  <c r="K23" i="37" s="1"/>
  <c r="O36" i="47"/>
  <c r="X36" i="47"/>
  <c r="U22" i="31" s="1"/>
  <c r="S23" i="37" s="1"/>
  <c r="O37" i="47"/>
  <c r="X37" i="47"/>
  <c r="O38" i="47"/>
  <c r="X38" i="47"/>
  <c r="N20" i="31" s="1"/>
  <c r="O39" i="47"/>
  <c r="X39" i="47"/>
  <c r="U23" i="31" s="1"/>
  <c r="O40" i="47"/>
  <c r="Q40" i="47"/>
  <c r="X40" i="47"/>
  <c r="AC40" i="47"/>
  <c r="AD40" i="47" s="1"/>
  <c r="F24" i="31" s="1"/>
  <c r="O41" i="47"/>
  <c r="X41" i="47"/>
  <c r="N21" i="31" s="1"/>
  <c r="AD41" i="47"/>
  <c r="O24" i="31" s="1"/>
  <c r="Q24" i="31" s="1"/>
  <c r="O42" i="47"/>
  <c r="X42" i="47"/>
  <c r="U24" i="31" s="1"/>
  <c r="S25" i="37" s="1"/>
  <c r="AD42" i="47"/>
  <c r="X24" i="31" s="1"/>
  <c r="Z24" i="31" s="1"/>
  <c r="O43" i="47"/>
  <c r="X43" i="47"/>
  <c r="O44" i="47"/>
  <c r="X44" i="47"/>
  <c r="O45" i="47"/>
  <c r="X45" i="47"/>
  <c r="W22" i="31" s="1"/>
  <c r="O46" i="47"/>
  <c r="X46" i="47"/>
  <c r="O47" i="47"/>
  <c r="X47" i="47"/>
  <c r="O48" i="47"/>
  <c r="X48" i="47"/>
  <c r="O49" i="47"/>
  <c r="Q49" i="47"/>
  <c r="X49" i="47"/>
  <c r="AC49" i="47"/>
  <c r="AD49" i="47" s="1"/>
  <c r="O50" i="47"/>
  <c r="X50" i="47"/>
  <c r="AD50" i="47"/>
  <c r="O27" i="31" s="1"/>
  <c r="Q27" i="31" s="1"/>
  <c r="O51" i="47"/>
  <c r="X51" i="47"/>
  <c r="AD51" i="47"/>
  <c r="X27" i="31" s="1"/>
  <c r="Z27" i="31" s="1"/>
  <c r="O52" i="47"/>
  <c r="R52" i="47" s="1"/>
  <c r="X52" i="47"/>
  <c r="C10" i="31" s="1"/>
  <c r="O53" i="47"/>
  <c r="R53" i="47" s="1"/>
  <c r="X53" i="47"/>
  <c r="L10" i="31" s="1"/>
  <c r="K11" i="37" s="1"/>
  <c r="M11" i="37" s="1"/>
  <c r="AD53" i="47"/>
  <c r="O10" i="31" s="1"/>
  <c r="Q10" i="31" s="1"/>
  <c r="O54" i="47"/>
  <c r="R54" i="47" s="1"/>
  <c r="Q54" i="47"/>
  <c r="X54" i="47"/>
  <c r="U10" i="31" s="1"/>
  <c r="S11" i="37" s="1"/>
  <c r="AD54" i="47"/>
  <c r="X10" i="31" s="1"/>
  <c r="Z10" i="31" s="1"/>
  <c r="AC54" i="47"/>
  <c r="O55" i="47"/>
  <c r="R55" i="47" s="1"/>
  <c r="X55" i="47"/>
  <c r="C11" i="31" s="1"/>
  <c r="AD55" i="47"/>
  <c r="F11" i="31" s="1"/>
  <c r="O56" i="47"/>
  <c r="R56" i="47" s="1"/>
  <c r="X56" i="47"/>
  <c r="L11" i="31" s="1"/>
  <c r="AD56" i="47"/>
  <c r="O11" i="31" s="1"/>
  <c r="O57" i="47"/>
  <c r="R57" i="47" s="1"/>
  <c r="X57" i="47"/>
  <c r="U11" i="31" s="1"/>
  <c r="AD57" i="47"/>
  <c r="X11" i="31" s="1"/>
  <c r="O58" i="47"/>
  <c r="R58" i="47" s="1"/>
  <c r="X58" i="47"/>
  <c r="C12" i="31" s="1"/>
  <c r="AD58" i="47"/>
  <c r="F12" i="31" s="1"/>
  <c r="H12" i="31" s="1"/>
  <c r="O59" i="47"/>
  <c r="R59" i="47" s="1"/>
  <c r="X59" i="47"/>
  <c r="L12" i="31" s="1"/>
  <c r="AD59" i="47"/>
  <c r="O12" i="31" s="1"/>
  <c r="Q12" i="31" s="1"/>
  <c r="O60" i="47"/>
  <c r="R60" i="47" s="1"/>
  <c r="X60" i="47"/>
  <c r="U12" i="31" s="1"/>
  <c r="S13" i="37" s="1"/>
  <c r="AD60" i="47"/>
  <c r="X12" i="31" s="1"/>
  <c r="Z12" i="31" s="1"/>
  <c r="O61" i="47"/>
  <c r="R61" i="47" s="1"/>
  <c r="X61" i="47"/>
  <c r="C13" i="31" s="1"/>
  <c r="AD61" i="47"/>
  <c r="F13" i="31" s="1"/>
  <c r="O62" i="47"/>
  <c r="R62" i="47" s="1"/>
  <c r="X62" i="47"/>
  <c r="L13" i="31" s="1"/>
  <c r="AD62" i="47"/>
  <c r="O13" i="31" s="1"/>
  <c r="Q13" i="31" s="1"/>
  <c r="O63" i="47"/>
  <c r="R63" i="47" s="1"/>
  <c r="X63" i="47"/>
  <c r="U13" i="31" s="1"/>
  <c r="AD63" i="47"/>
  <c r="X13" i="31" s="1"/>
  <c r="Z13" i="31" s="1"/>
  <c r="O67" i="47"/>
  <c r="Q67" i="47" s="1"/>
  <c r="Q10" i="47" s="1"/>
  <c r="W67" i="47"/>
  <c r="W10" i="47" s="1"/>
  <c r="X10" i="47"/>
  <c r="C14" i="31" s="1"/>
  <c r="AC67" i="47"/>
  <c r="AC10" i="47" s="1"/>
  <c r="O68" i="47"/>
  <c r="Q68" i="47" s="1"/>
  <c r="Q11" i="47" s="1"/>
  <c r="W68" i="47"/>
  <c r="W11" i="47" s="1"/>
  <c r="AC68" i="47"/>
  <c r="AC11" i="47" s="1"/>
  <c r="AD11" i="47" s="1"/>
  <c r="O14" i="31" s="1"/>
  <c r="Q14" i="31" s="1"/>
  <c r="O69" i="47"/>
  <c r="Q69" i="47" s="1"/>
  <c r="Q12" i="47" s="1"/>
  <c r="W69" i="47"/>
  <c r="W12" i="47" s="1"/>
  <c r="AC69" i="47"/>
  <c r="AC12" i="47" s="1"/>
  <c r="AD12" i="47" s="1"/>
  <c r="X14" i="31" s="1"/>
  <c r="Z14" i="31" s="1"/>
  <c r="O70" i="47"/>
  <c r="Q70" i="47" s="1"/>
  <c r="Q13" i="47" s="1"/>
  <c r="W70" i="47"/>
  <c r="W13" i="47" s="1"/>
  <c r="AC70" i="47"/>
  <c r="AC13" i="47" s="1"/>
  <c r="AD13" i="47" s="1"/>
  <c r="F15" i="31" s="1"/>
  <c r="O71" i="47"/>
  <c r="Q71" i="47" s="1"/>
  <c r="Q14" i="47" s="1"/>
  <c r="W71" i="47"/>
  <c r="W14" i="47" s="1"/>
  <c r="X14" i="47" s="1"/>
  <c r="L15" i="31" s="1"/>
  <c r="K16" i="37" s="1"/>
  <c r="N16" i="37" s="1"/>
  <c r="P16" i="37" s="1"/>
  <c r="AC71" i="47"/>
  <c r="AC14" i="47" s="1"/>
  <c r="O72" i="47"/>
  <c r="Q72" i="47" s="1"/>
  <c r="Q15" i="47" s="1"/>
  <c r="W72" i="47"/>
  <c r="W15" i="47" s="1"/>
  <c r="X15" i="47" s="1"/>
  <c r="U15" i="31" s="1"/>
  <c r="AC72" i="47"/>
  <c r="AC15" i="47" s="1"/>
  <c r="O73" i="47"/>
  <c r="Q73" i="47" s="1"/>
  <c r="Q16" i="47" s="1"/>
  <c r="W73" i="47"/>
  <c r="W16" i="47" s="1"/>
  <c r="AC73" i="47"/>
  <c r="O74" i="47"/>
  <c r="Q74" i="47" s="1"/>
  <c r="R29" i="47" s="1"/>
  <c r="W74" i="47"/>
  <c r="W17" i="47" s="1"/>
  <c r="AC74" i="47"/>
  <c r="AD29" i="47" s="1"/>
  <c r="O20" i="31" s="1"/>
  <c r="O75" i="47"/>
  <c r="Q75" i="47" s="1"/>
  <c r="W75" i="47"/>
  <c r="W18" i="47" s="1"/>
  <c r="X18" i="47" s="1"/>
  <c r="U16" i="31" s="1"/>
  <c r="AC75" i="47"/>
  <c r="AD30" i="47" s="1"/>
  <c r="X20" i="31" s="1"/>
  <c r="O76" i="47"/>
  <c r="Q76" i="47" s="1"/>
  <c r="Q31" i="47" s="1"/>
  <c r="W76" i="47"/>
  <c r="W19" i="47" s="1"/>
  <c r="AC76" i="47"/>
  <c r="AC31" i="47" s="1"/>
  <c r="AD31" i="47" s="1"/>
  <c r="O77" i="47"/>
  <c r="Q77" i="47" s="1"/>
  <c r="Q20" i="47" s="1"/>
  <c r="W77" i="47"/>
  <c r="W20" i="47" s="1"/>
  <c r="AC77" i="47"/>
  <c r="AC20" i="47" s="1"/>
  <c r="AD20" i="47" s="1"/>
  <c r="O17" i="31" s="1"/>
  <c r="Q17" i="31" s="1"/>
  <c r="O78" i="47"/>
  <c r="Q78" i="47" s="1"/>
  <c r="R33" i="47" s="1"/>
  <c r="W78" i="47"/>
  <c r="W21" i="47" s="1"/>
  <c r="AC78" i="47"/>
  <c r="AC21" i="47" s="1"/>
  <c r="O79" i="47"/>
  <c r="Q79" i="47"/>
  <c r="Q34" i="47" s="1"/>
  <c r="W79" i="47"/>
  <c r="W22" i="47" s="1"/>
  <c r="X22" i="47" s="1"/>
  <c r="C18" i="31" s="1"/>
  <c r="C19" i="37" s="1"/>
  <c r="AC79" i="47"/>
  <c r="AC22" i="47" s="1"/>
  <c r="AD22" i="47" s="1"/>
  <c r="F18" i="31" s="1"/>
  <c r="H18" i="31" s="1"/>
  <c r="O80" i="47"/>
  <c r="Q80" i="47" s="1"/>
  <c r="W80" i="47"/>
  <c r="W23" i="47" s="1"/>
  <c r="AC80" i="47"/>
  <c r="AC23" i="47" s="1"/>
  <c r="AD23" i="47" s="1"/>
  <c r="O18" i="31" s="1"/>
  <c r="O81" i="47"/>
  <c r="Q81" i="47" s="1"/>
  <c r="Q24" i="47" s="1"/>
  <c r="W81" i="47"/>
  <c r="W24" i="47" s="1"/>
  <c r="AC81" i="47"/>
  <c r="AD36" i="47" s="1"/>
  <c r="X22" i="31" s="1"/>
  <c r="O82" i="47"/>
  <c r="Q82" i="47" s="1"/>
  <c r="W82" i="47"/>
  <c r="W25" i="47" s="1"/>
  <c r="X25" i="47" s="1"/>
  <c r="C19" i="31" s="1"/>
  <c r="C20" i="37" s="1"/>
  <c r="F20" i="37" s="1"/>
  <c r="H20" i="37" s="1"/>
  <c r="AC82" i="47"/>
  <c r="AC37" i="47" s="1"/>
  <c r="AD37" i="47" s="1"/>
  <c r="F23" i="31" s="1"/>
  <c r="O83" i="47"/>
  <c r="Q83" i="47" s="1"/>
  <c r="W83" i="47"/>
  <c r="W26" i="47" s="1"/>
  <c r="X26" i="47" s="1"/>
  <c r="L19" i="31" s="1"/>
  <c r="AC83" i="47"/>
  <c r="AC26" i="47" s="1"/>
  <c r="O84" i="47"/>
  <c r="Q84" i="47" s="1"/>
  <c r="W84" i="47"/>
  <c r="W27" i="47" s="1"/>
  <c r="AC84" i="47"/>
  <c r="AC27" i="47" s="1"/>
  <c r="AD27" i="47" s="1"/>
  <c r="X19" i="31" s="1"/>
  <c r="Z19" i="31" s="1"/>
  <c r="O85" i="47"/>
  <c r="R85" i="47" s="1"/>
  <c r="X85" i="47"/>
  <c r="C29" i="31" s="1"/>
  <c r="C30" i="37" s="1"/>
  <c r="F30" i="37" s="1"/>
  <c r="H30" i="37" s="1"/>
  <c r="AD85" i="47"/>
  <c r="F29" i="31" s="1"/>
  <c r="H29" i="31" s="1"/>
  <c r="O86" i="47"/>
  <c r="R86" i="47" s="1"/>
  <c r="X86" i="47"/>
  <c r="L29" i="31" s="1"/>
  <c r="AD86" i="47"/>
  <c r="O29" i="31" s="1"/>
  <c r="O87" i="47"/>
  <c r="R87" i="47" s="1"/>
  <c r="X87" i="47"/>
  <c r="U29" i="31" s="1"/>
  <c r="AD87" i="47"/>
  <c r="X29" i="31" s="1"/>
  <c r="O88" i="47"/>
  <c r="P88" i="47" s="1"/>
  <c r="V88" i="47"/>
  <c r="O89" i="47"/>
  <c r="P89" i="47" s="1"/>
  <c r="V89" i="47"/>
  <c r="AB89" i="47"/>
  <c r="O90" i="47"/>
  <c r="P90" i="47" s="1"/>
  <c r="W90" i="47"/>
  <c r="V90" i="47"/>
  <c r="AB90" i="47"/>
  <c r="AC90" i="47"/>
  <c r="O91" i="47"/>
  <c r="P91" i="47" s="1"/>
  <c r="O92" i="47"/>
  <c r="P92" i="47" s="1"/>
  <c r="W92" i="47"/>
  <c r="V92" i="47"/>
  <c r="O93" i="47"/>
  <c r="P93" i="47" s="1"/>
  <c r="V93" i="47"/>
  <c r="W93" i="47"/>
  <c r="AB93" i="47"/>
  <c r="O94" i="47"/>
  <c r="P94" i="47" s="1"/>
  <c r="V94" i="47"/>
  <c r="AB94" i="47"/>
  <c r="O95" i="47"/>
  <c r="P95" i="47" s="1"/>
  <c r="V95" i="47"/>
  <c r="AB95" i="47"/>
  <c r="O96" i="47"/>
  <c r="P96" i="47" s="1"/>
  <c r="V96" i="47"/>
  <c r="AB96" i="47"/>
  <c r="O97" i="47"/>
  <c r="P97" i="47" s="1"/>
  <c r="V97" i="47"/>
  <c r="W97" i="47"/>
  <c r="AB97" i="47"/>
  <c r="O98" i="47"/>
  <c r="P98" i="47" s="1"/>
  <c r="V98" i="47"/>
  <c r="AB98" i="47"/>
  <c r="AC98" i="47"/>
  <c r="O99" i="47"/>
  <c r="P99" i="47" s="1"/>
  <c r="V99" i="47"/>
  <c r="O100" i="47"/>
  <c r="V100" i="47"/>
  <c r="W100" i="47"/>
  <c r="AB100" i="47"/>
  <c r="O101" i="47"/>
  <c r="P101" i="47" s="1"/>
  <c r="V101" i="47"/>
  <c r="O102" i="47"/>
  <c r="P102" i="47" s="1"/>
  <c r="AB102" i="47"/>
  <c r="AC102" i="47"/>
  <c r="O103" i="47"/>
  <c r="P103" i="47" s="1"/>
  <c r="V103" i="47"/>
  <c r="AB103" i="47"/>
  <c r="O104" i="47"/>
  <c r="P104" i="47" s="1"/>
  <c r="V104" i="47"/>
  <c r="AB104" i="47"/>
  <c r="O105" i="47"/>
  <c r="P105" i="47" s="1"/>
  <c r="V105" i="47"/>
  <c r="AB105" i="47"/>
  <c r="O106" i="47"/>
  <c r="P106" i="47" s="1"/>
  <c r="AB106" i="47"/>
  <c r="AC106" i="47"/>
  <c r="O107" i="47"/>
  <c r="Q107" i="47" s="1"/>
  <c r="W107" i="47"/>
  <c r="AB107" i="47"/>
  <c r="O108" i="47"/>
  <c r="V108" i="47"/>
  <c r="O109" i="47"/>
  <c r="P109" i="47"/>
  <c r="V109" i="47"/>
  <c r="AB109" i="47"/>
  <c r="O110" i="47"/>
  <c r="P110" i="47" s="1"/>
  <c r="V110" i="47"/>
  <c r="AB110" i="47"/>
  <c r="O111" i="47"/>
  <c r="P111" i="47" s="1"/>
  <c r="V111" i="47"/>
  <c r="AB111" i="47"/>
  <c r="O112" i="47"/>
  <c r="P112" i="47" s="1"/>
  <c r="AB112" i="47"/>
  <c r="AC112" i="47"/>
  <c r="O113" i="47"/>
  <c r="P113" i="47" s="1"/>
  <c r="Q113" i="47"/>
  <c r="V113" i="47"/>
  <c r="O114" i="47"/>
  <c r="V114" i="47"/>
  <c r="AB114" i="47"/>
  <c r="O115" i="47"/>
  <c r="P115" i="47" s="1"/>
  <c r="V115" i="47"/>
  <c r="AB115" i="47"/>
  <c r="O116" i="47"/>
  <c r="P116" i="47" s="1"/>
  <c r="V116" i="47"/>
  <c r="AB116" i="47"/>
  <c r="O117" i="47"/>
  <c r="P117" i="47" s="1"/>
  <c r="V117" i="47"/>
  <c r="AB117" i="47"/>
  <c r="O118" i="47"/>
  <c r="P118" i="47" s="1"/>
  <c r="Q118" i="47"/>
  <c r="W118" i="47"/>
  <c r="O119" i="47"/>
  <c r="Q119" i="47" s="1"/>
  <c r="W119" i="47"/>
  <c r="V119" i="47"/>
  <c r="AC119" i="47"/>
  <c r="AB119" i="47"/>
  <c r="O120" i="47"/>
  <c r="P120" i="47" s="1"/>
  <c r="V120" i="47"/>
  <c r="W120" i="47"/>
  <c r="AB120" i="47"/>
  <c r="AC120" i="47"/>
  <c r="O121" i="47"/>
  <c r="R121" i="47" s="1"/>
  <c r="X121" i="47"/>
  <c r="C44" i="31" s="1"/>
  <c r="AD121" i="47"/>
  <c r="F44" i="31" s="1"/>
  <c r="H44" i="31" s="1"/>
  <c r="O122" i="47"/>
  <c r="R122" i="47" s="1"/>
  <c r="X122" i="47"/>
  <c r="L44" i="31" s="1"/>
  <c r="AD122" i="47"/>
  <c r="O44" i="31" s="1"/>
  <c r="O123" i="47"/>
  <c r="R123" i="47" s="1"/>
  <c r="X123" i="47"/>
  <c r="U44" i="31" s="1"/>
  <c r="AD123" i="47"/>
  <c r="X44" i="31" s="1"/>
  <c r="O124" i="47"/>
  <c r="R124" i="47" s="1"/>
  <c r="X124" i="47"/>
  <c r="AD124" i="47"/>
  <c r="F45" i="31" s="1"/>
  <c r="O125" i="47"/>
  <c r="R125" i="47" s="1"/>
  <c r="X125" i="47"/>
  <c r="L45" i="31" s="1"/>
  <c r="AD125" i="47"/>
  <c r="O45" i="31" s="1"/>
  <c r="O126" i="47"/>
  <c r="R126" i="47" s="1"/>
  <c r="X126" i="47"/>
  <c r="U45" i="31" s="1"/>
  <c r="AD126" i="47"/>
  <c r="X45" i="31" s="1"/>
  <c r="Z45" i="31" s="1"/>
  <c r="O127" i="47"/>
  <c r="R127" i="47" s="1"/>
  <c r="X127" i="47"/>
  <c r="AD127" i="47"/>
  <c r="F46" i="31" s="1"/>
  <c r="O128" i="47"/>
  <c r="R128" i="47" s="1"/>
  <c r="X128" i="47"/>
  <c r="AD128" i="47"/>
  <c r="O46" i="31" s="1"/>
  <c r="O129" i="47"/>
  <c r="R129" i="47" s="1"/>
  <c r="X129" i="47"/>
  <c r="U46" i="31" s="1"/>
  <c r="AD129" i="47"/>
  <c r="X46" i="31" s="1"/>
  <c r="O130" i="47"/>
  <c r="R130" i="47" s="1"/>
  <c r="X130" i="47"/>
  <c r="C47" i="31" s="1"/>
  <c r="C48" i="37" s="1"/>
  <c r="AD130" i="47"/>
  <c r="F47" i="31" s="1"/>
  <c r="H47" i="31" s="1"/>
  <c r="O131" i="47"/>
  <c r="R131" i="47" s="1"/>
  <c r="X131" i="47"/>
  <c r="L47" i="31" s="1"/>
  <c r="K48" i="37" s="1"/>
  <c r="N48" i="37" s="1"/>
  <c r="P48" i="37" s="1"/>
  <c r="AD131" i="47"/>
  <c r="O132" i="47"/>
  <c r="R132" i="47"/>
  <c r="X132" i="47"/>
  <c r="U47" i="31" s="1"/>
  <c r="AD132" i="47"/>
  <c r="X47" i="31" s="1"/>
  <c r="Z47" i="31" s="1"/>
  <c r="O133" i="47"/>
  <c r="R133" i="47" s="1"/>
  <c r="X133" i="47"/>
  <c r="C48" i="31" s="1"/>
  <c r="AD133" i="47"/>
  <c r="F48" i="31" s="1"/>
  <c r="H48" i="31" s="1"/>
  <c r="O134" i="47"/>
  <c r="R134" i="47" s="1"/>
  <c r="X134" i="47"/>
  <c r="L48" i="31" s="1"/>
  <c r="AD134" i="47"/>
  <c r="O48" i="31" s="1"/>
  <c r="O135" i="47"/>
  <c r="R135" i="47" s="1"/>
  <c r="X135" i="47"/>
  <c r="U48" i="31" s="1"/>
  <c r="AD135" i="47"/>
  <c r="X48" i="31" s="1"/>
  <c r="Z48" i="31" s="1"/>
  <c r="O136" i="47"/>
  <c r="R136" i="47" s="1"/>
  <c r="X136" i="47"/>
  <c r="C49" i="31" s="1"/>
  <c r="AD136" i="47"/>
  <c r="F49" i="31" s="1"/>
  <c r="O137" i="47"/>
  <c r="R137" i="47" s="1"/>
  <c r="X137" i="47"/>
  <c r="L49" i="31" s="1"/>
  <c r="AD137" i="47"/>
  <c r="O49" i="31" s="1"/>
  <c r="O138" i="47"/>
  <c r="R138" i="47" s="1"/>
  <c r="X138" i="47"/>
  <c r="U49" i="31" s="1"/>
  <c r="AD138" i="47"/>
  <c r="X49" i="31" s="1"/>
  <c r="O139" i="47"/>
  <c r="R139" i="47" s="1"/>
  <c r="X139" i="47"/>
  <c r="AD139" i="47"/>
  <c r="O140" i="47"/>
  <c r="R140" i="47"/>
  <c r="X140" i="47"/>
  <c r="AD140" i="47"/>
  <c r="O141" i="47"/>
  <c r="R141" i="47" s="1"/>
  <c r="X141" i="47"/>
  <c r="AD141" i="47"/>
  <c r="O142" i="47"/>
  <c r="R142" i="47" s="1"/>
  <c r="X142" i="47"/>
  <c r="AD142" i="47"/>
  <c r="F62" i="31" s="1"/>
  <c r="O143" i="47"/>
  <c r="R143" i="47" s="1"/>
  <c r="X143" i="47"/>
  <c r="AD143" i="47"/>
  <c r="O62" i="31" s="1"/>
  <c r="O144" i="47"/>
  <c r="R144" i="47" s="1"/>
  <c r="X144" i="47"/>
  <c r="U62" i="31" s="1"/>
  <c r="AD144" i="47"/>
  <c r="X62" i="31" s="1"/>
  <c r="Z62" i="31" s="1"/>
  <c r="O145" i="47"/>
  <c r="R145" i="47" s="1"/>
  <c r="X145" i="47"/>
  <c r="C63" i="31" s="1"/>
  <c r="C64" i="37" s="1"/>
  <c r="F64" i="37" s="1"/>
  <c r="H64" i="37" s="1"/>
  <c r="AD145" i="47"/>
  <c r="F63" i="31" s="1"/>
  <c r="H63" i="31" s="1"/>
  <c r="O146" i="47"/>
  <c r="R146" i="47" s="1"/>
  <c r="X146" i="47"/>
  <c r="AD146" i="47"/>
  <c r="O63" i="31" s="1"/>
  <c r="O147" i="47"/>
  <c r="R147" i="47" s="1"/>
  <c r="X147" i="47"/>
  <c r="U63" i="31" s="1"/>
  <c r="AD147" i="47"/>
  <c r="X63" i="31" s="1"/>
  <c r="Z63" i="31" s="1"/>
  <c r="O148" i="47"/>
  <c r="R148" i="47" s="1"/>
  <c r="X148" i="47"/>
  <c r="C64" i="31" s="1"/>
  <c r="AD148" i="47"/>
  <c r="F64" i="31" s="1"/>
  <c r="O149" i="47"/>
  <c r="R149" i="47" s="1"/>
  <c r="X149" i="47"/>
  <c r="AD149" i="47"/>
  <c r="O150" i="47"/>
  <c r="R150" i="47" s="1"/>
  <c r="X150" i="47"/>
  <c r="U64" i="31" s="1"/>
  <c r="AD150" i="47"/>
  <c r="X64" i="31" s="1"/>
  <c r="O151" i="47"/>
  <c r="R151" i="47" s="1"/>
  <c r="X151" i="47"/>
  <c r="C65" i="31" s="1"/>
  <c r="AD151" i="47"/>
  <c r="F65" i="31" s="1"/>
  <c r="H65" i="31" s="1"/>
  <c r="O152" i="47"/>
  <c r="R152" i="47" s="1"/>
  <c r="X152" i="47"/>
  <c r="AD152" i="47"/>
  <c r="O65" i="31" s="1"/>
  <c r="Q65" i="31" s="1"/>
  <c r="O153" i="47"/>
  <c r="R153" i="47" s="1"/>
  <c r="X153" i="47"/>
  <c r="U65" i="31" s="1"/>
  <c r="S66" i="37" s="1"/>
  <c r="V66" i="37" s="1"/>
  <c r="X66" i="37" s="1"/>
  <c r="AD153" i="47"/>
  <c r="X65" i="31" s="1"/>
  <c r="Z65" i="31" s="1"/>
  <c r="O154" i="47"/>
  <c r="R154" i="47" s="1"/>
  <c r="X154" i="47"/>
  <c r="AD154" i="47"/>
  <c r="F32" i="31" s="1"/>
  <c r="O155" i="47"/>
  <c r="R155" i="47" s="1"/>
  <c r="X155" i="47"/>
  <c r="L32" i="31" s="1"/>
  <c r="AD155" i="47"/>
  <c r="O32" i="31" s="1"/>
  <c r="O156" i="47"/>
  <c r="R156" i="47" s="1"/>
  <c r="X156" i="47"/>
  <c r="U32" i="31" s="1"/>
  <c r="AD156" i="47"/>
  <c r="X32" i="31" s="1"/>
  <c r="O157" i="47"/>
  <c r="R157" i="47" s="1"/>
  <c r="X157" i="47"/>
  <c r="C34" i="31" s="1"/>
  <c r="AD157" i="47"/>
  <c r="F34" i="31" s="1"/>
  <c r="O158" i="47"/>
  <c r="R158" i="47" s="1"/>
  <c r="X158" i="47"/>
  <c r="L34" i="31" s="1"/>
  <c r="AD158" i="47"/>
  <c r="O34" i="31" s="1"/>
  <c r="Q34" i="31" s="1"/>
  <c r="O159" i="47"/>
  <c r="R159" i="47" s="1"/>
  <c r="X159" i="47"/>
  <c r="U34" i="31" s="1"/>
  <c r="AD159" i="47"/>
  <c r="X34" i="31" s="1"/>
  <c r="Z34" i="31" s="1"/>
  <c r="O160" i="47"/>
  <c r="R160" i="47" s="1"/>
  <c r="AF79" i="31" s="1"/>
  <c r="X160" i="47"/>
  <c r="AD160" i="47"/>
  <c r="O161" i="47"/>
  <c r="R161" i="47" s="1"/>
  <c r="X161" i="47"/>
  <c r="AD161" i="47"/>
  <c r="O162" i="47"/>
  <c r="R162" i="47" s="1"/>
  <c r="X162" i="47"/>
  <c r="AD162" i="47"/>
  <c r="O163" i="47"/>
  <c r="R163" i="47" s="1"/>
  <c r="X163" i="47"/>
  <c r="C74" i="31" s="1"/>
  <c r="AD163" i="47"/>
  <c r="O164" i="47"/>
  <c r="R164" i="47" s="1"/>
  <c r="X164" i="47"/>
  <c r="L74" i="31" s="1"/>
  <c r="K75" i="37" s="1"/>
  <c r="AD164" i="47"/>
  <c r="O165" i="47"/>
  <c r="R165" i="47" s="1"/>
  <c r="X165" i="47"/>
  <c r="U74" i="31" s="1"/>
  <c r="AD165" i="47"/>
  <c r="O166" i="47"/>
  <c r="R166" i="47" s="1"/>
  <c r="X166" i="47"/>
  <c r="AD166" i="47"/>
  <c r="O167" i="47"/>
  <c r="R167" i="47" s="1"/>
  <c r="X167" i="47"/>
  <c r="AD167" i="47"/>
  <c r="O168" i="47"/>
  <c r="R168" i="47" s="1"/>
  <c r="X168" i="47"/>
  <c r="U73" i="31" s="1"/>
  <c r="S74" i="37" s="1"/>
  <c r="AD168" i="47"/>
  <c r="X73" i="31" s="1"/>
  <c r="Z73" i="31" s="1"/>
  <c r="O169" i="47"/>
  <c r="R169" i="47" s="1"/>
  <c r="X169" i="47"/>
  <c r="AD169" i="47"/>
  <c r="O170" i="47"/>
  <c r="R170" i="47" s="1"/>
  <c r="X170" i="47"/>
  <c r="AD170" i="47"/>
  <c r="O171" i="47"/>
  <c r="R171" i="47" s="1"/>
  <c r="X171" i="47"/>
  <c r="AD171" i="47"/>
  <c r="O172" i="47"/>
  <c r="R172" i="47" s="1"/>
  <c r="X172" i="47"/>
  <c r="C51" i="31" s="1"/>
  <c r="AD172" i="47"/>
  <c r="F51" i="31" s="1"/>
  <c r="O173" i="47"/>
  <c r="R173" i="47" s="1"/>
  <c r="X173" i="47"/>
  <c r="L51" i="31" s="1"/>
  <c r="K52" i="37" s="1"/>
  <c r="N52" i="37" s="1"/>
  <c r="P52" i="37" s="1"/>
  <c r="AD173" i="47"/>
  <c r="O51" i="31" s="1"/>
  <c r="Q51" i="31" s="1"/>
  <c r="O174" i="47"/>
  <c r="R174" i="47" s="1"/>
  <c r="X174" i="47"/>
  <c r="U51" i="31" s="1"/>
  <c r="AD174" i="47"/>
  <c r="X51" i="31" s="1"/>
  <c r="O175" i="47"/>
  <c r="R175" i="47" s="1"/>
  <c r="X175" i="47"/>
  <c r="AD175" i="47"/>
  <c r="F33" i="31" s="1"/>
  <c r="H33" i="31" s="1"/>
  <c r="O176" i="47"/>
  <c r="R176" i="47" s="1"/>
  <c r="X176" i="47"/>
  <c r="L33" i="31" s="1"/>
  <c r="AD176" i="47"/>
  <c r="O33" i="31" s="1"/>
  <c r="O177" i="47"/>
  <c r="R177" i="47" s="1"/>
  <c r="X177" i="47"/>
  <c r="AD177" i="47"/>
  <c r="X33" i="31" s="1"/>
  <c r="Z33" i="31" s="1"/>
  <c r="O178" i="47"/>
  <c r="R178" i="47" s="1"/>
  <c r="X178" i="47"/>
  <c r="AD178" i="47"/>
  <c r="F66" i="31" s="1"/>
  <c r="O179" i="47"/>
  <c r="R179" i="47" s="1"/>
  <c r="X179" i="47"/>
  <c r="L66" i="31" s="1"/>
  <c r="AD179" i="47"/>
  <c r="O66" i="31" s="1"/>
  <c r="Q66" i="31" s="1"/>
  <c r="O180" i="47"/>
  <c r="R180" i="47" s="1"/>
  <c r="X180" i="47"/>
  <c r="U66" i="31" s="1"/>
  <c r="AD180" i="47"/>
  <c r="X66" i="31" s="1"/>
  <c r="Z66" i="31" s="1"/>
  <c r="O181" i="47"/>
  <c r="R181" i="47" s="1"/>
  <c r="X181" i="47"/>
  <c r="AD181" i="47"/>
  <c r="O182" i="47"/>
  <c r="R182" i="47" s="1"/>
  <c r="X182" i="47"/>
  <c r="AD182" i="47"/>
  <c r="O183" i="47"/>
  <c r="R183" i="47" s="1"/>
  <c r="X183" i="47"/>
  <c r="AD183" i="47"/>
  <c r="O184" i="47"/>
  <c r="X184" i="47"/>
  <c r="AD184" i="47"/>
  <c r="O185" i="47"/>
  <c r="X185" i="47"/>
  <c r="AD185" i="47"/>
  <c r="O186" i="47"/>
  <c r="X186" i="47"/>
  <c r="AD186" i="47"/>
  <c r="O187" i="47"/>
  <c r="X187" i="47"/>
  <c r="AD187" i="47"/>
  <c r="O188" i="47"/>
  <c r="X188" i="47"/>
  <c r="AD188" i="47"/>
  <c r="O189" i="47"/>
  <c r="X189" i="47"/>
  <c r="AD189" i="47"/>
  <c r="O190" i="47"/>
  <c r="X190" i="47"/>
  <c r="AD190" i="47"/>
  <c r="O191" i="47"/>
  <c r="X191" i="47"/>
  <c r="AD191" i="47"/>
  <c r="O192" i="47"/>
  <c r="X192" i="47"/>
  <c r="AD192" i="47"/>
  <c r="O193" i="47"/>
  <c r="X193" i="47"/>
  <c r="AD193" i="47"/>
  <c r="O194" i="47"/>
  <c r="X194" i="47"/>
  <c r="AD194" i="47"/>
  <c r="O195" i="47"/>
  <c r="X195" i="47"/>
  <c r="AD195" i="47"/>
  <c r="O199" i="47"/>
  <c r="X199" i="47"/>
  <c r="AD199" i="47"/>
  <c r="O200" i="47"/>
  <c r="X200" i="47"/>
  <c r="AD200" i="47"/>
  <c r="O201" i="47"/>
  <c r="Q201" i="47" s="1"/>
  <c r="Q270" i="47" s="1"/>
  <c r="X201" i="47"/>
  <c r="AD201" i="47"/>
  <c r="O202" i="47"/>
  <c r="X202" i="47"/>
  <c r="AD202" i="47"/>
  <c r="O203" i="47"/>
  <c r="X203" i="47"/>
  <c r="AD203" i="47"/>
  <c r="O204" i="47"/>
  <c r="X204" i="47"/>
  <c r="AD204" i="47"/>
  <c r="O205" i="47"/>
  <c r="Q205" i="47" s="1"/>
  <c r="Q274" i="47" s="1"/>
  <c r="R205" i="47"/>
  <c r="X205" i="47"/>
  <c r="AD205" i="47"/>
  <c r="O206" i="47"/>
  <c r="X206" i="47"/>
  <c r="AD206" i="47"/>
  <c r="O207" i="47"/>
  <c r="Q207" i="47" s="1"/>
  <c r="Q276" i="47" s="1"/>
  <c r="R207" i="47"/>
  <c r="X207" i="47"/>
  <c r="AD207" i="47"/>
  <c r="O208" i="47"/>
  <c r="R208" i="47" s="1"/>
  <c r="X208" i="47"/>
  <c r="C68" i="31" s="1"/>
  <c r="AD208" i="47"/>
  <c r="F68" i="31" s="1"/>
  <c r="O209" i="47"/>
  <c r="R209" i="47" s="1"/>
  <c r="X209" i="47"/>
  <c r="AD209" i="47"/>
  <c r="O68" i="31" s="1"/>
  <c r="Q68" i="31" s="1"/>
  <c r="O210" i="47"/>
  <c r="R210" i="47" s="1"/>
  <c r="X210" i="47"/>
  <c r="U68" i="31" s="1"/>
  <c r="AD210" i="47"/>
  <c r="X68" i="31" s="1"/>
  <c r="O211" i="47"/>
  <c r="R211" i="47" s="1"/>
  <c r="X211" i="47"/>
  <c r="C69" i="31" s="1"/>
  <c r="AD211" i="47"/>
  <c r="F69" i="31" s="1"/>
  <c r="O212" i="47"/>
  <c r="R212" i="47" s="1"/>
  <c r="X212" i="47"/>
  <c r="L69" i="31" s="1"/>
  <c r="K70" i="37" s="1"/>
  <c r="N70" i="37" s="1"/>
  <c r="P70" i="37" s="1"/>
  <c r="AD212" i="47"/>
  <c r="O69" i="31" s="1"/>
  <c r="Q69" i="31" s="1"/>
  <c r="O213" i="47"/>
  <c r="R213" i="47" s="1"/>
  <c r="X213" i="47"/>
  <c r="U69" i="31" s="1"/>
  <c r="S70" i="37" s="1"/>
  <c r="AD213" i="47"/>
  <c r="X69" i="31" s="1"/>
  <c r="Z69" i="31" s="1"/>
  <c r="O214" i="47"/>
  <c r="R214" i="47" s="1"/>
  <c r="X214" i="47"/>
  <c r="C67" i="31" s="1"/>
  <c r="AD214" i="47"/>
  <c r="F67" i="31" s="1"/>
  <c r="O215" i="47"/>
  <c r="R215" i="47"/>
  <c r="X215" i="47"/>
  <c r="L67" i="31" s="1"/>
  <c r="K68" i="37" s="1"/>
  <c r="M68" i="37" s="1"/>
  <c r="AD215" i="47"/>
  <c r="O216" i="47"/>
  <c r="R216" i="47" s="1"/>
  <c r="X216" i="47"/>
  <c r="AD216" i="47"/>
  <c r="X67" i="31" s="1"/>
  <c r="Z67" i="31" s="1"/>
  <c r="O217" i="47"/>
  <c r="R217" i="47" s="1"/>
  <c r="X217" i="47"/>
  <c r="C54" i="31" s="1"/>
  <c r="AD217" i="47"/>
  <c r="F54" i="31" s="1"/>
  <c r="O218" i="47"/>
  <c r="R218" i="47" s="1"/>
  <c r="X218" i="47"/>
  <c r="AD218" i="47"/>
  <c r="O54" i="31" s="1"/>
  <c r="O219" i="47"/>
  <c r="R219" i="47" s="1"/>
  <c r="X219" i="47"/>
  <c r="U54" i="31" s="1"/>
  <c r="AD219" i="47"/>
  <c r="X54" i="31" s="1"/>
  <c r="O220" i="47"/>
  <c r="R220" i="47" s="1"/>
  <c r="X220" i="47"/>
  <c r="C58" i="31" s="1"/>
  <c r="AD220" i="47"/>
  <c r="F58" i="31" s="1"/>
  <c r="H58" i="31" s="1"/>
  <c r="O221" i="47"/>
  <c r="R221" i="47" s="1"/>
  <c r="X221" i="47"/>
  <c r="L58" i="31" s="1"/>
  <c r="AD221" i="47"/>
  <c r="O58" i="31" s="1"/>
  <c r="Q58" i="31" s="1"/>
  <c r="O222" i="47"/>
  <c r="R222" i="47" s="1"/>
  <c r="X222" i="47"/>
  <c r="U58" i="31" s="1"/>
  <c r="S59" i="37" s="1"/>
  <c r="V59" i="37" s="1"/>
  <c r="X59" i="37" s="1"/>
  <c r="Y59" i="37" s="1"/>
  <c r="AD222" i="47"/>
  <c r="O223" i="47"/>
  <c r="R223" i="47" s="1"/>
  <c r="X223" i="47"/>
  <c r="C55" i="31" s="1"/>
  <c r="AD223" i="47"/>
  <c r="F55" i="31" s="1"/>
  <c r="H55" i="31" s="1"/>
  <c r="O224" i="47"/>
  <c r="R224" i="47" s="1"/>
  <c r="X224" i="47"/>
  <c r="L55" i="31" s="1"/>
  <c r="AD224" i="47"/>
  <c r="O55" i="31" s="1"/>
  <c r="O225" i="47"/>
  <c r="R225" i="47" s="1"/>
  <c r="X225" i="47"/>
  <c r="U55" i="31" s="1"/>
  <c r="AD225" i="47"/>
  <c r="X55" i="31" s="1"/>
  <c r="O226" i="47"/>
  <c r="R226" i="47" s="1"/>
  <c r="X226" i="47"/>
  <c r="AD226" i="47"/>
  <c r="F59" i="31" s="1"/>
  <c r="H59" i="31" s="1"/>
  <c r="O227" i="47"/>
  <c r="R227" i="47" s="1"/>
  <c r="X227" i="47"/>
  <c r="AD227" i="47"/>
  <c r="O59" i="31" s="1"/>
  <c r="O228" i="47"/>
  <c r="R228" i="47" s="1"/>
  <c r="X228" i="47"/>
  <c r="U59" i="31" s="1"/>
  <c r="AD228" i="47"/>
  <c r="X59" i="31" s="1"/>
  <c r="Z59" i="31" s="1"/>
  <c r="O229" i="47"/>
  <c r="R229" i="47" s="1"/>
  <c r="X229" i="47"/>
  <c r="AD229" i="47"/>
  <c r="F56" i="31" s="1"/>
  <c r="O230" i="47"/>
  <c r="R230" i="47" s="1"/>
  <c r="X230" i="47"/>
  <c r="L56" i="31" s="1"/>
  <c r="AD230" i="47"/>
  <c r="O56" i="31" s="1"/>
  <c r="O231" i="47"/>
  <c r="R231" i="47" s="1"/>
  <c r="X231" i="47"/>
  <c r="U56" i="31" s="1"/>
  <c r="AD231" i="47"/>
  <c r="X56" i="31" s="1"/>
  <c r="O232" i="47"/>
  <c r="R232" i="47" s="1"/>
  <c r="X232" i="47"/>
  <c r="AD232" i="47"/>
  <c r="F60" i="31" s="1"/>
  <c r="O233" i="47"/>
  <c r="R233" i="47" s="1"/>
  <c r="X233" i="47"/>
  <c r="L60" i="31" s="1"/>
  <c r="AD233" i="47"/>
  <c r="O60" i="31" s="1"/>
  <c r="O234" i="47"/>
  <c r="R234" i="47" s="1"/>
  <c r="X234" i="47"/>
  <c r="AD234" i="47"/>
  <c r="X60" i="31" s="1"/>
  <c r="O235" i="47"/>
  <c r="R235" i="47" s="1"/>
  <c r="X235" i="47"/>
  <c r="C57" i="31" s="1"/>
  <c r="C58" i="37" s="1"/>
  <c r="E58" i="37" s="1"/>
  <c r="AD235" i="47"/>
  <c r="F57" i="31" s="1"/>
  <c r="H57" i="31" s="1"/>
  <c r="O236" i="47"/>
  <c r="R236" i="47" s="1"/>
  <c r="X236" i="47"/>
  <c r="L57" i="31" s="1"/>
  <c r="AD236" i="47"/>
  <c r="O57" i="31" s="1"/>
  <c r="O237" i="47"/>
  <c r="R237" i="47" s="1"/>
  <c r="X237" i="47"/>
  <c r="AD237" i="47"/>
  <c r="O238" i="47"/>
  <c r="R238" i="47" s="1"/>
  <c r="X238" i="47"/>
  <c r="C61" i="31" s="1"/>
  <c r="AD238" i="47"/>
  <c r="F61" i="31" s="1"/>
  <c r="H61" i="31" s="1"/>
  <c r="O239" i="47"/>
  <c r="R239" i="47"/>
  <c r="X239" i="47"/>
  <c r="AD239" i="47"/>
  <c r="O240" i="47"/>
  <c r="R240" i="47" s="1"/>
  <c r="X240" i="47"/>
  <c r="AD240" i="47"/>
  <c r="X61" i="31" s="1"/>
  <c r="Z61" i="31" s="1"/>
  <c r="O241" i="47"/>
  <c r="R241" i="47" s="1"/>
  <c r="X241" i="47"/>
  <c r="C89" i="37" s="1"/>
  <c r="AD241" i="47"/>
  <c r="F90" i="31" s="1"/>
  <c r="O242" i="47"/>
  <c r="R242" i="47" s="1"/>
  <c r="O90" i="31" s="1"/>
  <c r="X242" i="47"/>
  <c r="AD242" i="47"/>
  <c r="O243" i="47"/>
  <c r="R243" i="47"/>
  <c r="X243" i="47"/>
  <c r="AD243" i="47"/>
  <c r="X90" i="31" s="1"/>
  <c r="Z90" i="31" s="1"/>
  <c r="O244" i="47"/>
  <c r="R244" i="47" s="1"/>
  <c r="X244" i="47"/>
  <c r="C50" i="31" s="1"/>
  <c r="AD244" i="47"/>
  <c r="F50" i="31" s="1"/>
  <c r="H50" i="31" s="1"/>
  <c r="O245" i="47"/>
  <c r="R245" i="47"/>
  <c r="X245" i="47"/>
  <c r="L50" i="31" s="1"/>
  <c r="AD245" i="47"/>
  <c r="O50" i="31" s="1"/>
  <c r="Q50" i="31" s="1"/>
  <c r="O246" i="47"/>
  <c r="R246" i="47" s="1"/>
  <c r="X246" i="47"/>
  <c r="U50" i="31" s="1"/>
  <c r="AD246" i="47"/>
  <c r="X50" i="31" s="1"/>
  <c r="O247" i="47"/>
  <c r="R247" i="47"/>
  <c r="X247" i="47"/>
  <c r="C90" i="37" s="1"/>
  <c r="F90" i="37" s="1"/>
  <c r="H90" i="37" s="1"/>
  <c r="AD247" i="47"/>
  <c r="F91" i="31" s="1"/>
  <c r="H91" i="31" s="1"/>
  <c r="O248" i="47"/>
  <c r="R248" i="47" s="1"/>
  <c r="O91" i="31" s="1"/>
  <c r="X248" i="47"/>
  <c r="K90" i="37" s="1"/>
  <c r="AD248" i="47"/>
  <c r="O249" i="47"/>
  <c r="R249" i="47" s="1"/>
  <c r="X249" i="47"/>
  <c r="S90" i="37" s="1"/>
  <c r="AD249" i="47"/>
  <c r="X91" i="31" s="1"/>
  <c r="Z91" i="31" s="1"/>
  <c r="O250" i="47"/>
  <c r="R250" i="47" s="1"/>
  <c r="X250" i="47"/>
  <c r="AD250" i="47"/>
  <c r="F93" i="31" s="1"/>
  <c r="H93" i="31" s="1"/>
  <c r="O251" i="47"/>
  <c r="R251" i="47" s="1"/>
  <c r="X251" i="47"/>
  <c r="K91" i="37" s="1"/>
  <c r="AD251" i="47"/>
  <c r="Q93" i="31" s="1"/>
  <c r="O252" i="47"/>
  <c r="R252" i="47" s="1"/>
  <c r="X252" i="47"/>
  <c r="AD252" i="47"/>
  <c r="O253" i="47"/>
  <c r="R253" i="47"/>
  <c r="X253" i="47"/>
  <c r="AD253" i="47"/>
  <c r="F92" i="31" s="1"/>
  <c r="H92" i="31" s="1"/>
  <c r="O254" i="47"/>
  <c r="R254" i="47" s="1"/>
  <c r="O92" i="31" s="1"/>
  <c r="X254" i="47"/>
  <c r="L92" i="31" s="1"/>
  <c r="N92" i="31" s="1"/>
  <c r="AD254" i="47"/>
  <c r="O255" i="47"/>
  <c r="R255" i="47" s="1"/>
  <c r="X255" i="47"/>
  <c r="U92" i="31" s="1"/>
  <c r="W92" i="31" s="1"/>
  <c r="AD255" i="47"/>
  <c r="X92" i="31" s="1"/>
  <c r="Z92" i="31" s="1"/>
  <c r="O256" i="47"/>
  <c r="O257" i="47"/>
  <c r="O258" i="47"/>
  <c r="O259" i="47"/>
  <c r="X259" i="47"/>
  <c r="C38" i="31" s="1"/>
  <c r="AD259" i="47"/>
  <c r="F38" i="31" s="1"/>
  <c r="O260" i="47"/>
  <c r="X260" i="47"/>
  <c r="L38" i="31" s="1"/>
  <c r="AD260" i="47"/>
  <c r="O38" i="31" s="1"/>
  <c r="Q38" i="31" s="1"/>
  <c r="O261" i="47"/>
  <c r="X261" i="47"/>
  <c r="U38" i="31" s="1"/>
  <c r="AD261" i="47"/>
  <c r="X38" i="31" s="1"/>
  <c r="Z38" i="31" s="1"/>
  <c r="O262" i="47"/>
  <c r="O263" i="47"/>
  <c r="O264" i="47"/>
  <c r="O265" i="47"/>
  <c r="X265" i="47"/>
  <c r="C40" i="31" s="1"/>
  <c r="AD265" i="47"/>
  <c r="F40" i="31" s="1"/>
  <c r="O266" i="47"/>
  <c r="X266" i="47"/>
  <c r="L40" i="31" s="1"/>
  <c r="AD266" i="47"/>
  <c r="O40" i="31" s="1"/>
  <c r="O267" i="47"/>
  <c r="X267" i="47"/>
  <c r="U40" i="31" s="1"/>
  <c r="AD267" i="47"/>
  <c r="X40" i="31" s="1"/>
  <c r="O268" i="47"/>
  <c r="X268" i="47"/>
  <c r="C41" i="31" s="1"/>
  <c r="AD268" i="47"/>
  <c r="F41" i="31" s="1"/>
  <c r="O269" i="47"/>
  <c r="X269" i="47"/>
  <c r="L41" i="31" s="1"/>
  <c r="K42" i="37" s="1"/>
  <c r="M42" i="37" s="1"/>
  <c r="AD269" i="47"/>
  <c r="O41" i="31" s="1"/>
  <c r="Q41" i="31" s="1"/>
  <c r="O270" i="47"/>
  <c r="X270" i="47"/>
  <c r="U41" i="31" s="1"/>
  <c r="S42" i="37" s="1"/>
  <c r="V42" i="37" s="1"/>
  <c r="X42" i="37" s="1"/>
  <c r="AD270" i="47"/>
  <c r="X41" i="31" s="1"/>
  <c r="Z41" i="31" s="1"/>
  <c r="O271" i="47"/>
  <c r="X271" i="47"/>
  <c r="C42" i="31" s="1"/>
  <c r="AD271" i="47"/>
  <c r="F42" i="31" s="1"/>
  <c r="O272" i="47"/>
  <c r="X272" i="47"/>
  <c r="AD272" i="47"/>
  <c r="O42" i="31" s="1"/>
  <c r="O273" i="47"/>
  <c r="X273" i="47"/>
  <c r="U42" i="31" s="1"/>
  <c r="S43" i="37" s="1"/>
  <c r="V43" i="37" s="1"/>
  <c r="X43" i="37" s="1"/>
  <c r="AD273" i="47"/>
  <c r="X42" i="31" s="1"/>
  <c r="Z42" i="31" s="1"/>
  <c r="O274" i="47"/>
  <c r="R274" i="47" s="1"/>
  <c r="X274" i="47"/>
  <c r="C43" i="31" s="1"/>
  <c r="AD274" i="47"/>
  <c r="F43" i="31" s="1"/>
  <c r="O275" i="47"/>
  <c r="X275" i="47"/>
  <c r="L43" i="31" s="1"/>
  <c r="AD275" i="47"/>
  <c r="O43" i="31" s="1"/>
  <c r="Q43" i="31" s="1"/>
  <c r="O276" i="47"/>
  <c r="R276" i="47" s="1"/>
  <c r="X276" i="47"/>
  <c r="AD276" i="47"/>
  <c r="X43" i="31" s="1"/>
  <c r="Z43" i="31" s="1"/>
  <c r="O277" i="47"/>
  <c r="Q277" i="47" s="1"/>
  <c r="W277" i="47"/>
  <c r="W256" i="47" s="1"/>
  <c r="X256" i="47" s="1"/>
  <c r="C37" i="31" s="1"/>
  <c r="AC277" i="47"/>
  <c r="AC256" i="47" s="1"/>
  <c r="O278" i="47"/>
  <c r="Q278" i="47" s="1"/>
  <c r="W278" i="47"/>
  <c r="W257" i="47" s="1"/>
  <c r="X257" i="47" s="1"/>
  <c r="L37" i="31" s="1"/>
  <c r="AC278" i="47"/>
  <c r="AC257" i="47" s="1"/>
  <c r="O279" i="47"/>
  <c r="Q279" i="47" s="1"/>
  <c r="W279" i="47"/>
  <c r="W258" i="47" s="1"/>
  <c r="X258" i="47" s="1"/>
  <c r="U37" i="31" s="1"/>
  <c r="S38" i="37" s="1"/>
  <c r="V38" i="37" s="1"/>
  <c r="X38" i="37" s="1"/>
  <c r="AC279" i="47"/>
  <c r="AC258" i="47" s="1"/>
  <c r="O280" i="47"/>
  <c r="Q280" i="47" s="1"/>
  <c r="W280" i="47"/>
  <c r="W262" i="47" s="1"/>
  <c r="AC280" i="47"/>
  <c r="AC262" i="47" s="1"/>
  <c r="O281" i="47"/>
  <c r="Q281" i="47" s="1"/>
  <c r="W281" i="47"/>
  <c r="W263" i="47" s="1"/>
  <c r="AC281" i="47"/>
  <c r="AC263" i="47" s="1"/>
  <c r="O282" i="47"/>
  <c r="Q282" i="47" s="1"/>
  <c r="W282" i="47"/>
  <c r="AC282" i="47"/>
  <c r="O283" i="47"/>
  <c r="R283" i="47" s="1"/>
  <c r="X283" i="47"/>
  <c r="AD283" i="47"/>
  <c r="O284" i="47"/>
  <c r="R284" i="47" s="1"/>
  <c r="X284" i="47"/>
  <c r="AD284" i="47"/>
  <c r="O285" i="47"/>
  <c r="R285" i="47" s="1"/>
  <c r="X285" i="47"/>
  <c r="AD285" i="47"/>
  <c r="H12" i="46"/>
  <c r="J12" i="46"/>
  <c r="Q12" i="46"/>
  <c r="H13" i="46"/>
  <c r="J13" i="46"/>
  <c r="Q13" i="46"/>
  <c r="H14" i="46"/>
  <c r="J14" i="46"/>
  <c r="Q14" i="46"/>
  <c r="C45" i="36" s="1"/>
  <c r="E45" i="36" s="1"/>
  <c r="G45" i="36" s="1"/>
  <c r="H15" i="46"/>
  <c r="J15" i="46"/>
  <c r="Q15" i="46"/>
  <c r="C46" i="36" s="1"/>
  <c r="H16" i="46"/>
  <c r="J16" i="46"/>
  <c r="Q16" i="46"/>
  <c r="H17" i="46"/>
  <c r="J17" i="46"/>
  <c r="Q17" i="46"/>
  <c r="C48" i="36" s="1"/>
  <c r="E48" i="36" s="1"/>
  <c r="G48" i="36" s="1"/>
  <c r="H18" i="46"/>
  <c r="J18" i="46"/>
  <c r="Q18" i="46"/>
  <c r="C49" i="36" s="1"/>
  <c r="E49" i="36" s="1"/>
  <c r="G49" i="36" s="1"/>
  <c r="H19" i="46"/>
  <c r="J19" i="46"/>
  <c r="Q19" i="46"/>
  <c r="C50" i="36" s="1"/>
  <c r="E50" i="36" s="1"/>
  <c r="G50" i="36" s="1"/>
  <c r="H20" i="46"/>
  <c r="J20" i="46"/>
  <c r="Q20" i="46"/>
  <c r="C51" i="36" s="1"/>
  <c r="E51" i="36" s="1"/>
  <c r="G51" i="36" s="1"/>
  <c r="H21" i="46"/>
  <c r="J21" i="46"/>
  <c r="Q21" i="46"/>
  <c r="C52" i="36" s="1"/>
  <c r="E52" i="36" s="1"/>
  <c r="G52" i="36" s="1"/>
  <c r="H22" i="46"/>
  <c r="J22" i="46"/>
  <c r="Q22" i="46"/>
  <c r="C53" i="36" s="1"/>
  <c r="E53" i="36" s="1"/>
  <c r="G53" i="36" s="1"/>
  <c r="H23" i="46"/>
  <c r="J23" i="46"/>
  <c r="Q23" i="46"/>
  <c r="C54" i="36" s="1"/>
  <c r="E54" i="36" s="1"/>
  <c r="G54" i="36" s="1"/>
  <c r="C25" i="46"/>
  <c r="D25" i="46"/>
  <c r="E25" i="46"/>
  <c r="F25" i="46"/>
  <c r="G25" i="46"/>
  <c r="L25" i="46"/>
  <c r="M25" i="46"/>
  <c r="N25" i="46"/>
  <c r="O25" i="46"/>
  <c r="P25" i="46"/>
  <c r="A35" i="46"/>
  <c r="H35" i="46"/>
  <c r="C14" i="36" s="1"/>
  <c r="Q35" i="46"/>
  <c r="A36" i="46"/>
  <c r="H36" i="46"/>
  <c r="C15" i="36" s="1"/>
  <c r="Q36" i="46"/>
  <c r="A37" i="46"/>
  <c r="H37" i="46"/>
  <c r="C16" i="36" s="1"/>
  <c r="Q37" i="46"/>
  <c r="A38" i="46"/>
  <c r="H38" i="46"/>
  <c r="C17" i="36" s="1"/>
  <c r="Q38" i="46"/>
  <c r="A39" i="46"/>
  <c r="H39" i="46"/>
  <c r="C18" i="36" s="1"/>
  <c r="E18" i="36" s="1"/>
  <c r="Q39" i="46"/>
  <c r="A40" i="46"/>
  <c r="H40" i="46"/>
  <c r="C19" i="36" s="1"/>
  <c r="Q40" i="46"/>
  <c r="A41" i="46"/>
  <c r="H41" i="46"/>
  <c r="C20" i="36" s="1"/>
  <c r="Q41" i="46"/>
  <c r="A42" i="46"/>
  <c r="H42" i="46"/>
  <c r="C21" i="36" s="1"/>
  <c r="Q42" i="46"/>
  <c r="A43" i="46"/>
  <c r="H43" i="46"/>
  <c r="Q43" i="46"/>
  <c r="A44" i="46"/>
  <c r="H44" i="46"/>
  <c r="C23" i="36" s="1"/>
  <c r="E23" i="36" s="1"/>
  <c r="Q44" i="46"/>
  <c r="A45" i="46"/>
  <c r="H45" i="46"/>
  <c r="C24" i="36" s="1"/>
  <c r="E24" i="36" s="1"/>
  <c r="Q45" i="46"/>
  <c r="A46" i="46"/>
  <c r="H46" i="46"/>
  <c r="C25" i="36" s="1"/>
  <c r="E25" i="36" s="1"/>
  <c r="Q46" i="46"/>
  <c r="C48" i="46"/>
  <c r="D48" i="46"/>
  <c r="E48" i="46"/>
  <c r="F48" i="46"/>
  <c r="G48" i="46"/>
  <c r="L48" i="46"/>
  <c r="M48" i="46"/>
  <c r="N48" i="46"/>
  <c r="O48" i="46"/>
  <c r="P48" i="46"/>
  <c r="H58" i="46"/>
  <c r="Q58" i="46"/>
  <c r="H59" i="46"/>
  <c r="Q59" i="46"/>
  <c r="H60" i="46"/>
  <c r="Q60" i="46"/>
  <c r="H61" i="46"/>
  <c r="Q61" i="46"/>
  <c r="H62" i="46"/>
  <c r="Q62" i="46"/>
  <c r="H63" i="46"/>
  <c r="Q63" i="46"/>
  <c r="H64" i="46"/>
  <c r="Q64" i="46"/>
  <c r="H65" i="46"/>
  <c r="Q65" i="46"/>
  <c r="H66" i="46"/>
  <c r="Q66" i="46"/>
  <c r="H67" i="46"/>
  <c r="Q67" i="46"/>
  <c r="H68" i="46"/>
  <c r="Q68" i="46"/>
  <c r="H69" i="46"/>
  <c r="Q69" i="46"/>
  <c r="C71" i="46"/>
  <c r="D71" i="46"/>
  <c r="E71" i="46"/>
  <c r="F71" i="46"/>
  <c r="G71" i="46"/>
  <c r="L71" i="46"/>
  <c r="M75" i="46" s="1"/>
  <c r="M71" i="46"/>
  <c r="N71" i="46"/>
  <c r="O71" i="46"/>
  <c r="P71" i="46"/>
  <c r="L75" i="46"/>
  <c r="H82" i="46"/>
  <c r="Q82" i="46"/>
  <c r="H83" i="46"/>
  <c r="Q83" i="46"/>
  <c r="H84" i="46"/>
  <c r="Q84" i="46"/>
  <c r="H85" i="46"/>
  <c r="Q85" i="46"/>
  <c r="H86" i="46"/>
  <c r="Q86" i="46"/>
  <c r="H87" i="46"/>
  <c r="Q87" i="46"/>
  <c r="H88" i="46"/>
  <c r="Q88" i="46"/>
  <c r="H89" i="46"/>
  <c r="Q89" i="46"/>
  <c r="H90" i="46"/>
  <c r="Q90" i="46"/>
  <c r="H91" i="46"/>
  <c r="Q91" i="46"/>
  <c r="H92" i="46"/>
  <c r="Q92" i="46"/>
  <c r="H93" i="46"/>
  <c r="Q93" i="46"/>
  <c r="C95" i="46"/>
  <c r="D95" i="46"/>
  <c r="E95" i="46"/>
  <c r="F95" i="46"/>
  <c r="G95" i="46"/>
  <c r="L95" i="46"/>
  <c r="L99" i="46"/>
  <c r="M95" i="46"/>
  <c r="M97" i="46" s="1"/>
  <c r="N95" i="46"/>
  <c r="O95" i="46"/>
  <c r="P95" i="46"/>
  <c r="P97" i="46" s="1"/>
  <c r="Q95" i="46"/>
  <c r="N97" i="46" s="1"/>
  <c r="L97" i="46"/>
  <c r="Q97" i="46" s="1"/>
  <c r="O97" i="46"/>
  <c r="F14" i="45"/>
  <c r="T14" i="45"/>
  <c r="F15" i="45"/>
  <c r="T15" i="45"/>
  <c r="F16" i="45"/>
  <c r="T16" i="45"/>
  <c r="F17" i="45"/>
  <c r="T17" i="45"/>
  <c r="F18" i="45"/>
  <c r="T18" i="45"/>
  <c r="C20" i="45"/>
  <c r="D20" i="45"/>
  <c r="E20" i="45"/>
  <c r="E16" i="6" s="1"/>
  <c r="E14" i="6" s="1"/>
  <c r="H20" i="45"/>
  <c r="J20" i="45"/>
  <c r="K20" i="45"/>
  <c r="L20" i="45"/>
  <c r="M20" i="45"/>
  <c r="N20" i="45"/>
  <c r="D29" i="6" s="1"/>
  <c r="D27" i="6" s="1"/>
  <c r="O20" i="45"/>
  <c r="E29" i="6" s="1"/>
  <c r="P20" i="45"/>
  <c r="F29" i="6" s="1"/>
  <c r="F27" i="6" s="1"/>
  <c r="Q20" i="45"/>
  <c r="G29" i="6" s="1"/>
  <c r="R20" i="45"/>
  <c r="S20" i="45"/>
  <c r="I29" i="6" s="1"/>
  <c r="O9" i="44"/>
  <c r="O10" i="44"/>
  <c r="O11" i="44"/>
  <c r="O12" i="44"/>
  <c r="O13" i="44"/>
  <c r="J15" i="44"/>
  <c r="J17" i="44"/>
  <c r="O18" i="44"/>
  <c r="O19" i="44"/>
  <c r="J21" i="44"/>
  <c r="A59" i="5"/>
  <c r="A14" i="27"/>
  <c r="A16" i="5"/>
  <c r="J24" i="44"/>
  <c r="O26" i="44"/>
  <c r="O27" i="44"/>
  <c r="O28" i="44"/>
  <c r="O29" i="44"/>
  <c r="O30" i="44"/>
  <c r="C13" i="5"/>
  <c r="C14" i="5"/>
  <c r="C15" i="5"/>
  <c r="C16" i="5"/>
  <c r="J32" i="44"/>
  <c r="C17" i="5" s="1"/>
  <c r="D17" i="5" s="1"/>
  <c r="H17" i="5" s="1"/>
  <c r="I17" i="5" s="1"/>
  <c r="J34" i="44"/>
  <c r="O35" i="44"/>
  <c r="O36" i="44"/>
  <c r="J38" i="44"/>
  <c r="O43" i="44"/>
  <c r="O44" i="44"/>
  <c r="O45" i="44"/>
  <c r="O46" i="44"/>
  <c r="O47" i="44"/>
  <c r="C59" i="5"/>
  <c r="C61" i="5"/>
  <c r="J49" i="44"/>
  <c r="C63" i="5" s="1"/>
  <c r="D63" i="5" s="1"/>
  <c r="H63" i="5" s="1"/>
  <c r="I63" i="5" s="1"/>
  <c r="J51" i="44"/>
  <c r="O52" i="44"/>
  <c r="O53" i="44"/>
  <c r="J55" i="44"/>
  <c r="O61" i="44"/>
  <c r="O62" i="44"/>
  <c r="O63" i="44"/>
  <c r="O64" i="44"/>
  <c r="O65" i="44"/>
  <c r="C36" i="5"/>
  <c r="C38" i="5"/>
  <c r="J67" i="44"/>
  <c r="C39" i="5" s="1"/>
  <c r="D39" i="5" s="1"/>
  <c r="H39" i="5" s="1"/>
  <c r="I39" i="5" s="1"/>
  <c r="J69" i="44"/>
  <c r="O70" i="44"/>
  <c r="O71" i="44"/>
  <c r="J73" i="44"/>
  <c r="D37" i="43"/>
  <c r="E33" i="43" s="1"/>
  <c r="D49" i="43"/>
  <c r="E43" i="43" s="1"/>
  <c r="F10" i="42"/>
  <c r="F11" i="42"/>
  <c r="F12" i="42"/>
  <c r="F13" i="42"/>
  <c r="F14" i="42"/>
  <c r="F15" i="42"/>
  <c r="F16" i="42"/>
  <c r="F20" i="42"/>
  <c r="F21" i="42"/>
  <c r="F24" i="42"/>
  <c r="F25" i="42"/>
  <c r="F26" i="42"/>
  <c r="F32" i="42"/>
  <c r="F34" i="42"/>
  <c r="F35" i="42"/>
  <c r="F39" i="42"/>
  <c r="F40" i="42"/>
  <c r="F41" i="42"/>
  <c r="F42" i="42"/>
  <c r="F43" i="42"/>
  <c r="F44" i="42"/>
  <c r="F45" i="42"/>
  <c r="F46" i="42"/>
  <c r="F47" i="42"/>
  <c r="F51" i="42"/>
  <c r="F52" i="42"/>
  <c r="F53" i="42"/>
  <c r="F54" i="42"/>
  <c r="F55" i="42"/>
  <c r="F56" i="42"/>
  <c r="F57" i="42"/>
  <c r="F58" i="42"/>
  <c r="F59" i="42"/>
  <c r="F60" i="42"/>
  <c r="F61" i="42"/>
  <c r="F62" i="42"/>
  <c r="F63" i="42"/>
  <c r="F64" i="42"/>
  <c r="F65" i="42"/>
  <c r="F72" i="42"/>
  <c r="F73" i="42"/>
  <c r="F76" i="42"/>
  <c r="F77" i="42"/>
  <c r="F78" i="42"/>
  <c r="F79" i="42"/>
  <c r="F80" i="42"/>
  <c r="F81" i="42"/>
  <c r="A1" i="41"/>
  <c r="G14" i="41"/>
  <c r="G15" i="41"/>
  <c r="G16" i="41"/>
  <c r="G17" i="41"/>
  <c r="E19" i="41"/>
  <c r="F19" i="41"/>
  <c r="G29" i="41"/>
  <c r="A1" i="40"/>
  <c r="A12" i="40"/>
  <c r="C12" i="40"/>
  <c r="C13" i="40"/>
  <c r="A15" i="40"/>
  <c r="A34" i="40"/>
  <c r="A1" i="39"/>
  <c r="B11" i="39"/>
  <c r="D11" i="39" s="1"/>
  <c r="C11" i="39"/>
  <c r="G11" i="39"/>
  <c r="L11" i="39" s="1"/>
  <c r="H11" i="39"/>
  <c r="I11" i="39"/>
  <c r="M11" i="39"/>
  <c r="N11" i="39"/>
  <c r="B12" i="39"/>
  <c r="D12" i="39" s="1"/>
  <c r="C12" i="39"/>
  <c r="G12" i="39"/>
  <c r="L12" i="39" s="1"/>
  <c r="H12" i="39"/>
  <c r="J12" i="39" s="1"/>
  <c r="I12" i="39"/>
  <c r="M12" i="39"/>
  <c r="N12" i="39"/>
  <c r="B13" i="39"/>
  <c r="D13" i="39" s="1"/>
  <c r="C13" i="39"/>
  <c r="G13" i="39"/>
  <c r="L13" i="39" s="1"/>
  <c r="H13" i="39"/>
  <c r="J13" i="39" s="1"/>
  <c r="I13" i="39"/>
  <c r="M13" i="39"/>
  <c r="N13" i="39"/>
  <c r="B14" i="39"/>
  <c r="D14" i="39" s="1"/>
  <c r="C14" i="39"/>
  <c r="G14" i="39"/>
  <c r="L14" i="39" s="1"/>
  <c r="H14" i="39"/>
  <c r="J14" i="39"/>
  <c r="I14" i="39"/>
  <c r="M14" i="39"/>
  <c r="N14" i="39"/>
  <c r="B15" i="39"/>
  <c r="C15" i="39"/>
  <c r="G15" i="39"/>
  <c r="L15" i="39" s="1"/>
  <c r="H15" i="39"/>
  <c r="J15" i="39" s="1"/>
  <c r="I15" i="39"/>
  <c r="M15" i="39"/>
  <c r="N15" i="39"/>
  <c r="B16" i="39"/>
  <c r="D16" i="39" s="1"/>
  <c r="C16" i="39"/>
  <c r="G16" i="39"/>
  <c r="L16" i="39" s="1"/>
  <c r="H16" i="39"/>
  <c r="J16" i="39" s="1"/>
  <c r="I16" i="39"/>
  <c r="M16" i="39"/>
  <c r="N16" i="39"/>
  <c r="B17" i="39"/>
  <c r="C17" i="39"/>
  <c r="G17" i="39"/>
  <c r="L17" i="39" s="1"/>
  <c r="H17" i="39"/>
  <c r="J17" i="39" s="1"/>
  <c r="I17" i="39"/>
  <c r="M17" i="39"/>
  <c r="N17" i="39"/>
  <c r="B18" i="39"/>
  <c r="D18" i="39" s="1"/>
  <c r="C18" i="39"/>
  <c r="G18" i="39"/>
  <c r="L18" i="39" s="1"/>
  <c r="H18" i="39"/>
  <c r="J18" i="39" s="1"/>
  <c r="I18" i="39"/>
  <c r="M18" i="39"/>
  <c r="N18" i="39"/>
  <c r="B19" i="39"/>
  <c r="D19" i="39" s="1"/>
  <c r="C19" i="39"/>
  <c r="G19" i="39"/>
  <c r="L19" i="39" s="1"/>
  <c r="H19" i="39"/>
  <c r="J19" i="39" s="1"/>
  <c r="I19" i="39"/>
  <c r="M19" i="39"/>
  <c r="N19" i="39"/>
  <c r="B20" i="39"/>
  <c r="D20" i="39" s="1"/>
  <c r="C20" i="39"/>
  <c r="G20" i="39"/>
  <c r="L20" i="39" s="1"/>
  <c r="H20" i="39"/>
  <c r="J20" i="39" s="1"/>
  <c r="I20" i="39"/>
  <c r="M20" i="39"/>
  <c r="N20" i="39"/>
  <c r="B21" i="39"/>
  <c r="D21" i="39"/>
  <c r="C21" i="39"/>
  <c r="G21" i="39"/>
  <c r="L21" i="39" s="1"/>
  <c r="H21" i="39"/>
  <c r="J21" i="39"/>
  <c r="I21" i="39"/>
  <c r="M21" i="39"/>
  <c r="N21" i="39"/>
  <c r="B22" i="39"/>
  <c r="D22" i="39" s="1"/>
  <c r="C22" i="39"/>
  <c r="G22" i="39"/>
  <c r="L22" i="39" s="1"/>
  <c r="H22" i="39"/>
  <c r="J22" i="39" s="1"/>
  <c r="I22" i="39"/>
  <c r="M22" i="39"/>
  <c r="N22" i="39"/>
  <c r="E24" i="39"/>
  <c r="D26" i="39"/>
  <c r="G26" i="39"/>
  <c r="J26" i="39"/>
  <c r="L26" i="39"/>
  <c r="O26" i="39"/>
  <c r="D27" i="39"/>
  <c r="G27" i="39"/>
  <c r="L27" i="39" s="1"/>
  <c r="J27" i="39"/>
  <c r="O27" i="39"/>
  <c r="D28" i="39"/>
  <c r="G28" i="39"/>
  <c r="L28" i="39" s="1"/>
  <c r="J28" i="39"/>
  <c r="O28" i="39"/>
  <c r="L41" i="39"/>
  <c r="P41" i="39"/>
  <c r="R41" i="39"/>
  <c r="L42" i="39"/>
  <c r="P42" i="39"/>
  <c r="Q42" i="39"/>
  <c r="R42" i="39"/>
  <c r="B43" i="39"/>
  <c r="C43" i="39"/>
  <c r="E43" i="39"/>
  <c r="F43" i="39"/>
  <c r="H43" i="39"/>
  <c r="I43" i="39"/>
  <c r="J43" i="39" s="1"/>
  <c r="L43" i="39"/>
  <c r="P43" i="39"/>
  <c r="Q43" i="39"/>
  <c r="R43" i="39"/>
  <c r="B44" i="39"/>
  <c r="C44" i="39"/>
  <c r="E44" i="39"/>
  <c r="F44" i="39"/>
  <c r="G44" i="39" s="1"/>
  <c r="H44" i="39"/>
  <c r="I44" i="39"/>
  <c r="L44" i="39"/>
  <c r="B45" i="39"/>
  <c r="C45" i="39"/>
  <c r="E45" i="39"/>
  <c r="F45" i="39"/>
  <c r="H45" i="39"/>
  <c r="I45" i="39"/>
  <c r="L45" i="39"/>
  <c r="R45" i="39"/>
  <c r="B46" i="39"/>
  <c r="C46" i="39"/>
  <c r="E46" i="39"/>
  <c r="F46" i="39"/>
  <c r="H46" i="39"/>
  <c r="I46" i="39"/>
  <c r="B47" i="39"/>
  <c r="C47" i="39"/>
  <c r="E47" i="39"/>
  <c r="F47" i="39"/>
  <c r="H47" i="39"/>
  <c r="I47" i="39"/>
  <c r="B48" i="39"/>
  <c r="C48" i="39"/>
  <c r="E48" i="39"/>
  <c r="F48" i="39"/>
  <c r="H48" i="39"/>
  <c r="I48" i="39"/>
  <c r="B49" i="39"/>
  <c r="C49" i="39"/>
  <c r="E49" i="39"/>
  <c r="F49" i="39"/>
  <c r="K49" i="39" s="1"/>
  <c r="H49" i="39"/>
  <c r="I49" i="39"/>
  <c r="B50" i="39"/>
  <c r="C50" i="39"/>
  <c r="E50" i="39"/>
  <c r="F50" i="39"/>
  <c r="G50" i="39"/>
  <c r="H50" i="39"/>
  <c r="I50" i="39"/>
  <c r="B51" i="39"/>
  <c r="C51" i="39"/>
  <c r="E51" i="39"/>
  <c r="F51" i="39"/>
  <c r="H51" i="39"/>
  <c r="I51" i="39"/>
  <c r="B52" i="39"/>
  <c r="C52" i="39"/>
  <c r="E52" i="39"/>
  <c r="F52" i="39"/>
  <c r="H52" i="39"/>
  <c r="I52" i="39"/>
  <c r="B53" i="39"/>
  <c r="C53" i="39"/>
  <c r="E53" i="39"/>
  <c r="F53" i="39"/>
  <c r="H53" i="39"/>
  <c r="I53" i="39"/>
  <c r="B54" i="39"/>
  <c r="C54" i="39"/>
  <c r="E54" i="39"/>
  <c r="F54" i="39"/>
  <c r="G54" i="39" s="1"/>
  <c r="H54" i="39"/>
  <c r="I54" i="39"/>
  <c r="B55" i="39"/>
  <c r="C55" i="39"/>
  <c r="E55" i="39"/>
  <c r="F55" i="39"/>
  <c r="H55" i="39"/>
  <c r="I55" i="39"/>
  <c r="B56" i="39"/>
  <c r="C56" i="39"/>
  <c r="E56" i="39"/>
  <c r="F56" i="39"/>
  <c r="H56" i="39"/>
  <c r="I56" i="39"/>
  <c r="B57" i="39"/>
  <c r="C57" i="39"/>
  <c r="E57" i="39"/>
  <c r="F57" i="39"/>
  <c r="H57" i="39"/>
  <c r="I57" i="39"/>
  <c r="B58" i="39"/>
  <c r="C58" i="39"/>
  <c r="E58" i="39"/>
  <c r="F58" i="39"/>
  <c r="H58" i="39"/>
  <c r="I58" i="39"/>
  <c r="B59" i="39"/>
  <c r="C59" i="39"/>
  <c r="E59" i="39"/>
  <c r="F59" i="39"/>
  <c r="H59" i="39"/>
  <c r="I59" i="39"/>
  <c r="B60" i="39"/>
  <c r="C60" i="39"/>
  <c r="E60" i="39"/>
  <c r="F60" i="39"/>
  <c r="H60" i="39"/>
  <c r="I60" i="39"/>
  <c r="D64" i="39"/>
  <c r="G64" i="39"/>
  <c r="J64" i="39"/>
  <c r="K64" i="39"/>
  <c r="D65" i="39"/>
  <c r="G65" i="39"/>
  <c r="J65" i="39"/>
  <c r="K65" i="39"/>
  <c r="D66" i="39"/>
  <c r="G66" i="39"/>
  <c r="J66" i="39"/>
  <c r="K66" i="39"/>
  <c r="D67" i="39"/>
  <c r="G67" i="39"/>
  <c r="J67" i="39"/>
  <c r="K67" i="39"/>
  <c r="D68" i="39"/>
  <c r="G68" i="39"/>
  <c r="J68" i="39"/>
  <c r="K68" i="39"/>
  <c r="D69" i="39"/>
  <c r="G69" i="39"/>
  <c r="J69" i="39"/>
  <c r="K69" i="39"/>
  <c r="D70" i="39"/>
  <c r="G70" i="39"/>
  <c r="J70" i="39"/>
  <c r="K70" i="39"/>
  <c r="D71" i="39"/>
  <c r="G71" i="39"/>
  <c r="J71" i="39"/>
  <c r="K71" i="39"/>
  <c r="D72" i="39"/>
  <c r="G72" i="39"/>
  <c r="J72" i="39"/>
  <c r="K72" i="39"/>
  <c r="D73" i="39"/>
  <c r="G73" i="39"/>
  <c r="J73" i="39"/>
  <c r="K73" i="39"/>
  <c r="D74" i="39"/>
  <c r="G74" i="39"/>
  <c r="J74" i="39"/>
  <c r="K74" i="39"/>
  <c r="D75" i="39"/>
  <c r="G75" i="39"/>
  <c r="J75" i="39"/>
  <c r="K75" i="39"/>
  <c r="A1" i="38"/>
  <c r="D11" i="38"/>
  <c r="G11" i="38"/>
  <c r="M11" i="38" s="1"/>
  <c r="J11" i="38"/>
  <c r="D12" i="38"/>
  <c r="G12" i="38"/>
  <c r="M12" i="38" s="1"/>
  <c r="J12" i="38"/>
  <c r="D13" i="38"/>
  <c r="G13" i="38"/>
  <c r="M13" i="38" s="1"/>
  <c r="J13" i="38"/>
  <c r="D14" i="38"/>
  <c r="G14" i="38"/>
  <c r="M14" i="38" s="1"/>
  <c r="J14" i="38"/>
  <c r="D15" i="38"/>
  <c r="G15" i="38"/>
  <c r="M15" i="38" s="1"/>
  <c r="J15" i="38"/>
  <c r="D16" i="38"/>
  <c r="G16" i="38"/>
  <c r="M16" i="38" s="1"/>
  <c r="J16" i="38"/>
  <c r="D17" i="38"/>
  <c r="G17" i="38"/>
  <c r="M17" i="38" s="1"/>
  <c r="J17" i="38"/>
  <c r="D18" i="38"/>
  <c r="G18" i="38"/>
  <c r="M18" i="38" s="1"/>
  <c r="J18" i="38"/>
  <c r="D19" i="38"/>
  <c r="G19" i="38"/>
  <c r="M19" i="38" s="1"/>
  <c r="J19" i="38"/>
  <c r="D20" i="38"/>
  <c r="G20" i="38"/>
  <c r="M20" i="38" s="1"/>
  <c r="J20" i="38"/>
  <c r="P20" i="38"/>
  <c r="D21" i="38"/>
  <c r="G21" i="38"/>
  <c r="M21" i="38"/>
  <c r="J21" i="38"/>
  <c r="P21" i="38"/>
  <c r="D22" i="38"/>
  <c r="G22" i="38"/>
  <c r="M22" i="38" s="1"/>
  <c r="J22" i="38"/>
  <c r="P22" i="38"/>
  <c r="B24" i="38"/>
  <c r="C24" i="38"/>
  <c r="E24" i="38"/>
  <c r="H24" i="38"/>
  <c r="I24" i="38"/>
  <c r="J24" i="38" s="1"/>
  <c r="N24" i="38"/>
  <c r="O24" i="38"/>
  <c r="Q44" i="38"/>
  <c r="Q41" i="39" s="1"/>
  <c r="R44" i="38"/>
  <c r="D52" i="38"/>
  <c r="G52" i="38"/>
  <c r="J52" i="38"/>
  <c r="K52" i="38"/>
  <c r="D53" i="38"/>
  <c r="G53" i="38"/>
  <c r="J53" i="38"/>
  <c r="K53" i="38"/>
  <c r="D54" i="38"/>
  <c r="G54" i="38"/>
  <c r="J54" i="38"/>
  <c r="K54" i="38"/>
  <c r="D55" i="38"/>
  <c r="G55" i="38"/>
  <c r="J55" i="38"/>
  <c r="K55" i="38"/>
  <c r="D56" i="38"/>
  <c r="G56" i="38"/>
  <c r="J56" i="38"/>
  <c r="K56" i="38"/>
  <c r="D57" i="38"/>
  <c r="G57" i="38"/>
  <c r="J57" i="38"/>
  <c r="K57" i="38"/>
  <c r="B59" i="38"/>
  <c r="C59" i="38"/>
  <c r="E59" i="38"/>
  <c r="F59" i="38"/>
  <c r="Q42" i="38" s="1"/>
  <c r="Q51" i="38" s="1"/>
  <c r="H59" i="38"/>
  <c r="I59" i="38"/>
  <c r="R42" i="38" s="1"/>
  <c r="R51" i="38" s="1"/>
  <c r="U11" i="37"/>
  <c r="U13" i="37"/>
  <c r="F58" i="37"/>
  <c r="H58" i="37" s="1"/>
  <c r="N90" i="37"/>
  <c r="P90" i="37" s="1"/>
  <c r="N91" i="37"/>
  <c r="P91" i="37" s="1"/>
  <c r="E14" i="36"/>
  <c r="E15" i="36"/>
  <c r="C43" i="36"/>
  <c r="E43" i="36" s="1"/>
  <c r="G43" i="36" s="1"/>
  <c r="C44" i="36"/>
  <c r="E44" i="36" s="1"/>
  <c r="G44" i="36" s="1"/>
  <c r="C47" i="36"/>
  <c r="E47" i="36" s="1"/>
  <c r="G47" i="36" s="1"/>
  <c r="H12" i="35"/>
  <c r="I12" i="35"/>
  <c r="H13" i="35"/>
  <c r="I13" i="35"/>
  <c r="H14" i="35"/>
  <c r="I14" i="35"/>
  <c r="H15" i="35"/>
  <c r="I15" i="35"/>
  <c r="H16" i="35"/>
  <c r="I16" i="35"/>
  <c r="H17" i="35"/>
  <c r="I17" i="35"/>
  <c r="H18" i="35"/>
  <c r="I18" i="35"/>
  <c r="H19" i="35"/>
  <c r="I19" i="35"/>
  <c r="H20" i="35"/>
  <c r="I20" i="35"/>
  <c r="H21" i="35"/>
  <c r="I21" i="35"/>
  <c r="H22" i="35"/>
  <c r="I22" i="35"/>
  <c r="H23" i="35"/>
  <c r="I23" i="35"/>
  <c r="F13" i="34"/>
  <c r="F14" i="34"/>
  <c r="F15" i="34"/>
  <c r="F16" i="34"/>
  <c r="F17" i="34"/>
  <c r="F18" i="34"/>
  <c r="F19" i="34"/>
  <c r="F21" i="34"/>
  <c r="F22" i="34"/>
  <c r="D24" i="34"/>
  <c r="H12" i="33"/>
  <c r="H13" i="33"/>
  <c r="H14" i="33"/>
  <c r="H15" i="33"/>
  <c r="C17" i="33"/>
  <c r="D17" i="33"/>
  <c r="F31" i="33" s="1"/>
  <c r="E17" i="33"/>
  <c r="E22" i="33" s="1"/>
  <c r="E35" i="33" s="1"/>
  <c r="F17" i="33"/>
  <c r="F22" i="33" s="1"/>
  <c r="F35" i="33" s="1"/>
  <c r="H19" i="33"/>
  <c r="H20" i="33"/>
  <c r="M12" i="32"/>
  <c r="M15" i="32"/>
  <c r="N15" i="32"/>
  <c r="M16" i="32"/>
  <c r="N16" i="32"/>
  <c r="M17" i="32"/>
  <c r="N17" i="32"/>
  <c r="M18" i="32"/>
  <c r="N18" i="32"/>
  <c r="M20" i="32"/>
  <c r="M21" i="32"/>
  <c r="N21" i="32"/>
  <c r="M22" i="32"/>
  <c r="N22" i="32"/>
  <c r="N23" i="32"/>
  <c r="N24" i="32"/>
  <c r="M25" i="32"/>
  <c r="N25" i="32"/>
  <c r="M26" i="32"/>
  <c r="N26" i="32"/>
  <c r="M28" i="32"/>
  <c r="N28" i="32"/>
  <c r="M29" i="32"/>
  <c r="N29" i="32"/>
  <c r="M31" i="32"/>
  <c r="N31" i="32"/>
  <c r="E34" i="32"/>
  <c r="F34" i="32"/>
  <c r="G34" i="32"/>
  <c r="H34" i="32"/>
  <c r="I34" i="32"/>
  <c r="J34" i="32"/>
  <c r="K34" i="32"/>
  <c r="L34" i="32"/>
  <c r="A39" i="32"/>
  <c r="E39" i="32"/>
  <c r="P12" i="32" s="1"/>
  <c r="Q12" i="32" s="1"/>
  <c r="Q41" i="32" s="1"/>
  <c r="H15" i="9" s="1"/>
  <c r="A42" i="32"/>
  <c r="C42" i="32"/>
  <c r="E42" i="32" s="1"/>
  <c r="A43" i="32"/>
  <c r="C43" i="32"/>
  <c r="E43" i="32" s="1"/>
  <c r="P16" i="32" s="1"/>
  <c r="Q16" i="32" s="1"/>
  <c r="A44" i="32"/>
  <c r="C44" i="32"/>
  <c r="E44" i="32" s="1"/>
  <c r="P17" i="32" s="1"/>
  <c r="Q17" i="32" s="1"/>
  <c r="A45" i="32"/>
  <c r="C45" i="32"/>
  <c r="E45" i="32" s="1"/>
  <c r="A47" i="32"/>
  <c r="C47" i="32"/>
  <c r="E47" i="32" s="1"/>
  <c r="P20" i="32" s="1"/>
  <c r="Q20" i="32" s="1"/>
  <c r="R20" i="32" s="1"/>
  <c r="C23" i="40" s="1"/>
  <c r="D23" i="40" s="1"/>
  <c r="A48" i="32"/>
  <c r="C48" i="32"/>
  <c r="E48" i="32" s="1"/>
  <c r="P21" i="32" s="1"/>
  <c r="Q21" i="32" s="1"/>
  <c r="A49" i="32"/>
  <c r="C49" i="32"/>
  <c r="E49" i="32" s="1"/>
  <c r="P22" i="32" s="1"/>
  <c r="Q22" i="32" s="1"/>
  <c r="A50" i="32"/>
  <c r="C50" i="32"/>
  <c r="E50" i="32" s="1"/>
  <c r="P23" i="32" s="1"/>
  <c r="Q23" i="32" s="1"/>
  <c r="Q39" i="32" s="1"/>
  <c r="A51" i="32"/>
  <c r="C51" i="32"/>
  <c r="E51" i="32" s="1"/>
  <c r="P24" i="32" s="1"/>
  <c r="Q24" i="32" s="1"/>
  <c r="A52" i="32"/>
  <c r="C52" i="32"/>
  <c r="E52" i="32" s="1"/>
  <c r="P25" i="32" s="1"/>
  <c r="Q25" i="32" s="1"/>
  <c r="A53" i="32"/>
  <c r="C53" i="32"/>
  <c r="E53" i="32" s="1"/>
  <c r="P26" i="32" s="1"/>
  <c r="Q26" i="32" s="1"/>
  <c r="A55" i="32"/>
  <c r="C55" i="32"/>
  <c r="E55" i="32" s="1"/>
  <c r="P28" i="32" s="1"/>
  <c r="Q28" i="32" s="1"/>
  <c r="E56" i="32"/>
  <c r="P29" i="32" s="1"/>
  <c r="Q40" i="32" s="1"/>
  <c r="A58" i="32"/>
  <c r="C58" i="32"/>
  <c r="E58" i="32" s="1"/>
  <c r="W21" i="31"/>
  <c r="C23" i="31"/>
  <c r="L23" i="31"/>
  <c r="C32" i="31"/>
  <c r="C33" i="31"/>
  <c r="U33" i="31"/>
  <c r="AC35" i="31"/>
  <c r="AC36" i="31"/>
  <c r="L42" i="31"/>
  <c r="U43" i="31"/>
  <c r="S44" i="37" s="1"/>
  <c r="U44" i="37" s="1"/>
  <c r="C45" i="31"/>
  <c r="C46" i="31"/>
  <c r="L46" i="31"/>
  <c r="O47" i="31"/>
  <c r="Q47" i="31" s="1"/>
  <c r="AC52" i="31"/>
  <c r="AC53" i="31"/>
  <c r="L54" i="31"/>
  <c r="C56" i="31"/>
  <c r="U57" i="31"/>
  <c r="S58" i="37" s="1"/>
  <c r="W57" i="31"/>
  <c r="X57" i="31"/>
  <c r="Z57" i="31" s="1"/>
  <c r="X58" i="31"/>
  <c r="Z58" i="31" s="1"/>
  <c r="C59" i="31"/>
  <c r="C60" i="37" s="1"/>
  <c r="F60" i="37" s="1"/>
  <c r="L59" i="31"/>
  <c r="C60" i="31"/>
  <c r="U60" i="31"/>
  <c r="L61" i="31"/>
  <c r="O61" i="31"/>
  <c r="R61" i="31" s="1"/>
  <c r="C58" i="15" s="1"/>
  <c r="C62" i="31"/>
  <c r="L62" i="31"/>
  <c r="L63" i="31"/>
  <c r="L64" i="31"/>
  <c r="O64" i="31"/>
  <c r="L65" i="31"/>
  <c r="C66" i="31"/>
  <c r="O67" i="31"/>
  <c r="Q67" i="31" s="1"/>
  <c r="U67" i="31"/>
  <c r="L68" i="31"/>
  <c r="AC70" i="31"/>
  <c r="AC71" i="31"/>
  <c r="AC72" i="31"/>
  <c r="C91" i="31"/>
  <c r="L91" i="31"/>
  <c r="C92" i="31"/>
  <c r="E92" i="31" s="1"/>
  <c r="N93" i="31"/>
  <c r="C15" i="30"/>
  <c r="D15" i="30"/>
  <c r="E15" i="30"/>
  <c r="F15" i="30"/>
  <c r="G15" i="30"/>
  <c r="L15" i="30"/>
  <c r="M15" i="30"/>
  <c r="N15" i="30"/>
  <c r="O15" i="30"/>
  <c r="P15" i="30"/>
  <c r="C16" i="30"/>
  <c r="D16" i="30"/>
  <c r="E16" i="30"/>
  <c r="F16" i="30"/>
  <c r="G16" i="30"/>
  <c r="L16" i="30"/>
  <c r="M16" i="30"/>
  <c r="N16" i="30"/>
  <c r="O16" i="30"/>
  <c r="P16" i="30"/>
  <c r="C17" i="30"/>
  <c r="D17" i="30"/>
  <c r="E17" i="30"/>
  <c r="F17" i="30"/>
  <c r="G17" i="30"/>
  <c r="L17" i="30"/>
  <c r="M17" i="30"/>
  <c r="N17" i="30"/>
  <c r="O17" i="30"/>
  <c r="P17" i="30"/>
  <c r="C18" i="30"/>
  <c r="D18" i="30"/>
  <c r="E18" i="30"/>
  <c r="F18" i="30"/>
  <c r="G18" i="30"/>
  <c r="L18" i="30"/>
  <c r="M18" i="30"/>
  <c r="N18" i="30"/>
  <c r="O18" i="30"/>
  <c r="P18" i="30"/>
  <c r="C19" i="30"/>
  <c r="D19" i="30"/>
  <c r="E19" i="30"/>
  <c r="F19" i="30"/>
  <c r="G19" i="30"/>
  <c r="L19" i="30"/>
  <c r="M19" i="30"/>
  <c r="N19" i="30"/>
  <c r="O19" i="30"/>
  <c r="P19" i="30"/>
  <c r="C20" i="30"/>
  <c r="D20" i="30"/>
  <c r="E20" i="30"/>
  <c r="F20" i="30"/>
  <c r="G20" i="30"/>
  <c r="L20" i="30"/>
  <c r="M20" i="30"/>
  <c r="N20" i="30"/>
  <c r="O20" i="30"/>
  <c r="P20" i="30"/>
  <c r="C21" i="30"/>
  <c r="D21" i="30"/>
  <c r="E21" i="30"/>
  <c r="F21" i="30"/>
  <c r="G21" i="30"/>
  <c r="L21" i="30"/>
  <c r="M21" i="30"/>
  <c r="N21" i="30"/>
  <c r="O21" i="30"/>
  <c r="P21" i="30"/>
  <c r="C22" i="30"/>
  <c r="D22" i="30"/>
  <c r="E22" i="30"/>
  <c r="F22" i="30"/>
  <c r="G22" i="30"/>
  <c r="L22" i="30"/>
  <c r="M22" i="30"/>
  <c r="N22" i="30"/>
  <c r="O22" i="30"/>
  <c r="P22" i="30"/>
  <c r="C23" i="30"/>
  <c r="D23" i="30"/>
  <c r="E23" i="30"/>
  <c r="F23" i="30"/>
  <c r="G23" i="30"/>
  <c r="L23" i="30"/>
  <c r="L28" i="30" s="1"/>
  <c r="M23" i="30"/>
  <c r="N23" i="30"/>
  <c r="O23" i="30"/>
  <c r="P23" i="30"/>
  <c r="C24" i="30"/>
  <c r="D24" i="30"/>
  <c r="E24" i="30"/>
  <c r="F24" i="30"/>
  <c r="G24" i="30"/>
  <c r="L24" i="30"/>
  <c r="M24" i="30"/>
  <c r="N24" i="30"/>
  <c r="O24" i="30"/>
  <c r="P24" i="30"/>
  <c r="C25" i="30"/>
  <c r="D25" i="30"/>
  <c r="E25" i="30"/>
  <c r="F25" i="30"/>
  <c r="G25" i="30"/>
  <c r="L25" i="30"/>
  <c r="M25" i="30"/>
  <c r="N25" i="30"/>
  <c r="O25" i="30"/>
  <c r="P25" i="30"/>
  <c r="C26" i="30"/>
  <c r="D26" i="30"/>
  <c r="E26" i="30"/>
  <c r="F26" i="30"/>
  <c r="G26" i="30"/>
  <c r="L26" i="30"/>
  <c r="M26" i="30"/>
  <c r="N26" i="30"/>
  <c r="O26" i="30"/>
  <c r="P26" i="30"/>
  <c r="C38" i="30"/>
  <c r="D38" i="30"/>
  <c r="E38" i="30"/>
  <c r="F38" i="30"/>
  <c r="G38" i="30"/>
  <c r="L38" i="30"/>
  <c r="M38" i="30"/>
  <c r="N38" i="30"/>
  <c r="O38" i="30"/>
  <c r="P38" i="30"/>
  <c r="C39" i="30"/>
  <c r="D39" i="30"/>
  <c r="E39" i="30"/>
  <c r="F39" i="30"/>
  <c r="G39" i="30"/>
  <c r="L39" i="30"/>
  <c r="M39" i="30"/>
  <c r="N39" i="30"/>
  <c r="O39" i="30"/>
  <c r="P39" i="30"/>
  <c r="C40" i="30"/>
  <c r="D40" i="30"/>
  <c r="E40" i="30"/>
  <c r="F40" i="30"/>
  <c r="G40" i="30"/>
  <c r="L40" i="30"/>
  <c r="M40" i="30"/>
  <c r="Q40" i="30" s="1"/>
  <c r="N40" i="30"/>
  <c r="O40" i="30"/>
  <c r="P40" i="30"/>
  <c r="C41" i="30"/>
  <c r="D41" i="30"/>
  <c r="E41" i="30"/>
  <c r="F41" i="30"/>
  <c r="G41" i="30"/>
  <c r="L41" i="30"/>
  <c r="M41" i="30"/>
  <c r="N41" i="30"/>
  <c r="O41" i="30"/>
  <c r="P41" i="30"/>
  <c r="C42" i="30"/>
  <c r="D42" i="30"/>
  <c r="E42" i="30"/>
  <c r="F42" i="30"/>
  <c r="G42" i="30"/>
  <c r="L42" i="30"/>
  <c r="M42" i="30"/>
  <c r="N42" i="30"/>
  <c r="O42" i="30"/>
  <c r="P42" i="30"/>
  <c r="C43" i="30"/>
  <c r="H43" i="30" s="1"/>
  <c r="D43" i="30"/>
  <c r="E43" i="30"/>
  <c r="F43" i="30"/>
  <c r="G43" i="30"/>
  <c r="L43" i="30"/>
  <c r="M43" i="30"/>
  <c r="N43" i="30"/>
  <c r="O43" i="30"/>
  <c r="P43" i="30"/>
  <c r="C44" i="30"/>
  <c r="D44" i="30"/>
  <c r="E44" i="30"/>
  <c r="F44" i="30"/>
  <c r="G44" i="30"/>
  <c r="L44" i="30"/>
  <c r="M44" i="30"/>
  <c r="N44" i="30"/>
  <c r="O44" i="30"/>
  <c r="P44" i="30"/>
  <c r="C45" i="30"/>
  <c r="D45" i="30"/>
  <c r="E45" i="30"/>
  <c r="F45" i="30"/>
  <c r="G45" i="30"/>
  <c r="L45" i="30"/>
  <c r="Q45" i="30" s="1"/>
  <c r="M45" i="30"/>
  <c r="N45" i="30"/>
  <c r="O45" i="30"/>
  <c r="P45" i="30"/>
  <c r="C46" i="30"/>
  <c r="D46" i="30"/>
  <c r="E46" i="30"/>
  <c r="F46" i="30"/>
  <c r="F51" i="30" s="1"/>
  <c r="G46" i="30"/>
  <c r="L46" i="30"/>
  <c r="M46" i="30"/>
  <c r="N46" i="30"/>
  <c r="O46" i="30"/>
  <c r="P46" i="30"/>
  <c r="C47" i="30"/>
  <c r="D47" i="30"/>
  <c r="E47" i="30"/>
  <c r="F47" i="30"/>
  <c r="G47" i="30"/>
  <c r="L47" i="30"/>
  <c r="M47" i="30"/>
  <c r="N47" i="30"/>
  <c r="O47" i="30"/>
  <c r="P47" i="30"/>
  <c r="C48" i="30"/>
  <c r="D48" i="30"/>
  <c r="E48" i="30"/>
  <c r="F48" i="30"/>
  <c r="G48" i="30"/>
  <c r="L48" i="30"/>
  <c r="M48" i="30"/>
  <c r="N48" i="30"/>
  <c r="O48" i="30"/>
  <c r="P48" i="30"/>
  <c r="C49" i="30"/>
  <c r="D49" i="30"/>
  <c r="E49" i="30"/>
  <c r="F49" i="30"/>
  <c r="G49" i="30"/>
  <c r="L49" i="30"/>
  <c r="M49" i="30"/>
  <c r="N49" i="30"/>
  <c r="O49" i="30"/>
  <c r="P49" i="30"/>
  <c r="C10" i="28"/>
  <c r="D10" i="28"/>
  <c r="E10" i="28"/>
  <c r="C12" i="28"/>
  <c r="D12" i="28"/>
  <c r="E12" i="28"/>
  <c r="C14" i="28"/>
  <c r="D14" i="28"/>
  <c r="E14" i="28"/>
  <c r="F14" i="28" s="1"/>
  <c r="C22" i="28"/>
  <c r="D22" i="28"/>
  <c r="E22" i="28"/>
  <c r="F22" i="28"/>
  <c r="F28" i="28" s="1"/>
  <c r="G22" i="28"/>
  <c r="H22" i="28"/>
  <c r="I22" i="28"/>
  <c r="C24" i="28"/>
  <c r="D24" i="28"/>
  <c r="E24" i="28"/>
  <c r="F24" i="28"/>
  <c r="G24" i="28"/>
  <c r="H24" i="28"/>
  <c r="I24" i="28"/>
  <c r="C26" i="28"/>
  <c r="D26" i="28"/>
  <c r="E26" i="28"/>
  <c r="F26" i="28"/>
  <c r="G26" i="28"/>
  <c r="H26" i="28"/>
  <c r="I26" i="28"/>
  <c r="A10" i="27"/>
  <c r="D10" i="27"/>
  <c r="E10" i="27"/>
  <c r="F10" i="27"/>
  <c r="A11" i="27"/>
  <c r="D11" i="27"/>
  <c r="E11" i="27"/>
  <c r="F11" i="27"/>
  <c r="A12" i="27"/>
  <c r="D12" i="27"/>
  <c r="E12" i="27"/>
  <c r="F12" i="27"/>
  <c r="D13" i="27"/>
  <c r="E13" i="27"/>
  <c r="F13" i="27"/>
  <c r="D14" i="27"/>
  <c r="E14" i="27"/>
  <c r="F14" i="27"/>
  <c r="D15" i="27"/>
  <c r="E15" i="27"/>
  <c r="F15" i="27"/>
  <c r="D16" i="27"/>
  <c r="E16" i="27"/>
  <c r="F16" i="27"/>
  <c r="A31" i="27"/>
  <c r="D31" i="27"/>
  <c r="E31" i="27"/>
  <c r="F31" i="27"/>
  <c r="D32" i="27"/>
  <c r="E32" i="27"/>
  <c r="F32" i="27"/>
  <c r="A33" i="27"/>
  <c r="D33" i="27"/>
  <c r="E33" i="27"/>
  <c r="F33" i="27"/>
  <c r="D34" i="27"/>
  <c r="E34" i="27"/>
  <c r="F34" i="27"/>
  <c r="D35" i="27"/>
  <c r="E35" i="27"/>
  <c r="F35" i="27"/>
  <c r="D36" i="27"/>
  <c r="E36" i="27"/>
  <c r="F36" i="27"/>
  <c r="D37" i="27"/>
  <c r="E37" i="27"/>
  <c r="F37" i="27"/>
  <c r="A53" i="27"/>
  <c r="D53" i="27"/>
  <c r="E53" i="27"/>
  <c r="F53" i="27"/>
  <c r="D54" i="27"/>
  <c r="E54" i="27"/>
  <c r="F54" i="27"/>
  <c r="A55" i="27"/>
  <c r="D55" i="27"/>
  <c r="E55" i="27"/>
  <c r="F55" i="27"/>
  <c r="D56" i="27"/>
  <c r="E56" i="27"/>
  <c r="F56" i="27"/>
  <c r="A57" i="27"/>
  <c r="D57" i="27"/>
  <c r="E57" i="27"/>
  <c r="F57" i="27"/>
  <c r="D58" i="27"/>
  <c r="E58" i="27"/>
  <c r="F58" i="27"/>
  <c r="D59" i="27"/>
  <c r="E59" i="27"/>
  <c r="F59" i="27"/>
  <c r="D55" i="25"/>
  <c r="D56" i="25"/>
  <c r="D57" i="25"/>
  <c r="O12" i="24"/>
  <c r="P12" i="24" s="1"/>
  <c r="O13" i="24"/>
  <c r="P13" i="24" s="1"/>
  <c r="K16" i="24"/>
  <c r="O16" i="24" s="1"/>
  <c r="P16" i="24" s="1"/>
  <c r="O18" i="24"/>
  <c r="P18" i="24"/>
  <c r="O19" i="24"/>
  <c r="P19" i="24"/>
  <c r="K55" i="24"/>
  <c r="O57" i="24"/>
  <c r="P57" i="24" s="1"/>
  <c r="O58" i="24"/>
  <c r="P58" i="24" s="1"/>
  <c r="O86" i="24"/>
  <c r="P86" i="24" s="1"/>
  <c r="O94" i="24"/>
  <c r="P94" i="24" s="1"/>
  <c r="O20" i="21"/>
  <c r="O22" i="21"/>
  <c r="O23" i="21"/>
  <c r="O24" i="21"/>
  <c r="O63" i="21"/>
  <c r="O99" i="21"/>
  <c r="O101" i="21"/>
  <c r="L106" i="21"/>
  <c r="H27" i="20"/>
  <c r="AN33" i="20"/>
  <c r="AO33" i="20"/>
  <c r="AP33" i="20"/>
  <c r="AN34" i="20"/>
  <c r="AO34" i="20"/>
  <c r="AP34" i="20"/>
  <c r="AN35" i="20"/>
  <c r="AO35" i="20"/>
  <c r="AP35" i="20"/>
  <c r="AN36" i="20"/>
  <c r="AO36" i="20"/>
  <c r="AP36" i="20"/>
  <c r="H27" i="19"/>
  <c r="AN33" i="19"/>
  <c r="AO33" i="19"/>
  <c r="AP33" i="19"/>
  <c r="AN34" i="19"/>
  <c r="AO34" i="19"/>
  <c r="AP34" i="19"/>
  <c r="AN35" i="19"/>
  <c r="AO35" i="19"/>
  <c r="AP35" i="19"/>
  <c r="AN36" i="19"/>
  <c r="AO36" i="19"/>
  <c r="AP36" i="19"/>
  <c r="H27" i="18"/>
  <c r="AN33" i="18"/>
  <c r="AO33" i="18"/>
  <c r="AP33" i="18"/>
  <c r="AN34" i="18"/>
  <c r="AO34" i="18"/>
  <c r="AP34" i="18"/>
  <c r="AN35" i="18"/>
  <c r="AO35" i="18"/>
  <c r="AP35" i="18"/>
  <c r="AN36" i="18"/>
  <c r="AO36" i="18"/>
  <c r="AP36" i="18"/>
  <c r="D11" i="16"/>
  <c r="L11" i="16" s="1"/>
  <c r="D12" i="16"/>
  <c r="D13" i="16"/>
  <c r="L13" i="16" s="1"/>
  <c r="D14" i="16"/>
  <c r="L14" i="16" s="1"/>
  <c r="D15" i="16"/>
  <c r="L15" i="16" s="1"/>
  <c r="D16" i="16"/>
  <c r="L16" i="16" s="1"/>
  <c r="D17" i="16"/>
  <c r="L17" i="16" s="1"/>
  <c r="D18" i="16"/>
  <c r="L18" i="16" s="1"/>
  <c r="D19" i="16"/>
  <c r="L19" i="16" s="1"/>
  <c r="D20" i="16"/>
  <c r="D21" i="16"/>
  <c r="L21" i="16" s="1"/>
  <c r="I21" i="16" s="1"/>
  <c r="D22" i="16"/>
  <c r="L22" i="16"/>
  <c r="I22" i="16" s="1"/>
  <c r="D23" i="16"/>
  <c r="L23" i="16" s="1"/>
  <c r="I23" i="16" s="1"/>
  <c r="D24" i="16"/>
  <c r="L24" i="16"/>
  <c r="I24" i="16" s="1"/>
  <c r="D25" i="16"/>
  <c r="L25" i="16" s="1"/>
  <c r="I25" i="16" s="1"/>
  <c r="D26" i="16"/>
  <c r="L26" i="16" s="1"/>
  <c r="D27" i="16"/>
  <c r="L27" i="16" s="1"/>
  <c r="D28" i="16"/>
  <c r="L28" i="16" s="1"/>
  <c r="D29" i="16"/>
  <c r="L29" i="16" s="1"/>
  <c r="D30" i="16"/>
  <c r="L30" i="16" s="1"/>
  <c r="D31" i="16"/>
  <c r="L31" i="16" s="1"/>
  <c r="D34" i="16"/>
  <c r="L34" i="16" s="1"/>
  <c r="D35" i="16"/>
  <c r="L35" i="16" s="1"/>
  <c r="D36" i="16"/>
  <c r="L36" i="16" s="1"/>
  <c r="D37" i="16"/>
  <c r="L37" i="16" s="1"/>
  <c r="D38" i="16"/>
  <c r="L38" i="16" s="1"/>
  <c r="D39" i="16"/>
  <c r="L39" i="16" s="1"/>
  <c r="D40" i="16"/>
  <c r="L40" i="16" s="1"/>
  <c r="D41" i="16"/>
  <c r="L41" i="16" s="1"/>
  <c r="D42" i="16"/>
  <c r="L42" i="16" s="1"/>
  <c r="D43" i="16"/>
  <c r="L43" i="16" s="1"/>
  <c r="D44" i="16"/>
  <c r="L44" i="16" s="1"/>
  <c r="D45" i="16"/>
  <c r="L45" i="16" s="1"/>
  <c r="D46" i="16"/>
  <c r="L46" i="16" s="1"/>
  <c r="D47" i="16"/>
  <c r="L47" i="16" s="1"/>
  <c r="D48" i="16"/>
  <c r="L48" i="16" s="1"/>
  <c r="D51" i="16"/>
  <c r="D52" i="16"/>
  <c r="L52" i="16" s="1"/>
  <c r="D53" i="16"/>
  <c r="L53" i="16" s="1"/>
  <c r="D54" i="16"/>
  <c r="L54" i="16" s="1"/>
  <c r="D55" i="16"/>
  <c r="D56" i="16"/>
  <c r="L56" i="16" s="1"/>
  <c r="D57" i="16"/>
  <c r="L57" i="16" s="1"/>
  <c r="D58" i="16"/>
  <c r="L58" i="16" s="1"/>
  <c r="D59" i="16"/>
  <c r="L59" i="16" s="1"/>
  <c r="D60" i="16"/>
  <c r="L60" i="16" s="1"/>
  <c r="D61" i="16"/>
  <c r="L61" i="16" s="1"/>
  <c r="D62" i="16"/>
  <c r="L62" i="16" s="1"/>
  <c r="D63" i="16"/>
  <c r="D64" i="16"/>
  <c r="L64" i="16"/>
  <c r="I64" i="16" s="1"/>
  <c r="D65" i="16"/>
  <c r="L65" i="16" s="1"/>
  <c r="I65" i="16" s="1"/>
  <c r="D69" i="16"/>
  <c r="D70" i="16"/>
  <c r="L70" i="16" s="1"/>
  <c r="A3" i="15"/>
  <c r="A3" i="16" s="1"/>
  <c r="D11" i="15"/>
  <c r="L11" i="15"/>
  <c r="D12" i="15"/>
  <c r="L12" i="15" s="1"/>
  <c r="D13" i="15"/>
  <c r="L13" i="15" s="1"/>
  <c r="D14" i="15"/>
  <c r="L14" i="15" s="1"/>
  <c r="D15" i="15"/>
  <c r="L15" i="15"/>
  <c r="D16" i="15"/>
  <c r="L16" i="15"/>
  <c r="D17" i="15"/>
  <c r="L17" i="15" s="1"/>
  <c r="D18" i="15"/>
  <c r="D19" i="15"/>
  <c r="L19" i="15" s="1"/>
  <c r="D20" i="15"/>
  <c r="L20" i="15"/>
  <c r="D21" i="15"/>
  <c r="L21" i="15" s="1"/>
  <c r="I21" i="15" s="1"/>
  <c r="D22" i="15"/>
  <c r="D23" i="15"/>
  <c r="L23" i="15"/>
  <c r="I23" i="15" s="1"/>
  <c r="D24" i="15"/>
  <c r="L24" i="15" s="1"/>
  <c r="I24" i="15" s="1"/>
  <c r="D25" i="15"/>
  <c r="L25" i="15" s="1"/>
  <c r="I25" i="15" s="1"/>
  <c r="D26" i="15"/>
  <c r="L26" i="15" s="1"/>
  <c r="D27" i="15"/>
  <c r="L27" i="15" s="1"/>
  <c r="D28" i="15"/>
  <c r="L28" i="15" s="1"/>
  <c r="D29" i="15"/>
  <c r="L29" i="15" s="1"/>
  <c r="D30" i="15"/>
  <c r="L30" i="15" s="1"/>
  <c r="D31" i="15"/>
  <c r="D34" i="15"/>
  <c r="D35" i="15"/>
  <c r="L35" i="15" s="1"/>
  <c r="D36" i="15"/>
  <c r="L36" i="15" s="1"/>
  <c r="D37" i="15"/>
  <c r="L37" i="15" s="1"/>
  <c r="D38" i="15"/>
  <c r="L38" i="15" s="1"/>
  <c r="D39" i="15"/>
  <c r="L39" i="15" s="1"/>
  <c r="D40" i="15"/>
  <c r="L40" i="15" s="1"/>
  <c r="D41" i="15"/>
  <c r="L41" i="15" s="1"/>
  <c r="D42" i="15"/>
  <c r="L42" i="15" s="1"/>
  <c r="D43" i="15"/>
  <c r="D44" i="15"/>
  <c r="L44" i="15" s="1"/>
  <c r="D45" i="15"/>
  <c r="L45" i="15" s="1"/>
  <c r="D46" i="15"/>
  <c r="L46" i="15" s="1"/>
  <c r="D47" i="15"/>
  <c r="L47" i="15" s="1"/>
  <c r="D48" i="15"/>
  <c r="L48" i="15" s="1"/>
  <c r="D51" i="15"/>
  <c r="L51" i="15" s="1"/>
  <c r="D52" i="15"/>
  <c r="L52" i="15" s="1"/>
  <c r="D53" i="15"/>
  <c r="D54" i="15"/>
  <c r="L54" i="15" s="1"/>
  <c r="D55" i="15"/>
  <c r="L55" i="15"/>
  <c r="D56" i="15"/>
  <c r="L56" i="15" s="1"/>
  <c r="D57" i="15"/>
  <c r="L57" i="15" s="1"/>
  <c r="D58" i="15"/>
  <c r="L58" i="15" s="1"/>
  <c r="D59" i="15"/>
  <c r="L59" i="15" s="1"/>
  <c r="D60" i="15"/>
  <c r="L60" i="15" s="1"/>
  <c r="D61" i="15"/>
  <c r="L61" i="15" s="1"/>
  <c r="D62" i="15"/>
  <c r="L62" i="15" s="1"/>
  <c r="D63" i="15"/>
  <c r="L63" i="15" s="1"/>
  <c r="D64" i="15"/>
  <c r="L64" i="15" s="1"/>
  <c r="I64" i="15" s="1"/>
  <c r="D65" i="15"/>
  <c r="L65" i="15" s="1"/>
  <c r="I65" i="15" s="1"/>
  <c r="D69" i="15"/>
  <c r="L69" i="15" s="1"/>
  <c r="D70" i="15"/>
  <c r="L70" i="15" s="1"/>
  <c r="D11" i="14"/>
  <c r="O11" i="14" s="1"/>
  <c r="D12" i="14"/>
  <c r="O12" i="14" s="1"/>
  <c r="D13" i="14"/>
  <c r="D14" i="14"/>
  <c r="D15" i="14"/>
  <c r="O15" i="14" s="1"/>
  <c r="D16" i="14"/>
  <c r="O16" i="14" s="1"/>
  <c r="D17" i="14"/>
  <c r="D18" i="14"/>
  <c r="O18" i="14" s="1"/>
  <c r="D19" i="14"/>
  <c r="D20" i="14"/>
  <c r="D21" i="14"/>
  <c r="O21" i="14" s="1"/>
  <c r="D22" i="14"/>
  <c r="O22" i="14" s="1"/>
  <c r="D23" i="14"/>
  <c r="O23" i="14" s="1"/>
  <c r="D24" i="14"/>
  <c r="O24" i="14" s="1"/>
  <c r="D25" i="14"/>
  <c r="D26" i="14"/>
  <c r="O26" i="14" s="1"/>
  <c r="D27" i="14"/>
  <c r="O27" i="14" s="1"/>
  <c r="D28" i="14"/>
  <c r="D29" i="14"/>
  <c r="O29" i="14" s="1"/>
  <c r="D30" i="14"/>
  <c r="O30" i="14" s="1"/>
  <c r="D31" i="14"/>
  <c r="O31" i="14" s="1"/>
  <c r="D32" i="14"/>
  <c r="O32" i="14" s="1"/>
  <c r="L33" i="14"/>
  <c r="M33" i="14" s="1"/>
  <c r="D34" i="14"/>
  <c r="O34" i="14" s="1"/>
  <c r="D37" i="14"/>
  <c r="O37" i="14" s="1"/>
  <c r="D38" i="14"/>
  <c r="D39" i="14"/>
  <c r="O39" i="14" s="1"/>
  <c r="D40" i="14"/>
  <c r="O40" i="14" s="1"/>
  <c r="D41" i="14"/>
  <c r="O41" i="14" s="1"/>
  <c r="D42" i="14"/>
  <c r="O42" i="14" s="1"/>
  <c r="D43" i="14"/>
  <c r="O43" i="14" s="1"/>
  <c r="L43" i="14"/>
  <c r="D44" i="14"/>
  <c r="O44" i="14" s="1"/>
  <c r="D45" i="14"/>
  <c r="O45" i="14" s="1"/>
  <c r="D46" i="14"/>
  <c r="D47" i="14"/>
  <c r="O47" i="14" s="1"/>
  <c r="D48" i="14"/>
  <c r="O48" i="14" s="1"/>
  <c r="D49" i="14"/>
  <c r="O49" i="14" s="1"/>
  <c r="D50" i="14"/>
  <c r="O50" i="14" s="1"/>
  <c r="D51" i="14"/>
  <c r="O51" i="14" s="1"/>
  <c r="L51" i="14"/>
  <c r="D54" i="14"/>
  <c r="O54" i="14" s="1"/>
  <c r="D55" i="14"/>
  <c r="O55" i="14" s="1"/>
  <c r="D56" i="14"/>
  <c r="O56" i="14" s="1"/>
  <c r="D57" i="14"/>
  <c r="O57" i="14" s="1"/>
  <c r="D58" i="14"/>
  <c r="O58" i="14" s="1"/>
  <c r="D59" i="14"/>
  <c r="O59" i="14" s="1"/>
  <c r="D60" i="14"/>
  <c r="O60" i="14" s="1"/>
  <c r="D61" i="14"/>
  <c r="O61" i="14" s="1"/>
  <c r="L61" i="14"/>
  <c r="D62" i="14"/>
  <c r="O62" i="14" s="1"/>
  <c r="D63" i="14"/>
  <c r="O63" i="14" s="1"/>
  <c r="D64" i="14"/>
  <c r="L64" i="14" s="1"/>
  <c r="D65" i="14"/>
  <c r="O65" i="14" s="1"/>
  <c r="D66" i="14"/>
  <c r="O66" i="14" s="1"/>
  <c r="L66" i="14"/>
  <c r="D67" i="14"/>
  <c r="O67" i="14" s="1"/>
  <c r="D68" i="14"/>
  <c r="O68" i="14" s="1"/>
  <c r="D69" i="14"/>
  <c r="O69" i="14" s="1"/>
  <c r="D73" i="14"/>
  <c r="O73" i="14" s="1"/>
  <c r="D74" i="14"/>
  <c r="O74" i="14" s="1"/>
  <c r="X29" i="49"/>
  <c r="U42" i="37"/>
  <c r="E24" i="35"/>
  <c r="I25" i="35" s="1"/>
  <c r="N11" i="37"/>
  <c r="P11" i="37" s="1"/>
  <c r="X263" i="47"/>
  <c r="L39" i="31" s="1"/>
  <c r="I18" i="45"/>
  <c r="I14" i="45"/>
  <c r="M99" i="46"/>
  <c r="N99" i="46" s="1"/>
  <c r="AB118" i="47"/>
  <c r="AC118" i="47"/>
  <c r="V112" i="47"/>
  <c r="W112" i="47"/>
  <c r="AB108" i="47"/>
  <c r="AC108" i="47"/>
  <c r="I17" i="45"/>
  <c r="AB113" i="47"/>
  <c r="AC113" i="47"/>
  <c r="AD45" i="47"/>
  <c r="X25" i="31" s="1"/>
  <c r="Z25" i="31" s="1"/>
  <c r="AD32" i="47"/>
  <c r="O21" i="31" s="1"/>
  <c r="Q21" i="31" s="1"/>
  <c r="Q106" i="47"/>
  <c r="V102" i="47"/>
  <c r="W102" i="47"/>
  <c r="AB99" i="47"/>
  <c r="AC99" i="47"/>
  <c r="AB92" i="47"/>
  <c r="AC92" i="47"/>
  <c r="AD47" i="47"/>
  <c r="V91" i="47"/>
  <c r="W91" i="47"/>
  <c r="AB88" i="47"/>
  <c r="AC88" i="47"/>
  <c r="AC43" i="47" s="1"/>
  <c r="AD43" i="47" s="1"/>
  <c r="F25" i="31" s="1"/>
  <c r="AC114" i="47"/>
  <c r="W108" i="47"/>
  <c r="AC100" i="47"/>
  <c r="W99" i="47"/>
  <c r="AC93" i="47"/>
  <c r="AC89" i="47"/>
  <c r="AD44" i="47" s="1"/>
  <c r="O25" i="31" s="1"/>
  <c r="Q25" i="31" s="1"/>
  <c r="W88" i="47"/>
  <c r="Q27" i="47"/>
  <c r="Q19" i="47"/>
  <c r="O51" i="30"/>
  <c r="E16" i="28"/>
  <c r="B24" i="35"/>
  <c r="H25" i="35" s="1"/>
  <c r="V13" i="37"/>
  <c r="X13" i="37" s="1"/>
  <c r="D17" i="39"/>
  <c r="J26" i="28"/>
  <c r="G28" i="28"/>
  <c r="N51" i="30"/>
  <c r="L18" i="15"/>
  <c r="L43" i="15"/>
  <c r="L53" i="15"/>
  <c r="L69" i="16"/>
  <c r="L23" i="14"/>
  <c r="M23" i="14" s="1"/>
  <c r="L74" i="14"/>
  <c r="L59" i="14"/>
  <c r="L45" i="14"/>
  <c r="L26" i="14"/>
  <c r="M26" i="14" s="1"/>
  <c r="L34" i="15"/>
  <c r="L63" i="16"/>
  <c r="L55" i="16"/>
  <c r="L51" i="16"/>
  <c r="L20" i="16"/>
  <c r="L12" i="16"/>
  <c r="H44" i="30"/>
  <c r="H40" i="30"/>
  <c r="C16" i="28"/>
  <c r="F16" i="28" s="1"/>
  <c r="F12" i="28"/>
  <c r="H47" i="30"/>
  <c r="D28" i="28"/>
  <c r="F10" i="28"/>
  <c r="D16" i="28"/>
  <c r="G12" i="28"/>
  <c r="G26" i="26" s="1"/>
  <c r="H29" i="6"/>
  <c r="H27" i="6" s="1"/>
  <c r="C29" i="6"/>
  <c r="I25" i="6"/>
  <c r="H25" i="6"/>
  <c r="G25" i="6"/>
  <c r="F25" i="6"/>
  <c r="E25" i="6"/>
  <c r="D25" i="6"/>
  <c r="C25" i="6"/>
  <c r="I23" i="6"/>
  <c r="H23" i="6"/>
  <c r="G23" i="6"/>
  <c r="F23" i="6"/>
  <c r="E23" i="6"/>
  <c r="D23" i="6"/>
  <c r="C23" i="6"/>
  <c r="I16" i="6"/>
  <c r="J12" i="6" s="1"/>
  <c r="D16" i="6"/>
  <c r="D14" i="6" s="1"/>
  <c r="C16" i="6"/>
  <c r="I12" i="6"/>
  <c r="I10" i="6"/>
  <c r="E12" i="6"/>
  <c r="D12" i="6"/>
  <c r="C12" i="6"/>
  <c r="C14" i="6"/>
  <c r="E10" i="6"/>
  <c r="D10" i="6"/>
  <c r="F10" i="6" s="1"/>
  <c r="C10" i="6"/>
  <c r="I83" i="5"/>
  <c r="I78" i="5"/>
  <c r="F67" i="5"/>
  <c r="F62" i="5"/>
  <c r="E62" i="5"/>
  <c r="C62" i="5"/>
  <c r="A62" i="5"/>
  <c r="F61" i="5"/>
  <c r="E61" i="5"/>
  <c r="A61" i="5"/>
  <c r="F60" i="5"/>
  <c r="E60" i="5"/>
  <c r="C60" i="5"/>
  <c r="F59" i="5"/>
  <c r="E59" i="5"/>
  <c r="F58" i="5"/>
  <c r="E58" i="5"/>
  <c r="C58" i="5"/>
  <c r="A58" i="5"/>
  <c r="F57" i="5"/>
  <c r="E57" i="5"/>
  <c r="C57" i="5"/>
  <c r="A57" i="5"/>
  <c r="F56" i="5"/>
  <c r="E56" i="5"/>
  <c r="C56" i="5"/>
  <c r="A56" i="5"/>
  <c r="A43" i="5"/>
  <c r="F38" i="5"/>
  <c r="E38" i="5"/>
  <c r="A38" i="5"/>
  <c r="F37" i="5"/>
  <c r="E37" i="5"/>
  <c r="C37" i="5"/>
  <c r="A37" i="5"/>
  <c r="F36" i="5"/>
  <c r="E36" i="5"/>
  <c r="F35" i="5"/>
  <c r="E35" i="5"/>
  <c r="C35" i="5"/>
  <c r="F34" i="5"/>
  <c r="E34" i="5"/>
  <c r="C34" i="5"/>
  <c r="A34" i="5"/>
  <c r="F33" i="5"/>
  <c r="E33" i="5"/>
  <c r="C33" i="5"/>
  <c r="A33" i="5"/>
  <c r="F32" i="5"/>
  <c r="E32" i="5"/>
  <c r="C32" i="5"/>
  <c r="A32" i="5"/>
  <c r="K16" i="5"/>
  <c r="J16" i="5"/>
  <c r="K15" i="5"/>
  <c r="J15" i="5"/>
  <c r="K14" i="5"/>
  <c r="J14" i="5"/>
  <c r="K13" i="5"/>
  <c r="J13" i="5"/>
  <c r="K12" i="5"/>
  <c r="J12" i="5"/>
  <c r="K11" i="5"/>
  <c r="J11" i="5"/>
  <c r="K10" i="5"/>
  <c r="J10" i="5"/>
  <c r="F16" i="5"/>
  <c r="E16" i="5"/>
  <c r="F15" i="5"/>
  <c r="E15" i="5"/>
  <c r="A15" i="5"/>
  <c r="F14" i="5"/>
  <c r="E14" i="5"/>
  <c r="F13" i="5"/>
  <c r="E13" i="5"/>
  <c r="F12" i="5"/>
  <c r="E12" i="5"/>
  <c r="C12" i="5"/>
  <c r="A12" i="5"/>
  <c r="F11" i="5"/>
  <c r="E11" i="5"/>
  <c r="C11" i="5"/>
  <c r="A11" i="5"/>
  <c r="F10" i="5"/>
  <c r="E10" i="5"/>
  <c r="C10" i="5"/>
  <c r="A10" i="5"/>
  <c r="E208" i="7"/>
  <c r="F208" i="7" s="1"/>
  <c r="O10" i="4"/>
  <c r="C11" i="2" s="1"/>
  <c r="F11" i="2" s="1"/>
  <c r="O11" i="4"/>
  <c r="U34" i="49" s="1"/>
  <c r="O12" i="4"/>
  <c r="C13" i="69" s="1"/>
  <c r="E13" i="69" s="1"/>
  <c r="O13" i="4"/>
  <c r="C14" i="69" s="1"/>
  <c r="E14" i="69" s="1"/>
  <c r="O14" i="4"/>
  <c r="D115" i="7" s="1"/>
  <c r="O15" i="4"/>
  <c r="O16" i="4"/>
  <c r="O17" i="4"/>
  <c r="C18" i="69" s="1"/>
  <c r="E18" i="69" s="1"/>
  <c r="I18" i="69" s="1"/>
  <c r="O18" i="4"/>
  <c r="C19" i="69" s="1"/>
  <c r="E19" i="69" s="1"/>
  <c r="I19" i="69" s="1"/>
  <c r="L20" i="4"/>
  <c r="M20" i="4"/>
  <c r="N20" i="4"/>
  <c r="O24" i="4"/>
  <c r="O25" i="4"/>
  <c r="C26" i="69" s="1"/>
  <c r="E26" i="69" s="1"/>
  <c r="I26" i="69" s="1"/>
  <c r="C27" i="3" s="1"/>
  <c r="O26" i="4"/>
  <c r="C27" i="69" s="1"/>
  <c r="E27" i="69" s="1"/>
  <c r="I27" i="69" s="1"/>
  <c r="C28" i="3" s="1"/>
  <c r="O27" i="4"/>
  <c r="C28" i="69" s="1"/>
  <c r="E28" i="69" s="1"/>
  <c r="I28" i="69" s="1"/>
  <c r="C29" i="3" s="1"/>
  <c r="O28" i="4"/>
  <c r="O29" i="4"/>
  <c r="O30" i="4"/>
  <c r="O31" i="4"/>
  <c r="C32" i="69" s="1"/>
  <c r="E32" i="69" s="1"/>
  <c r="I32" i="69" s="1"/>
  <c r="C33" i="3" s="1"/>
  <c r="O32" i="4"/>
  <c r="C33" i="2" s="1"/>
  <c r="F33" i="2" s="1"/>
  <c r="J33" i="2" s="1"/>
  <c r="O33" i="4"/>
  <c r="C34" i="69" s="1"/>
  <c r="E34" i="69" s="1"/>
  <c r="I34" i="69" s="1"/>
  <c r="C35" i="3" s="1"/>
  <c r="L35" i="3" s="1"/>
  <c r="O34" i="4"/>
  <c r="C35" i="69" s="1"/>
  <c r="E35" i="69" s="1"/>
  <c r="I35" i="69" s="1"/>
  <c r="C36" i="3" s="1"/>
  <c r="O35" i="4"/>
  <c r="C36" i="69" s="1"/>
  <c r="E36" i="69" s="1"/>
  <c r="I36" i="69" s="1"/>
  <c r="C37" i="3" s="1"/>
  <c r="F37" i="3" s="1"/>
  <c r="O37" i="4"/>
  <c r="O39" i="4"/>
  <c r="C40" i="69" s="1"/>
  <c r="E40" i="69" s="1"/>
  <c r="I40" i="69" s="1"/>
  <c r="C41" i="3" s="1"/>
  <c r="O40" i="4"/>
  <c r="C41" i="69" s="1"/>
  <c r="E41" i="69" s="1"/>
  <c r="O41" i="4"/>
  <c r="O42" i="4"/>
  <c r="C43" i="69" s="1"/>
  <c r="E43" i="69" s="1"/>
  <c r="I43" i="69" s="1"/>
  <c r="C44" i="3" s="1"/>
  <c r="O43" i="4"/>
  <c r="C44" i="69" s="1"/>
  <c r="E44" i="69" s="1"/>
  <c r="I44" i="69" s="1"/>
  <c r="C45" i="3" s="1"/>
  <c r="I45" i="3" s="1"/>
  <c r="O44" i="4"/>
  <c r="D145" i="7" s="1"/>
  <c r="O45" i="4"/>
  <c r="O46" i="4"/>
  <c r="D147" i="7" s="1"/>
  <c r="O47" i="4"/>
  <c r="C48" i="69" s="1"/>
  <c r="E48" i="69" s="1"/>
  <c r="I48" i="69" s="1"/>
  <c r="C49" i="3" s="1"/>
  <c r="O48" i="4"/>
  <c r="C49" i="2" s="1"/>
  <c r="F49" i="2" s="1"/>
  <c r="J49" i="2" s="1"/>
  <c r="O50" i="4"/>
  <c r="O51" i="4"/>
  <c r="C52" i="69" s="1"/>
  <c r="E52" i="69" s="1"/>
  <c r="I52" i="69" s="1"/>
  <c r="C53" i="3" s="1"/>
  <c r="L53" i="3" s="1"/>
  <c r="O52" i="4"/>
  <c r="O53" i="4"/>
  <c r="C54" i="2" s="1"/>
  <c r="F54" i="2" s="1"/>
  <c r="J54" i="2" s="1"/>
  <c r="O54" i="4"/>
  <c r="C55" i="69" s="1"/>
  <c r="E55" i="69" s="1"/>
  <c r="I55" i="69" s="1"/>
  <c r="C56" i="3" s="1"/>
  <c r="F56" i="3" s="1"/>
  <c r="D56" i="12" s="1"/>
  <c r="O57" i="4"/>
  <c r="C58" i="69" s="1"/>
  <c r="O59" i="4"/>
  <c r="C60" i="69" s="1"/>
  <c r="E60" i="69" s="1"/>
  <c r="I60" i="69" s="1"/>
  <c r="C61" i="3" s="1"/>
  <c r="O60" i="4"/>
  <c r="C61" i="69" s="1"/>
  <c r="E61" i="69" s="1"/>
  <c r="O63" i="4"/>
  <c r="C64" i="2" s="1"/>
  <c r="F64" i="2" s="1"/>
  <c r="O64" i="4"/>
  <c r="C65" i="69" s="1"/>
  <c r="E65" i="69" s="1"/>
  <c r="O65" i="4"/>
  <c r="C66" i="69" s="1"/>
  <c r="E66" i="69" s="1"/>
  <c r="O66" i="4"/>
  <c r="O67" i="4"/>
  <c r="C68" i="2" s="1"/>
  <c r="F68" i="2" s="1"/>
  <c r="J68" i="2" s="1"/>
  <c r="O68" i="4"/>
  <c r="C69" i="69" s="1"/>
  <c r="E69" i="69" s="1"/>
  <c r="I69" i="69" s="1"/>
  <c r="C70" i="3" s="1"/>
  <c r="O69" i="4"/>
  <c r="C70" i="2" s="1"/>
  <c r="F70" i="2" s="1"/>
  <c r="J70" i="2" s="1"/>
  <c r="O70" i="4"/>
  <c r="O72" i="4"/>
  <c r="C73" i="69" s="1"/>
  <c r="E73" i="69" s="1"/>
  <c r="I73" i="69" s="1"/>
  <c r="O73" i="4"/>
  <c r="O74" i="4"/>
  <c r="C75" i="69" s="1"/>
  <c r="E75" i="69" s="1"/>
  <c r="O75" i="4"/>
  <c r="C76" i="69" s="1"/>
  <c r="E76" i="69" s="1"/>
  <c r="I76" i="69" s="1"/>
  <c r="C77" i="3" s="1"/>
  <c r="O76" i="4"/>
  <c r="D177" i="7" s="1"/>
  <c r="O77" i="4"/>
  <c r="C78" i="69" s="1"/>
  <c r="E78" i="69" s="1"/>
  <c r="I78" i="69" s="1"/>
  <c r="C79" i="3" s="1"/>
  <c r="I79" i="3" s="1"/>
  <c r="O78" i="4"/>
  <c r="C79" i="69" s="1"/>
  <c r="E79" i="69" s="1"/>
  <c r="I79" i="69" s="1"/>
  <c r="C80" i="3" s="1"/>
  <c r="F80" i="3" s="1"/>
  <c r="O79" i="4"/>
  <c r="C80" i="69" s="1"/>
  <c r="E80" i="69" s="1"/>
  <c r="O80" i="4"/>
  <c r="C81" i="69" s="1"/>
  <c r="E81" i="69" s="1"/>
  <c r="I81" i="69" s="1"/>
  <c r="C82" i="3" s="1"/>
  <c r="O81" i="4"/>
  <c r="C82" i="69" s="1"/>
  <c r="E82" i="69" s="1"/>
  <c r="I82" i="69" s="1"/>
  <c r="C83" i="3" s="1"/>
  <c r="O83" i="4"/>
  <c r="O84" i="4"/>
  <c r="C85" i="69" s="1"/>
  <c r="O86" i="4"/>
  <c r="C87" i="2" s="1"/>
  <c r="F87" i="2" s="1"/>
  <c r="J87" i="2" s="1"/>
  <c r="O88" i="4"/>
  <c r="O89" i="4"/>
  <c r="C90" i="69" s="1"/>
  <c r="E90" i="69" s="1"/>
  <c r="I90" i="69" s="1"/>
  <c r="C91" i="3" s="1"/>
  <c r="O90" i="4"/>
  <c r="C91" i="69" s="1"/>
  <c r="E91" i="69" s="1"/>
  <c r="I91" i="69" s="1"/>
  <c r="C92" i="3" s="1"/>
  <c r="O91" i="4"/>
  <c r="D192" i="7" s="1"/>
  <c r="O92" i="4"/>
  <c r="O93" i="4"/>
  <c r="D194" i="7" s="1"/>
  <c r="O94" i="4"/>
  <c r="C95" i="69" s="1"/>
  <c r="E95" i="69" s="1"/>
  <c r="I95" i="69" s="1"/>
  <c r="C96" i="3" s="1"/>
  <c r="I96" i="3" s="1"/>
  <c r="O95" i="4"/>
  <c r="O97" i="4"/>
  <c r="O98" i="4"/>
  <c r="L100" i="4"/>
  <c r="M100" i="4"/>
  <c r="N100" i="4"/>
  <c r="O105" i="4"/>
  <c r="D206" i="7" s="1"/>
  <c r="O106" i="4"/>
  <c r="D207" i="7" s="1"/>
  <c r="O107" i="4"/>
  <c r="O108" i="4"/>
  <c r="D209" i="7" s="1"/>
  <c r="O109" i="4"/>
  <c r="D210" i="7" s="1"/>
  <c r="O110" i="4"/>
  <c r="D211" i="7" s="1"/>
  <c r="O111" i="4"/>
  <c r="D212" i="7" s="1"/>
  <c r="L113" i="4"/>
  <c r="M113" i="4"/>
  <c r="N113" i="4"/>
  <c r="N14" i="7"/>
  <c r="N15" i="7"/>
  <c r="N16" i="7"/>
  <c r="N17" i="7"/>
  <c r="N18" i="7"/>
  <c r="N19" i="7"/>
  <c r="N20" i="7"/>
  <c r="N21" i="7"/>
  <c r="N23" i="7"/>
  <c r="N24" i="7"/>
  <c r="D26" i="7"/>
  <c r="L26" i="7"/>
  <c r="H29" i="7"/>
  <c r="N29" i="7"/>
  <c r="H30" i="7"/>
  <c r="N30" i="7"/>
  <c r="H31" i="7"/>
  <c r="N31" i="7"/>
  <c r="H32" i="7"/>
  <c r="N32" i="7"/>
  <c r="H33" i="7"/>
  <c r="N33" i="7"/>
  <c r="H34" i="7"/>
  <c r="N34" i="7"/>
  <c r="H35" i="7"/>
  <c r="N35" i="7"/>
  <c r="H36" i="7"/>
  <c r="N36" i="7"/>
  <c r="H37" i="7"/>
  <c r="N37" i="7"/>
  <c r="N38" i="7"/>
  <c r="D39" i="7"/>
  <c r="L39" i="7"/>
  <c r="N42" i="7"/>
  <c r="N44" i="7"/>
  <c r="D45" i="7"/>
  <c r="L45" i="7"/>
  <c r="N46" i="7"/>
  <c r="C59" i="7"/>
  <c r="D108" i="7" s="1"/>
  <c r="N66" i="7"/>
  <c r="N67" i="7"/>
  <c r="N68" i="7"/>
  <c r="N69" i="7"/>
  <c r="N71" i="7"/>
  <c r="N72" i="7"/>
  <c r="N73" i="7"/>
  <c r="N74" i="7"/>
  <c r="N76" i="7"/>
  <c r="N77" i="7"/>
  <c r="D78" i="7"/>
  <c r="L78" i="7"/>
  <c r="N79" i="7"/>
  <c r="N80" i="7"/>
  <c r="N81" i="7"/>
  <c r="N82" i="7"/>
  <c r="N84" i="7"/>
  <c r="N85" i="7"/>
  <c r="D86" i="7"/>
  <c r="L86" i="7"/>
  <c r="N87" i="7"/>
  <c r="N88" i="7"/>
  <c r="N89" i="7"/>
  <c r="N90" i="7"/>
  <c r="F91" i="7"/>
  <c r="N92" i="7"/>
  <c r="L93" i="7"/>
  <c r="N94" i="7"/>
  <c r="N96" i="7"/>
  <c r="D119" i="7"/>
  <c r="F121" i="7"/>
  <c r="D157" i="7"/>
  <c r="D162" i="7"/>
  <c r="E207" i="7"/>
  <c r="J45" i="5"/>
  <c r="K45" i="5"/>
  <c r="J69" i="5"/>
  <c r="K69" i="5"/>
  <c r="L26" i="8"/>
  <c r="AC26" i="8" s="1"/>
  <c r="AC29" i="8" s="1"/>
  <c r="L27" i="8"/>
  <c r="AC27" i="8" s="1"/>
  <c r="E29" i="8"/>
  <c r="H29" i="8"/>
  <c r="K29" i="8"/>
  <c r="D49" i="8"/>
  <c r="U49" i="8" s="1"/>
  <c r="D50" i="8"/>
  <c r="U50" i="8" s="1"/>
  <c r="D51" i="8"/>
  <c r="U51" i="8" s="1"/>
  <c r="F51" i="8"/>
  <c r="W51" i="8" s="1"/>
  <c r="W53" i="8" s="1"/>
  <c r="F53" i="8"/>
  <c r="G51" i="8"/>
  <c r="L51" i="8"/>
  <c r="AC53" i="8" s="1"/>
  <c r="E53" i="8"/>
  <c r="H53" i="8"/>
  <c r="K53" i="8"/>
  <c r="C60" i="8"/>
  <c r="M12" i="13"/>
  <c r="N12" i="13"/>
  <c r="M13" i="13"/>
  <c r="N13" i="13" s="1"/>
  <c r="M14" i="13"/>
  <c r="N14" i="13" s="1"/>
  <c r="M15" i="13"/>
  <c r="N15" i="13" s="1"/>
  <c r="M16" i="13"/>
  <c r="N16" i="13" s="1"/>
  <c r="M17" i="13"/>
  <c r="M18" i="13"/>
  <c r="M19" i="13"/>
  <c r="N19" i="13"/>
  <c r="M20" i="13"/>
  <c r="N20" i="13" s="1"/>
  <c r="M26" i="13"/>
  <c r="N26" i="13"/>
  <c r="M27" i="13"/>
  <c r="N27" i="13" s="1"/>
  <c r="I28" i="13"/>
  <c r="F29" i="13"/>
  <c r="M29" i="13"/>
  <c r="N29" i="13" s="1"/>
  <c r="M30" i="13"/>
  <c r="F31" i="13"/>
  <c r="I31" i="13"/>
  <c r="M31" i="13" s="1"/>
  <c r="N31" i="13" s="1"/>
  <c r="F32" i="13"/>
  <c r="I32" i="13"/>
  <c r="M32" i="13"/>
  <c r="N32" i="13" s="1"/>
  <c r="F33" i="13"/>
  <c r="F34" i="13"/>
  <c r="I34" i="13"/>
  <c r="I35" i="13"/>
  <c r="M35" i="13" s="1"/>
  <c r="N35" i="13" s="1"/>
  <c r="M36" i="13"/>
  <c r="N36" i="13"/>
  <c r="F37" i="13"/>
  <c r="M37" i="13" s="1"/>
  <c r="N37" i="13" s="1"/>
  <c r="F39" i="13"/>
  <c r="I39" i="13"/>
  <c r="M42" i="13"/>
  <c r="N42" i="13"/>
  <c r="F43" i="13"/>
  <c r="I43" i="13"/>
  <c r="M43" i="13"/>
  <c r="N43" i="13"/>
  <c r="I44" i="13"/>
  <c r="M44" i="13" s="1"/>
  <c r="N44" i="13"/>
  <c r="M45" i="13"/>
  <c r="N45" i="13" s="1"/>
  <c r="F47" i="13"/>
  <c r="I47" i="13"/>
  <c r="M47" i="13" s="1"/>
  <c r="N47" i="13" s="1"/>
  <c r="F48" i="13"/>
  <c r="F50" i="13"/>
  <c r="M50" i="13" s="1"/>
  <c r="N50" i="13" s="1"/>
  <c r="M48" i="13"/>
  <c r="N48" i="13"/>
  <c r="F49" i="13"/>
  <c r="M49" i="13" s="1"/>
  <c r="N49" i="13" s="1"/>
  <c r="I49" i="13"/>
  <c r="M52" i="13"/>
  <c r="N52" i="13" s="1"/>
  <c r="M53" i="13"/>
  <c r="N53" i="13"/>
  <c r="M54" i="13"/>
  <c r="N54" i="13" s="1"/>
  <c r="M55" i="13"/>
  <c r="N55" i="13"/>
  <c r="M56" i="13"/>
  <c r="N56" i="13" s="1"/>
  <c r="M58" i="13"/>
  <c r="N58" i="13"/>
  <c r="M59" i="13"/>
  <c r="N59" i="13" s="1"/>
  <c r="F63" i="13"/>
  <c r="I63" i="13"/>
  <c r="M63" i="13"/>
  <c r="N63" i="13" s="1"/>
  <c r="M77" i="13"/>
  <c r="N77" i="13"/>
  <c r="M78" i="13"/>
  <c r="N78" i="13" s="1"/>
  <c r="M85" i="13"/>
  <c r="N85" i="13"/>
  <c r="M87" i="13"/>
  <c r="N87" i="13" s="1"/>
  <c r="M99" i="13"/>
  <c r="N99" i="13"/>
  <c r="E114" i="13"/>
  <c r="I95" i="13" s="1"/>
  <c r="F95" i="13" s="1"/>
  <c r="P12" i="12"/>
  <c r="Q12" i="12" s="1"/>
  <c r="P13" i="12"/>
  <c r="Q13" i="12" s="1"/>
  <c r="P14" i="12"/>
  <c r="Q14" i="12" s="1"/>
  <c r="P15" i="12"/>
  <c r="Q15" i="12"/>
  <c r="P16" i="12"/>
  <c r="Q16" i="12" s="1"/>
  <c r="P17" i="12"/>
  <c r="P18" i="12"/>
  <c r="P19" i="12"/>
  <c r="Q19" i="12" s="1"/>
  <c r="P20" i="12"/>
  <c r="Q20" i="12"/>
  <c r="I27" i="12"/>
  <c r="I32" i="12" s="1"/>
  <c r="L27" i="12"/>
  <c r="L43" i="12" s="1"/>
  <c r="I28" i="12"/>
  <c r="I90" i="12" s="1"/>
  <c r="L28" i="12"/>
  <c r="L33" i="12" s="1"/>
  <c r="P33" i="12" s="1"/>
  <c r="Q33" i="12" s="1"/>
  <c r="L90" i="12"/>
  <c r="F29" i="12"/>
  <c r="I29" i="12"/>
  <c r="I34" i="12" s="1"/>
  <c r="P34" i="12" s="1"/>
  <c r="Q34" i="12" s="1"/>
  <c r="L29" i="12"/>
  <c r="L34" i="12"/>
  <c r="P30" i="12"/>
  <c r="F32" i="12"/>
  <c r="F33" i="12"/>
  <c r="I33" i="12"/>
  <c r="F34" i="12"/>
  <c r="F35" i="12"/>
  <c r="I35" i="12"/>
  <c r="L35" i="12"/>
  <c r="P35" i="12"/>
  <c r="Q35" i="12" s="1"/>
  <c r="F37" i="12"/>
  <c r="I37" i="12"/>
  <c r="P37" i="12" s="1"/>
  <c r="Q37" i="12" s="1"/>
  <c r="L37" i="12"/>
  <c r="L39" i="12"/>
  <c r="L42" i="12"/>
  <c r="L49" i="12" s="1"/>
  <c r="F43" i="12"/>
  <c r="I44" i="12"/>
  <c r="F45" i="12"/>
  <c r="P45" i="12"/>
  <c r="Q45" i="12" s="1"/>
  <c r="F47" i="12"/>
  <c r="P52" i="12"/>
  <c r="Q52" i="12"/>
  <c r="P53" i="12"/>
  <c r="Q53" i="12" s="1"/>
  <c r="P54" i="12"/>
  <c r="Q54" i="12"/>
  <c r="P55" i="12"/>
  <c r="Q55" i="12" s="1"/>
  <c r="P56" i="12"/>
  <c r="Q56" i="12"/>
  <c r="P58" i="12"/>
  <c r="Q58" i="12" s="1"/>
  <c r="P59" i="12"/>
  <c r="Q59" i="12"/>
  <c r="L61" i="12"/>
  <c r="L62" i="12"/>
  <c r="L63" i="12"/>
  <c r="P87" i="12"/>
  <c r="Q87" i="12"/>
  <c r="L89" i="12"/>
  <c r="F90" i="12"/>
  <c r="P95" i="12"/>
  <c r="Q95" i="12"/>
  <c r="L96" i="12"/>
  <c r="P98" i="12"/>
  <c r="Q98" i="12"/>
  <c r="O12" i="3"/>
  <c r="P12" i="3" s="1"/>
  <c r="O13" i="3"/>
  <c r="P13" i="3"/>
  <c r="O14" i="3"/>
  <c r="P14" i="3" s="1"/>
  <c r="O15" i="3"/>
  <c r="P15" i="3"/>
  <c r="O16" i="3"/>
  <c r="P16" i="3" s="1"/>
  <c r="O17" i="3"/>
  <c r="P17" i="3"/>
  <c r="O18" i="3"/>
  <c r="P18" i="3" s="1"/>
  <c r="O19" i="3"/>
  <c r="P19" i="3"/>
  <c r="O20" i="3"/>
  <c r="P20" i="3" s="1"/>
  <c r="H27" i="3"/>
  <c r="H50" i="3" s="1"/>
  <c r="K27" i="3"/>
  <c r="E29" i="3"/>
  <c r="H29" i="3"/>
  <c r="H34" i="3" s="1"/>
  <c r="K29" i="3"/>
  <c r="K34" i="3" s="1"/>
  <c r="O30" i="3"/>
  <c r="P30" i="3"/>
  <c r="E32" i="3"/>
  <c r="E34" i="3"/>
  <c r="E35" i="3"/>
  <c r="H35" i="3"/>
  <c r="K35" i="3"/>
  <c r="O35" i="3"/>
  <c r="P35" i="3" s="1"/>
  <c r="E37" i="3"/>
  <c r="H37" i="3"/>
  <c r="K37" i="3"/>
  <c r="E43" i="3"/>
  <c r="E45" i="3"/>
  <c r="E47" i="3"/>
  <c r="H47" i="3"/>
  <c r="O53" i="3"/>
  <c r="P53" i="3"/>
  <c r="O55" i="3"/>
  <c r="P55" i="3"/>
  <c r="O56" i="3"/>
  <c r="P56" i="3"/>
  <c r="O58" i="3"/>
  <c r="P58" i="3"/>
  <c r="O59" i="3"/>
  <c r="P59" i="3"/>
  <c r="O66" i="3"/>
  <c r="P66" i="3"/>
  <c r="O78" i="3"/>
  <c r="P78" i="3"/>
  <c r="O79" i="3"/>
  <c r="P79" i="3"/>
  <c r="O80" i="3"/>
  <c r="P80" i="3"/>
  <c r="O88" i="3"/>
  <c r="P88" i="3"/>
  <c r="O96" i="3"/>
  <c r="P96" i="3"/>
  <c r="O100" i="3"/>
  <c r="P100" i="3"/>
  <c r="F26" i="9"/>
  <c r="F27" i="9"/>
  <c r="H27" i="9" s="1"/>
  <c r="H29" i="9"/>
  <c r="F28" i="9"/>
  <c r="H28" i="9"/>
  <c r="I21" i="2"/>
  <c r="C57" i="2"/>
  <c r="F57" i="2" s="1"/>
  <c r="J57" i="2" s="1"/>
  <c r="C62" i="2"/>
  <c r="F62" i="2" s="1"/>
  <c r="J62" i="2" s="1"/>
  <c r="C79" i="2"/>
  <c r="F79" i="2" s="1"/>
  <c r="J79" i="2" s="1"/>
  <c r="I101" i="2"/>
  <c r="H27" i="1"/>
  <c r="AN33" i="1"/>
  <c r="AO33" i="1"/>
  <c r="AP33" i="1"/>
  <c r="AN34" i="1"/>
  <c r="AO34" i="1"/>
  <c r="AP34" i="1"/>
  <c r="AN35" i="1"/>
  <c r="AO35" i="1"/>
  <c r="AP35" i="1"/>
  <c r="AN36" i="1"/>
  <c r="AO36" i="1"/>
  <c r="AP36" i="1"/>
  <c r="O37" i="3"/>
  <c r="P37" i="3" s="1"/>
  <c r="F48" i="12"/>
  <c r="F50" i="12"/>
  <c r="C73" i="2"/>
  <c r="F73" i="2" s="1"/>
  <c r="J73" i="2" s="1"/>
  <c r="P29" i="12"/>
  <c r="Q29" i="12" s="1"/>
  <c r="H32" i="3"/>
  <c r="H43" i="3"/>
  <c r="P48" i="12"/>
  <c r="Q48" i="12"/>
  <c r="E48" i="3"/>
  <c r="E50" i="3" s="1"/>
  <c r="M89" i="13"/>
  <c r="N89" i="13" s="1"/>
  <c r="M28" i="13"/>
  <c r="I33" i="13"/>
  <c r="M33" i="13" s="1"/>
  <c r="N33" i="13" s="1"/>
  <c r="M90" i="13"/>
  <c r="N90" i="13"/>
  <c r="V11" i="37"/>
  <c r="U59" i="37"/>
  <c r="M90" i="37"/>
  <c r="E30" i="37"/>
  <c r="U74" i="37"/>
  <c r="V74" i="37"/>
  <c r="X74" i="37" s="1"/>
  <c r="E64" i="37"/>
  <c r="U58" i="37"/>
  <c r="V58" i="37"/>
  <c r="X58" i="37" s="1"/>
  <c r="Y58" i="37" s="1"/>
  <c r="F89" i="37"/>
  <c r="H89" i="37" s="1"/>
  <c r="E89" i="37"/>
  <c r="AL321" i="68"/>
  <c r="R36" i="68"/>
  <c r="T36" i="68"/>
  <c r="N26" i="68"/>
  <c r="O26" i="68" s="1"/>
  <c r="N16" i="68"/>
  <c r="O16" i="68" s="1"/>
  <c r="N18" i="68"/>
  <c r="O18" i="68" s="1"/>
  <c r="Q71" i="46" l="1"/>
  <c r="N73" i="46" s="1"/>
  <c r="P73" i="46"/>
  <c r="Q32" i="68"/>
  <c r="P142" i="68"/>
  <c r="R33" i="68"/>
  <c r="J29" i="9"/>
  <c r="J30" i="9"/>
  <c r="E47" i="43"/>
  <c r="E45" i="43"/>
  <c r="E46" i="43"/>
  <c r="D59" i="25"/>
  <c r="E57" i="25" s="1"/>
  <c r="G13" i="25" s="1"/>
  <c r="E56" i="25"/>
  <c r="F13" i="25" s="1"/>
  <c r="E35" i="43"/>
  <c r="G19" i="41"/>
  <c r="G31" i="41" s="1"/>
  <c r="J48" i="39"/>
  <c r="C99" i="2"/>
  <c r="F99" i="2" s="1"/>
  <c r="D199" i="7"/>
  <c r="F21" i="41"/>
  <c r="F23" i="41" s="1"/>
  <c r="H74" i="9" s="1"/>
  <c r="H98" i="2" s="1"/>
  <c r="D198" i="7"/>
  <c r="L67" i="14"/>
  <c r="M70" i="37"/>
  <c r="Q70" i="37" s="1"/>
  <c r="Y13" i="37"/>
  <c r="U43" i="37"/>
  <c r="Y43" i="37" s="1"/>
  <c r="N68" i="37"/>
  <c r="P68" i="37" s="1"/>
  <c r="Q68" i="37" s="1"/>
  <c r="L50" i="14"/>
  <c r="U66" i="37"/>
  <c r="Y66" i="37" s="1"/>
  <c r="E60" i="37"/>
  <c r="L60" i="14"/>
  <c r="L69" i="14"/>
  <c r="F24" i="34"/>
  <c r="H17" i="33"/>
  <c r="H22" i="33" s="1"/>
  <c r="Q27" i="32"/>
  <c r="R27" i="32" s="1"/>
  <c r="C30" i="40" s="1"/>
  <c r="D30" i="40" s="1"/>
  <c r="P18" i="32"/>
  <c r="Q18" i="32" s="1"/>
  <c r="Q19" i="32"/>
  <c r="N39" i="32"/>
  <c r="P15" i="32"/>
  <c r="Q15" i="32" s="1"/>
  <c r="Q14" i="32"/>
  <c r="R21" i="32"/>
  <c r="C24" i="40" s="1"/>
  <c r="D24" i="40" s="1"/>
  <c r="N43" i="32"/>
  <c r="P152" i="68"/>
  <c r="R152" i="68" s="1"/>
  <c r="V204" i="68"/>
  <c r="W204" i="68" s="1"/>
  <c r="Y204" i="68" s="1"/>
  <c r="V191" i="68"/>
  <c r="W191" i="68" s="1"/>
  <c r="Y191" i="68" s="1"/>
  <c r="V144" i="68"/>
  <c r="W144" i="68" s="1"/>
  <c r="Y144" i="68" s="1"/>
  <c r="V118" i="68"/>
  <c r="W118" i="68" s="1"/>
  <c r="Y118" i="68" s="1"/>
  <c r="T31" i="68"/>
  <c r="C64" i="8" s="1"/>
  <c r="E74" i="31"/>
  <c r="C75" i="37"/>
  <c r="W63" i="31"/>
  <c r="S64" i="37"/>
  <c r="V70" i="37"/>
  <c r="X70" i="37" s="1"/>
  <c r="U70" i="37"/>
  <c r="W50" i="31"/>
  <c r="S51" i="37"/>
  <c r="W74" i="31"/>
  <c r="S75" i="37"/>
  <c r="E65" i="31"/>
  <c r="C66" i="37"/>
  <c r="M75" i="37"/>
  <c r="N75" i="37"/>
  <c r="P75" i="37" s="1"/>
  <c r="Q75" i="37" s="1"/>
  <c r="F48" i="37"/>
  <c r="H48" i="37" s="1"/>
  <c r="E48" i="37"/>
  <c r="W34" i="31"/>
  <c r="S35" i="37"/>
  <c r="E19" i="37"/>
  <c r="F19" i="37"/>
  <c r="H19" i="37" s="1"/>
  <c r="I19" i="37" s="1"/>
  <c r="Q11" i="37"/>
  <c r="V44" i="37"/>
  <c r="X44" i="37" s="1"/>
  <c r="Y44" i="37" s="1"/>
  <c r="W67" i="31"/>
  <c r="AB67" i="31" s="1"/>
  <c r="S68" i="37"/>
  <c r="N46" i="31"/>
  <c r="K47" i="37"/>
  <c r="N38" i="31"/>
  <c r="K39" i="37"/>
  <c r="N58" i="31"/>
  <c r="S58" i="31" s="1"/>
  <c r="K59" i="37"/>
  <c r="N59" i="37" s="1"/>
  <c r="P59" i="37" s="1"/>
  <c r="E49" i="31"/>
  <c r="C50" i="37"/>
  <c r="W45" i="31"/>
  <c r="S46" i="37"/>
  <c r="N13" i="31"/>
  <c r="K14" i="37"/>
  <c r="V25" i="37"/>
  <c r="X25" i="37" s="1"/>
  <c r="U25" i="37"/>
  <c r="L73" i="31"/>
  <c r="K74" i="37" s="1"/>
  <c r="N54" i="31"/>
  <c r="K55" i="37"/>
  <c r="N43" i="31"/>
  <c r="K44" i="37"/>
  <c r="W40" i="31"/>
  <c r="S41" i="37"/>
  <c r="W32" i="31"/>
  <c r="S33" i="37"/>
  <c r="W49" i="31"/>
  <c r="S50" i="37"/>
  <c r="W44" i="31"/>
  <c r="S45" i="37"/>
  <c r="N12" i="31"/>
  <c r="S12" i="31" s="1"/>
  <c r="K13" i="37"/>
  <c r="W23" i="31"/>
  <c r="S24" i="37"/>
  <c r="N23" i="37"/>
  <c r="P23" i="37" s="1"/>
  <c r="M23" i="37"/>
  <c r="M16" i="37"/>
  <c r="Q16" i="37" s="1"/>
  <c r="M48" i="37"/>
  <c r="U91" i="31"/>
  <c r="W91" i="31" s="1"/>
  <c r="W95" i="31" s="1"/>
  <c r="N63" i="31"/>
  <c r="K64" i="37"/>
  <c r="E45" i="31"/>
  <c r="C46" i="37"/>
  <c r="C93" i="31"/>
  <c r="C91" i="37"/>
  <c r="U90" i="31"/>
  <c r="W90" i="31" s="1"/>
  <c r="S89" i="37"/>
  <c r="V89" i="37" s="1"/>
  <c r="X89" i="37" s="1"/>
  <c r="N57" i="31"/>
  <c r="K58" i="37"/>
  <c r="E68" i="31"/>
  <c r="C69" i="37"/>
  <c r="R201" i="47"/>
  <c r="N11" i="31"/>
  <c r="K12" i="37"/>
  <c r="Y42" i="37"/>
  <c r="N23" i="31"/>
  <c r="K24" i="37"/>
  <c r="N50" i="31"/>
  <c r="S50" i="31" s="1"/>
  <c r="K51" i="37"/>
  <c r="E61" i="31"/>
  <c r="C62" i="37"/>
  <c r="W68" i="31"/>
  <c r="S69" i="37"/>
  <c r="N34" i="31"/>
  <c r="S34" i="31" s="1"/>
  <c r="K35" i="37"/>
  <c r="N45" i="31"/>
  <c r="K46" i="37"/>
  <c r="V21" i="37"/>
  <c r="X21" i="37" s="1"/>
  <c r="U21" i="37"/>
  <c r="W264" i="47"/>
  <c r="X264" i="47" s="1"/>
  <c r="U39" i="31" s="1"/>
  <c r="E43" i="31"/>
  <c r="J43" i="31" s="1"/>
  <c r="C44" i="37"/>
  <c r="W47" i="31"/>
  <c r="AB47" i="31" s="1"/>
  <c r="S48" i="37"/>
  <c r="C90" i="31"/>
  <c r="E90" i="31" s="1"/>
  <c r="N65" i="31"/>
  <c r="K66" i="37"/>
  <c r="W62" i="31"/>
  <c r="AB62" i="31" s="1"/>
  <c r="S63" i="37"/>
  <c r="N49" i="31"/>
  <c r="K50" i="37"/>
  <c r="M21" i="37"/>
  <c r="N21" i="37"/>
  <c r="P21" i="37" s="1"/>
  <c r="Q90" i="47"/>
  <c r="Q28" i="47"/>
  <c r="M52" i="37"/>
  <c r="L90" i="31"/>
  <c r="N90" i="31" s="1"/>
  <c r="K89" i="37"/>
  <c r="N89" i="37" s="1"/>
  <c r="W54" i="31"/>
  <c r="S55" i="37"/>
  <c r="E34" i="31"/>
  <c r="C35" i="37"/>
  <c r="N48" i="31"/>
  <c r="K49" i="37"/>
  <c r="N62" i="31"/>
  <c r="K63" i="37"/>
  <c r="W48" i="31"/>
  <c r="AB48" i="31" s="1"/>
  <c r="S49" i="37"/>
  <c r="E13" i="31"/>
  <c r="C14" i="37"/>
  <c r="F23" i="37"/>
  <c r="H23" i="37" s="1"/>
  <c r="E23" i="37"/>
  <c r="E66" i="31"/>
  <c r="C67" i="37"/>
  <c r="U89" i="37"/>
  <c r="N44" i="31"/>
  <c r="K45" i="37"/>
  <c r="U61" i="31"/>
  <c r="W38" i="31"/>
  <c r="AB38" i="31" s="1"/>
  <c r="S39" i="37"/>
  <c r="W13" i="31"/>
  <c r="AB13" i="31" s="1"/>
  <c r="S14" i="37"/>
  <c r="V22" i="37"/>
  <c r="X22" i="37" s="1"/>
  <c r="U22" i="37"/>
  <c r="N68" i="31"/>
  <c r="K69" i="37"/>
  <c r="N61" i="31"/>
  <c r="K62" i="37"/>
  <c r="AB34" i="31"/>
  <c r="W46" i="31"/>
  <c r="S47" i="37"/>
  <c r="P107" i="47"/>
  <c r="U23" i="37"/>
  <c r="V23" i="37"/>
  <c r="X23" i="37" s="1"/>
  <c r="Y23" i="37" s="1"/>
  <c r="N22" i="37"/>
  <c r="P22" i="37" s="1"/>
  <c r="M22" i="37"/>
  <c r="Q22" i="37" s="1"/>
  <c r="I27" i="6"/>
  <c r="I28" i="28"/>
  <c r="H28" i="28"/>
  <c r="G27" i="6"/>
  <c r="J22" i="28"/>
  <c r="C28" i="28"/>
  <c r="J10" i="6"/>
  <c r="F12" i="6"/>
  <c r="F16" i="6"/>
  <c r="E51" i="30"/>
  <c r="Q48" i="30"/>
  <c r="H48" i="30"/>
  <c r="E21" i="36"/>
  <c r="C22" i="36"/>
  <c r="E22" i="36" s="1"/>
  <c r="Q44" i="30"/>
  <c r="E20" i="36"/>
  <c r="Q43" i="30"/>
  <c r="E19" i="36"/>
  <c r="G51" i="30"/>
  <c r="E17" i="36"/>
  <c r="E16" i="36"/>
  <c r="Q39" i="30"/>
  <c r="H38" i="30"/>
  <c r="H26" i="30"/>
  <c r="AE35" i="48"/>
  <c r="AE39" i="48" s="1"/>
  <c r="AC35" i="48"/>
  <c r="AC39" i="48" s="1"/>
  <c r="AG35" i="48"/>
  <c r="AG39" i="48" s="1"/>
  <c r="AI35" i="48"/>
  <c r="AI39" i="48" s="1"/>
  <c r="AA35" i="48"/>
  <c r="AA39" i="48" s="1"/>
  <c r="Y35" i="48"/>
  <c r="Y39" i="48" s="1"/>
  <c r="U35" i="48"/>
  <c r="U39" i="48" s="1"/>
  <c r="V39" i="48" s="1"/>
  <c r="X74" i="31"/>
  <c r="Z74" i="31" s="1"/>
  <c r="Q203" i="47"/>
  <c r="Q272" i="47" s="1"/>
  <c r="R272" i="47" s="1"/>
  <c r="Q189" i="47"/>
  <c r="Q261" i="47" s="1"/>
  <c r="R261" i="47" s="1"/>
  <c r="R45" i="47"/>
  <c r="Q101" i="47"/>
  <c r="R270" i="47"/>
  <c r="Q191" i="47"/>
  <c r="Q263" i="47" s="1"/>
  <c r="R263" i="47" s="1"/>
  <c r="R34" i="47"/>
  <c r="F21" i="31"/>
  <c r="H21" i="31" s="1"/>
  <c r="AC264" i="47"/>
  <c r="AD264" i="47" s="1"/>
  <c r="X39" i="31" s="1"/>
  <c r="Q206" i="47"/>
  <c r="Q275" i="47" s="1"/>
  <c r="R275" i="47" s="1"/>
  <c r="Q193" i="47"/>
  <c r="Q265" i="47" s="1"/>
  <c r="R265" i="47" s="1"/>
  <c r="Q102" i="47"/>
  <c r="R266" i="47"/>
  <c r="Q195" i="47"/>
  <c r="Q267" i="47" s="1"/>
  <c r="R267" i="47" s="1"/>
  <c r="R11" i="47"/>
  <c r="Q200" i="47"/>
  <c r="Q269" i="47" s="1"/>
  <c r="R269" i="47" s="1"/>
  <c r="Q91" i="47"/>
  <c r="Q46" i="47" s="1"/>
  <c r="R46" i="47" s="1"/>
  <c r="R194" i="47"/>
  <c r="Q194" i="47"/>
  <c r="Q266" i="47" s="1"/>
  <c r="O73" i="31"/>
  <c r="Q73" i="31" s="1"/>
  <c r="Q188" i="47"/>
  <c r="Q260" i="47" s="1"/>
  <c r="R260" i="47" s="1"/>
  <c r="Q204" i="47"/>
  <c r="Q273" i="47" s="1"/>
  <c r="R273" i="47" s="1"/>
  <c r="Q202" i="47"/>
  <c r="Q271" i="47" s="1"/>
  <c r="R271" i="47" s="1"/>
  <c r="Q192" i="47"/>
  <c r="Q264" i="47" s="1"/>
  <c r="Q185" i="47"/>
  <c r="Q257" i="47" s="1"/>
  <c r="R257" i="47" s="1"/>
  <c r="N42" i="31"/>
  <c r="K43" i="37"/>
  <c r="E42" i="31"/>
  <c r="C43" i="37"/>
  <c r="N42" i="37"/>
  <c r="P42" i="37" s="1"/>
  <c r="Q42" i="37" s="1"/>
  <c r="N40" i="31"/>
  <c r="K41" i="37"/>
  <c r="E40" i="31"/>
  <c r="C41" i="37"/>
  <c r="N39" i="31"/>
  <c r="K40" i="37"/>
  <c r="N37" i="31"/>
  <c r="K38" i="37"/>
  <c r="W93" i="31"/>
  <c r="S91" i="37"/>
  <c r="E90" i="37"/>
  <c r="I90" i="37" s="1"/>
  <c r="C93" i="37"/>
  <c r="E50" i="31"/>
  <c r="C51" i="37"/>
  <c r="W60" i="31"/>
  <c r="S61" i="37"/>
  <c r="N60" i="31"/>
  <c r="K61" i="37"/>
  <c r="E60" i="31"/>
  <c r="C61" i="37"/>
  <c r="W56" i="31"/>
  <c r="S57" i="37"/>
  <c r="N56" i="31"/>
  <c r="K57" i="37"/>
  <c r="E56" i="31"/>
  <c r="C57" i="37"/>
  <c r="W59" i="31"/>
  <c r="AB59" i="31" s="1"/>
  <c r="S60" i="37"/>
  <c r="N59" i="31"/>
  <c r="K60" i="37"/>
  <c r="W55" i="31"/>
  <c r="S56" i="37"/>
  <c r="N55" i="31"/>
  <c r="K56" i="37"/>
  <c r="E55" i="31"/>
  <c r="C56" i="37"/>
  <c r="E58" i="31"/>
  <c r="J58" i="31" s="1"/>
  <c r="C59" i="37"/>
  <c r="E54" i="31"/>
  <c r="C55" i="37"/>
  <c r="E67" i="31"/>
  <c r="C68" i="37"/>
  <c r="F68" i="37" s="1"/>
  <c r="H68" i="37" s="1"/>
  <c r="E69" i="31"/>
  <c r="C70" i="37"/>
  <c r="E41" i="31"/>
  <c r="C42" i="37"/>
  <c r="Q199" i="47"/>
  <c r="Q268" i="47" s="1"/>
  <c r="R268" i="47" s="1"/>
  <c r="Q190" i="47"/>
  <c r="Q262" i="47" s="1"/>
  <c r="R262" i="47" s="1"/>
  <c r="E38" i="31"/>
  <c r="C39" i="37"/>
  <c r="Q187" i="47"/>
  <c r="Q259" i="47" s="1"/>
  <c r="R259" i="47" s="1"/>
  <c r="U38" i="37"/>
  <c r="Y38" i="37" s="1"/>
  <c r="Q186" i="47"/>
  <c r="Q258" i="47" s="1"/>
  <c r="R258" i="47" s="1"/>
  <c r="E37" i="31"/>
  <c r="C38" i="37"/>
  <c r="Q184" i="47"/>
  <c r="Q256" i="47" s="1"/>
  <c r="W66" i="31"/>
  <c r="S67" i="37"/>
  <c r="N66" i="31"/>
  <c r="S66" i="31" s="1"/>
  <c r="K67" i="37"/>
  <c r="W33" i="31"/>
  <c r="S34" i="37"/>
  <c r="N33" i="31"/>
  <c r="K34" i="37"/>
  <c r="E33" i="31"/>
  <c r="C34" i="37"/>
  <c r="E34" i="37" s="1"/>
  <c r="W51" i="31"/>
  <c r="S52" i="37"/>
  <c r="E51" i="31"/>
  <c r="C52" i="37"/>
  <c r="F52" i="37" s="1"/>
  <c r="H52" i="37" s="1"/>
  <c r="C73" i="31"/>
  <c r="N32" i="31"/>
  <c r="K33" i="37"/>
  <c r="E32" i="31"/>
  <c r="C33" i="37"/>
  <c r="W64" i="31"/>
  <c r="S65" i="37"/>
  <c r="N64" i="31"/>
  <c r="K65" i="37"/>
  <c r="E64" i="31"/>
  <c r="C65" i="37"/>
  <c r="E62" i="31"/>
  <c r="C63" i="37"/>
  <c r="E48" i="31"/>
  <c r="J48" i="31" s="1"/>
  <c r="C49" i="37"/>
  <c r="E46" i="31"/>
  <c r="C47" i="37"/>
  <c r="E44" i="31"/>
  <c r="C45" i="37"/>
  <c r="W29" i="31"/>
  <c r="S30" i="37"/>
  <c r="N29" i="31"/>
  <c r="K30" i="37"/>
  <c r="E12" i="31"/>
  <c r="J12" i="31" s="1"/>
  <c r="C13" i="37"/>
  <c r="W11" i="31"/>
  <c r="S12" i="37"/>
  <c r="E11" i="31"/>
  <c r="C12" i="37"/>
  <c r="E10" i="31"/>
  <c r="C11" i="37"/>
  <c r="E23" i="31"/>
  <c r="C24" i="37"/>
  <c r="F22" i="37"/>
  <c r="H22" i="37" s="1"/>
  <c r="E22" i="37"/>
  <c r="E20" i="31"/>
  <c r="F21" i="37"/>
  <c r="H21" i="37" s="1"/>
  <c r="E21" i="37"/>
  <c r="N19" i="31"/>
  <c r="K20" i="37"/>
  <c r="E20" i="37"/>
  <c r="W16" i="31"/>
  <c r="S17" i="37"/>
  <c r="W15" i="31"/>
  <c r="S16" i="37"/>
  <c r="E14" i="31"/>
  <c r="C15" i="37"/>
  <c r="Q49" i="30"/>
  <c r="H49" i="30"/>
  <c r="Q47" i="30"/>
  <c r="Q26" i="30"/>
  <c r="Q25" i="30"/>
  <c r="H25" i="30"/>
  <c r="Q24" i="30"/>
  <c r="H24" i="30"/>
  <c r="C36" i="27"/>
  <c r="C12" i="27"/>
  <c r="C34" i="27"/>
  <c r="D35" i="5"/>
  <c r="H35" i="5" s="1"/>
  <c r="I35" i="5" s="1"/>
  <c r="C55" i="27"/>
  <c r="D38" i="5"/>
  <c r="H38" i="5" s="1"/>
  <c r="I38" i="5" s="1"/>
  <c r="C33" i="27"/>
  <c r="A13" i="27"/>
  <c r="J41" i="44"/>
  <c r="J59" i="44" s="1"/>
  <c r="D37" i="5"/>
  <c r="H37" i="5" s="1"/>
  <c r="I37" i="5" s="1"/>
  <c r="C10" i="27"/>
  <c r="D12" i="5"/>
  <c r="H12" i="5" s="1"/>
  <c r="I12" i="5" s="1"/>
  <c r="D59" i="5"/>
  <c r="H59" i="5" s="1"/>
  <c r="I59" i="5" s="1"/>
  <c r="C58" i="27"/>
  <c r="C19" i="27"/>
  <c r="C53" i="27"/>
  <c r="E23" i="27"/>
  <c r="D66" i="25" s="1"/>
  <c r="G56" i="39"/>
  <c r="K59" i="39"/>
  <c r="G51" i="39"/>
  <c r="K51" i="39"/>
  <c r="H30" i="39"/>
  <c r="I30" i="39"/>
  <c r="J45" i="39"/>
  <c r="D48" i="39"/>
  <c r="J49" i="39"/>
  <c r="L95" i="7"/>
  <c r="N45" i="7"/>
  <c r="P45" i="7" s="1"/>
  <c r="L47" i="7"/>
  <c r="L97" i="7" s="1"/>
  <c r="N39" i="7"/>
  <c r="P39" i="7" s="1"/>
  <c r="P47" i="7" s="1"/>
  <c r="N26" i="7"/>
  <c r="P26" i="7" s="1"/>
  <c r="C74" i="3"/>
  <c r="L53" i="8"/>
  <c r="I27" i="3"/>
  <c r="F207" i="7"/>
  <c r="F214" i="7" s="1"/>
  <c r="P105" i="68"/>
  <c r="T105" i="68" s="1"/>
  <c r="N318" i="68"/>
  <c r="P201" i="68"/>
  <c r="T201" i="68" s="1"/>
  <c r="P89" i="68"/>
  <c r="T89" i="68" s="1"/>
  <c r="P164" i="68"/>
  <c r="P147" i="68"/>
  <c r="T147" i="68" s="1"/>
  <c r="V91" i="68"/>
  <c r="W91" i="68" s="1"/>
  <c r="Y91" i="68" s="1"/>
  <c r="P82" i="68"/>
  <c r="T82" i="68" s="1"/>
  <c r="P190" i="68"/>
  <c r="R190" i="68" s="1"/>
  <c r="P150" i="68"/>
  <c r="V104" i="68"/>
  <c r="W104" i="68" s="1"/>
  <c r="Y104" i="68" s="1"/>
  <c r="V272" i="68"/>
  <c r="W272" i="68" s="1"/>
  <c r="Y272" i="68" s="1"/>
  <c r="P144" i="68"/>
  <c r="T144" i="68" s="1"/>
  <c r="Z144" i="68" s="1"/>
  <c r="P129" i="68"/>
  <c r="T129" i="68" s="1"/>
  <c r="V66" i="68"/>
  <c r="W66" i="68" s="1"/>
  <c r="Y66" i="68" s="1"/>
  <c r="Q51" i="68"/>
  <c r="P167" i="68"/>
  <c r="T167" i="68" s="1"/>
  <c r="N241" i="68"/>
  <c r="V186" i="68"/>
  <c r="W186" i="68" s="1"/>
  <c r="Y186" i="68" s="1"/>
  <c r="V94" i="68"/>
  <c r="W94" i="68" s="1"/>
  <c r="Y94" i="68" s="1"/>
  <c r="P303" i="68"/>
  <c r="T303" i="68" s="1"/>
  <c r="V105" i="68"/>
  <c r="W105" i="68" s="1"/>
  <c r="Y105" i="68" s="1"/>
  <c r="P158" i="68"/>
  <c r="R158" i="68" s="1"/>
  <c r="V155" i="68"/>
  <c r="W155" i="68" s="1"/>
  <c r="Y155" i="68" s="1"/>
  <c r="V68" i="68"/>
  <c r="W68" i="68" s="1"/>
  <c r="Y68" i="68" s="1"/>
  <c r="V162" i="68"/>
  <c r="W162" i="68" s="1"/>
  <c r="Y162" i="68" s="1"/>
  <c r="V147" i="68"/>
  <c r="W147" i="68" s="1"/>
  <c r="Y147" i="68" s="1"/>
  <c r="V113" i="68"/>
  <c r="W113" i="68" s="1"/>
  <c r="Y113" i="68" s="1"/>
  <c r="P107" i="68"/>
  <c r="T107" i="68" s="1"/>
  <c r="V201" i="68"/>
  <c r="W201" i="68" s="1"/>
  <c r="Y201" i="68" s="1"/>
  <c r="P161" i="68"/>
  <c r="R161" i="68" s="1"/>
  <c r="V161" i="68" s="1"/>
  <c r="W161" i="68" s="1"/>
  <c r="Y161" i="68" s="1"/>
  <c r="V151" i="68"/>
  <c r="W151" i="68" s="1"/>
  <c r="Y151" i="68" s="1"/>
  <c r="V73" i="68"/>
  <c r="W73" i="68" s="1"/>
  <c r="Y73" i="68" s="1"/>
  <c r="P187" i="68"/>
  <c r="T187" i="68" s="1"/>
  <c r="V99" i="68"/>
  <c r="W99" i="68" s="1"/>
  <c r="Y99" i="68" s="1"/>
  <c r="V82" i="68"/>
  <c r="W82" i="68" s="1"/>
  <c r="Y82" i="68" s="1"/>
  <c r="P156" i="68"/>
  <c r="R156" i="68" s="1"/>
  <c r="P141" i="68"/>
  <c r="R141" i="68" s="1"/>
  <c r="V268" i="68"/>
  <c r="W268" i="68" s="1"/>
  <c r="Y268" i="68" s="1"/>
  <c r="P125" i="68"/>
  <c r="T125" i="68" s="1"/>
  <c r="P118" i="68"/>
  <c r="T118" i="68" s="1"/>
  <c r="P117" i="68"/>
  <c r="T117" i="68" s="1"/>
  <c r="V115" i="68"/>
  <c r="W115" i="68" s="1"/>
  <c r="Y115" i="68" s="1"/>
  <c r="V77" i="68"/>
  <c r="W77" i="68" s="1"/>
  <c r="Y77" i="68" s="1"/>
  <c r="V74" i="68"/>
  <c r="W74" i="68" s="1"/>
  <c r="Y74" i="68" s="1"/>
  <c r="P65" i="68"/>
  <c r="T65" i="68" s="1"/>
  <c r="V29" i="68"/>
  <c r="W29" i="68" s="1"/>
  <c r="Y29" i="68" s="1"/>
  <c r="V309" i="68"/>
  <c r="W309" i="68" s="1"/>
  <c r="Y309" i="68" s="1"/>
  <c r="P304" i="68"/>
  <c r="R304" i="68" s="1"/>
  <c r="V214" i="68"/>
  <c r="W214" i="68" s="1"/>
  <c r="Y214" i="68" s="1"/>
  <c r="V81" i="68"/>
  <c r="W81" i="68" s="1"/>
  <c r="Y81" i="68" s="1"/>
  <c r="V305" i="68"/>
  <c r="W305" i="68" s="1"/>
  <c r="Y305" i="68" s="1"/>
  <c r="V290" i="68"/>
  <c r="W290" i="68" s="1"/>
  <c r="Y290" i="68" s="1"/>
  <c r="N208" i="68"/>
  <c r="V21" i="68"/>
  <c r="W21" i="68" s="1"/>
  <c r="Y21" i="68" s="1"/>
  <c r="V234" i="68"/>
  <c r="W234" i="68" s="1"/>
  <c r="Y234" i="68" s="1"/>
  <c r="V157" i="68"/>
  <c r="W157" i="68" s="1"/>
  <c r="Y157" i="68" s="1"/>
  <c r="P111" i="68"/>
  <c r="R111" i="68" s="1"/>
  <c r="V106" i="68"/>
  <c r="W106" i="68" s="1"/>
  <c r="Y106" i="68" s="1"/>
  <c r="P55" i="68"/>
  <c r="T55" i="68" s="1"/>
  <c r="P39" i="68"/>
  <c r="R39" i="68" s="1"/>
  <c r="N294" i="68"/>
  <c r="P166" i="68"/>
  <c r="R166" i="68" s="1"/>
  <c r="P160" i="68"/>
  <c r="T160" i="68" s="1"/>
  <c r="Z160" i="68" s="1"/>
  <c r="V156" i="68"/>
  <c r="W156" i="68" s="1"/>
  <c r="Y156" i="68" s="1"/>
  <c r="O55" i="68"/>
  <c r="P306" i="68"/>
  <c r="R306" i="68" s="1"/>
  <c r="P302" i="68"/>
  <c r="R302" i="68" s="1"/>
  <c r="V187" i="68"/>
  <c r="W187" i="68" s="1"/>
  <c r="Y187" i="68" s="1"/>
  <c r="V121" i="68"/>
  <c r="W121" i="68" s="1"/>
  <c r="Y121" i="68" s="1"/>
  <c r="V120" i="68"/>
  <c r="W120" i="68" s="1"/>
  <c r="Y120" i="68" s="1"/>
  <c r="P119" i="68"/>
  <c r="R119" i="68" s="1"/>
  <c r="P112" i="68"/>
  <c r="R112" i="68" s="1"/>
  <c r="P78" i="68"/>
  <c r="R78" i="68" s="1"/>
  <c r="P23" i="68"/>
  <c r="R23" i="68" s="1"/>
  <c r="T23" i="68" s="1"/>
  <c r="P278" i="68"/>
  <c r="T278" i="68" s="1"/>
  <c r="N183" i="68"/>
  <c r="P162" i="68"/>
  <c r="R162" i="68" s="1"/>
  <c r="V78" i="68"/>
  <c r="W78" i="68" s="1"/>
  <c r="Y78" i="68" s="1"/>
  <c r="V138" i="68"/>
  <c r="W138" i="68" s="1"/>
  <c r="Y138" i="68" s="1"/>
  <c r="P203" i="68"/>
  <c r="V40" i="68"/>
  <c r="W40" i="68" s="1"/>
  <c r="Y40" i="68" s="1"/>
  <c r="V203" i="68"/>
  <c r="W203" i="68" s="1"/>
  <c r="Y203" i="68" s="1"/>
  <c r="P155" i="68"/>
  <c r="T155" i="68" s="1"/>
  <c r="V76" i="68"/>
  <c r="W76" i="68" s="1"/>
  <c r="Y76" i="68" s="1"/>
  <c r="P157" i="68"/>
  <c r="R157" i="68" s="1"/>
  <c r="V195" i="68"/>
  <c r="W195" i="68" s="1"/>
  <c r="Y195" i="68" s="1"/>
  <c r="V172" i="68"/>
  <c r="W172" i="68" s="1"/>
  <c r="Y172" i="68" s="1"/>
  <c r="V110" i="68"/>
  <c r="W110" i="68" s="1"/>
  <c r="Y110" i="68" s="1"/>
  <c r="P77" i="68"/>
  <c r="R77" i="68" s="1"/>
  <c r="P13" i="68"/>
  <c r="R13" i="68" s="1"/>
  <c r="T13" i="68" s="1"/>
  <c r="P121" i="68"/>
  <c r="R121" i="68" s="1"/>
  <c r="N248" i="68"/>
  <c r="V226" i="68"/>
  <c r="W226" i="68" s="1"/>
  <c r="Y226" i="68" s="1"/>
  <c r="P193" i="68"/>
  <c r="T193" i="68" s="1"/>
  <c r="V145" i="68"/>
  <c r="W145" i="68" s="1"/>
  <c r="Y145" i="68" s="1"/>
  <c r="V142" i="68"/>
  <c r="W142" i="68" s="1"/>
  <c r="Y142" i="68" s="1"/>
  <c r="V33" i="68"/>
  <c r="W33" i="68" s="1"/>
  <c r="Y33" i="68" s="1"/>
  <c r="Z33" i="68" s="1"/>
  <c r="AB33" i="68" s="1"/>
  <c r="V23" i="68"/>
  <c r="W23" i="68" s="1"/>
  <c r="Y23" i="68" s="1"/>
  <c r="V117" i="68"/>
  <c r="W117" i="68" s="1"/>
  <c r="Y117" i="68" s="1"/>
  <c r="Z117" i="68" s="1"/>
  <c r="AB117" i="68" s="1"/>
  <c r="P290" i="68"/>
  <c r="R290" i="68" s="1"/>
  <c r="P272" i="68"/>
  <c r="T272" i="68" s="1"/>
  <c r="V259" i="68"/>
  <c r="W259" i="68" s="1"/>
  <c r="Y259" i="68" s="1"/>
  <c r="V252" i="68"/>
  <c r="V255" i="68" s="1"/>
  <c r="V227" i="68"/>
  <c r="W227" i="68" s="1"/>
  <c r="Y227" i="68" s="1"/>
  <c r="P223" i="68"/>
  <c r="R223" i="68" s="1"/>
  <c r="V216" i="68"/>
  <c r="W216" i="68" s="1"/>
  <c r="Y216" i="68" s="1"/>
  <c r="P213" i="68"/>
  <c r="R213" i="68" s="1"/>
  <c r="V167" i="68"/>
  <c r="W167" i="68" s="1"/>
  <c r="Y167" i="68" s="1"/>
  <c r="V152" i="68"/>
  <c r="W152" i="68" s="1"/>
  <c r="Y152" i="68" s="1"/>
  <c r="P132" i="68"/>
  <c r="R132" i="68" s="1"/>
  <c r="P109" i="68"/>
  <c r="R109" i="68" s="1"/>
  <c r="V27" i="68"/>
  <c r="W27" i="68" s="1"/>
  <c r="Y27" i="68" s="1"/>
  <c r="V263" i="68"/>
  <c r="W263" i="68" s="1"/>
  <c r="Y263" i="68" s="1"/>
  <c r="V233" i="68"/>
  <c r="W233" i="68" s="1"/>
  <c r="Y233" i="68" s="1"/>
  <c r="V230" i="68"/>
  <c r="W230" i="68" s="1"/>
  <c r="Y230" i="68" s="1"/>
  <c r="P143" i="68"/>
  <c r="R143" i="68" s="1"/>
  <c r="V125" i="68"/>
  <c r="W125" i="68" s="1"/>
  <c r="Y125" i="68" s="1"/>
  <c r="P95" i="68"/>
  <c r="T95" i="68" s="1"/>
  <c r="N51" i="68"/>
  <c r="P21" i="68"/>
  <c r="R21" i="68" s="1"/>
  <c r="T21" i="68" s="1"/>
  <c r="N285" i="68"/>
  <c r="V313" i="68"/>
  <c r="W313" i="68" s="1"/>
  <c r="Y313" i="68" s="1"/>
  <c r="V312" i="68"/>
  <c r="W312" i="68" s="1"/>
  <c r="Y312" i="68" s="1"/>
  <c r="V289" i="68"/>
  <c r="W289" i="68" s="1"/>
  <c r="Y289" i="68" s="1"/>
  <c r="P220" i="68"/>
  <c r="T220" i="68" s="1"/>
  <c r="P219" i="68"/>
  <c r="T219" i="68" s="1"/>
  <c r="V190" i="68"/>
  <c r="W190" i="68" s="1"/>
  <c r="Y190" i="68" s="1"/>
  <c r="V166" i="68"/>
  <c r="W166" i="68" s="1"/>
  <c r="Y166" i="68" s="1"/>
  <c r="V164" i="68"/>
  <c r="W164" i="68" s="1"/>
  <c r="Y164" i="68" s="1"/>
  <c r="P84" i="68"/>
  <c r="T84" i="68" s="1"/>
  <c r="V83" i="68"/>
  <c r="W83" i="68" s="1"/>
  <c r="Y83" i="68" s="1"/>
  <c r="P69" i="68"/>
  <c r="T69" i="68" s="1"/>
  <c r="P301" i="68"/>
  <c r="T301" i="68" s="1"/>
  <c r="P204" i="68"/>
  <c r="T204" i="68" s="1"/>
  <c r="P113" i="68"/>
  <c r="R113" i="68" s="1"/>
  <c r="P198" i="68"/>
  <c r="T198" i="68" s="1"/>
  <c r="P18" i="68"/>
  <c r="R18" i="68" s="1"/>
  <c r="T18" i="68" s="1"/>
  <c r="V158" i="68"/>
  <c r="W158" i="68" s="1"/>
  <c r="Y158" i="68" s="1"/>
  <c r="P229" i="68"/>
  <c r="T229" i="68" s="1"/>
  <c r="P131" i="68"/>
  <c r="T131" i="68" s="1"/>
  <c r="V160" i="68"/>
  <c r="W160" i="68" s="1"/>
  <c r="Y160" i="68" s="1"/>
  <c r="P266" i="68"/>
  <c r="T266" i="68" s="1"/>
  <c r="P228" i="68"/>
  <c r="R228" i="68" s="1"/>
  <c r="V141" i="68"/>
  <c r="W141" i="68" s="1"/>
  <c r="Y141" i="68" s="1"/>
  <c r="P279" i="68"/>
  <c r="R279" i="68" s="1"/>
  <c r="O181" i="68"/>
  <c r="P181" i="68" s="1"/>
  <c r="P26" i="68"/>
  <c r="R26" i="68" s="1"/>
  <c r="T26" i="68" s="1"/>
  <c r="V17" i="68"/>
  <c r="W17" i="68" s="1"/>
  <c r="Y17" i="68" s="1"/>
  <c r="V297" i="68"/>
  <c r="W297" i="68" s="1"/>
  <c r="Y297" i="68" s="1"/>
  <c r="P268" i="68"/>
  <c r="R268" i="68" s="1"/>
  <c r="P90" i="68"/>
  <c r="T90" i="68" s="1"/>
  <c r="P314" i="68"/>
  <c r="T314" i="68" s="1"/>
  <c r="V292" i="68"/>
  <c r="W292" i="68" s="1"/>
  <c r="Y292" i="68" s="1"/>
  <c r="P171" i="68"/>
  <c r="R171" i="68" s="1"/>
  <c r="P172" i="68"/>
  <c r="T172" i="68" s="1"/>
  <c r="P313" i="68"/>
  <c r="R313" i="68" s="1"/>
  <c r="V131" i="68"/>
  <c r="W131" i="68" s="1"/>
  <c r="Y131" i="68" s="1"/>
  <c r="P128" i="68"/>
  <c r="R128" i="68" s="1"/>
  <c r="V112" i="68"/>
  <c r="W112" i="68" s="1"/>
  <c r="Y112" i="68" s="1"/>
  <c r="V109" i="68"/>
  <c r="W109" i="68" s="1"/>
  <c r="Y109" i="68" s="1"/>
  <c r="P94" i="68"/>
  <c r="T94" i="68" s="1"/>
  <c r="P309" i="68"/>
  <c r="T309" i="68" s="1"/>
  <c r="P168" i="68"/>
  <c r="T168" i="68" s="1"/>
  <c r="V165" i="68"/>
  <c r="W165" i="68" s="1"/>
  <c r="Y165" i="68" s="1"/>
  <c r="P148" i="68"/>
  <c r="T148" i="68" s="1"/>
  <c r="P145" i="68"/>
  <c r="R145" i="68" s="1"/>
  <c r="V143" i="68"/>
  <c r="W143" i="68" s="1"/>
  <c r="Y143" i="68" s="1"/>
  <c r="V139" i="68"/>
  <c r="W139" i="68" s="1"/>
  <c r="Y139" i="68" s="1"/>
  <c r="P115" i="68"/>
  <c r="T115" i="68" s="1"/>
  <c r="V80" i="68"/>
  <c r="W80" i="68" s="1"/>
  <c r="Y80" i="68" s="1"/>
  <c r="P283" i="68"/>
  <c r="R283" i="68" s="1"/>
  <c r="R277" i="68"/>
  <c r="V219" i="68"/>
  <c r="W219" i="68" s="1"/>
  <c r="Y219" i="68" s="1"/>
  <c r="P191" i="68"/>
  <c r="R191" i="68" s="1"/>
  <c r="P154" i="68"/>
  <c r="R154" i="68" s="1"/>
  <c r="P153" i="68"/>
  <c r="R153" i="68" s="1"/>
  <c r="P151" i="68"/>
  <c r="T151" i="68" s="1"/>
  <c r="V123" i="68"/>
  <c r="W123" i="68" s="1"/>
  <c r="Y123" i="68" s="1"/>
  <c r="P120" i="68"/>
  <c r="T120" i="68" s="1"/>
  <c r="V119" i="68"/>
  <c r="W119" i="68" s="1"/>
  <c r="Y119" i="68" s="1"/>
  <c r="V116" i="68"/>
  <c r="W116" i="68" s="1"/>
  <c r="Y116" i="68" s="1"/>
  <c r="P81" i="68"/>
  <c r="T81" i="68" s="1"/>
  <c r="P67" i="68"/>
  <c r="T67" i="68" s="1"/>
  <c r="P66" i="68"/>
  <c r="R66" i="68" s="1"/>
  <c r="V65" i="68"/>
  <c r="W65" i="68" s="1"/>
  <c r="Y65" i="68" s="1"/>
  <c r="P63" i="68"/>
  <c r="R63" i="68" s="1"/>
  <c r="P298" i="68"/>
  <c r="T298" i="68" s="1"/>
  <c r="V15" i="68"/>
  <c r="W15" i="68" s="1"/>
  <c r="Y15" i="68" s="1"/>
  <c r="P30" i="68"/>
  <c r="R30" i="68" s="1"/>
  <c r="T30" i="68" s="1"/>
  <c r="P17" i="68"/>
  <c r="R17" i="68" s="1"/>
  <c r="T17" i="68" s="1"/>
  <c r="C58" i="8" s="1"/>
  <c r="D58" i="8" s="1"/>
  <c r="D38" i="8" s="1"/>
  <c r="V239" i="68"/>
  <c r="W239" i="68" s="1"/>
  <c r="Y239" i="68" s="1"/>
  <c r="V236" i="68"/>
  <c r="W236" i="68" s="1"/>
  <c r="Y236" i="68" s="1"/>
  <c r="V107" i="68"/>
  <c r="W107" i="68" s="1"/>
  <c r="Y107" i="68" s="1"/>
  <c r="P106" i="68"/>
  <c r="T106" i="68" s="1"/>
  <c r="Z106" i="68" s="1"/>
  <c r="AB106" i="68" s="1"/>
  <c r="P73" i="68"/>
  <c r="T73" i="68" s="1"/>
  <c r="P41" i="68"/>
  <c r="R41" i="68" s="1"/>
  <c r="P40" i="68"/>
  <c r="T40" i="68" s="1"/>
  <c r="V39" i="68"/>
  <c r="W39" i="68" s="1"/>
  <c r="Y39" i="68" s="1"/>
  <c r="P24" i="68"/>
  <c r="R24" i="68" s="1"/>
  <c r="T24" i="68" s="1"/>
  <c r="P235" i="68"/>
  <c r="T235" i="68" s="1"/>
  <c r="P49" i="68"/>
  <c r="T49" i="68" s="1"/>
  <c r="P20" i="68"/>
  <c r="R20" i="68" s="1"/>
  <c r="T20" i="68" s="1"/>
  <c r="P311" i="68"/>
  <c r="T311" i="68" s="1"/>
  <c r="V266" i="68"/>
  <c r="W266" i="68" s="1"/>
  <c r="Y266" i="68" s="1"/>
  <c r="P263" i="68"/>
  <c r="T263" i="68" s="1"/>
  <c r="P233" i="68"/>
  <c r="T233" i="68" s="1"/>
  <c r="V132" i="68"/>
  <c r="W132" i="68" s="1"/>
  <c r="Y132" i="68" s="1"/>
  <c r="V130" i="68"/>
  <c r="W130" i="68" s="1"/>
  <c r="Y130" i="68" s="1"/>
  <c r="P127" i="68"/>
  <c r="T127" i="68" s="1"/>
  <c r="P110" i="68"/>
  <c r="T110" i="68" s="1"/>
  <c r="P310" i="68"/>
  <c r="T310" i="68" s="1"/>
  <c r="P289" i="68"/>
  <c r="R289" i="68" s="1"/>
  <c r="V288" i="68"/>
  <c r="W288" i="68" s="1"/>
  <c r="Y288" i="68" s="1"/>
  <c r="P215" i="68"/>
  <c r="T215" i="68" s="1"/>
  <c r="V150" i="68"/>
  <c r="W150" i="68" s="1"/>
  <c r="Y150" i="68" s="1"/>
  <c r="P149" i="68"/>
  <c r="R149" i="68" s="1"/>
  <c r="V146" i="68"/>
  <c r="W146" i="68" s="1"/>
  <c r="Y146" i="68" s="1"/>
  <c r="P140" i="68"/>
  <c r="T140" i="68" s="1"/>
  <c r="V126" i="68"/>
  <c r="W126" i="68" s="1"/>
  <c r="Y126" i="68" s="1"/>
  <c r="V114" i="68"/>
  <c r="W114" i="68" s="1"/>
  <c r="Y114" i="68" s="1"/>
  <c r="P79" i="68"/>
  <c r="T79" i="68" s="1"/>
  <c r="V278" i="68"/>
  <c r="W278" i="68" s="1"/>
  <c r="Y278" i="68" s="1"/>
  <c r="V193" i="68"/>
  <c r="W193" i="68" s="1"/>
  <c r="Y193" i="68" s="1"/>
  <c r="V306" i="68"/>
  <c r="W306" i="68" s="1"/>
  <c r="Y306" i="68" s="1"/>
  <c r="P312" i="68"/>
  <c r="T312" i="68" s="1"/>
  <c r="P246" i="68"/>
  <c r="T246" i="68" s="1"/>
  <c r="P245" i="68"/>
  <c r="T245" i="68" s="1"/>
  <c r="P206" i="68"/>
  <c r="P205" i="68"/>
  <c r="T205" i="68" s="1"/>
  <c r="P68" i="68"/>
  <c r="T68" i="68" s="1"/>
  <c r="P297" i="68"/>
  <c r="T297" i="68" s="1"/>
  <c r="P292" i="68"/>
  <c r="R292" i="68" s="1"/>
  <c r="P28" i="68"/>
  <c r="R28" i="68" s="1"/>
  <c r="T28" i="68" s="1"/>
  <c r="P15" i="68"/>
  <c r="R15" i="68" s="1"/>
  <c r="T15" i="68" s="1"/>
  <c r="V235" i="68"/>
  <c r="W235" i="68" s="1"/>
  <c r="Y235" i="68" s="1"/>
  <c r="P165" i="68"/>
  <c r="R165" i="68" s="1"/>
  <c r="V168" i="68"/>
  <c r="W168" i="68" s="1"/>
  <c r="Y168" i="68" s="1"/>
  <c r="P130" i="68"/>
  <c r="T130" i="68" s="1"/>
  <c r="V149" i="68"/>
  <c r="W149" i="68" s="1"/>
  <c r="Y149" i="68" s="1"/>
  <c r="P80" i="68"/>
  <c r="T80" i="68" s="1"/>
  <c r="P114" i="68"/>
  <c r="R114" i="68" s="1"/>
  <c r="V154" i="68"/>
  <c r="W154" i="68" s="1"/>
  <c r="Y154" i="68" s="1"/>
  <c r="P126" i="68"/>
  <c r="R126" i="68" s="1"/>
  <c r="V311" i="68"/>
  <c r="W311" i="68" s="1"/>
  <c r="Y311" i="68" s="1"/>
  <c r="V79" i="68"/>
  <c r="W79" i="68" s="1"/>
  <c r="Y79" i="68" s="1"/>
  <c r="P146" i="68"/>
  <c r="R146" i="68" s="1"/>
  <c r="V41" i="68"/>
  <c r="W41" i="68" s="1"/>
  <c r="Y41" i="68" s="1"/>
  <c r="V302" i="68"/>
  <c r="W302" i="68" s="1"/>
  <c r="Y302" i="68" s="1"/>
  <c r="P299" i="68"/>
  <c r="R299" i="68" s="1"/>
  <c r="V98" i="68"/>
  <c r="W98" i="68" s="1"/>
  <c r="Y98" i="68" s="1"/>
  <c r="V95" i="68"/>
  <c r="W95" i="68" s="1"/>
  <c r="Y95" i="68" s="1"/>
  <c r="V35" i="68"/>
  <c r="W35" i="68" s="1"/>
  <c r="Y35" i="68" s="1"/>
  <c r="V19" i="68"/>
  <c r="W19" i="68" s="1"/>
  <c r="Y19" i="68" s="1"/>
  <c r="P271" i="68"/>
  <c r="R271" i="68" s="1"/>
  <c r="V271" i="68" s="1"/>
  <c r="W271" i="68" s="1"/>
  <c r="Y271" i="68" s="1"/>
  <c r="V298" i="68"/>
  <c r="W298" i="68" s="1"/>
  <c r="Y298" i="68" s="1"/>
  <c r="V202" i="68"/>
  <c r="W202" i="68" s="1"/>
  <c r="Y202" i="68" s="1"/>
  <c r="P202" i="68"/>
  <c r="R202" i="68" s="1"/>
  <c r="V200" i="68"/>
  <c r="W200" i="68" s="1"/>
  <c r="Y200" i="68" s="1"/>
  <c r="P199" i="68"/>
  <c r="T199" i="68" s="1"/>
  <c r="T113" i="68"/>
  <c r="P91" i="68"/>
  <c r="T91" i="68" s="1"/>
  <c r="P87" i="68"/>
  <c r="R87" i="68" s="1"/>
  <c r="V71" i="68"/>
  <c r="W71" i="68" s="1"/>
  <c r="Y71" i="68" s="1"/>
  <c r="C18" i="2"/>
  <c r="L102" i="4"/>
  <c r="L115" i="4" s="1"/>
  <c r="L117" i="4" s="1"/>
  <c r="C78" i="2"/>
  <c r="F78" i="2" s="1"/>
  <c r="J78" i="2" s="1"/>
  <c r="D178" i="7"/>
  <c r="D136" i="7"/>
  <c r="D179" i="7"/>
  <c r="C58" i="2"/>
  <c r="F58" i="2" s="1"/>
  <c r="C85" i="2"/>
  <c r="E185" i="7" s="1"/>
  <c r="D173" i="7"/>
  <c r="F33" i="33"/>
  <c r="F37" i="33" s="1"/>
  <c r="Q90" i="37"/>
  <c r="Q52" i="37"/>
  <c r="M91" i="37"/>
  <c r="Q91" i="37" s="1"/>
  <c r="I30" i="37"/>
  <c r="Y74" i="37"/>
  <c r="X11" i="37"/>
  <c r="Q48" i="37"/>
  <c r="I20" i="37"/>
  <c r="I64" i="37"/>
  <c r="I58" i="37"/>
  <c r="H24" i="35"/>
  <c r="H27" i="35" s="1"/>
  <c r="H38" i="9" s="1"/>
  <c r="H12" i="69" s="1"/>
  <c r="I24" i="35"/>
  <c r="I27" i="35" s="1"/>
  <c r="H39" i="9" s="1"/>
  <c r="H13" i="69" s="1"/>
  <c r="I13" i="69" s="1"/>
  <c r="V283" i="68"/>
  <c r="W283" i="68" s="1"/>
  <c r="Y283" i="68" s="1"/>
  <c r="F25" i="33"/>
  <c r="R17" i="32"/>
  <c r="C20" i="40" s="1"/>
  <c r="D20" i="40" s="1"/>
  <c r="P31" i="32"/>
  <c r="Q31" i="32" s="1"/>
  <c r="R31" i="32" s="1"/>
  <c r="C34" i="40" s="1"/>
  <c r="D34" i="40" s="1"/>
  <c r="Q30" i="32"/>
  <c r="L56" i="3"/>
  <c r="H66" i="69"/>
  <c r="I66" i="69" s="1"/>
  <c r="C67" i="3" s="1"/>
  <c r="H66" i="2"/>
  <c r="H13" i="9"/>
  <c r="R23" i="32"/>
  <c r="C26" i="40" s="1"/>
  <c r="D26" i="40" s="1"/>
  <c r="R26" i="32"/>
  <c r="R22" i="32"/>
  <c r="C25" i="40" s="1"/>
  <c r="D25" i="40" s="1"/>
  <c r="R18" i="32"/>
  <c r="R12" i="32"/>
  <c r="C15" i="40" s="1"/>
  <c r="D15" i="40" s="1"/>
  <c r="R29" i="32"/>
  <c r="C32" i="40" s="1"/>
  <c r="D32" i="40" s="1"/>
  <c r="N34" i="32"/>
  <c r="R16" i="32"/>
  <c r="C19" i="40" s="1"/>
  <c r="D19" i="40" s="1"/>
  <c r="M34" i="32"/>
  <c r="C32" i="27"/>
  <c r="C11" i="27"/>
  <c r="E28" i="28"/>
  <c r="J24" i="28"/>
  <c r="E27" i="6"/>
  <c r="J29" i="6"/>
  <c r="W15" i="45"/>
  <c r="C27" i="6"/>
  <c r="J27" i="6" s="1"/>
  <c r="AB92" i="31"/>
  <c r="L27" i="14"/>
  <c r="M27" i="14" s="1"/>
  <c r="AA92" i="31"/>
  <c r="L48" i="14"/>
  <c r="L68" i="14"/>
  <c r="L63" i="14"/>
  <c r="L34" i="14"/>
  <c r="M34" i="14" s="1"/>
  <c r="L22" i="14"/>
  <c r="M22" i="14" s="1"/>
  <c r="L16" i="14"/>
  <c r="M16" i="14" s="1"/>
  <c r="L15" i="14"/>
  <c r="M15" i="14" s="1"/>
  <c r="L31" i="14"/>
  <c r="M31" i="14" s="1"/>
  <c r="L30" i="14"/>
  <c r="M30" i="14" s="1"/>
  <c r="O26" i="31"/>
  <c r="Q26" i="31" s="1"/>
  <c r="Q100" i="31"/>
  <c r="W65" i="31"/>
  <c r="AB65" i="31" s="1"/>
  <c r="AA65" i="31"/>
  <c r="C62" i="16" s="1"/>
  <c r="K62" i="16" s="1"/>
  <c r="E57" i="31"/>
  <c r="J57" i="31" s="1"/>
  <c r="I57" i="31"/>
  <c r="C57" i="14" s="1"/>
  <c r="P57" i="14" s="1"/>
  <c r="L27" i="31"/>
  <c r="L26" i="31"/>
  <c r="C26" i="31"/>
  <c r="E100" i="31"/>
  <c r="W20" i="31"/>
  <c r="R55" i="31"/>
  <c r="C52" i="15" s="1"/>
  <c r="J52" i="15" s="1"/>
  <c r="U27" i="31"/>
  <c r="C27" i="31"/>
  <c r="E28" i="31"/>
  <c r="J61" i="31"/>
  <c r="AB74" i="31"/>
  <c r="R64" i="31"/>
  <c r="C61" i="15" s="1"/>
  <c r="E61" i="15" s="1"/>
  <c r="R62" i="31"/>
  <c r="C59" i="15" s="1"/>
  <c r="K59" i="15" s="1"/>
  <c r="U26" i="31"/>
  <c r="F27" i="31"/>
  <c r="H27" i="31" s="1"/>
  <c r="R10" i="47"/>
  <c r="R264" i="47"/>
  <c r="R31" i="47"/>
  <c r="R50" i="31"/>
  <c r="C47" i="15" s="1"/>
  <c r="J47" i="15" s="1"/>
  <c r="L37" i="14"/>
  <c r="L42" i="14"/>
  <c r="L41" i="14"/>
  <c r="L40" i="14"/>
  <c r="I34" i="31"/>
  <c r="C34" i="14" s="1"/>
  <c r="E34" i="14" s="1"/>
  <c r="R68" i="31"/>
  <c r="C64" i="15" s="1"/>
  <c r="E64" i="15" s="1"/>
  <c r="AA38" i="31"/>
  <c r="C35" i="16" s="1"/>
  <c r="H35" i="16" s="1"/>
  <c r="L49" i="14"/>
  <c r="L56" i="14"/>
  <c r="L44" i="14"/>
  <c r="L39" i="14"/>
  <c r="I58" i="31"/>
  <c r="C58" i="14" s="1"/>
  <c r="E58" i="14" s="1"/>
  <c r="L18" i="14"/>
  <c r="M18" i="14" s="1"/>
  <c r="L55" i="14"/>
  <c r="L58" i="14"/>
  <c r="AB91" i="31"/>
  <c r="AA43" i="31"/>
  <c r="C40" i="16" s="1"/>
  <c r="E40" i="16" s="1"/>
  <c r="S43" i="31"/>
  <c r="E22" i="31"/>
  <c r="C25" i="31"/>
  <c r="AA93" i="31"/>
  <c r="R46" i="31"/>
  <c r="C43" i="15" s="1"/>
  <c r="E43" i="15" s="1"/>
  <c r="X12" i="47"/>
  <c r="U14" i="31" s="1"/>
  <c r="R50" i="47"/>
  <c r="V107" i="47"/>
  <c r="X95" i="47" s="1"/>
  <c r="L30" i="31" s="1"/>
  <c r="R54" i="31"/>
  <c r="C51" i="15" s="1"/>
  <c r="R92" i="31"/>
  <c r="R51" i="47"/>
  <c r="X24" i="47"/>
  <c r="U18" i="31" s="1"/>
  <c r="X20" i="47"/>
  <c r="L17" i="31" s="1"/>
  <c r="Q61" i="31"/>
  <c r="S61" i="31" s="1"/>
  <c r="R40" i="47"/>
  <c r="R44" i="31"/>
  <c r="C41" i="15" s="1"/>
  <c r="E41" i="15" s="1"/>
  <c r="R57" i="31"/>
  <c r="C54" i="15" s="1"/>
  <c r="E54" i="15" s="1"/>
  <c r="Q112" i="47"/>
  <c r="S21" i="31"/>
  <c r="I50" i="31"/>
  <c r="C50" i="14" s="1"/>
  <c r="P50" i="14" s="1"/>
  <c r="R27" i="47"/>
  <c r="U95" i="31"/>
  <c r="R43" i="31"/>
  <c r="C40" i="15" s="1"/>
  <c r="J40" i="15" s="1"/>
  <c r="W113" i="47"/>
  <c r="AB45" i="31"/>
  <c r="X23" i="47"/>
  <c r="L18" i="31" s="1"/>
  <c r="R41" i="47"/>
  <c r="AC25" i="47"/>
  <c r="AD25" i="47" s="1"/>
  <c r="F19" i="31" s="1"/>
  <c r="H19" i="31" s="1"/>
  <c r="W98" i="47"/>
  <c r="U25" i="31"/>
  <c r="AB33" i="31"/>
  <c r="S65" i="31"/>
  <c r="W114" i="47"/>
  <c r="AD96" i="47"/>
  <c r="X30" i="31" s="1"/>
  <c r="Z30" i="31" s="1"/>
  <c r="S13" i="31"/>
  <c r="R49" i="47"/>
  <c r="R42" i="47"/>
  <c r="X21" i="47"/>
  <c r="U17" i="31" s="1"/>
  <c r="R11" i="31"/>
  <c r="C12" i="15" s="1"/>
  <c r="X96" i="47"/>
  <c r="U30" i="31" s="1"/>
  <c r="Y96" i="47"/>
  <c r="Q120" i="47"/>
  <c r="L25" i="31"/>
  <c r="R256" i="47"/>
  <c r="R39" i="47"/>
  <c r="Q98" i="47"/>
  <c r="Q22" i="47"/>
  <c r="R22" i="47" s="1"/>
  <c r="Q88" i="47"/>
  <c r="Q43" i="47" s="1"/>
  <c r="R43" i="47" s="1"/>
  <c r="R91" i="31"/>
  <c r="Q91" i="31"/>
  <c r="Z50" i="31"/>
  <c r="AB50" i="31" s="1"/>
  <c r="AA50" i="31"/>
  <c r="C47" i="16" s="1"/>
  <c r="Q23" i="47"/>
  <c r="R23" i="47" s="1"/>
  <c r="R35" i="47"/>
  <c r="Z32" i="31"/>
  <c r="AA32" i="31"/>
  <c r="C29" i="16" s="1"/>
  <c r="E29" i="16" s="1"/>
  <c r="Q37" i="47"/>
  <c r="R37" i="47" s="1"/>
  <c r="Q25" i="47"/>
  <c r="R25" i="47" s="1"/>
  <c r="AA54" i="31"/>
  <c r="C51" i="16" s="1"/>
  <c r="K51" i="16" s="1"/>
  <c r="Z54" i="31"/>
  <c r="Z93" i="31"/>
  <c r="AB93" i="31" s="1"/>
  <c r="C29" i="29" s="1"/>
  <c r="AA69" i="31"/>
  <c r="C65" i="16" s="1"/>
  <c r="K65" i="16" s="1"/>
  <c r="AE96" i="47"/>
  <c r="R15" i="47"/>
  <c r="Q57" i="31"/>
  <c r="S57" i="31" s="1"/>
  <c r="R36" i="47"/>
  <c r="Q97" i="47"/>
  <c r="Q26" i="47"/>
  <c r="R26" i="47" s="1"/>
  <c r="R58" i="31"/>
  <c r="C55" i="15" s="1"/>
  <c r="K55" i="15" s="1"/>
  <c r="R14" i="47"/>
  <c r="Q17" i="47"/>
  <c r="R17" i="47" s="1"/>
  <c r="Q99" i="47"/>
  <c r="AA57" i="31"/>
  <c r="C54" i="16" s="1"/>
  <c r="K54" i="16" s="1"/>
  <c r="AD33" i="47"/>
  <c r="X21" i="31" s="1"/>
  <c r="AA21" i="31" s="1"/>
  <c r="R32" i="47"/>
  <c r="Q62" i="31"/>
  <c r="Q44" i="31"/>
  <c r="S44" i="31" s="1"/>
  <c r="Q46" i="30"/>
  <c r="M51" i="30"/>
  <c r="Q42" i="30"/>
  <c r="L51" i="30"/>
  <c r="M52" i="46"/>
  <c r="K51" i="24" s="1"/>
  <c r="Q41" i="30"/>
  <c r="P51" i="30"/>
  <c r="Q48" i="46"/>
  <c r="N50" i="46" s="1"/>
  <c r="Q38" i="30"/>
  <c r="Q23" i="30"/>
  <c r="Q21" i="30"/>
  <c r="Q20" i="30"/>
  <c r="Q19" i="30"/>
  <c r="Q18" i="30"/>
  <c r="P28" i="30"/>
  <c r="Q17" i="30"/>
  <c r="N28" i="30"/>
  <c r="H46" i="30"/>
  <c r="H45" i="30"/>
  <c r="D51" i="30"/>
  <c r="H42" i="30"/>
  <c r="H41" i="30"/>
  <c r="H39" i="30"/>
  <c r="C27" i="36"/>
  <c r="E32" i="36" s="1"/>
  <c r="H48" i="46"/>
  <c r="D50" i="46" s="1"/>
  <c r="C51" i="30"/>
  <c r="H23" i="30"/>
  <c r="H21" i="30"/>
  <c r="H20" i="30"/>
  <c r="F28" i="30"/>
  <c r="H19" i="30"/>
  <c r="H18" i="30"/>
  <c r="D28" i="30"/>
  <c r="H17" i="30"/>
  <c r="Q45" i="31"/>
  <c r="R45" i="31"/>
  <c r="C42" i="15" s="1"/>
  <c r="E42" i="15" s="1"/>
  <c r="AA68" i="31"/>
  <c r="C64" i="16" s="1"/>
  <c r="H64" i="16" s="1"/>
  <c r="Z68" i="31"/>
  <c r="AB68" i="31" s="1"/>
  <c r="I68" i="31"/>
  <c r="C68" i="14" s="1"/>
  <c r="H68" i="31"/>
  <c r="R26" i="31"/>
  <c r="C24" i="15" s="1"/>
  <c r="K24" i="15" s="1"/>
  <c r="J58" i="15"/>
  <c r="H58" i="15"/>
  <c r="E58" i="15"/>
  <c r="AA45" i="31"/>
  <c r="C42" i="16" s="1"/>
  <c r="J92" i="31"/>
  <c r="J65" i="31"/>
  <c r="I33" i="31"/>
  <c r="C33" i="14" s="1"/>
  <c r="P33" i="14" s="1"/>
  <c r="AA48" i="31"/>
  <c r="C45" i="16" s="1"/>
  <c r="E45" i="16" s="1"/>
  <c r="O74" i="31"/>
  <c r="Q74" i="31" s="1"/>
  <c r="AA34" i="31"/>
  <c r="C31" i="16" s="1"/>
  <c r="E31" i="16" s="1"/>
  <c r="AD35" i="47"/>
  <c r="AA58" i="31"/>
  <c r="C55" i="16" s="1"/>
  <c r="H55" i="16" s="1"/>
  <c r="H34" i="31"/>
  <c r="J34" i="31" s="1"/>
  <c r="R65" i="31"/>
  <c r="AD39" i="47"/>
  <c r="X23" i="31" s="1"/>
  <c r="Z23" i="31" s="1"/>
  <c r="AB23" i="31" s="1"/>
  <c r="R13" i="31"/>
  <c r="C14" i="15" s="1"/>
  <c r="J50" i="31"/>
  <c r="AA13" i="31"/>
  <c r="Q11" i="31"/>
  <c r="S11" i="31" s="1"/>
  <c r="AD38" i="47"/>
  <c r="O23" i="31" s="1"/>
  <c r="Q23" i="31" s="1"/>
  <c r="AC34" i="47"/>
  <c r="AD34" i="47" s="1"/>
  <c r="S38" i="31"/>
  <c r="AC19" i="47"/>
  <c r="AD19" i="47" s="1"/>
  <c r="F17" i="31" s="1"/>
  <c r="H17" i="31" s="1"/>
  <c r="AC17" i="47"/>
  <c r="AD17" i="47" s="1"/>
  <c r="O16" i="31" s="1"/>
  <c r="Q16" i="31" s="1"/>
  <c r="AB90" i="31"/>
  <c r="W12" i="31"/>
  <c r="AB12" i="31" s="1"/>
  <c r="AA12" i="31"/>
  <c r="N10" i="31"/>
  <c r="S10" i="31" s="1"/>
  <c r="R10" i="31"/>
  <c r="AC28" i="47"/>
  <c r="AD28" i="47" s="1"/>
  <c r="F20" i="31" s="1"/>
  <c r="AC16" i="47"/>
  <c r="AD16" i="47" s="1"/>
  <c r="F16" i="31" s="1"/>
  <c r="W10" i="31"/>
  <c r="AB10" i="31" s="1"/>
  <c r="AA10" i="31"/>
  <c r="C11" i="16" s="1"/>
  <c r="E21" i="31"/>
  <c r="C24" i="31"/>
  <c r="H43" i="31"/>
  <c r="I43" i="31"/>
  <c r="C43" i="14" s="1"/>
  <c r="N22" i="31"/>
  <c r="I65" i="31"/>
  <c r="C65" i="14" s="1"/>
  <c r="P65" i="14" s="1"/>
  <c r="AA62" i="31"/>
  <c r="C59" i="16" s="1"/>
  <c r="H59" i="16" s="1"/>
  <c r="AA90" i="31"/>
  <c r="I92" i="31"/>
  <c r="N47" i="31"/>
  <c r="S47" i="31" s="1"/>
  <c r="R47" i="31"/>
  <c r="V91" i="37"/>
  <c r="X91" i="37" s="1"/>
  <c r="U91" i="37"/>
  <c r="E18" i="31"/>
  <c r="J18" i="31" s="1"/>
  <c r="I18" i="31"/>
  <c r="C19" i="14" s="1"/>
  <c r="R34" i="31"/>
  <c r="W69" i="31"/>
  <c r="AB69" i="31" s="1"/>
  <c r="S68" i="31"/>
  <c r="N67" i="31"/>
  <c r="S67" i="31" s="1"/>
  <c r="R67" i="31"/>
  <c r="W58" i="31"/>
  <c r="AB58" i="31" s="1"/>
  <c r="AB57" i="31"/>
  <c r="R32" i="31"/>
  <c r="Q32" i="31"/>
  <c r="S32" i="31" s="1"/>
  <c r="L24" i="31"/>
  <c r="K25" i="37" s="1"/>
  <c r="V90" i="37"/>
  <c r="X90" i="37" s="1"/>
  <c r="S93" i="37"/>
  <c r="U90" i="37"/>
  <c r="R90" i="31"/>
  <c r="Q90" i="31"/>
  <c r="S90" i="31" s="1"/>
  <c r="J44" i="31"/>
  <c r="R24" i="47"/>
  <c r="AA24" i="31"/>
  <c r="C22" i="16" s="1"/>
  <c r="W24" i="31"/>
  <c r="AB24" i="31" s="1"/>
  <c r="AA91" i="31"/>
  <c r="E47" i="31"/>
  <c r="J47" i="31" s="1"/>
  <c r="I47" i="31"/>
  <c r="C47" i="14" s="1"/>
  <c r="E47" i="14" s="1"/>
  <c r="X11" i="47"/>
  <c r="L14" i="31" s="1"/>
  <c r="K15" i="37" s="1"/>
  <c r="R21" i="31"/>
  <c r="AA67" i="31"/>
  <c r="N91" i="31"/>
  <c r="J55" i="31"/>
  <c r="J33" i="31"/>
  <c r="I11" i="31"/>
  <c r="C12" i="14" s="1"/>
  <c r="P12" i="14" s="1"/>
  <c r="X13" i="47"/>
  <c r="C15" i="31" s="1"/>
  <c r="AA74" i="31"/>
  <c r="C70" i="16" s="1"/>
  <c r="J70" i="16" s="1"/>
  <c r="AB63" i="31"/>
  <c r="AA61" i="31"/>
  <c r="AH61" i="31" s="1"/>
  <c r="W43" i="31"/>
  <c r="AB43" i="31" s="1"/>
  <c r="AD10" i="47"/>
  <c r="F14" i="31" s="1"/>
  <c r="I14" i="31" s="1"/>
  <c r="C15" i="14" s="1"/>
  <c r="J15" i="14" s="1"/>
  <c r="AD48" i="47"/>
  <c r="R38" i="47"/>
  <c r="AB66" i="31"/>
  <c r="X27" i="47"/>
  <c r="U19" i="31" s="1"/>
  <c r="R30" i="47"/>
  <c r="X16" i="47"/>
  <c r="C16" i="31" s="1"/>
  <c r="R13" i="47"/>
  <c r="R12" i="31"/>
  <c r="C13" i="15" s="1"/>
  <c r="Q92" i="31"/>
  <c r="S92" i="31" s="1"/>
  <c r="Q64" i="31"/>
  <c r="Q54" i="31"/>
  <c r="Q46" i="31"/>
  <c r="S46" i="31" s="1"/>
  <c r="I13" i="31"/>
  <c r="C14" i="14" s="1"/>
  <c r="E14" i="14" s="1"/>
  <c r="I61" i="31"/>
  <c r="AA47" i="31"/>
  <c r="C44" i="16" s="1"/>
  <c r="X19" i="47"/>
  <c r="C17" i="31" s="1"/>
  <c r="C18" i="37" s="1"/>
  <c r="R38" i="31"/>
  <c r="I66" i="31"/>
  <c r="C66" i="14" s="1"/>
  <c r="P66" i="14" s="1"/>
  <c r="I55" i="31"/>
  <c r="C55" i="14" s="1"/>
  <c r="P55" i="14" s="1"/>
  <c r="R20" i="47"/>
  <c r="H42" i="31"/>
  <c r="I42" i="31"/>
  <c r="C42" i="14" s="1"/>
  <c r="E42" i="14" s="1"/>
  <c r="I41" i="31"/>
  <c r="C41" i="14" s="1"/>
  <c r="P41" i="14" s="1"/>
  <c r="H41" i="31"/>
  <c r="Q40" i="31"/>
  <c r="R40" i="31"/>
  <c r="C37" i="15" s="1"/>
  <c r="AD257" i="47"/>
  <c r="O37" i="31" s="1"/>
  <c r="Q37" i="31" s="1"/>
  <c r="H90" i="31"/>
  <c r="H95" i="31" s="1"/>
  <c r="F95" i="31"/>
  <c r="I90" i="31"/>
  <c r="AA56" i="31"/>
  <c r="Z56" i="31"/>
  <c r="AA59" i="31"/>
  <c r="C56" i="16" s="1"/>
  <c r="E56" i="16" s="1"/>
  <c r="H69" i="31"/>
  <c r="J69" i="31" s="1"/>
  <c r="I69" i="31"/>
  <c r="C69" i="14" s="1"/>
  <c r="E69" i="14" s="1"/>
  <c r="H66" i="31"/>
  <c r="J66" i="31" s="1"/>
  <c r="AA63" i="31"/>
  <c r="C60" i="16" s="1"/>
  <c r="I48" i="31"/>
  <c r="C48" i="14" s="1"/>
  <c r="J48" i="14" s="1"/>
  <c r="I46" i="31"/>
  <c r="C46" i="14" s="1"/>
  <c r="H46" i="31"/>
  <c r="Z29" i="31"/>
  <c r="AB29" i="31" s="1"/>
  <c r="AA29" i="31"/>
  <c r="C26" i="16" s="1"/>
  <c r="Z22" i="31"/>
  <c r="AB22" i="31" s="1"/>
  <c r="AA22" i="31"/>
  <c r="AC24" i="47"/>
  <c r="AD24" i="47" s="1"/>
  <c r="X18" i="31" s="1"/>
  <c r="Q21" i="47"/>
  <c r="R21" i="47" s="1"/>
  <c r="AC18" i="47"/>
  <c r="AD18" i="47" s="1"/>
  <c r="X16" i="31" s="1"/>
  <c r="Z16" i="31" s="1"/>
  <c r="AB16" i="31" s="1"/>
  <c r="I12" i="31"/>
  <c r="C13" i="14" s="1"/>
  <c r="AA11" i="31"/>
  <c r="C12" i="16" s="1"/>
  <c r="E12" i="16" s="1"/>
  <c r="Z11" i="31"/>
  <c r="AB11" i="31" s="1"/>
  <c r="H11" i="31"/>
  <c r="J11" i="31" s="1"/>
  <c r="J10" i="31"/>
  <c r="I10" i="31"/>
  <c r="H24" i="31"/>
  <c r="R19" i="47"/>
  <c r="H25" i="46"/>
  <c r="D27" i="46" s="1"/>
  <c r="R42" i="31"/>
  <c r="C39" i="15" s="1"/>
  <c r="Q42" i="31"/>
  <c r="S42" i="31" s="1"/>
  <c r="I40" i="31"/>
  <c r="C40" i="14" s="1"/>
  <c r="P40" i="14" s="1"/>
  <c r="H40" i="31"/>
  <c r="J40" i="31" s="1"/>
  <c r="AD262" i="47"/>
  <c r="F39" i="31" s="1"/>
  <c r="H39" i="31" s="1"/>
  <c r="I38" i="31"/>
  <c r="H38" i="31"/>
  <c r="J38" i="31" s="1"/>
  <c r="AD258" i="47"/>
  <c r="X37" i="31" s="1"/>
  <c r="Z37" i="31" s="1"/>
  <c r="AD256" i="47"/>
  <c r="F37" i="31" s="1"/>
  <c r="X95" i="31"/>
  <c r="O95" i="31"/>
  <c r="S93" i="31"/>
  <c r="C28" i="29" s="1"/>
  <c r="R93" i="31"/>
  <c r="Z60" i="31"/>
  <c r="AB60" i="31" s="1"/>
  <c r="AA60" i="31"/>
  <c r="C57" i="16" s="1"/>
  <c r="E57" i="16" s="1"/>
  <c r="R60" i="31"/>
  <c r="Q60" i="31"/>
  <c r="S60" i="31" s="1"/>
  <c r="H60" i="31"/>
  <c r="J60" i="31" s="1"/>
  <c r="I60" i="31"/>
  <c r="C60" i="14" s="1"/>
  <c r="P60" i="14" s="1"/>
  <c r="Q56" i="31"/>
  <c r="S56" i="31" s="1"/>
  <c r="R56" i="31"/>
  <c r="H56" i="31"/>
  <c r="J56" i="31" s="1"/>
  <c r="I56" i="31"/>
  <c r="C56" i="14" s="1"/>
  <c r="J56" i="14" s="1"/>
  <c r="Q59" i="31"/>
  <c r="R59" i="31"/>
  <c r="Z55" i="31"/>
  <c r="AB55" i="31" s="1"/>
  <c r="AA55" i="31"/>
  <c r="C52" i="16" s="1"/>
  <c r="Q55" i="31"/>
  <c r="S55" i="31" s="1"/>
  <c r="H54" i="31"/>
  <c r="J54" i="31" s="1"/>
  <c r="I54" i="31"/>
  <c r="H67" i="31"/>
  <c r="J67" i="31" s="1"/>
  <c r="I67" i="31"/>
  <c r="C67" i="14" s="1"/>
  <c r="P67" i="14" s="1"/>
  <c r="AA66" i="31"/>
  <c r="C63" i="16" s="1"/>
  <c r="R66" i="31"/>
  <c r="C63" i="15" s="1"/>
  <c r="J63" i="15" s="1"/>
  <c r="Q33" i="31"/>
  <c r="S33" i="31" s="1"/>
  <c r="R33" i="31"/>
  <c r="C30" i="15" s="1"/>
  <c r="AA51" i="31"/>
  <c r="C48" i="16" s="1"/>
  <c r="J48" i="16" s="1"/>
  <c r="Z51" i="31"/>
  <c r="H51" i="31"/>
  <c r="I51" i="31"/>
  <c r="C51" i="14" s="1"/>
  <c r="P51" i="14" s="1"/>
  <c r="F73" i="31"/>
  <c r="H73" i="31" s="1"/>
  <c r="F74" i="31"/>
  <c r="H32" i="31"/>
  <c r="J32" i="31" s="1"/>
  <c r="I32" i="31"/>
  <c r="C32" i="14" s="1"/>
  <c r="AA64" i="31"/>
  <c r="C61" i="16" s="1"/>
  <c r="Z64" i="31"/>
  <c r="I64" i="31"/>
  <c r="C64" i="14" s="1"/>
  <c r="J64" i="14" s="1"/>
  <c r="H64" i="31"/>
  <c r="J64" i="31" s="1"/>
  <c r="R63" i="31"/>
  <c r="Q63" i="31"/>
  <c r="S63" i="31" s="1"/>
  <c r="I62" i="31"/>
  <c r="H62" i="31"/>
  <c r="I44" i="31"/>
  <c r="C44" i="14" s="1"/>
  <c r="P44" i="14" s="1"/>
  <c r="I45" i="31"/>
  <c r="H45" i="31"/>
  <c r="R29" i="31"/>
  <c r="C26" i="15" s="1"/>
  <c r="Q29" i="31"/>
  <c r="S29" i="31" s="1"/>
  <c r="Z20" i="31"/>
  <c r="AB20" i="31" s="1"/>
  <c r="Q18" i="47"/>
  <c r="R18" i="47" s="1"/>
  <c r="AD15" i="47"/>
  <c r="X15" i="31" s="1"/>
  <c r="R12" i="47"/>
  <c r="H13" i="31"/>
  <c r="J13" i="31" s="1"/>
  <c r="H25" i="31"/>
  <c r="R28" i="47"/>
  <c r="AD26" i="47"/>
  <c r="O19" i="31" s="1"/>
  <c r="Q18" i="31"/>
  <c r="R18" i="31"/>
  <c r="C19" i="15" s="1"/>
  <c r="E19" i="15" s="1"/>
  <c r="AD21" i="47"/>
  <c r="X17" i="31" s="1"/>
  <c r="R16" i="47"/>
  <c r="H15" i="31"/>
  <c r="D67" i="5"/>
  <c r="H67" i="5" s="1"/>
  <c r="I67" i="5" s="1"/>
  <c r="C21" i="27"/>
  <c r="C20" i="27"/>
  <c r="C18" i="27"/>
  <c r="C17" i="27"/>
  <c r="C37" i="27"/>
  <c r="O69" i="44"/>
  <c r="P71" i="44" s="1"/>
  <c r="C59" i="27"/>
  <c r="D66" i="27"/>
  <c r="D83" i="25" s="1"/>
  <c r="F23" i="27"/>
  <c r="D67" i="25" s="1"/>
  <c r="C16" i="27"/>
  <c r="D16" i="5"/>
  <c r="H16" i="5" s="1"/>
  <c r="I16" i="5" s="1"/>
  <c r="O51" i="44"/>
  <c r="P53" i="44" s="1"/>
  <c r="D61" i="5"/>
  <c r="H61" i="5" s="1"/>
  <c r="I61" i="5" s="1"/>
  <c r="C15" i="27"/>
  <c r="C35" i="27"/>
  <c r="E44" i="27"/>
  <c r="D75" i="25" s="1"/>
  <c r="C57" i="27"/>
  <c r="D60" i="5"/>
  <c r="H60" i="5" s="1"/>
  <c r="I60" i="5" s="1"/>
  <c r="J23" i="5"/>
  <c r="C14" i="27"/>
  <c r="D14" i="5"/>
  <c r="H14" i="5" s="1"/>
  <c r="I14" i="5" s="1"/>
  <c r="O67" i="44"/>
  <c r="P63" i="44" s="1"/>
  <c r="D44" i="27"/>
  <c r="D74" i="25" s="1"/>
  <c r="O38" i="44"/>
  <c r="C56" i="27"/>
  <c r="C13" i="27"/>
  <c r="O32" i="44"/>
  <c r="P30" i="44" s="1"/>
  <c r="D23" i="27"/>
  <c r="D65" i="25" s="1"/>
  <c r="F23" i="5"/>
  <c r="D13" i="5"/>
  <c r="H13" i="5" s="1"/>
  <c r="I13" i="5" s="1"/>
  <c r="E23" i="5"/>
  <c r="O21" i="44"/>
  <c r="A14" i="5"/>
  <c r="A35" i="27"/>
  <c r="A60" i="5"/>
  <c r="A36" i="5"/>
  <c r="A13" i="5"/>
  <c r="A35" i="5"/>
  <c r="A56" i="27"/>
  <c r="A34" i="27"/>
  <c r="A59" i="27"/>
  <c r="A37" i="27"/>
  <c r="A16" i="27"/>
  <c r="K23" i="5"/>
  <c r="D58" i="5"/>
  <c r="H58" i="5" s="1"/>
  <c r="I58" i="5" s="1"/>
  <c r="E66" i="27"/>
  <c r="D84" i="25" s="1"/>
  <c r="F69" i="5"/>
  <c r="D33" i="5"/>
  <c r="H33" i="5" s="1"/>
  <c r="I33" i="5" s="1"/>
  <c r="E45" i="5"/>
  <c r="O21" i="39"/>
  <c r="O20" i="39"/>
  <c r="O19" i="39"/>
  <c r="O15" i="39"/>
  <c r="O14" i="39"/>
  <c r="P24" i="38"/>
  <c r="O13" i="39"/>
  <c r="O12" i="39"/>
  <c r="G60" i="39"/>
  <c r="K60" i="39"/>
  <c r="G59" i="39"/>
  <c r="G57" i="39"/>
  <c r="K57" i="39"/>
  <c r="K58" i="39"/>
  <c r="G58" i="39"/>
  <c r="K55" i="39"/>
  <c r="D55" i="39"/>
  <c r="D54" i="39"/>
  <c r="D49" i="39"/>
  <c r="G46" i="39"/>
  <c r="D59" i="38"/>
  <c r="J44" i="39"/>
  <c r="J59" i="38"/>
  <c r="G59" i="38"/>
  <c r="J30" i="39"/>
  <c r="D51" i="39"/>
  <c r="G43" i="39"/>
  <c r="D59" i="39"/>
  <c r="J55" i="39"/>
  <c r="G53" i="39"/>
  <c r="J56" i="39"/>
  <c r="K53" i="39"/>
  <c r="D43" i="39"/>
  <c r="J59" i="39"/>
  <c r="J58" i="39"/>
  <c r="G55" i="39"/>
  <c r="G49" i="39"/>
  <c r="D47" i="39"/>
  <c r="K45" i="39"/>
  <c r="O22" i="39"/>
  <c r="J54" i="39"/>
  <c r="J50" i="39"/>
  <c r="G47" i="39"/>
  <c r="D53" i="39"/>
  <c r="G45" i="39"/>
  <c r="J60" i="39"/>
  <c r="J52" i="39"/>
  <c r="J46" i="39"/>
  <c r="D45" i="39"/>
  <c r="D57" i="39"/>
  <c r="D58" i="39"/>
  <c r="K43" i="39"/>
  <c r="J57" i="39"/>
  <c r="J51" i="39"/>
  <c r="K47" i="39"/>
  <c r="B24" i="39"/>
  <c r="K56" i="39"/>
  <c r="J53" i="39"/>
  <c r="G52" i="39"/>
  <c r="D50" i="39"/>
  <c r="L47" i="12"/>
  <c r="I47" i="12"/>
  <c r="P28" i="12"/>
  <c r="P27" i="12"/>
  <c r="Q27" i="12" s="1"/>
  <c r="L32" i="12"/>
  <c r="P32" i="12" s="1"/>
  <c r="Q32" i="12" s="1"/>
  <c r="P90" i="12"/>
  <c r="Q90" i="12" s="1"/>
  <c r="I50" i="12"/>
  <c r="P50" i="12" s="1"/>
  <c r="Q50" i="12" s="1"/>
  <c r="I43" i="12"/>
  <c r="P43" i="12" s="1"/>
  <c r="Q43" i="12" s="1"/>
  <c r="F58" i="3"/>
  <c r="D58" i="12" s="1"/>
  <c r="J58" i="12" s="1"/>
  <c r="L57" i="69" s="1"/>
  <c r="I58" i="3"/>
  <c r="L58" i="3"/>
  <c r="I35" i="3"/>
  <c r="K34" i="69" s="1"/>
  <c r="O34" i="3"/>
  <c r="P34" i="3" s="1"/>
  <c r="O29" i="3"/>
  <c r="P29" i="3" s="1"/>
  <c r="L29" i="8"/>
  <c r="L29" i="3"/>
  <c r="H14" i="21"/>
  <c r="T11" i="2"/>
  <c r="I103" i="2"/>
  <c r="M102" i="4"/>
  <c r="M115" i="4" s="1"/>
  <c r="M117" i="4" s="1"/>
  <c r="C60" i="2"/>
  <c r="F60" i="2" s="1"/>
  <c r="J60" i="2" s="1"/>
  <c r="C28" i="2"/>
  <c r="F28" i="2" s="1"/>
  <c r="J28" i="2" s="1"/>
  <c r="D166" i="7"/>
  <c r="D181" i="7"/>
  <c r="C66" i="2"/>
  <c r="F66" i="2" s="1"/>
  <c r="D141" i="7"/>
  <c r="C34" i="2"/>
  <c r="F34" i="2" s="1"/>
  <c r="J34" i="2" s="1"/>
  <c r="C27" i="2"/>
  <c r="F27" i="2" s="1"/>
  <c r="J27" i="2" s="1"/>
  <c r="C91" i="2"/>
  <c r="F91" i="2" s="1"/>
  <c r="J91" i="2" s="1"/>
  <c r="D191" i="7"/>
  <c r="C80" i="2"/>
  <c r="F80" i="2" s="1"/>
  <c r="D161" i="7"/>
  <c r="D160" i="7"/>
  <c r="D158" i="7"/>
  <c r="D118" i="7"/>
  <c r="I37" i="3"/>
  <c r="L79" i="3"/>
  <c r="K78" i="69" s="1"/>
  <c r="F96" i="3"/>
  <c r="D95" i="12" s="1"/>
  <c r="J95" i="12" s="1"/>
  <c r="F79" i="3"/>
  <c r="D78" i="12" s="1"/>
  <c r="L96" i="3"/>
  <c r="K95" i="2" s="1"/>
  <c r="L80" i="3"/>
  <c r="I80" i="3"/>
  <c r="D127" i="7"/>
  <c r="F27" i="3"/>
  <c r="D27" i="12" s="1"/>
  <c r="G27" i="12" s="1"/>
  <c r="D27" i="13" s="1"/>
  <c r="C40" i="2"/>
  <c r="F40" i="2" s="1"/>
  <c r="J40" i="2" s="1"/>
  <c r="L37" i="3"/>
  <c r="C95" i="2"/>
  <c r="F95" i="2" s="1"/>
  <c r="J95" i="2" s="1"/>
  <c r="D195" i="7"/>
  <c r="C52" i="2"/>
  <c r="I33" i="10" s="1"/>
  <c r="C44" i="2"/>
  <c r="F44" i="2" s="1"/>
  <c r="J44" i="2" s="1"/>
  <c r="F35" i="3"/>
  <c r="I29" i="3"/>
  <c r="D128" i="7"/>
  <c r="C90" i="2"/>
  <c r="F90" i="2" s="1"/>
  <c r="J90" i="2" s="1"/>
  <c r="D190" i="7"/>
  <c r="D175" i="7"/>
  <c r="D148" i="7"/>
  <c r="C47" i="2"/>
  <c r="R53" i="38" s="1"/>
  <c r="R55" i="38" s="1"/>
  <c r="C43" i="2"/>
  <c r="F43" i="2" s="1"/>
  <c r="J43" i="2" s="1"/>
  <c r="D143" i="7"/>
  <c r="C41" i="2"/>
  <c r="F41" i="2" s="1"/>
  <c r="D135" i="7"/>
  <c r="D132" i="7"/>
  <c r="C13" i="2"/>
  <c r="F13" i="2" s="1"/>
  <c r="C19" i="2"/>
  <c r="F19" i="2" s="1"/>
  <c r="J19" i="2" s="1"/>
  <c r="N19" i="2" s="1"/>
  <c r="C19" i="21" s="1"/>
  <c r="C19" i="24" s="1"/>
  <c r="G56" i="12"/>
  <c r="D56" i="13" s="1"/>
  <c r="J56" i="12"/>
  <c r="D152" i="7"/>
  <c r="F53" i="3"/>
  <c r="D53" i="12" s="1"/>
  <c r="L27" i="3"/>
  <c r="D114" i="7"/>
  <c r="I53" i="3"/>
  <c r="K52" i="2" s="1"/>
  <c r="C69" i="2"/>
  <c r="F69" i="2" s="1"/>
  <c r="J69" i="2" s="1"/>
  <c r="I34" i="10"/>
  <c r="C65" i="2"/>
  <c r="F65" i="2" s="1"/>
  <c r="C61" i="2"/>
  <c r="F61" i="2" s="1"/>
  <c r="C36" i="2"/>
  <c r="F36" i="2" s="1"/>
  <c r="J36" i="2" s="1"/>
  <c r="D169" i="7"/>
  <c r="D165" i="7"/>
  <c r="C76" i="2"/>
  <c r="F76" i="2" s="1"/>
  <c r="J76" i="2" s="1"/>
  <c r="C48" i="2"/>
  <c r="F48" i="2" s="1"/>
  <c r="J48" i="2" s="1"/>
  <c r="C35" i="2"/>
  <c r="F35" i="2" s="1"/>
  <c r="J35" i="2" s="1"/>
  <c r="C14" i="2"/>
  <c r="F14" i="2" s="1"/>
  <c r="D180" i="7"/>
  <c r="E58" i="69"/>
  <c r="B8" i="71"/>
  <c r="D8" i="71" s="1"/>
  <c r="B11" i="71"/>
  <c r="D144" i="7"/>
  <c r="I56" i="3"/>
  <c r="D113" i="7"/>
  <c r="C26" i="2"/>
  <c r="F26" i="2" s="1"/>
  <c r="J26" i="2" s="1"/>
  <c r="C32" i="2"/>
  <c r="F32" i="2" s="1"/>
  <c r="J32" i="2" s="1"/>
  <c r="D155" i="7"/>
  <c r="C81" i="2"/>
  <c r="F81" i="2" s="1"/>
  <c r="J81" i="2" s="1"/>
  <c r="C75" i="2"/>
  <c r="F26" i="34" s="1"/>
  <c r="F28" i="34" s="1"/>
  <c r="H21" i="9" s="1"/>
  <c r="D126" i="7"/>
  <c r="C55" i="2"/>
  <c r="F55" i="2" s="1"/>
  <c r="J55" i="2" s="1"/>
  <c r="D176" i="7"/>
  <c r="O113" i="4"/>
  <c r="P231" i="68"/>
  <c r="V231" i="68"/>
  <c r="W231" i="68" s="1"/>
  <c r="Y231" i="68" s="1"/>
  <c r="V163" i="68"/>
  <c r="W163" i="68" s="1"/>
  <c r="Y163" i="68" s="1"/>
  <c r="P163" i="68"/>
  <c r="P62" i="68"/>
  <c r="T62" i="68" s="1"/>
  <c r="V62" i="68"/>
  <c r="W62" i="68" s="1"/>
  <c r="Y62" i="68" s="1"/>
  <c r="V224" i="68"/>
  <c r="W224" i="68" s="1"/>
  <c r="Y224" i="68" s="1"/>
  <c r="P224" i="68"/>
  <c r="R224" i="68" s="1"/>
  <c r="P98" i="68"/>
  <c r="T98" i="68" s="1"/>
  <c r="P83" i="68"/>
  <c r="T83" i="68" s="1"/>
  <c r="P226" i="68"/>
  <c r="T226" i="68" s="1"/>
  <c r="V279" i="68"/>
  <c r="W279" i="68" s="1"/>
  <c r="Y279" i="68" s="1"/>
  <c r="P259" i="68"/>
  <c r="P234" i="68"/>
  <c r="R234" i="68" s="1"/>
  <c r="V225" i="68"/>
  <c r="W225" i="68" s="1"/>
  <c r="Y225" i="68" s="1"/>
  <c r="P225" i="68"/>
  <c r="T225" i="68" s="1"/>
  <c r="V197" i="68"/>
  <c r="W197" i="68" s="1"/>
  <c r="Y197" i="68" s="1"/>
  <c r="V85" i="68"/>
  <c r="W85" i="68" s="1"/>
  <c r="Y85" i="68" s="1"/>
  <c r="P200" i="68"/>
  <c r="P252" i="68"/>
  <c r="R188" i="68"/>
  <c r="V188" i="68" s="1"/>
  <c r="W188" i="68" s="1"/>
  <c r="Y188" i="68" s="1"/>
  <c r="Z188" i="68" s="1"/>
  <c r="AB188" i="68" s="1"/>
  <c r="V307" i="68"/>
  <c r="W307" i="68" s="1"/>
  <c r="Y307" i="68" s="1"/>
  <c r="P307" i="68"/>
  <c r="P232" i="68"/>
  <c r="V232" i="68"/>
  <c r="W232" i="68" s="1"/>
  <c r="Y232" i="68" s="1"/>
  <c r="R274" i="68"/>
  <c r="V274" i="68" s="1"/>
  <c r="W274" i="68" s="1"/>
  <c r="Y274" i="68" s="1"/>
  <c r="T274" i="68"/>
  <c r="P222" i="68"/>
  <c r="T222" i="68" s="1"/>
  <c r="V222" i="68"/>
  <c r="W222" i="68" s="1"/>
  <c r="Y222" i="68" s="1"/>
  <c r="R203" i="68"/>
  <c r="T203" i="68"/>
  <c r="V199" i="68"/>
  <c r="W199" i="68" s="1"/>
  <c r="Y199" i="68" s="1"/>
  <c r="V303" i="68"/>
  <c r="W303" i="68" s="1"/>
  <c r="Y303" i="68" s="1"/>
  <c r="P300" i="68"/>
  <c r="R300" i="68" s="1"/>
  <c r="V300" i="68"/>
  <c r="W300" i="68" s="1"/>
  <c r="Y300" i="68" s="1"/>
  <c r="P230" i="68"/>
  <c r="V218" i="68"/>
  <c r="W218" i="68" s="1"/>
  <c r="Y218" i="68" s="1"/>
  <c r="P218" i="68"/>
  <c r="T218" i="68" s="1"/>
  <c r="V198" i="68"/>
  <c r="W198" i="68" s="1"/>
  <c r="Y198" i="68" s="1"/>
  <c r="P102" i="68"/>
  <c r="V87" i="68"/>
  <c r="W87" i="68" s="1"/>
  <c r="Y87" i="68" s="1"/>
  <c r="V70" i="68"/>
  <c r="W70" i="68" s="1"/>
  <c r="Y70" i="68" s="1"/>
  <c r="V13" i="68"/>
  <c r="W13" i="68" s="1"/>
  <c r="Y13" i="68" s="1"/>
  <c r="T189" i="68"/>
  <c r="P99" i="68"/>
  <c r="R99" i="68" s="1"/>
  <c r="V84" i="68"/>
  <c r="W84" i="68" s="1"/>
  <c r="Y84" i="68" s="1"/>
  <c r="V69" i="68"/>
  <c r="W69" i="68" s="1"/>
  <c r="Y69" i="68" s="1"/>
  <c r="P305" i="68"/>
  <c r="V301" i="68"/>
  <c r="W301" i="68" s="1"/>
  <c r="Y301" i="68" s="1"/>
  <c r="P101" i="68"/>
  <c r="P86" i="68"/>
  <c r="P71" i="68"/>
  <c r="V223" i="68"/>
  <c r="W223" i="68" s="1"/>
  <c r="Y223" i="68" s="1"/>
  <c r="P214" i="68"/>
  <c r="T214" i="68" s="1"/>
  <c r="P88" i="68"/>
  <c r="V55" i="68"/>
  <c r="W55" i="68" s="1"/>
  <c r="Y55" i="68" s="1"/>
  <c r="P14" i="68"/>
  <c r="R14" i="68" s="1"/>
  <c r="T14" i="68" s="1"/>
  <c r="P29" i="68"/>
  <c r="R29" i="68" s="1"/>
  <c r="T29" i="68" s="1"/>
  <c r="V25" i="68"/>
  <c r="W25" i="68" s="1"/>
  <c r="Y25" i="68" s="1"/>
  <c r="V18" i="68"/>
  <c r="W18" i="68" s="1"/>
  <c r="Y18" i="68" s="1"/>
  <c r="P35" i="68"/>
  <c r="V171" i="68"/>
  <c r="W171" i="68" s="1"/>
  <c r="Y171" i="68" s="1"/>
  <c r="P74" i="68"/>
  <c r="P104" i="68"/>
  <c r="T104" i="68" s="1"/>
  <c r="V314" i="68"/>
  <c r="W314" i="68" s="1"/>
  <c r="Y314" i="68" s="1"/>
  <c r="V277" i="68"/>
  <c r="W277" i="68" s="1"/>
  <c r="Y277" i="68" s="1"/>
  <c r="Z277" i="68" s="1"/>
  <c r="AB277" i="68" s="1"/>
  <c r="V246" i="68"/>
  <c r="W246" i="68" s="1"/>
  <c r="Y246" i="68" s="1"/>
  <c r="V206" i="68"/>
  <c r="W206" i="68" s="1"/>
  <c r="Y206" i="68" s="1"/>
  <c r="V205" i="68"/>
  <c r="W205" i="68" s="1"/>
  <c r="Y205" i="68" s="1"/>
  <c r="P192" i="68"/>
  <c r="R192" i="68" s="1"/>
  <c r="P108" i="68"/>
  <c r="T108" i="68" s="1"/>
  <c r="V93" i="68"/>
  <c r="W93" i="68" s="1"/>
  <c r="Y93" i="68" s="1"/>
  <c r="P92" i="68"/>
  <c r="R92" i="68" s="1"/>
  <c r="V90" i="68"/>
  <c r="W90" i="68" s="1"/>
  <c r="Y90" i="68" s="1"/>
  <c r="P76" i="68"/>
  <c r="V49" i="68"/>
  <c r="W49" i="68" s="1"/>
  <c r="Y49" i="68" s="1"/>
  <c r="V36" i="68"/>
  <c r="W36" i="68" s="1"/>
  <c r="Y36" i="68" s="1"/>
  <c r="AA36" i="68" s="1"/>
  <c r="P19" i="68"/>
  <c r="R19" i="68" s="1"/>
  <c r="T19" i="68" s="1"/>
  <c r="P216" i="68"/>
  <c r="T216" i="68" s="1"/>
  <c r="V220" i="68"/>
  <c r="W220" i="68" s="1"/>
  <c r="Y220" i="68" s="1"/>
  <c r="V129" i="68"/>
  <c r="W129" i="68" s="1"/>
  <c r="Y129" i="68" s="1"/>
  <c r="V127" i="68"/>
  <c r="W127" i="68" s="1"/>
  <c r="Y127" i="68" s="1"/>
  <c r="P221" i="68"/>
  <c r="V215" i="68"/>
  <c r="W215" i="68" s="1"/>
  <c r="Y215" i="68" s="1"/>
  <c r="P195" i="68"/>
  <c r="V181" i="68"/>
  <c r="W181" i="68" s="1"/>
  <c r="Y181" i="68" s="1"/>
  <c r="P227" i="68"/>
  <c r="P16" i="68"/>
  <c r="R16" i="68" s="1"/>
  <c r="T16" i="68" s="1"/>
  <c r="V189" i="68"/>
  <c r="W189" i="68" s="1"/>
  <c r="Y189" i="68" s="1"/>
  <c r="T154" i="68"/>
  <c r="Z154" i="68" s="1"/>
  <c r="T153" i="68"/>
  <c r="V148" i="68"/>
  <c r="W148" i="68" s="1"/>
  <c r="Y148" i="68" s="1"/>
  <c r="P139" i="68"/>
  <c r="T139" i="68" s="1"/>
  <c r="T142" i="68"/>
  <c r="R142" i="68"/>
  <c r="R201" i="68"/>
  <c r="P316" i="68"/>
  <c r="R316" i="68" s="1"/>
  <c r="V316" i="68" s="1"/>
  <c r="W316" i="68" s="1"/>
  <c r="Y316" i="68" s="1"/>
  <c r="P276" i="68"/>
  <c r="P170" i="68"/>
  <c r="V170" i="68"/>
  <c r="W170" i="68" s="1"/>
  <c r="Y170" i="68" s="1"/>
  <c r="V169" i="68"/>
  <c r="W169" i="68" s="1"/>
  <c r="Y169" i="68" s="1"/>
  <c r="P169" i="68"/>
  <c r="R169" i="68" s="1"/>
  <c r="P75" i="68"/>
  <c r="V75" i="68"/>
  <c r="W75" i="68" s="1"/>
  <c r="Y75" i="68" s="1"/>
  <c r="V38" i="68"/>
  <c r="W38" i="68" s="1"/>
  <c r="Y38" i="68" s="1"/>
  <c r="P38" i="68"/>
  <c r="T111" i="68"/>
  <c r="P137" i="68"/>
  <c r="V137" i="68"/>
  <c r="W137" i="68" s="1"/>
  <c r="Y137" i="68" s="1"/>
  <c r="P136" i="68"/>
  <c r="V136" i="68"/>
  <c r="W136" i="68" s="1"/>
  <c r="Y136" i="68" s="1"/>
  <c r="P135" i="68"/>
  <c r="V135" i="68"/>
  <c r="W135" i="68" s="1"/>
  <c r="Y135" i="68" s="1"/>
  <c r="P134" i="68"/>
  <c r="V134" i="68"/>
  <c r="W134" i="68" s="1"/>
  <c r="Y134" i="68" s="1"/>
  <c r="P133" i="68"/>
  <c r="V133" i="68"/>
  <c r="W133" i="68" s="1"/>
  <c r="Y133" i="68" s="1"/>
  <c r="V192" i="68"/>
  <c r="W192" i="68" s="1"/>
  <c r="Y192" i="68" s="1"/>
  <c r="V92" i="68"/>
  <c r="W92" i="68" s="1"/>
  <c r="Y92" i="68" s="1"/>
  <c r="V265" i="68"/>
  <c r="W265" i="68" s="1"/>
  <c r="Y265" i="68" s="1"/>
  <c r="P265" i="68"/>
  <c r="P264" i="68"/>
  <c r="V264" i="68"/>
  <c r="W264" i="68" s="1"/>
  <c r="Y264" i="68" s="1"/>
  <c r="P262" i="68"/>
  <c r="V262" i="68"/>
  <c r="W262" i="68" s="1"/>
  <c r="Y262" i="68" s="1"/>
  <c r="P261" i="68"/>
  <c r="V261" i="68"/>
  <c r="W261" i="68" s="1"/>
  <c r="Y261" i="68" s="1"/>
  <c r="P260" i="68"/>
  <c r="V260" i="68"/>
  <c r="W260" i="68" s="1"/>
  <c r="Y260" i="68" s="1"/>
  <c r="P100" i="68"/>
  <c r="V100" i="68"/>
  <c r="W100" i="68" s="1"/>
  <c r="Y100" i="68" s="1"/>
  <c r="P93" i="68"/>
  <c r="T93" i="68" s="1"/>
  <c r="P270" i="68"/>
  <c r="V270" i="68"/>
  <c r="W270" i="68" s="1"/>
  <c r="Y270" i="68" s="1"/>
  <c r="V308" i="68"/>
  <c r="W308" i="68" s="1"/>
  <c r="Y308" i="68" s="1"/>
  <c r="P308" i="68"/>
  <c r="V124" i="68"/>
  <c r="W124" i="68" s="1"/>
  <c r="Y124" i="68" s="1"/>
  <c r="P124" i="68"/>
  <c r="P122" i="68"/>
  <c r="V122" i="68"/>
  <c r="W122" i="68" s="1"/>
  <c r="Y122" i="68" s="1"/>
  <c r="P97" i="68"/>
  <c r="V97" i="68"/>
  <c r="W97" i="68" s="1"/>
  <c r="Y97" i="68" s="1"/>
  <c r="P96" i="68"/>
  <c r="V96" i="68"/>
  <c r="W96" i="68" s="1"/>
  <c r="Y96" i="68" s="1"/>
  <c r="P22" i="68"/>
  <c r="R22" i="68" s="1"/>
  <c r="T22" i="68" s="1"/>
  <c r="P123" i="68"/>
  <c r="V67" i="68"/>
  <c r="W67" i="68" s="1"/>
  <c r="Y67" i="68" s="1"/>
  <c r="V63" i="68"/>
  <c r="W63" i="68" s="1"/>
  <c r="Y63" i="68" s="1"/>
  <c r="P56" i="68"/>
  <c r="T56" i="68" s="1"/>
  <c r="P236" i="68"/>
  <c r="P239" i="68"/>
  <c r="P116" i="68"/>
  <c r="V212" i="68"/>
  <c r="W212" i="68" s="1"/>
  <c r="Y212" i="68" s="1"/>
  <c r="P212" i="68"/>
  <c r="P211" i="68"/>
  <c r="V211" i="68"/>
  <c r="W211" i="68" s="1"/>
  <c r="Y211" i="68" s="1"/>
  <c r="P197" i="68"/>
  <c r="P196" i="68"/>
  <c r="V196" i="68"/>
  <c r="W196" i="68" s="1"/>
  <c r="Y196" i="68" s="1"/>
  <c r="V128" i="68"/>
  <c r="W128" i="68" s="1"/>
  <c r="Y128" i="68" s="1"/>
  <c r="V103" i="68"/>
  <c r="W103" i="68" s="1"/>
  <c r="Y103" i="68" s="1"/>
  <c r="P103" i="68"/>
  <c r="R103" i="68" s="1"/>
  <c r="V86" i="68"/>
  <c r="W86" i="68" s="1"/>
  <c r="Y86" i="68" s="1"/>
  <c r="P85" i="68"/>
  <c r="V72" i="68"/>
  <c r="W72" i="68" s="1"/>
  <c r="Y72" i="68" s="1"/>
  <c r="P72" i="68"/>
  <c r="P25" i="68"/>
  <c r="R25" i="68" s="1"/>
  <c r="T25" i="68" s="1"/>
  <c r="V221" i="68"/>
  <c r="W221" i="68" s="1"/>
  <c r="Y221" i="68" s="1"/>
  <c r="P217" i="68"/>
  <c r="V217" i="68"/>
  <c r="W217" i="68" s="1"/>
  <c r="Y217" i="68" s="1"/>
  <c r="V31" i="68"/>
  <c r="W31" i="68" s="1"/>
  <c r="Y31" i="68" s="1"/>
  <c r="Z31" i="68" s="1"/>
  <c r="V88" i="68"/>
  <c r="W88" i="68" s="1"/>
  <c r="Y88" i="68" s="1"/>
  <c r="P288" i="68"/>
  <c r="V153" i="68"/>
  <c r="W153" i="68" s="1"/>
  <c r="Y153" i="68" s="1"/>
  <c r="P70" i="68"/>
  <c r="T70" i="68" s="1"/>
  <c r="V299" i="68"/>
  <c r="W299" i="68" s="1"/>
  <c r="Y299" i="68" s="1"/>
  <c r="V228" i="68"/>
  <c r="W228" i="68" s="1"/>
  <c r="Y228" i="68" s="1"/>
  <c r="AE85" i="31"/>
  <c r="F18" i="2"/>
  <c r="J18" i="2" s="1"/>
  <c r="N18" i="2" s="1"/>
  <c r="C84" i="69"/>
  <c r="C84" i="2"/>
  <c r="C74" i="69"/>
  <c r="E74" i="69" s="1"/>
  <c r="I74" i="69" s="1"/>
  <c r="C75" i="3" s="1"/>
  <c r="C74" i="2"/>
  <c r="F74" i="2" s="1"/>
  <c r="J74" i="2" s="1"/>
  <c r="D174" i="7"/>
  <c r="C70" i="69"/>
  <c r="E70" i="69" s="1"/>
  <c r="I70" i="69" s="1"/>
  <c r="C71" i="3" s="1"/>
  <c r="D170" i="7"/>
  <c r="C42" i="69"/>
  <c r="E42" i="69" s="1"/>
  <c r="C42" i="2"/>
  <c r="F42" i="2" s="1"/>
  <c r="D142" i="7"/>
  <c r="C38" i="69"/>
  <c r="E38" i="69" s="1"/>
  <c r="I38" i="69" s="1"/>
  <c r="D138" i="7"/>
  <c r="C38" i="2"/>
  <c r="F38" i="2" s="1"/>
  <c r="J38" i="2" s="1"/>
  <c r="C33" i="69"/>
  <c r="E33" i="69" s="1"/>
  <c r="I33" i="69" s="1"/>
  <c r="C34" i="3" s="1"/>
  <c r="D133" i="7"/>
  <c r="C30" i="69"/>
  <c r="E30" i="69" s="1"/>
  <c r="I30" i="69" s="1"/>
  <c r="C31" i="3" s="1"/>
  <c r="D130" i="7"/>
  <c r="C30" i="2"/>
  <c r="F30" i="2" s="1"/>
  <c r="J30" i="2" s="1"/>
  <c r="D10" i="5"/>
  <c r="C23" i="5"/>
  <c r="E69" i="5"/>
  <c r="D56" i="5"/>
  <c r="T150" i="68"/>
  <c r="R150" i="68"/>
  <c r="C69" i="5"/>
  <c r="I84" i="5" s="1"/>
  <c r="D57" i="5"/>
  <c r="H57" i="5" s="1"/>
  <c r="I57" i="5" s="1"/>
  <c r="T164" i="68"/>
  <c r="R164" i="68"/>
  <c r="I89" i="37"/>
  <c r="M95" i="13"/>
  <c r="N95" i="13" s="1"/>
  <c r="F45" i="5"/>
  <c r="D32" i="5"/>
  <c r="D34" i="5"/>
  <c r="H34" i="5" s="1"/>
  <c r="I34" i="5" s="1"/>
  <c r="C45" i="5"/>
  <c r="I80" i="5" s="1"/>
  <c r="I41" i="13" s="1"/>
  <c r="F41" i="13" s="1"/>
  <c r="M41" i="13" s="1"/>
  <c r="K43" i="3"/>
  <c r="K47" i="3"/>
  <c r="O47" i="3" s="1"/>
  <c r="P47" i="3" s="1"/>
  <c r="K32" i="3"/>
  <c r="O32" i="3" s="1"/>
  <c r="P32" i="3" s="1"/>
  <c r="K50" i="3"/>
  <c r="O50" i="3"/>
  <c r="P50" i="3" s="1"/>
  <c r="O27" i="3"/>
  <c r="P27" i="3" s="1"/>
  <c r="B66" i="8"/>
  <c r="C66" i="8" s="1"/>
  <c r="D64" i="8" s="1"/>
  <c r="D40" i="8" s="1"/>
  <c r="F66" i="27"/>
  <c r="C31" i="27"/>
  <c r="F44" i="27"/>
  <c r="O28" i="30"/>
  <c r="Q15" i="30"/>
  <c r="M28" i="30"/>
  <c r="N74" i="31"/>
  <c r="E59" i="31"/>
  <c r="J59" i="31" s="1"/>
  <c r="I59" i="31"/>
  <c r="H49" i="31"/>
  <c r="I49" i="31"/>
  <c r="Z46" i="31"/>
  <c r="AA46" i="31"/>
  <c r="I29" i="31"/>
  <c r="E29" i="31"/>
  <c r="J29" i="31" s="1"/>
  <c r="J47" i="39"/>
  <c r="I62" i="39"/>
  <c r="J11" i="39"/>
  <c r="H24" i="39"/>
  <c r="H95" i="46"/>
  <c r="C97" i="46" s="1"/>
  <c r="J46" i="46"/>
  <c r="A69" i="46"/>
  <c r="N41" i="31"/>
  <c r="S41" i="31" s="1"/>
  <c r="R41" i="31"/>
  <c r="X51" i="8"/>
  <c r="G53" i="8"/>
  <c r="C98" i="69"/>
  <c r="E98" i="69" s="1"/>
  <c r="C98" i="2"/>
  <c r="F98" i="2" s="1"/>
  <c r="C93" i="69"/>
  <c r="E93" i="69" s="1"/>
  <c r="D193" i="7"/>
  <c r="C93" i="2"/>
  <c r="C89" i="69"/>
  <c r="E89" i="69" s="1"/>
  <c r="I89" i="69" s="1"/>
  <c r="C90" i="3" s="1"/>
  <c r="D189" i="7"/>
  <c r="C89" i="2"/>
  <c r="F89" i="2" s="1"/>
  <c r="J89" i="2" s="1"/>
  <c r="C77" i="69"/>
  <c r="E77" i="69" s="1"/>
  <c r="I77" i="69" s="1"/>
  <c r="C78" i="3" s="1"/>
  <c r="C77" i="2"/>
  <c r="F77" i="2" s="1"/>
  <c r="J77" i="2" s="1"/>
  <c r="C51" i="69"/>
  <c r="E51" i="69" s="1"/>
  <c r="D151" i="7"/>
  <c r="C51" i="2"/>
  <c r="F51" i="2" s="1"/>
  <c r="C46" i="69"/>
  <c r="Q49" i="39"/>
  <c r="C29" i="69"/>
  <c r="E29" i="69" s="1"/>
  <c r="I29" i="69" s="1"/>
  <c r="C29" i="2"/>
  <c r="F29" i="2" s="1"/>
  <c r="J29" i="2" s="1"/>
  <c r="D129" i="7"/>
  <c r="C25" i="69"/>
  <c r="O100" i="4"/>
  <c r="D125" i="7"/>
  <c r="C16" i="69"/>
  <c r="E16" i="69" s="1"/>
  <c r="I16" i="69" s="1"/>
  <c r="C17" i="3" s="1"/>
  <c r="D116" i="7"/>
  <c r="C16" i="2"/>
  <c r="C12" i="69"/>
  <c r="E12" i="69" s="1"/>
  <c r="C12" i="2"/>
  <c r="F12" i="2" s="1"/>
  <c r="F14" i="6"/>
  <c r="G14" i="6" s="1"/>
  <c r="G25" i="8" s="1"/>
  <c r="G28" i="30"/>
  <c r="H15" i="30"/>
  <c r="E28" i="30"/>
  <c r="E91" i="31"/>
  <c r="J91" i="31" s="1"/>
  <c r="I91" i="31"/>
  <c r="C95" i="31"/>
  <c r="R69" i="31"/>
  <c r="N69" i="31"/>
  <c r="S69" i="31" s="1"/>
  <c r="E63" i="31"/>
  <c r="J63" i="31" s="1"/>
  <c r="I63" i="31"/>
  <c r="Z49" i="31"/>
  <c r="AB49" i="31" s="1"/>
  <c r="AA49" i="31"/>
  <c r="C46" i="16" s="1"/>
  <c r="T20" i="45"/>
  <c r="J38" i="46"/>
  <c r="A61" i="46"/>
  <c r="E46" i="36"/>
  <c r="G46" i="36" s="1"/>
  <c r="G56" i="36" s="1"/>
  <c r="C56" i="36"/>
  <c r="G61" i="36" s="1"/>
  <c r="W42" i="31"/>
  <c r="AB42" i="31" s="1"/>
  <c r="AA42" i="31"/>
  <c r="AA40" i="31"/>
  <c r="Z40" i="31"/>
  <c r="D62" i="5"/>
  <c r="H62" i="5" s="1"/>
  <c r="I62" i="5" s="1"/>
  <c r="I14" i="6"/>
  <c r="J14" i="6" s="1"/>
  <c r="J16" i="6" s="1"/>
  <c r="O48" i="3"/>
  <c r="P48" i="3" s="1"/>
  <c r="C82" i="2"/>
  <c r="F82" i="2" s="1"/>
  <c r="J82" i="2" s="1"/>
  <c r="N78" i="7"/>
  <c r="P78" i="7" s="1"/>
  <c r="F45" i="3"/>
  <c r="M34" i="13"/>
  <c r="N34" i="13" s="1"/>
  <c r="D53" i="8"/>
  <c r="N86" i="7"/>
  <c r="D47" i="7"/>
  <c r="N47" i="7" s="1"/>
  <c r="C96" i="69"/>
  <c r="E96" i="69" s="1"/>
  <c r="I96" i="69" s="1"/>
  <c r="C97" i="3" s="1"/>
  <c r="D196" i="7"/>
  <c r="C96" i="2"/>
  <c r="F96" i="2" s="1"/>
  <c r="J96" i="2" s="1"/>
  <c r="C92" i="69"/>
  <c r="E92" i="69" s="1"/>
  <c r="I92" i="69" s="1"/>
  <c r="C93" i="3" s="1"/>
  <c r="C92" i="2"/>
  <c r="F92" i="2" s="1"/>
  <c r="J92" i="2" s="1"/>
  <c r="C87" i="69"/>
  <c r="E87" i="69" s="1"/>
  <c r="I87" i="69" s="1"/>
  <c r="C88" i="3" s="1"/>
  <c r="D187" i="7"/>
  <c r="C68" i="69"/>
  <c r="E68" i="69" s="1"/>
  <c r="I68" i="69" s="1"/>
  <c r="C69" i="3" s="1"/>
  <c r="D168" i="7"/>
  <c r="C54" i="69"/>
  <c r="E54" i="69" s="1"/>
  <c r="I54" i="69" s="1"/>
  <c r="C55" i="3" s="1"/>
  <c r="D154" i="7"/>
  <c r="C49" i="69"/>
  <c r="E49" i="69" s="1"/>
  <c r="I49" i="69" s="1"/>
  <c r="C50" i="3" s="1"/>
  <c r="D149" i="7"/>
  <c r="C45" i="69"/>
  <c r="P49" i="39"/>
  <c r="C45" i="2"/>
  <c r="F29" i="3"/>
  <c r="N102" i="4"/>
  <c r="N115" i="4" s="1"/>
  <c r="N117" i="4" s="1"/>
  <c r="C15" i="69"/>
  <c r="C15" i="2"/>
  <c r="C11" i="69"/>
  <c r="O20" i="4"/>
  <c r="D111" i="7"/>
  <c r="D214" i="7"/>
  <c r="D11" i="5"/>
  <c r="H11" i="5" s="1"/>
  <c r="I11" i="5" s="1"/>
  <c r="D15" i="5"/>
  <c r="H15" i="5" s="1"/>
  <c r="I15" i="5" s="1"/>
  <c r="J25" i="6"/>
  <c r="C54" i="27"/>
  <c r="Q16" i="30"/>
  <c r="L22" i="15"/>
  <c r="I22" i="15" s="1"/>
  <c r="H22" i="30"/>
  <c r="C28" i="30"/>
  <c r="H16" i="30"/>
  <c r="E93" i="31"/>
  <c r="J93" i="31" s="1"/>
  <c r="I93" i="31"/>
  <c r="W73" i="31"/>
  <c r="AB73" i="31" s="1"/>
  <c r="AA73" i="31"/>
  <c r="Q48" i="31"/>
  <c r="S48" i="31" s="1"/>
  <c r="R48" i="31"/>
  <c r="J42" i="46"/>
  <c r="A65" i="46"/>
  <c r="W41" i="31"/>
  <c r="AB41" i="31" s="1"/>
  <c r="AA41" i="31"/>
  <c r="C38" i="16" s="1"/>
  <c r="J23" i="6"/>
  <c r="M56" i="12"/>
  <c r="C25" i="2"/>
  <c r="D182" i="7"/>
  <c r="C46" i="2"/>
  <c r="AE83" i="31"/>
  <c r="M39" i="13"/>
  <c r="N39" i="13" s="1"/>
  <c r="D146" i="7"/>
  <c r="D112" i="7"/>
  <c r="C71" i="69"/>
  <c r="E71" i="69" s="1"/>
  <c r="I71" i="69" s="1"/>
  <c r="C72" i="3" s="1"/>
  <c r="D171" i="7"/>
  <c r="C71" i="2"/>
  <c r="F71" i="2" s="1"/>
  <c r="J71" i="2" s="1"/>
  <c r="C67" i="69"/>
  <c r="E67" i="69" s="1"/>
  <c r="I67" i="69" s="1"/>
  <c r="C68" i="3" s="1"/>
  <c r="C67" i="2"/>
  <c r="F67" i="2" s="1"/>
  <c r="J67" i="2" s="1"/>
  <c r="D167" i="7"/>
  <c r="C64" i="69"/>
  <c r="E64" i="69" s="1"/>
  <c r="D164" i="7"/>
  <c r="C53" i="69"/>
  <c r="E53" i="69" s="1"/>
  <c r="D153" i="7"/>
  <c r="C53" i="2"/>
  <c r="F53" i="2" s="1"/>
  <c r="C31" i="69"/>
  <c r="E31" i="69" s="1"/>
  <c r="I31" i="69" s="1"/>
  <c r="C32" i="3" s="1"/>
  <c r="D131" i="7"/>
  <c r="C31" i="2"/>
  <c r="F31" i="2" s="1"/>
  <c r="J31" i="2" s="1"/>
  <c r="C17" i="69"/>
  <c r="E17" i="69" s="1"/>
  <c r="I17" i="69" s="1"/>
  <c r="C18" i="3" s="1"/>
  <c r="C17" i="2"/>
  <c r="F17" i="2" s="1"/>
  <c r="J17" i="2" s="1"/>
  <c r="D117" i="7"/>
  <c r="D36" i="5"/>
  <c r="H36" i="5" s="1"/>
  <c r="I36" i="5" s="1"/>
  <c r="G10" i="28"/>
  <c r="G14" i="28"/>
  <c r="G27" i="26" s="1"/>
  <c r="W37" i="31"/>
  <c r="O64" i="14"/>
  <c r="O46" i="14"/>
  <c r="L46" i="14"/>
  <c r="O38" i="14"/>
  <c r="L38" i="14"/>
  <c r="O25" i="14"/>
  <c r="L25" i="14"/>
  <c r="M25" i="14" s="1"/>
  <c r="O17" i="14"/>
  <c r="L17" i="14"/>
  <c r="M17" i="14" s="1"/>
  <c r="O14" i="14"/>
  <c r="L14" i="14"/>
  <c r="M14" i="14" s="1"/>
  <c r="L31" i="15"/>
  <c r="U53" i="8"/>
  <c r="C99" i="69"/>
  <c r="E99" i="69" s="1"/>
  <c r="F33" i="41"/>
  <c r="F35" i="41" s="1"/>
  <c r="H75" i="9" s="1"/>
  <c r="C20" i="3"/>
  <c r="N19" i="69"/>
  <c r="Q20" i="31"/>
  <c r="S20" i="31" s="1"/>
  <c r="R20" i="31"/>
  <c r="N15" i="31"/>
  <c r="H23" i="31"/>
  <c r="I23" i="31"/>
  <c r="E19" i="31"/>
  <c r="C94" i="2"/>
  <c r="F94" i="2" s="1"/>
  <c r="C94" i="69"/>
  <c r="E94" i="69" s="1"/>
  <c r="R49" i="39"/>
  <c r="C47" i="69"/>
  <c r="E47" i="69" s="1"/>
  <c r="I47" i="69" s="1"/>
  <c r="C19" i="3"/>
  <c r="N18" i="69"/>
  <c r="D134" i="7"/>
  <c r="J28" i="28"/>
  <c r="Z44" i="31"/>
  <c r="AB44" i="31" s="1"/>
  <c r="AA44" i="31"/>
  <c r="O28" i="14"/>
  <c r="L28" i="14"/>
  <c r="M28" i="14" s="1"/>
  <c r="O20" i="14"/>
  <c r="L20" i="14"/>
  <c r="M20" i="14" s="1"/>
  <c r="D52" i="39"/>
  <c r="K52" i="39"/>
  <c r="C62" i="39"/>
  <c r="F62" i="39"/>
  <c r="O55" i="44"/>
  <c r="O34" i="44"/>
  <c r="P35" i="44" s="1"/>
  <c r="A15" i="27"/>
  <c r="A36" i="27"/>
  <c r="A58" i="27"/>
  <c r="A32" i="27"/>
  <c r="A54" i="27"/>
  <c r="O15" i="44"/>
  <c r="P13" i="44" s="1"/>
  <c r="K58" i="15"/>
  <c r="Q22" i="30"/>
  <c r="Q49" i="31"/>
  <c r="S49" i="31" s="1"/>
  <c r="R49" i="31"/>
  <c r="H62" i="39"/>
  <c r="H77" i="39" s="1"/>
  <c r="E55" i="25"/>
  <c r="L11" i="14"/>
  <c r="M11" i="14" s="1"/>
  <c r="R51" i="31"/>
  <c r="N51" i="31"/>
  <c r="S51" i="31" s="1"/>
  <c r="AA33" i="31"/>
  <c r="E31" i="33"/>
  <c r="E25" i="33"/>
  <c r="J62" i="13" s="1"/>
  <c r="E33" i="33"/>
  <c r="D44" i="39"/>
  <c r="K44" i="39"/>
  <c r="L32" i="14"/>
  <c r="M32" i="14" s="1"/>
  <c r="L29" i="14"/>
  <c r="M29" i="14" s="1"/>
  <c r="L24" i="14"/>
  <c r="M24" i="14" s="1"/>
  <c r="L21" i="14"/>
  <c r="M21" i="14" s="1"/>
  <c r="L19" i="14"/>
  <c r="M19" i="14" s="1"/>
  <c r="O19" i="14"/>
  <c r="L13" i="14"/>
  <c r="M13" i="14" s="1"/>
  <c r="O13" i="14"/>
  <c r="R25" i="32"/>
  <c r="C28" i="40" s="1"/>
  <c r="D28" i="40" s="1"/>
  <c r="R24" i="32"/>
  <c r="H60" i="37"/>
  <c r="I60" i="37" s="1"/>
  <c r="D56" i="39"/>
  <c r="K54" i="39"/>
  <c r="K50" i="39"/>
  <c r="B62" i="39"/>
  <c r="B77" i="39" s="1"/>
  <c r="D15" i="39"/>
  <c r="B30" i="39"/>
  <c r="C24" i="39"/>
  <c r="C30" i="39"/>
  <c r="O11" i="39"/>
  <c r="M24" i="39"/>
  <c r="M30" i="39" s="1"/>
  <c r="W16" i="45"/>
  <c r="F20" i="45"/>
  <c r="G14" i="45" s="1"/>
  <c r="N75" i="46"/>
  <c r="J43" i="46"/>
  <c r="A66" i="46"/>
  <c r="J39" i="46"/>
  <c r="A62" i="46"/>
  <c r="J35" i="46"/>
  <c r="A58" i="46"/>
  <c r="M29" i="46"/>
  <c r="L29" i="46"/>
  <c r="L73" i="14"/>
  <c r="L65" i="14"/>
  <c r="L62" i="14"/>
  <c r="L57" i="14"/>
  <c r="L54" i="14"/>
  <c r="L47" i="14"/>
  <c r="L12" i="14"/>
  <c r="M12" i="14" s="1"/>
  <c r="D46" i="39"/>
  <c r="K46" i="39"/>
  <c r="I24" i="39"/>
  <c r="O49" i="44"/>
  <c r="P45" i="44" s="1"/>
  <c r="O17" i="44"/>
  <c r="H71" i="46"/>
  <c r="J44" i="46"/>
  <c r="A67" i="46"/>
  <c r="J40" i="46"/>
  <c r="A63" i="46"/>
  <c r="J36" i="46"/>
  <c r="A59" i="46"/>
  <c r="P114" i="47"/>
  <c r="Q114" i="47"/>
  <c r="AB101" i="47"/>
  <c r="AD95" i="47" s="1"/>
  <c r="O30" i="31" s="1"/>
  <c r="AC101" i="47"/>
  <c r="P100" i="47"/>
  <c r="R94" i="47" s="1"/>
  <c r="Q100" i="47"/>
  <c r="R28" i="32"/>
  <c r="C31" i="40" s="1"/>
  <c r="D31" i="40" s="1"/>
  <c r="D24" i="38"/>
  <c r="P42" i="38"/>
  <c r="P51" i="38" s="1"/>
  <c r="E62" i="39"/>
  <c r="D60" i="39"/>
  <c r="K48" i="39"/>
  <c r="G48" i="39"/>
  <c r="O18" i="39"/>
  <c r="O17" i="39"/>
  <c r="O16" i="39"/>
  <c r="N24" i="39"/>
  <c r="O73" i="44"/>
  <c r="I16" i="45"/>
  <c r="I15" i="45"/>
  <c r="M73" i="46"/>
  <c r="J45" i="46"/>
  <c r="A68" i="46"/>
  <c r="J41" i="46"/>
  <c r="A64" i="46"/>
  <c r="J37" i="46"/>
  <c r="A60" i="46"/>
  <c r="AD263" i="47"/>
  <c r="O39" i="31" s="1"/>
  <c r="X262" i="47"/>
  <c r="C39" i="31" s="1"/>
  <c r="C40" i="37" s="1"/>
  <c r="F40" i="37" s="1"/>
  <c r="H40" i="37" s="1"/>
  <c r="E34" i="43"/>
  <c r="E37" i="43" s="1"/>
  <c r="W17" i="45"/>
  <c r="X17" i="47"/>
  <c r="L16" i="31" s="1"/>
  <c r="K17" i="37" s="1"/>
  <c r="AD14" i="47"/>
  <c r="E44" i="43"/>
  <c r="E49" i="43" s="1"/>
  <c r="W18" i="45"/>
  <c r="W14" i="45"/>
  <c r="L52" i="46"/>
  <c r="Q25" i="46"/>
  <c r="AB91" i="47"/>
  <c r="AD94" i="47" s="1"/>
  <c r="F30" i="31" s="1"/>
  <c r="H30" i="31" s="1"/>
  <c r="AC91" i="47"/>
  <c r="V89" i="68"/>
  <c r="W89" i="68" s="1"/>
  <c r="Y89" i="68" s="1"/>
  <c r="L73" i="46"/>
  <c r="P108" i="47"/>
  <c r="Q108" i="47"/>
  <c r="V106" i="47"/>
  <c r="W106" i="47"/>
  <c r="Y94" i="47" s="1"/>
  <c r="C31" i="31" s="1"/>
  <c r="C32" i="37" s="1"/>
  <c r="AH35" i="48"/>
  <c r="AH39" i="48" s="1"/>
  <c r="AD35" i="48"/>
  <c r="AD39" i="48" s="1"/>
  <c r="Z35" i="48"/>
  <c r="Z39" i="48" s="1"/>
  <c r="AF35" i="48"/>
  <c r="AF39" i="48" s="1"/>
  <c r="AB35" i="48"/>
  <c r="AB39" i="48" s="1"/>
  <c r="X35" i="48"/>
  <c r="X39" i="48" s="1"/>
  <c r="P119" i="47"/>
  <c r="R95" i="47" s="1"/>
  <c r="V118" i="47"/>
  <c r="AC107" i="47"/>
  <c r="W101" i="47"/>
  <c r="AC97" i="47"/>
  <c r="Q93" i="47"/>
  <c r="Q92" i="47"/>
  <c r="R47" i="47" s="1"/>
  <c r="W89" i="47"/>
  <c r="Q89" i="47"/>
  <c r="U31" i="49"/>
  <c r="U36" i="49" s="1"/>
  <c r="V36" i="49" s="1"/>
  <c r="V304" i="68"/>
  <c r="W304" i="68" s="1"/>
  <c r="V245" i="68"/>
  <c r="V213" i="68"/>
  <c r="W213" i="68" s="1"/>
  <c r="Y213" i="68" s="1"/>
  <c r="V194" i="68"/>
  <c r="P186" i="68"/>
  <c r="V159" i="68"/>
  <c r="W159" i="68" s="1"/>
  <c r="Y159" i="68" s="1"/>
  <c r="P159" i="68"/>
  <c r="V140" i="68"/>
  <c r="W140" i="68" s="1"/>
  <c r="Y140" i="68" s="1"/>
  <c r="P138" i="68"/>
  <c r="V111" i="68"/>
  <c r="W111" i="68" s="1"/>
  <c r="Y111" i="68" s="1"/>
  <c r="V108" i="68"/>
  <c r="W108" i="68" s="1"/>
  <c r="Y108" i="68" s="1"/>
  <c r="V310" i="68"/>
  <c r="W310" i="68" s="1"/>
  <c r="Y310" i="68" s="1"/>
  <c r="V102" i="68"/>
  <c r="W102" i="68" s="1"/>
  <c r="Y102" i="68" s="1"/>
  <c r="V101" i="68"/>
  <c r="W101" i="68" s="1"/>
  <c r="Y101" i="68" s="1"/>
  <c r="V64" i="68"/>
  <c r="P64" i="68"/>
  <c r="V12" i="25"/>
  <c r="P30" i="49"/>
  <c r="U12" i="25" s="1"/>
  <c r="P194" i="68"/>
  <c r="X53" i="8"/>
  <c r="T267" i="68"/>
  <c r="R267" i="68"/>
  <c r="V267" i="68" s="1"/>
  <c r="W267" i="68" s="1"/>
  <c r="Y267" i="68" s="1"/>
  <c r="P32" i="68"/>
  <c r="P273" i="68"/>
  <c r="P275" i="68"/>
  <c r="P27" i="68"/>
  <c r="R27" i="68" s="1"/>
  <c r="T27" i="68" s="1"/>
  <c r="P57" i="68"/>
  <c r="T57" i="68" s="1"/>
  <c r="P269" i="68"/>
  <c r="D37" i="12"/>
  <c r="D79" i="12"/>
  <c r="Z36" i="68"/>
  <c r="L321" i="68"/>
  <c r="P34" i="68"/>
  <c r="V37" i="68"/>
  <c r="P37" i="68"/>
  <c r="O73" i="46" l="1"/>
  <c r="Q73" i="46" s="1"/>
  <c r="R19" i="32"/>
  <c r="C22" i="40" s="1"/>
  <c r="D22" i="40" s="1"/>
  <c r="Q37" i="32"/>
  <c r="H11" i="9" s="1"/>
  <c r="R15" i="32"/>
  <c r="C18" i="40" s="1"/>
  <c r="D18" i="40" s="1"/>
  <c r="Q36" i="32"/>
  <c r="H10" i="9" s="1"/>
  <c r="Z115" i="68"/>
  <c r="AA115" i="68" s="1"/>
  <c r="R117" i="68"/>
  <c r="R106" i="68"/>
  <c r="T78" i="68"/>
  <c r="R187" i="68"/>
  <c r="R55" i="68"/>
  <c r="Z81" i="68"/>
  <c r="AB81" i="68" s="1"/>
  <c r="Z204" i="68"/>
  <c r="AB204" i="68" s="1"/>
  <c r="T302" i="68"/>
  <c r="T77" i="68"/>
  <c r="Z77" i="68" s="1"/>
  <c r="R89" i="68"/>
  <c r="T152" i="68"/>
  <c r="Z272" i="68"/>
  <c r="AB272" i="68" s="1"/>
  <c r="Z113" i="68"/>
  <c r="AA113" i="68" s="1"/>
  <c r="Z94" i="68"/>
  <c r="AB94" i="68" s="1"/>
  <c r="Z13" i="68"/>
  <c r="AB13" i="68" s="1"/>
  <c r="Z104" i="68"/>
  <c r="Z214" i="68"/>
  <c r="AB214" i="68" s="1"/>
  <c r="T306" i="68"/>
  <c r="H80" i="2"/>
  <c r="D11" i="71"/>
  <c r="H80" i="69"/>
  <c r="I80" i="69" s="1"/>
  <c r="C11" i="71" s="1"/>
  <c r="J80" i="2"/>
  <c r="E27" i="36"/>
  <c r="J98" i="2"/>
  <c r="H98" i="69"/>
  <c r="I98" i="69" s="1"/>
  <c r="C99" i="3" s="1"/>
  <c r="K34" i="2"/>
  <c r="F34" i="37"/>
  <c r="H34" i="37" s="1"/>
  <c r="E68" i="37"/>
  <c r="Q23" i="37"/>
  <c r="Y21" i="37"/>
  <c r="I48" i="37"/>
  <c r="H14" i="9"/>
  <c r="H65" i="2" s="1"/>
  <c r="J65" i="2" s="1"/>
  <c r="R14" i="32"/>
  <c r="Q34" i="32"/>
  <c r="Z125" i="68"/>
  <c r="AB125" i="68" s="1"/>
  <c r="V22" i="68"/>
  <c r="W22" i="68" s="1"/>
  <c r="Y22" i="68" s="1"/>
  <c r="Z22" i="68" s="1"/>
  <c r="AB22" i="68" s="1"/>
  <c r="T39" i="68"/>
  <c r="Z147" i="68"/>
  <c r="AA147" i="68" s="1"/>
  <c r="V20" i="68"/>
  <c r="W20" i="68" s="1"/>
  <c r="Y20" i="68" s="1"/>
  <c r="V30" i="68"/>
  <c r="W30" i="68" s="1"/>
  <c r="Y30" i="68" s="1"/>
  <c r="R229" i="68"/>
  <c r="V229" i="68" s="1"/>
  <c r="W229" i="68" s="1"/>
  <c r="Y229" i="68" s="1"/>
  <c r="Z229" i="68" s="1"/>
  <c r="AB229" i="68" s="1"/>
  <c r="Z151" i="68"/>
  <c r="AB151" i="68" s="1"/>
  <c r="T145" i="68"/>
  <c r="Z205" i="68"/>
  <c r="T202" i="68"/>
  <c r="Z202" i="68" s="1"/>
  <c r="AB202" i="68" s="1"/>
  <c r="Z118" i="68"/>
  <c r="AB118" i="68" s="1"/>
  <c r="R67" i="68"/>
  <c r="V26" i="68"/>
  <c r="W26" i="68" s="1"/>
  <c r="Y26" i="68" s="1"/>
  <c r="V14" i="68"/>
  <c r="W14" i="68" s="1"/>
  <c r="Y14" i="68" s="1"/>
  <c r="Z14" i="68" s="1"/>
  <c r="AB14" i="68" s="1"/>
  <c r="Z278" i="68"/>
  <c r="AB278" i="68" s="1"/>
  <c r="V28" i="68"/>
  <c r="W28" i="68" s="1"/>
  <c r="Y28" i="68" s="1"/>
  <c r="Z28" i="68" s="1"/>
  <c r="AB28" i="68" s="1"/>
  <c r="V24" i="68"/>
  <c r="W24" i="68" s="1"/>
  <c r="Y24" i="68" s="1"/>
  <c r="Z24" i="68" s="1"/>
  <c r="AB24" i="68" s="1"/>
  <c r="V16" i="68"/>
  <c r="W16" i="68" s="1"/>
  <c r="Y16" i="68" s="1"/>
  <c r="R84" i="68"/>
  <c r="T299" i="68"/>
  <c r="Z299" i="68" s="1"/>
  <c r="T279" i="68"/>
  <c r="R144" i="68"/>
  <c r="T304" i="68"/>
  <c r="R160" i="68"/>
  <c r="R125" i="68"/>
  <c r="T157" i="68"/>
  <c r="Z157" i="68" s="1"/>
  <c r="Z105" i="68"/>
  <c r="AB105" i="68" s="1"/>
  <c r="Z91" i="68"/>
  <c r="AB91" i="68" s="1"/>
  <c r="Z187" i="68"/>
  <c r="AB187" i="68" s="1"/>
  <c r="R314" i="68"/>
  <c r="T191" i="68"/>
  <c r="Z191" i="68" s="1"/>
  <c r="AA191" i="68" s="1"/>
  <c r="R69" i="68"/>
  <c r="T112" i="68"/>
  <c r="R167" i="68"/>
  <c r="Z83" i="68"/>
  <c r="AA83" i="68" s="1"/>
  <c r="Z68" i="68"/>
  <c r="AA68" i="68" s="1"/>
  <c r="Z120" i="68"/>
  <c r="AB120" i="68" s="1"/>
  <c r="R118" i="68"/>
  <c r="R220" i="68"/>
  <c r="T132" i="68"/>
  <c r="Z132" i="68" s="1"/>
  <c r="AA132" i="68" s="1"/>
  <c r="T190" i="68"/>
  <c r="Z312" i="68"/>
  <c r="AA312" i="68" s="1"/>
  <c r="R129" i="68"/>
  <c r="Z73" i="68"/>
  <c r="AB73" i="68" s="1"/>
  <c r="R147" i="68"/>
  <c r="Z226" i="68"/>
  <c r="AA226" i="68" s="1"/>
  <c r="T41" i="68"/>
  <c r="Z41" i="68" s="1"/>
  <c r="AB41" i="68" s="1"/>
  <c r="T119" i="68"/>
  <c r="R263" i="68"/>
  <c r="R105" i="68"/>
  <c r="Z309" i="68"/>
  <c r="AB309" i="68" s="1"/>
  <c r="W39" i="31"/>
  <c r="S40" i="37"/>
  <c r="V68" i="37"/>
  <c r="X68" i="37" s="1"/>
  <c r="U68" i="37"/>
  <c r="E67" i="37"/>
  <c r="F67" i="37"/>
  <c r="H67" i="37" s="1"/>
  <c r="S64" i="31"/>
  <c r="AE64" i="31" s="1"/>
  <c r="J45" i="31"/>
  <c r="AE45" i="31" s="1"/>
  <c r="J51" i="31"/>
  <c r="J46" i="31"/>
  <c r="AB32" i="31"/>
  <c r="AB64" i="31"/>
  <c r="AB51" i="31"/>
  <c r="AE51" i="31" s="1"/>
  <c r="S23" i="31"/>
  <c r="J68" i="31"/>
  <c r="W30" i="31"/>
  <c r="AB30" i="31" s="1"/>
  <c r="S31" i="37"/>
  <c r="N69" i="37"/>
  <c r="P69" i="37" s="1"/>
  <c r="M69" i="37"/>
  <c r="W61" i="31"/>
  <c r="AB61" i="31" s="1"/>
  <c r="S62" i="37"/>
  <c r="E14" i="37"/>
  <c r="F14" i="37"/>
  <c r="H14" i="37" s="1"/>
  <c r="I14" i="37" s="1"/>
  <c r="F35" i="37"/>
  <c r="H35" i="37" s="1"/>
  <c r="E35" i="37"/>
  <c r="N66" i="37"/>
  <c r="P66" i="37" s="1"/>
  <c r="M66" i="37"/>
  <c r="N12" i="37"/>
  <c r="P12" i="37" s="1"/>
  <c r="M12" i="37"/>
  <c r="U45" i="37"/>
  <c r="V45" i="37"/>
  <c r="X45" i="37" s="1"/>
  <c r="M44" i="37"/>
  <c r="N44" i="37"/>
  <c r="P44" i="37" s="1"/>
  <c r="M46" i="37"/>
  <c r="N46" i="37"/>
  <c r="P46" i="37" s="1"/>
  <c r="Q46" i="37" s="1"/>
  <c r="V51" i="37"/>
  <c r="X51" i="37" s="1"/>
  <c r="U51" i="37"/>
  <c r="S37" i="31"/>
  <c r="N25" i="31"/>
  <c r="S25" i="31" s="1"/>
  <c r="K26" i="37"/>
  <c r="W25" i="31"/>
  <c r="AB25" i="31" s="1"/>
  <c r="S26" i="37"/>
  <c r="U14" i="37"/>
  <c r="V14" i="37"/>
  <c r="X14" i="37" s="1"/>
  <c r="Y14" i="37" s="1"/>
  <c r="K93" i="37"/>
  <c r="M89" i="37"/>
  <c r="M93" i="37" s="1"/>
  <c r="V24" i="37"/>
  <c r="X24" i="37" s="1"/>
  <c r="U24" i="37"/>
  <c r="V33" i="37"/>
  <c r="X33" i="37" s="1"/>
  <c r="U33" i="37"/>
  <c r="N73" i="31"/>
  <c r="S73" i="31" s="1"/>
  <c r="E44" i="37"/>
  <c r="F44" i="37"/>
  <c r="H44" i="37" s="1"/>
  <c r="M58" i="37"/>
  <c r="N58" i="37"/>
  <c r="P58" i="37" s="1"/>
  <c r="F32" i="37"/>
  <c r="H32" i="37" s="1"/>
  <c r="E32" i="37"/>
  <c r="S59" i="31"/>
  <c r="V39" i="37"/>
  <c r="X39" i="37" s="1"/>
  <c r="U39" i="37"/>
  <c r="N13" i="37"/>
  <c r="P13" i="37" s="1"/>
  <c r="M13" i="37"/>
  <c r="U41" i="37"/>
  <c r="V41" i="37"/>
  <c r="X41" i="37" s="1"/>
  <c r="AB56" i="31"/>
  <c r="N26" i="31"/>
  <c r="K27" i="37"/>
  <c r="V69" i="37"/>
  <c r="X69" i="37" s="1"/>
  <c r="U69" i="37"/>
  <c r="N39" i="37"/>
  <c r="P39" i="37" s="1"/>
  <c r="M39" i="37"/>
  <c r="V64" i="37"/>
  <c r="X64" i="37" s="1"/>
  <c r="U64" i="37"/>
  <c r="M59" i="37"/>
  <c r="AB40" i="31"/>
  <c r="J49" i="31"/>
  <c r="AH21" i="31"/>
  <c r="S62" i="31"/>
  <c r="N27" i="31"/>
  <c r="S27" i="31" s="1"/>
  <c r="K28" i="37"/>
  <c r="I22" i="37"/>
  <c r="N45" i="37"/>
  <c r="P45" i="37" s="1"/>
  <c r="M45" i="37"/>
  <c r="Q21" i="37"/>
  <c r="F62" i="37"/>
  <c r="H62" i="37" s="1"/>
  <c r="E62" i="37"/>
  <c r="E91" i="37"/>
  <c r="E93" i="37" s="1"/>
  <c r="F91" i="37"/>
  <c r="V46" i="37"/>
  <c r="X46" i="37" s="1"/>
  <c r="U46" i="37"/>
  <c r="M47" i="37"/>
  <c r="N47" i="37"/>
  <c r="P47" i="37" s="1"/>
  <c r="Q47" i="37" s="1"/>
  <c r="V35" i="37"/>
  <c r="X35" i="37" s="1"/>
  <c r="U35" i="37"/>
  <c r="U75" i="37"/>
  <c r="V75" i="37"/>
  <c r="X75" i="37" s="1"/>
  <c r="F75" i="37"/>
  <c r="H75" i="37" s="1"/>
  <c r="E75" i="37"/>
  <c r="V47" i="37"/>
  <c r="X47" i="37" s="1"/>
  <c r="U47" i="37"/>
  <c r="V48" i="37"/>
  <c r="X48" i="37" s="1"/>
  <c r="U48" i="37"/>
  <c r="M51" i="37"/>
  <c r="N51" i="37"/>
  <c r="P51" i="37" s="1"/>
  <c r="Q51" i="37" s="1"/>
  <c r="E69" i="37"/>
  <c r="F69" i="37"/>
  <c r="H69" i="37" s="1"/>
  <c r="I69" i="37" s="1"/>
  <c r="E46" i="37"/>
  <c r="F46" i="37"/>
  <c r="H46" i="37" s="1"/>
  <c r="F50" i="37"/>
  <c r="H50" i="37" s="1"/>
  <c r="E50" i="37"/>
  <c r="E52" i="37"/>
  <c r="M63" i="37"/>
  <c r="N63" i="37"/>
  <c r="P63" i="37" s="1"/>
  <c r="Q63" i="37" s="1"/>
  <c r="N50" i="37"/>
  <c r="P50" i="37" s="1"/>
  <c r="M50" i="37"/>
  <c r="N74" i="37"/>
  <c r="P74" i="37" s="1"/>
  <c r="M74" i="37"/>
  <c r="J23" i="31"/>
  <c r="AE23" i="31" s="1"/>
  <c r="S54" i="31"/>
  <c r="S45" i="31"/>
  <c r="M35" i="37"/>
  <c r="N35" i="37"/>
  <c r="P35" i="37" s="1"/>
  <c r="M24" i="37"/>
  <c r="N24" i="37"/>
  <c r="P24" i="37" s="1"/>
  <c r="Q24" i="37" s="1"/>
  <c r="M64" i="37"/>
  <c r="N64" i="37"/>
  <c r="P64" i="37" s="1"/>
  <c r="S40" i="31"/>
  <c r="L95" i="31"/>
  <c r="I21" i="37"/>
  <c r="N62" i="37"/>
  <c r="P62" i="37" s="1"/>
  <c r="M62" i="37"/>
  <c r="M49" i="37"/>
  <c r="N49" i="37"/>
  <c r="P49" i="37" s="1"/>
  <c r="U63" i="37"/>
  <c r="V63" i="37"/>
  <c r="X63" i="37" s="1"/>
  <c r="Y25" i="37"/>
  <c r="Y70" i="37"/>
  <c r="AB46" i="31"/>
  <c r="I23" i="37"/>
  <c r="AA23" i="37" s="1"/>
  <c r="M14" i="37"/>
  <c r="N14" i="37"/>
  <c r="P14" i="37" s="1"/>
  <c r="F66" i="37"/>
  <c r="H66" i="37" s="1"/>
  <c r="E66" i="37"/>
  <c r="J62" i="31"/>
  <c r="J42" i="31"/>
  <c r="N25" i="37"/>
  <c r="P25" i="37" s="1"/>
  <c r="M25" i="37"/>
  <c r="AB54" i="31"/>
  <c r="W26" i="31"/>
  <c r="S27" i="37"/>
  <c r="W27" i="31"/>
  <c r="AB27" i="31" s="1"/>
  <c r="S28" i="37"/>
  <c r="Y22" i="37"/>
  <c r="V49" i="37"/>
  <c r="X49" i="37" s="1"/>
  <c r="U49" i="37"/>
  <c r="V55" i="37"/>
  <c r="X55" i="37" s="1"/>
  <c r="U55" i="37"/>
  <c r="V50" i="37"/>
  <c r="X50" i="37" s="1"/>
  <c r="U50" i="37"/>
  <c r="M55" i="37"/>
  <c r="N55" i="37"/>
  <c r="P55" i="37" s="1"/>
  <c r="Q55" i="37" s="1"/>
  <c r="G12" i="6"/>
  <c r="G27" i="8" s="1"/>
  <c r="X27" i="8" s="1"/>
  <c r="G18" i="45"/>
  <c r="G10" i="6"/>
  <c r="G26" i="8" s="1"/>
  <c r="X26" i="8" s="1"/>
  <c r="Q51" i="30"/>
  <c r="P53" i="30" s="1"/>
  <c r="R73" i="31"/>
  <c r="C69" i="15" s="1"/>
  <c r="F22" i="31"/>
  <c r="I22" i="31" s="1"/>
  <c r="C23" i="14" s="1"/>
  <c r="AA39" i="31"/>
  <c r="C36" i="16" s="1"/>
  <c r="J36" i="16" s="1"/>
  <c r="Z39" i="31"/>
  <c r="AB39" i="31" s="1"/>
  <c r="AH57" i="31"/>
  <c r="R188" i="47"/>
  <c r="R200" i="47"/>
  <c r="R193" i="47"/>
  <c r="J59" i="15"/>
  <c r="J61" i="15"/>
  <c r="K61" i="15" s="1"/>
  <c r="O22" i="31"/>
  <c r="Q22" i="31" s="1"/>
  <c r="S22" i="31" s="1"/>
  <c r="R189" i="47"/>
  <c r="H59" i="15"/>
  <c r="K34" i="14"/>
  <c r="K54" i="15"/>
  <c r="R206" i="47"/>
  <c r="R191" i="47"/>
  <c r="J21" i="31"/>
  <c r="J34" i="14"/>
  <c r="AH92" i="31"/>
  <c r="R195" i="47"/>
  <c r="R203" i="47"/>
  <c r="R204" i="47"/>
  <c r="R202" i="47"/>
  <c r="R192" i="47"/>
  <c r="R186" i="47"/>
  <c r="R185" i="47"/>
  <c r="R184" i="47"/>
  <c r="N43" i="37"/>
  <c r="P43" i="37" s="1"/>
  <c r="M43" i="37"/>
  <c r="F43" i="37"/>
  <c r="H43" i="37" s="1"/>
  <c r="I43" i="37" s="1"/>
  <c r="E43" i="37"/>
  <c r="J41" i="31"/>
  <c r="M41" i="37"/>
  <c r="N41" i="37"/>
  <c r="P41" i="37" s="1"/>
  <c r="Q41" i="37" s="1"/>
  <c r="F41" i="37"/>
  <c r="H41" i="37" s="1"/>
  <c r="E41" i="37"/>
  <c r="U40" i="37"/>
  <c r="V40" i="37"/>
  <c r="X40" i="37" s="1"/>
  <c r="Y40" i="37" s="1"/>
  <c r="M40" i="37"/>
  <c r="N40" i="37"/>
  <c r="P40" i="37" s="1"/>
  <c r="N38" i="37"/>
  <c r="P38" i="37" s="1"/>
  <c r="M38" i="37"/>
  <c r="F51" i="37"/>
  <c r="H51" i="37" s="1"/>
  <c r="E51" i="37"/>
  <c r="V61" i="37"/>
  <c r="X61" i="37" s="1"/>
  <c r="U61" i="37"/>
  <c r="N61" i="37"/>
  <c r="P61" i="37" s="1"/>
  <c r="M61" i="37"/>
  <c r="E61" i="37"/>
  <c r="F61" i="37"/>
  <c r="H61" i="37" s="1"/>
  <c r="I61" i="37" s="1"/>
  <c r="U57" i="37"/>
  <c r="V57" i="37"/>
  <c r="X57" i="37" s="1"/>
  <c r="Y57" i="37" s="1"/>
  <c r="M57" i="37"/>
  <c r="N57" i="37"/>
  <c r="P57" i="37" s="1"/>
  <c r="Q57" i="37" s="1"/>
  <c r="F57" i="37"/>
  <c r="H57" i="37" s="1"/>
  <c r="E57" i="37"/>
  <c r="U60" i="37"/>
  <c r="V60" i="37"/>
  <c r="X60" i="37" s="1"/>
  <c r="Y60" i="37" s="1"/>
  <c r="M60" i="37"/>
  <c r="N60" i="37"/>
  <c r="P60" i="37" s="1"/>
  <c r="Q60" i="37" s="1"/>
  <c r="AA60" i="37"/>
  <c r="V56" i="37"/>
  <c r="X56" i="37" s="1"/>
  <c r="Y56" i="37" s="1"/>
  <c r="U56" i="37"/>
  <c r="N56" i="37"/>
  <c r="P56" i="37" s="1"/>
  <c r="M56" i="37"/>
  <c r="E56" i="37"/>
  <c r="F56" i="37"/>
  <c r="H56" i="37" s="1"/>
  <c r="I56" i="37" s="1"/>
  <c r="E59" i="37"/>
  <c r="F59" i="37"/>
  <c r="H59" i="37" s="1"/>
  <c r="I59" i="37" s="1"/>
  <c r="E55" i="37"/>
  <c r="F55" i="37"/>
  <c r="H55" i="37" s="1"/>
  <c r="E70" i="37"/>
  <c r="F70" i="37"/>
  <c r="H70" i="37" s="1"/>
  <c r="R199" i="47"/>
  <c r="E42" i="37"/>
  <c r="F42" i="37"/>
  <c r="H42" i="37" s="1"/>
  <c r="I42" i="37" s="1"/>
  <c r="AA42" i="37" s="1"/>
  <c r="E40" i="37"/>
  <c r="I40" i="37" s="1"/>
  <c r="R190" i="47"/>
  <c r="R187" i="47"/>
  <c r="E39" i="37"/>
  <c r="F39" i="37"/>
  <c r="H39" i="37" s="1"/>
  <c r="F38" i="37"/>
  <c r="H38" i="37" s="1"/>
  <c r="E38" i="37"/>
  <c r="U67" i="37"/>
  <c r="V67" i="37"/>
  <c r="X67" i="37" s="1"/>
  <c r="Y67" i="37" s="1"/>
  <c r="N67" i="37"/>
  <c r="P67" i="37" s="1"/>
  <c r="Q67" i="37" s="1"/>
  <c r="M67" i="37"/>
  <c r="V34" i="37"/>
  <c r="X34" i="37" s="1"/>
  <c r="U34" i="37"/>
  <c r="N34" i="37"/>
  <c r="P34" i="37" s="1"/>
  <c r="M34" i="37"/>
  <c r="Q34" i="37" s="1"/>
  <c r="V52" i="37"/>
  <c r="X52" i="37" s="1"/>
  <c r="U52" i="37"/>
  <c r="E73" i="31"/>
  <c r="J73" i="31" s="1"/>
  <c r="C74" i="37"/>
  <c r="N33" i="37"/>
  <c r="P33" i="37" s="1"/>
  <c r="M33" i="37"/>
  <c r="F33" i="37"/>
  <c r="H33" i="37" s="1"/>
  <c r="E33" i="37"/>
  <c r="V65" i="37"/>
  <c r="X65" i="37" s="1"/>
  <c r="U65" i="37"/>
  <c r="M65" i="37"/>
  <c r="N65" i="37"/>
  <c r="P65" i="37" s="1"/>
  <c r="F65" i="37"/>
  <c r="H65" i="37" s="1"/>
  <c r="E65" i="37"/>
  <c r="E63" i="37"/>
  <c r="F63" i="37"/>
  <c r="H63" i="37" s="1"/>
  <c r="I63" i="37" s="1"/>
  <c r="F49" i="37"/>
  <c r="H49" i="37" s="1"/>
  <c r="E49" i="37"/>
  <c r="F47" i="37"/>
  <c r="H47" i="37" s="1"/>
  <c r="E47" i="37"/>
  <c r="F45" i="37"/>
  <c r="H45" i="37" s="1"/>
  <c r="E45" i="37"/>
  <c r="N30" i="31"/>
  <c r="K31" i="37"/>
  <c r="U30" i="37"/>
  <c r="V30" i="37"/>
  <c r="X30" i="37" s="1"/>
  <c r="Y30" i="37" s="1"/>
  <c r="N30" i="37"/>
  <c r="P30" i="37" s="1"/>
  <c r="Q30" i="37" s="1"/>
  <c r="AA30" i="37" s="1"/>
  <c r="M30" i="37"/>
  <c r="W18" i="31"/>
  <c r="S19" i="37"/>
  <c r="E13" i="37"/>
  <c r="F13" i="37"/>
  <c r="H13" i="37" s="1"/>
  <c r="I13" i="37" s="1"/>
  <c r="U12" i="37"/>
  <c r="V12" i="37"/>
  <c r="X12" i="37" s="1"/>
  <c r="Y12" i="37" s="1"/>
  <c r="F12" i="37"/>
  <c r="H12" i="37" s="1"/>
  <c r="E12" i="37"/>
  <c r="F11" i="37"/>
  <c r="H11" i="37" s="1"/>
  <c r="E11" i="37"/>
  <c r="E27" i="31"/>
  <c r="C28" i="37"/>
  <c r="I27" i="31"/>
  <c r="C28" i="14" s="1"/>
  <c r="P28" i="14" s="1"/>
  <c r="J27" i="31"/>
  <c r="AE27" i="31" s="1"/>
  <c r="E26" i="31"/>
  <c r="C27" i="37"/>
  <c r="E25" i="31"/>
  <c r="C26" i="37"/>
  <c r="E24" i="31"/>
  <c r="J24" i="31" s="1"/>
  <c r="C25" i="37"/>
  <c r="E24" i="37"/>
  <c r="F24" i="37"/>
  <c r="H24" i="37" s="1"/>
  <c r="I24" i="37" s="1"/>
  <c r="W19" i="31"/>
  <c r="AB19" i="31" s="1"/>
  <c r="S20" i="37"/>
  <c r="AA19" i="31"/>
  <c r="C20" i="16" s="1"/>
  <c r="E20" i="16" s="1"/>
  <c r="M20" i="37"/>
  <c r="N20" i="37"/>
  <c r="P20" i="37" s="1"/>
  <c r="Q20" i="37" s="1"/>
  <c r="N18" i="31"/>
  <c r="S18" i="31" s="1"/>
  <c r="K19" i="37"/>
  <c r="W17" i="31"/>
  <c r="S18" i="37"/>
  <c r="R17" i="31"/>
  <c r="C18" i="15" s="1"/>
  <c r="J18" i="15" s="1"/>
  <c r="K18" i="37"/>
  <c r="E18" i="37"/>
  <c r="F18" i="37"/>
  <c r="H18" i="37" s="1"/>
  <c r="I18" i="37" s="1"/>
  <c r="V17" i="37"/>
  <c r="X17" i="37" s="1"/>
  <c r="U17" i="37"/>
  <c r="N17" i="37"/>
  <c r="P17" i="37" s="1"/>
  <c r="M17" i="37"/>
  <c r="E16" i="31"/>
  <c r="C17" i="37"/>
  <c r="U16" i="37"/>
  <c r="V16" i="37"/>
  <c r="X16" i="37" s="1"/>
  <c r="E15" i="31"/>
  <c r="C16" i="37"/>
  <c r="W14" i="31"/>
  <c r="AB14" i="31" s="1"/>
  <c r="S15" i="37"/>
  <c r="M15" i="37"/>
  <c r="N15" i="37"/>
  <c r="F15" i="37"/>
  <c r="H15" i="37" s="1"/>
  <c r="E15" i="37"/>
  <c r="C23" i="27"/>
  <c r="F25" i="27" s="1"/>
  <c r="C44" i="27"/>
  <c r="D46" i="27" s="1"/>
  <c r="P52" i="44"/>
  <c r="G58" i="12"/>
  <c r="D58" i="13" s="1"/>
  <c r="N80" i="3"/>
  <c r="K57" i="2"/>
  <c r="R148" i="68"/>
  <c r="R90" i="68"/>
  <c r="R127" i="68"/>
  <c r="R49" i="68"/>
  <c r="T213" i="68"/>
  <c r="Z213" i="68" s="1"/>
  <c r="AB213" i="68" s="1"/>
  <c r="R278" i="68"/>
  <c r="Z79" i="68"/>
  <c r="AB79" i="68" s="1"/>
  <c r="Y294" i="68"/>
  <c r="Z233" i="68"/>
  <c r="AB233" i="68" s="1"/>
  <c r="Z23" i="68"/>
  <c r="AA23" i="68" s="1"/>
  <c r="T141" i="68"/>
  <c r="Z141" i="68" s="1"/>
  <c r="T156" i="68"/>
  <c r="Z156" i="68" s="1"/>
  <c r="AA156" i="68" s="1"/>
  <c r="Z219" i="68"/>
  <c r="AB219" i="68" s="1"/>
  <c r="Z90" i="68"/>
  <c r="AA90" i="68" s="1"/>
  <c r="Z155" i="68"/>
  <c r="AA155" i="68" s="1"/>
  <c r="R155" i="68"/>
  <c r="R91" i="68"/>
  <c r="Z201" i="68"/>
  <c r="AB201" i="68" s="1"/>
  <c r="R82" i="68"/>
  <c r="Z301" i="68"/>
  <c r="AA301" i="68" s="1"/>
  <c r="Z220" i="68"/>
  <c r="AB220" i="68" s="1"/>
  <c r="R73" i="68"/>
  <c r="Z30" i="68"/>
  <c r="AA30" i="68" s="1"/>
  <c r="Z21" i="68"/>
  <c r="AA21" i="68" s="1"/>
  <c r="Z150" i="68"/>
  <c r="AB150" i="68" s="1"/>
  <c r="T128" i="68"/>
  <c r="Z128" i="68" s="1"/>
  <c r="AB128" i="68" s="1"/>
  <c r="Z18" i="68"/>
  <c r="AA18" i="68" s="1"/>
  <c r="Z203" i="68"/>
  <c r="AB203" i="68" s="1"/>
  <c r="Z130" i="68"/>
  <c r="AB130" i="68" s="1"/>
  <c r="T166" i="68"/>
  <c r="Z166" i="68" s="1"/>
  <c r="AB166" i="68" s="1"/>
  <c r="Z263" i="68"/>
  <c r="AB263" i="68" s="1"/>
  <c r="R303" i="68"/>
  <c r="Z82" i="68"/>
  <c r="AB82" i="68" s="1"/>
  <c r="Z267" i="68"/>
  <c r="AA267" i="68" s="1"/>
  <c r="AA33" i="68"/>
  <c r="T158" i="68"/>
  <c r="Z158" i="68" s="1"/>
  <c r="AB158" i="68" s="1"/>
  <c r="T223" i="68"/>
  <c r="Z223" i="68" s="1"/>
  <c r="AA223" i="68" s="1"/>
  <c r="R65" i="68"/>
  <c r="Z16" i="68"/>
  <c r="AB16" i="68" s="1"/>
  <c r="T171" i="68"/>
  <c r="Z171" i="68" s="1"/>
  <c r="AB171" i="68" s="1"/>
  <c r="Z20" i="68"/>
  <c r="AB20" i="68" s="1"/>
  <c r="Z26" i="68"/>
  <c r="AB26" i="68" s="1"/>
  <c r="Z216" i="68"/>
  <c r="AB216" i="68" s="1"/>
  <c r="T228" i="68"/>
  <c r="Z228" i="68" s="1"/>
  <c r="AB228" i="68" s="1"/>
  <c r="T161" i="68"/>
  <c r="Z161" i="68" s="1"/>
  <c r="AB161" i="68" s="1"/>
  <c r="Z98" i="68"/>
  <c r="AB98" i="68" s="1"/>
  <c r="Z164" i="68"/>
  <c r="AB164" i="68" s="1"/>
  <c r="Z142" i="68"/>
  <c r="AB142" i="68" s="1"/>
  <c r="R81" i="68"/>
  <c r="Z67" i="68"/>
  <c r="AA67" i="68" s="1"/>
  <c r="R151" i="68"/>
  <c r="R266" i="68"/>
  <c r="Z246" i="68"/>
  <c r="AA246" i="68" s="1"/>
  <c r="Z190" i="68"/>
  <c r="AB190" i="68" s="1"/>
  <c r="R198" i="68"/>
  <c r="N321" i="68"/>
  <c r="Z29" i="68"/>
  <c r="AA29" i="68" s="1"/>
  <c r="Z27" i="68"/>
  <c r="AA27" i="68" s="1"/>
  <c r="Z139" i="68"/>
  <c r="AB139" i="68" s="1"/>
  <c r="AA277" i="68"/>
  <c r="Z274" i="68"/>
  <c r="AB274" i="68" s="1"/>
  <c r="R107" i="68"/>
  <c r="Z107" i="68"/>
  <c r="AB107" i="68" s="1"/>
  <c r="AA204" i="68"/>
  <c r="R181" i="68"/>
  <c r="T181" i="68"/>
  <c r="Z181" i="68" s="1"/>
  <c r="AA181" i="68" s="1"/>
  <c r="T109" i="68"/>
  <c r="Z109" i="68" s="1"/>
  <c r="AA109" i="68" s="1"/>
  <c r="T87" i="68"/>
  <c r="Z87" i="68" s="1"/>
  <c r="AA87" i="68" s="1"/>
  <c r="Z119" i="68"/>
  <c r="AB119" i="68" s="1"/>
  <c r="T143" i="68"/>
  <c r="Z143" i="68" s="1"/>
  <c r="AB143" i="68" s="1"/>
  <c r="T290" i="68"/>
  <c r="Z290" i="68" s="1"/>
  <c r="AA290" i="68" s="1"/>
  <c r="Z110" i="68"/>
  <c r="AB110" i="68" s="1"/>
  <c r="Z172" i="68"/>
  <c r="AB172" i="68" s="1"/>
  <c r="W294" i="68"/>
  <c r="R98" i="68"/>
  <c r="T289" i="68"/>
  <c r="Z84" i="68"/>
  <c r="AB84" i="68" s="1"/>
  <c r="Z152" i="68"/>
  <c r="AB152" i="68" s="1"/>
  <c r="T121" i="68"/>
  <c r="Z121" i="68" s="1"/>
  <c r="AB121" i="68" s="1"/>
  <c r="R233" i="68"/>
  <c r="Z65" i="68"/>
  <c r="AB65" i="68" s="1"/>
  <c r="T313" i="68"/>
  <c r="Z313" i="68" s="1"/>
  <c r="AB313" i="68" s="1"/>
  <c r="R272" i="68"/>
  <c r="R235" i="68"/>
  <c r="Z167" i="68"/>
  <c r="AB167" i="68" s="1"/>
  <c r="Z15" i="68"/>
  <c r="AA15" i="68" s="1"/>
  <c r="Z17" i="68"/>
  <c r="AA17" i="68" s="1"/>
  <c r="R218" i="68"/>
  <c r="Z69" i="68"/>
  <c r="AB69" i="68" s="1"/>
  <c r="R79" i="68"/>
  <c r="R204" i="68"/>
  <c r="T92" i="68"/>
  <c r="Z92" i="68" s="1"/>
  <c r="AB92" i="68" s="1"/>
  <c r="Z112" i="68"/>
  <c r="AB112" i="68" s="1"/>
  <c r="Z39" i="68"/>
  <c r="AB39" i="68" s="1"/>
  <c r="R95" i="68"/>
  <c r="Z40" i="68"/>
  <c r="AB40" i="68" s="1"/>
  <c r="R172" i="68"/>
  <c r="AB226" i="68"/>
  <c r="R301" i="68"/>
  <c r="W252" i="68"/>
  <c r="W255" i="68" s="1"/>
  <c r="R131" i="68"/>
  <c r="R115" i="68"/>
  <c r="R245" i="68"/>
  <c r="Z95" i="68"/>
  <c r="AB95" i="68" s="1"/>
  <c r="R298" i="68"/>
  <c r="Z131" i="68"/>
  <c r="AB131" i="68" s="1"/>
  <c r="R219" i="68"/>
  <c r="V294" i="68"/>
  <c r="Z145" i="68"/>
  <c r="AB145" i="68" s="1"/>
  <c r="Z266" i="68"/>
  <c r="AB266" i="68" s="1"/>
  <c r="Z306" i="68"/>
  <c r="AB306" i="68" s="1"/>
  <c r="R225" i="68"/>
  <c r="T146" i="68"/>
  <c r="Z146" i="68" s="1"/>
  <c r="AB146" i="68" s="1"/>
  <c r="R193" i="68"/>
  <c r="T162" i="68"/>
  <c r="Z162" i="68" s="1"/>
  <c r="AA162" i="68" s="1"/>
  <c r="Z78" i="68"/>
  <c r="AB78" i="68" s="1"/>
  <c r="Z80" i="68"/>
  <c r="AA80" i="68" s="1"/>
  <c r="Z215" i="68"/>
  <c r="AB215" i="68" s="1"/>
  <c r="R168" i="68"/>
  <c r="Z62" i="68"/>
  <c r="AB62" i="68" s="1"/>
  <c r="T114" i="68"/>
  <c r="Z114" i="68" s="1"/>
  <c r="AB114" i="68" s="1"/>
  <c r="R40" i="68"/>
  <c r="Z49" i="68"/>
  <c r="AB49" i="68" s="1"/>
  <c r="R312" i="68"/>
  <c r="AB115" i="68"/>
  <c r="R110" i="68"/>
  <c r="Z153" i="68"/>
  <c r="AB153" i="68" s="1"/>
  <c r="R310" i="68"/>
  <c r="R311" i="68"/>
  <c r="R130" i="68"/>
  <c r="Z189" i="68"/>
  <c r="AB189" i="68" s="1"/>
  <c r="Z55" i="68"/>
  <c r="AA55" i="68" s="1"/>
  <c r="R140" i="68"/>
  <c r="T206" i="68"/>
  <c r="Z206" i="68" s="1"/>
  <c r="R206" i="68"/>
  <c r="R214" i="68"/>
  <c r="R94" i="68"/>
  <c r="R309" i="68"/>
  <c r="R215" i="68"/>
  <c r="Z222" i="68"/>
  <c r="AB222" i="68" s="1"/>
  <c r="T283" i="68"/>
  <c r="Z283" i="68" s="1"/>
  <c r="AB283" i="68" s="1"/>
  <c r="Z19" i="68"/>
  <c r="AA19" i="68" s="1"/>
  <c r="Z297" i="68"/>
  <c r="AA297" i="68" s="1"/>
  <c r="T248" i="68"/>
  <c r="J23" i="43" s="1"/>
  <c r="K18" i="8" s="1"/>
  <c r="K14" i="8" s="1"/>
  <c r="R246" i="68"/>
  <c r="R62" i="68"/>
  <c r="T63" i="68"/>
  <c r="Z63" i="68" s="1"/>
  <c r="T66" i="68"/>
  <c r="Z66" i="68" s="1"/>
  <c r="AB66" i="68" s="1"/>
  <c r="Z193" i="68"/>
  <c r="AB193" i="68" s="1"/>
  <c r="T268" i="68"/>
  <c r="Z268" i="68" s="1"/>
  <c r="AB268" i="68" s="1"/>
  <c r="R205" i="68"/>
  <c r="R93" i="68"/>
  <c r="Z314" i="68"/>
  <c r="AB314" i="68" s="1"/>
  <c r="R68" i="68"/>
  <c r="Z225" i="68"/>
  <c r="AB225" i="68" s="1"/>
  <c r="R199" i="68"/>
  <c r="T149" i="68"/>
  <c r="Z149" i="68" s="1"/>
  <c r="AB149" i="68" s="1"/>
  <c r="Z235" i="68"/>
  <c r="AA235" i="68" s="1"/>
  <c r="R120" i="68"/>
  <c r="R108" i="68"/>
  <c r="R222" i="68"/>
  <c r="T316" i="68"/>
  <c r="Z316" i="68" s="1"/>
  <c r="AB316" i="68" s="1"/>
  <c r="T126" i="68"/>
  <c r="Z126" i="68" s="1"/>
  <c r="AB126" i="68" s="1"/>
  <c r="T271" i="68"/>
  <c r="Z271" i="68" s="1"/>
  <c r="Z298" i="68"/>
  <c r="AA298" i="68" s="1"/>
  <c r="T165" i="68"/>
  <c r="Z165" i="68" s="1"/>
  <c r="AB165" i="68" s="1"/>
  <c r="T192" i="68"/>
  <c r="Z192" i="68" s="1"/>
  <c r="AB192" i="68" s="1"/>
  <c r="Z199" i="68"/>
  <c r="AB199" i="68" s="1"/>
  <c r="R297" i="68"/>
  <c r="T99" i="68"/>
  <c r="Z99" i="68" s="1"/>
  <c r="AB99" i="68" s="1"/>
  <c r="AA118" i="68"/>
  <c r="R104" i="68"/>
  <c r="R80" i="68"/>
  <c r="Z218" i="68"/>
  <c r="AA218" i="68" s="1"/>
  <c r="Z148" i="68"/>
  <c r="AA148" i="68" s="1"/>
  <c r="Z168" i="68"/>
  <c r="AB168" i="68" s="1"/>
  <c r="Z279" i="68"/>
  <c r="AB279" i="68" s="1"/>
  <c r="Z311" i="68"/>
  <c r="AA311" i="68" s="1"/>
  <c r="T300" i="68"/>
  <c r="Z300" i="68" s="1"/>
  <c r="AB300" i="68" s="1"/>
  <c r="T292" i="68"/>
  <c r="Z292" i="68" s="1"/>
  <c r="AA292" i="68" s="1"/>
  <c r="R216" i="68"/>
  <c r="Z302" i="68"/>
  <c r="AA302" i="68" s="1"/>
  <c r="Z303" i="68"/>
  <c r="AB303" i="68" s="1"/>
  <c r="Z70" i="68"/>
  <c r="AB70" i="68" s="1"/>
  <c r="Z127" i="68"/>
  <c r="AB127" i="68" s="1"/>
  <c r="Z93" i="68"/>
  <c r="AB93" i="68" s="1"/>
  <c r="K95" i="69"/>
  <c r="M58" i="12"/>
  <c r="M57" i="2" s="1"/>
  <c r="L57" i="2"/>
  <c r="N58" i="3"/>
  <c r="N35" i="3"/>
  <c r="F16" i="2"/>
  <c r="J16" i="2" s="1"/>
  <c r="AF102" i="31"/>
  <c r="H99" i="69"/>
  <c r="I99" i="69" s="1"/>
  <c r="C100" i="3" s="1"/>
  <c r="H99" i="2"/>
  <c r="J99" i="2" s="1"/>
  <c r="K36" i="69"/>
  <c r="I18" i="10"/>
  <c r="I20" i="10" s="1"/>
  <c r="D85" i="69" s="1"/>
  <c r="E85" i="69" s="1"/>
  <c r="N93" i="37"/>
  <c r="P89" i="37"/>
  <c r="Y11" i="37"/>
  <c r="I68" i="37"/>
  <c r="I34" i="37"/>
  <c r="H13" i="2"/>
  <c r="J13" i="2" s="1"/>
  <c r="I12" i="69"/>
  <c r="U10" i="25" s="1"/>
  <c r="H12" i="2"/>
  <c r="J12" i="2" s="1"/>
  <c r="Q38" i="32"/>
  <c r="H12" i="9" s="1"/>
  <c r="R30" i="32"/>
  <c r="C33" i="40" s="1"/>
  <c r="D33" i="40" s="1"/>
  <c r="J66" i="2"/>
  <c r="H64" i="2"/>
  <c r="J64" i="2" s="1"/>
  <c r="H64" i="69"/>
  <c r="I64" i="69" s="1"/>
  <c r="C65" i="3" s="1"/>
  <c r="P73" i="44"/>
  <c r="K23" i="6"/>
  <c r="F26" i="8" s="1"/>
  <c r="W26" i="8" s="1"/>
  <c r="K25" i="6"/>
  <c r="K91" i="3" s="1"/>
  <c r="L91" i="3" s="1"/>
  <c r="K27" i="6"/>
  <c r="W20" i="45"/>
  <c r="X16" i="45" s="1"/>
  <c r="AH65" i="31"/>
  <c r="C62" i="15"/>
  <c r="K62" i="15" s="1"/>
  <c r="AA30" i="31"/>
  <c r="C27" i="16" s="1"/>
  <c r="E27" i="16" s="1"/>
  <c r="H62" i="16"/>
  <c r="J62" i="16"/>
  <c r="H54" i="15"/>
  <c r="AC68" i="31"/>
  <c r="E62" i="16"/>
  <c r="P34" i="14"/>
  <c r="N17" i="31"/>
  <c r="S17" i="31" s="1"/>
  <c r="E35" i="16"/>
  <c r="AA16" i="31"/>
  <c r="C17" i="16" s="1"/>
  <c r="J17" i="16" s="1"/>
  <c r="E54" i="16"/>
  <c r="X26" i="31"/>
  <c r="Z26" i="31" s="1"/>
  <c r="Z100" i="31"/>
  <c r="W28" i="31"/>
  <c r="AB28" i="31" s="1"/>
  <c r="AA28" i="31"/>
  <c r="AH43" i="31"/>
  <c r="S26" i="31"/>
  <c r="R25" i="31"/>
  <c r="C23" i="15" s="1"/>
  <c r="H23" i="15" s="1"/>
  <c r="J40" i="16"/>
  <c r="H47" i="15"/>
  <c r="R28" i="31"/>
  <c r="N28" i="31"/>
  <c r="S28" i="31" s="1"/>
  <c r="AA27" i="31"/>
  <c r="C25" i="16" s="1"/>
  <c r="K25" i="16" s="1"/>
  <c r="H40" i="16"/>
  <c r="E47" i="15"/>
  <c r="J43" i="15"/>
  <c r="K43" i="15" s="1"/>
  <c r="E55" i="15"/>
  <c r="E70" i="16"/>
  <c r="AA20" i="31"/>
  <c r="AC20" i="31" s="1"/>
  <c r="AC43" i="31"/>
  <c r="AC67" i="31"/>
  <c r="K40" i="16"/>
  <c r="K47" i="15"/>
  <c r="Y90" i="37"/>
  <c r="AA90" i="37" s="1"/>
  <c r="R27" i="31"/>
  <c r="H64" i="15"/>
  <c r="C22" i="29"/>
  <c r="C37" i="29" s="1"/>
  <c r="U93" i="37"/>
  <c r="E59" i="15"/>
  <c r="H51" i="16"/>
  <c r="AC54" i="31"/>
  <c r="W100" i="31"/>
  <c r="AA100" i="31"/>
  <c r="R100" i="31"/>
  <c r="N100" i="31"/>
  <c r="S100" i="31" s="1"/>
  <c r="H28" i="31"/>
  <c r="J28" i="31" s="1"/>
  <c r="I28" i="31"/>
  <c r="J54" i="15"/>
  <c r="E51" i="16"/>
  <c r="J58" i="14"/>
  <c r="K58" i="14" s="1"/>
  <c r="AC57" i="31"/>
  <c r="K64" i="16"/>
  <c r="I25" i="31"/>
  <c r="C26" i="14" s="1"/>
  <c r="P26" i="14" s="1"/>
  <c r="P58" i="14"/>
  <c r="H22" i="31"/>
  <c r="J22" i="31" s="1"/>
  <c r="J29" i="16"/>
  <c r="AC32" i="31"/>
  <c r="AD43" i="31"/>
  <c r="K64" i="15"/>
  <c r="H34" i="14"/>
  <c r="AE65" i="31"/>
  <c r="J25" i="31"/>
  <c r="AE25" i="31" s="1"/>
  <c r="K35" i="16"/>
  <c r="J64" i="16"/>
  <c r="J35" i="16"/>
  <c r="E64" i="16"/>
  <c r="I19" i="31"/>
  <c r="C20" i="14" s="1"/>
  <c r="J56" i="16"/>
  <c r="K56" i="16" s="1"/>
  <c r="H29" i="16"/>
  <c r="J64" i="15"/>
  <c r="R23" i="31"/>
  <c r="C21" i="15" s="1"/>
  <c r="J21" i="15" s="1"/>
  <c r="J54" i="16"/>
  <c r="AE57" i="31"/>
  <c r="AE61" i="31"/>
  <c r="AC42" i="31"/>
  <c r="H55" i="15"/>
  <c r="U31" i="31"/>
  <c r="X31" i="31"/>
  <c r="Z31" i="31" s="1"/>
  <c r="AD57" i="31"/>
  <c r="E40" i="15"/>
  <c r="AA14" i="31"/>
  <c r="C15" i="16" s="1"/>
  <c r="J15" i="16" s="1"/>
  <c r="J31" i="16"/>
  <c r="H24" i="15"/>
  <c r="H42" i="15"/>
  <c r="AE48" i="31"/>
  <c r="J55" i="15"/>
  <c r="E24" i="15"/>
  <c r="H54" i="16"/>
  <c r="J41" i="15"/>
  <c r="K41" i="15" s="1"/>
  <c r="H65" i="16"/>
  <c r="R37" i="31"/>
  <c r="C34" i="15" s="1"/>
  <c r="AA25" i="31"/>
  <c r="C23" i="16" s="1"/>
  <c r="AC21" i="31"/>
  <c r="Y95" i="47"/>
  <c r="L31" i="31" s="1"/>
  <c r="J65" i="16"/>
  <c r="S94" i="47"/>
  <c r="E65" i="16"/>
  <c r="K40" i="15"/>
  <c r="I15" i="31"/>
  <c r="C16" i="14" s="1"/>
  <c r="P16" i="14" s="1"/>
  <c r="E33" i="14"/>
  <c r="Z95" i="31"/>
  <c r="AE50" i="31"/>
  <c r="AH62" i="31"/>
  <c r="J19" i="15"/>
  <c r="K19" i="15" s="1"/>
  <c r="AE33" i="31"/>
  <c r="K42" i="15"/>
  <c r="P46" i="14"/>
  <c r="J55" i="16"/>
  <c r="J15" i="31"/>
  <c r="C29" i="15"/>
  <c r="E29" i="15" s="1"/>
  <c r="J33" i="14"/>
  <c r="AE38" i="31"/>
  <c r="AE92" i="31"/>
  <c r="S91" i="31"/>
  <c r="S95" i="31" s="1"/>
  <c r="Q95" i="31"/>
  <c r="AH91" i="31"/>
  <c r="K47" i="16"/>
  <c r="E47" i="16"/>
  <c r="J47" i="16"/>
  <c r="H47" i="16"/>
  <c r="AH32" i="31"/>
  <c r="AD58" i="31"/>
  <c r="K29" i="16"/>
  <c r="AD54" i="31"/>
  <c r="J24" i="15"/>
  <c r="AE58" i="31"/>
  <c r="H31" i="16"/>
  <c r="AH67" i="31"/>
  <c r="J51" i="16"/>
  <c r="AC50" i="31"/>
  <c r="AA95" i="31"/>
  <c r="AC13" i="31"/>
  <c r="AH54" i="31"/>
  <c r="E63" i="15"/>
  <c r="K63" i="15" s="1"/>
  <c r="K70" i="16"/>
  <c r="AE69" i="31"/>
  <c r="AD68" i="31"/>
  <c r="J42" i="15"/>
  <c r="AD66" i="31"/>
  <c r="AE34" i="31"/>
  <c r="AA23" i="31"/>
  <c r="C21" i="16" s="1"/>
  <c r="AH11" i="31"/>
  <c r="AD50" i="31"/>
  <c r="J12" i="16"/>
  <c r="K12" i="16" s="1"/>
  <c r="Z21" i="31"/>
  <c r="AB21" i="31" s="1"/>
  <c r="AE47" i="31"/>
  <c r="AE68" i="31"/>
  <c r="AH50" i="31"/>
  <c r="P64" i="14"/>
  <c r="P42" i="14"/>
  <c r="J12" i="14"/>
  <c r="J42" i="14"/>
  <c r="K42" i="14" s="1"/>
  <c r="AD65" i="31"/>
  <c r="AH56" i="31"/>
  <c r="K31" i="16"/>
  <c r="U51" i="69"/>
  <c r="S51" i="30"/>
  <c r="M55" i="30"/>
  <c r="L55" i="30"/>
  <c r="O50" i="46"/>
  <c r="K52" i="3" s="1"/>
  <c r="P50" i="46"/>
  <c r="H52" i="3" s="1"/>
  <c r="M50" i="46"/>
  <c r="L50" i="46"/>
  <c r="S28" i="30"/>
  <c r="H51" i="30"/>
  <c r="D53" i="30" s="1"/>
  <c r="E34" i="36"/>
  <c r="H47" i="9" s="1"/>
  <c r="H51" i="69" s="1"/>
  <c r="I51" i="69" s="1"/>
  <c r="C52" i="3" s="1"/>
  <c r="C50" i="46"/>
  <c r="G50" i="46"/>
  <c r="F50" i="46"/>
  <c r="E50" i="46"/>
  <c r="G27" i="46"/>
  <c r="C27" i="46"/>
  <c r="E27" i="46"/>
  <c r="F27" i="46"/>
  <c r="P68" i="14"/>
  <c r="E68" i="14"/>
  <c r="P56" i="14"/>
  <c r="R74" i="31"/>
  <c r="AH74" i="31" s="1"/>
  <c r="C53" i="16"/>
  <c r="E53" i="16" s="1"/>
  <c r="AH13" i="31"/>
  <c r="S74" i="31"/>
  <c r="E12" i="14"/>
  <c r="AE12" i="31"/>
  <c r="J20" i="16"/>
  <c r="K20" i="16" s="1"/>
  <c r="C14" i="16"/>
  <c r="H14" i="16" s="1"/>
  <c r="AD55" i="31"/>
  <c r="H14" i="31"/>
  <c r="J14" i="31" s="1"/>
  <c r="AE66" i="31"/>
  <c r="AD12" i="31"/>
  <c r="E56" i="14"/>
  <c r="K56" i="14" s="1"/>
  <c r="AE43" i="31"/>
  <c r="P13" i="14"/>
  <c r="P48" i="14"/>
  <c r="E48" i="14"/>
  <c r="K48" i="14" s="1"/>
  <c r="K55" i="16"/>
  <c r="J45" i="16"/>
  <c r="K45" i="16" s="1"/>
  <c r="AH68" i="31"/>
  <c r="AH45" i="31"/>
  <c r="H70" i="16"/>
  <c r="AC58" i="31"/>
  <c r="AC29" i="31"/>
  <c r="AE32" i="31"/>
  <c r="AE67" i="31"/>
  <c r="AE13" i="31"/>
  <c r="AD56" i="31"/>
  <c r="AC45" i="31"/>
  <c r="E55" i="16"/>
  <c r="AH58" i="31"/>
  <c r="AH29" i="31"/>
  <c r="AH60" i="31"/>
  <c r="AC65" i="31"/>
  <c r="AD67" i="31"/>
  <c r="E15" i="14"/>
  <c r="K15" i="14" s="1"/>
  <c r="AD13" i="31"/>
  <c r="K47" i="14"/>
  <c r="H22" i="16"/>
  <c r="E22" i="16"/>
  <c r="E11" i="16"/>
  <c r="H11" i="16"/>
  <c r="J11" i="16"/>
  <c r="K11" i="16"/>
  <c r="K22" i="16"/>
  <c r="P14" i="14"/>
  <c r="J69" i="14"/>
  <c r="K69" i="14" s="1"/>
  <c r="AC12" i="31"/>
  <c r="J47" i="14"/>
  <c r="AE56" i="31"/>
  <c r="H44" i="16"/>
  <c r="E44" i="16"/>
  <c r="J44" i="16"/>
  <c r="K44" i="16"/>
  <c r="R24" i="31"/>
  <c r="N24" i="31"/>
  <c r="S24" i="31" s="1"/>
  <c r="AH47" i="31"/>
  <c r="AC47" i="31"/>
  <c r="C44" i="15"/>
  <c r="P47" i="14"/>
  <c r="J14" i="14"/>
  <c r="K14" i="14" s="1"/>
  <c r="E64" i="14"/>
  <c r="K64" i="14" s="1"/>
  <c r="AC61" i="31"/>
  <c r="C13" i="16"/>
  <c r="H13" i="16" s="1"/>
  <c r="AB95" i="31"/>
  <c r="P15" i="14"/>
  <c r="R95" i="31"/>
  <c r="AE11" i="31"/>
  <c r="AH38" i="31"/>
  <c r="AC38" i="31"/>
  <c r="C35" i="15"/>
  <c r="I21" i="31"/>
  <c r="AD47" i="31"/>
  <c r="AE54" i="31"/>
  <c r="Y91" i="37"/>
  <c r="J14" i="15"/>
  <c r="K14" i="15"/>
  <c r="H14" i="15"/>
  <c r="J57" i="16"/>
  <c r="K57" i="16" s="1"/>
  <c r="AD61" i="31"/>
  <c r="C61" i="14"/>
  <c r="AE44" i="31"/>
  <c r="AH12" i="31"/>
  <c r="E52" i="15"/>
  <c r="K52" i="15" s="1"/>
  <c r="AA37" i="31"/>
  <c r="C34" i="16" s="1"/>
  <c r="J34" i="16" s="1"/>
  <c r="AD40" i="31"/>
  <c r="C58" i="16"/>
  <c r="H58" i="16" s="1"/>
  <c r="H40" i="15"/>
  <c r="N95" i="31"/>
  <c r="N14" i="31"/>
  <c r="S14" i="31" s="1"/>
  <c r="R14" i="31"/>
  <c r="AH90" i="31"/>
  <c r="H68" i="14"/>
  <c r="J68" i="14"/>
  <c r="K68" i="14"/>
  <c r="AC11" i="31"/>
  <c r="AC34" i="31"/>
  <c r="C31" i="15"/>
  <c r="AH34" i="31"/>
  <c r="AD34" i="31"/>
  <c r="K59" i="16"/>
  <c r="E59" i="16"/>
  <c r="J59" i="16"/>
  <c r="C11" i="15"/>
  <c r="AH10" i="31"/>
  <c r="AC10" i="31"/>
  <c r="P69" i="14"/>
  <c r="E14" i="15"/>
  <c r="AC62" i="31"/>
  <c r="AD11" i="31"/>
  <c r="AB37" i="31"/>
  <c r="AD64" i="31"/>
  <c r="J22" i="16"/>
  <c r="AE63" i="31"/>
  <c r="E17" i="31"/>
  <c r="J17" i="31" s="1"/>
  <c r="I17" i="31"/>
  <c r="C18" i="14" s="1"/>
  <c r="I24" i="31"/>
  <c r="AE42" i="31"/>
  <c r="AD42" i="31"/>
  <c r="E37" i="15"/>
  <c r="J37" i="15"/>
  <c r="I95" i="31"/>
  <c r="AH93" i="31"/>
  <c r="J90" i="31"/>
  <c r="J95" i="31" s="1"/>
  <c r="AE60" i="31"/>
  <c r="C57" i="15"/>
  <c r="J57" i="15" s="1"/>
  <c r="AD60" i="31"/>
  <c r="AC60" i="31"/>
  <c r="AE59" i="31"/>
  <c r="AH55" i="31"/>
  <c r="AC55" i="31"/>
  <c r="C54" i="14"/>
  <c r="P54" i="14" s="1"/>
  <c r="AC66" i="31"/>
  <c r="AH66" i="31"/>
  <c r="E48" i="16"/>
  <c r="K48" i="16" s="1"/>
  <c r="AH64" i="31"/>
  <c r="E60" i="16"/>
  <c r="J60" i="16"/>
  <c r="AE46" i="31"/>
  <c r="J46" i="14"/>
  <c r="E46" i="14"/>
  <c r="AE29" i="31"/>
  <c r="AA18" i="31"/>
  <c r="AD18" i="31" s="1"/>
  <c r="Z18" i="31"/>
  <c r="AB18" i="31" s="1"/>
  <c r="J13" i="14"/>
  <c r="E13" i="14"/>
  <c r="AD10" i="31"/>
  <c r="C11" i="14"/>
  <c r="H20" i="31"/>
  <c r="J20" i="31" s="1"/>
  <c r="AE20" i="31" s="1"/>
  <c r="I20" i="31"/>
  <c r="C21" i="14" s="1"/>
  <c r="AA15" i="31"/>
  <c r="C16" i="16" s="1"/>
  <c r="E16" i="16" s="1"/>
  <c r="Z15" i="31"/>
  <c r="AB15" i="31" s="1"/>
  <c r="AD38" i="31"/>
  <c r="C38" i="14"/>
  <c r="I37" i="31"/>
  <c r="C37" i="14" s="1"/>
  <c r="P37" i="14" s="1"/>
  <c r="H37" i="31"/>
  <c r="J37" i="31" s="1"/>
  <c r="J60" i="14"/>
  <c r="E60" i="14"/>
  <c r="AC56" i="31"/>
  <c r="C53" i="15"/>
  <c r="C56" i="15"/>
  <c r="AH59" i="31"/>
  <c r="AC59" i="31"/>
  <c r="C12" i="29"/>
  <c r="AE55" i="31"/>
  <c r="J52" i="16"/>
  <c r="E52" i="16"/>
  <c r="E67" i="14"/>
  <c r="J67" i="14"/>
  <c r="E30" i="15"/>
  <c r="J30" i="15"/>
  <c r="J51" i="14"/>
  <c r="E51" i="14"/>
  <c r="I73" i="31"/>
  <c r="C73" i="14" s="1"/>
  <c r="P73" i="14" s="1"/>
  <c r="H74" i="31"/>
  <c r="J74" i="31" s="1"/>
  <c r="I74" i="31"/>
  <c r="C74" i="14" s="1"/>
  <c r="AD32" i="31"/>
  <c r="P32" i="14"/>
  <c r="J32" i="14"/>
  <c r="E32" i="14"/>
  <c r="J61" i="16"/>
  <c r="E61" i="16"/>
  <c r="AC64" i="31"/>
  <c r="C60" i="15"/>
  <c r="AC63" i="31"/>
  <c r="AH63" i="31"/>
  <c r="AD62" i="31"/>
  <c r="C62" i="14"/>
  <c r="J44" i="14"/>
  <c r="E44" i="14"/>
  <c r="C45" i="14"/>
  <c r="AD45" i="31"/>
  <c r="E26" i="15"/>
  <c r="J26" i="15"/>
  <c r="Q19" i="31"/>
  <c r="S19" i="31" s="1"/>
  <c r="R19" i="31"/>
  <c r="Z17" i="31"/>
  <c r="AB17" i="31" s="1"/>
  <c r="AA17" i="31"/>
  <c r="I16" i="31"/>
  <c r="C17" i="14" s="1"/>
  <c r="H16" i="31"/>
  <c r="J16" i="31" s="1"/>
  <c r="P70" i="44"/>
  <c r="P55" i="44"/>
  <c r="P61" i="44"/>
  <c r="P64" i="44"/>
  <c r="F25" i="5"/>
  <c r="K26" i="3" s="1"/>
  <c r="P62" i="44"/>
  <c r="P65" i="44"/>
  <c r="C66" i="27"/>
  <c r="D68" i="27" s="1"/>
  <c r="Q37" i="69" s="1"/>
  <c r="P36" i="44"/>
  <c r="P29" i="44"/>
  <c r="P28" i="44"/>
  <c r="P26" i="44"/>
  <c r="P12" i="44"/>
  <c r="P11" i="44"/>
  <c r="F71" i="5"/>
  <c r="K36" i="3" s="1"/>
  <c r="L36" i="3" s="1"/>
  <c r="P27" i="44"/>
  <c r="P38" i="44"/>
  <c r="P10" i="44"/>
  <c r="F47" i="5"/>
  <c r="Q15" i="25" s="1"/>
  <c r="P60" i="39"/>
  <c r="Q64" i="39" s="1"/>
  <c r="P61" i="39"/>
  <c r="J24" i="39"/>
  <c r="P47" i="12"/>
  <c r="Q47" i="12" s="1"/>
  <c r="C39" i="3"/>
  <c r="K57" i="69"/>
  <c r="N37" i="3"/>
  <c r="K28" i="2"/>
  <c r="P19" i="2"/>
  <c r="O56" i="12"/>
  <c r="K28" i="69"/>
  <c r="K79" i="69"/>
  <c r="K52" i="69"/>
  <c r="N27" i="3"/>
  <c r="F47" i="2"/>
  <c r="J47" i="2" s="1"/>
  <c r="L95" i="69"/>
  <c r="L95" i="2"/>
  <c r="M95" i="12"/>
  <c r="N96" i="3"/>
  <c r="N53" i="3"/>
  <c r="K79" i="2"/>
  <c r="G95" i="12"/>
  <c r="D95" i="13" s="1"/>
  <c r="J95" i="13" s="1"/>
  <c r="M27" i="12"/>
  <c r="M26" i="2" s="1"/>
  <c r="N79" i="3"/>
  <c r="F52" i="2"/>
  <c r="J52" i="2" s="1"/>
  <c r="K78" i="2"/>
  <c r="K36" i="2"/>
  <c r="D35" i="12"/>
  <c r="J35" i="12" s="1"/>
  <c r="J27" i="12"/>
  <c r="L26" i="2" s="1"/>
  <c r="K26" i="69"/>
  <c r="K26" i="2"/>
  <c r="AE84" i="31"/>
  <c r="AF85" i="31" s="1"/>
  <c r="F75" i="2"/>
  <c r="K55" i="69"/>
  <c r="K55" i="2"/>
  <c r="G53" i="12"/>
  <c r="J53" i="12"/>
  <c r="M53" i="12"/>
  <c r="L55" i="69"/>
  <c r="L55" i="2"/>
  <c r="N56" i="3"/>
  <c r="O102" i="4"/>
  <c r="O115" i="4" s="1"/>
  <c r="O117" i="4" s="1"/>
  <c r="C81" i="3"/>
  <c r="AB154" i="68"/>
  <c r="AA154" i="68"/>
  <c r="AB162" i="68"/>
  <c r="R139" i="68"/>
  <c r="Z198" i="68"/>
  <c r="AB198" i="68" s="1"/>
  <c r="R71" i="68"/>
  <c r="T71" i="68"/>
  <c r="Z71" i="68" s="1"/>
  <c r="T234" i="68"/>
  <c r="Z234" i="68" s="1"/>
  <c r="AB234" i="68" s="1"/>
  <c r="R86" i="68"/>
  <c r="T86" i="68"/>
  <c r="Z86" i="68" s="1"/>
  <c r="AB86" i="68" s="1"/>
  <c r="T224" i="68"/>
  <c r="Z224" i="68" s="1"/>
  <c r="AA224" i="68" s="1"/>
  <c r="Z25" i="68"/>
  <c r="AA25" i="68" s="1"/>
  <c r="R83" i="68"/>
  <c r="R195" i="68"/>
  <c r="T195" i="68"/>
  <c r="Z195" i="68" s="1"/>
  <c r="R76" i="68"/>
  <c r="T76" i="68"/>
  <c r="Z76" i="68" s="1"/>
  <c r="T74" i="68"/>
  <c r="Z74" i="68" s="1"/>
  <c r="R74" i="68"/>
  <c r="T88" i="68"/>
  <c r="Z88" i="68" s="1"/>
  <c r="AB88" i="68" s="1"/>
  <c r="R88" i="68"/>
  <c r="R101" i="68"/>
  <c r="T101" i="68"/>
  <c r="Z101" i="68" s="1"/>
  <c r="AB101" i="68" s="1"/>
  <c r="R226" i="68"/>
  <c r="R200" i="68"/>
  <c r="T200" i="68"/>
  <c r="Z200" i="68" s="1"/>
  <c r="AB200" i="68" s="1"/>
  <c r="R232" i="68"/>
  <c r="T232" i="68"/>
  <c r="Z232" i="68" s="1"/>
  <c r="Z129" i="68"/>
  <c r="AB129" i="68" s="1"/>
  <c r="R307" i="68"/>
  <c r="T307" i="68"/>
  <c r="Z307" i="68" s="1"/>
  <c r="R252" i="68"/>
  <c r="T252" i="68"/>
  <c r="T231" i="68"/>
  <c r="Z231" i="68" s="1"/>
  <c r="R231" i="68"/>
  <c r="T227" i="68"/>
  <c r="Z227" i="68" s="1"/>
  <c r="R227" i="68"/>
  <c r="R259" i="68"/>
  <c r="T259" i="68"/>
  <c r="Z259" i="68" s="1"/>
  <c r="AA259" i="68" s="1"/>
  <c r="R163" i="68"/>
  <c r="T163" i="68"/>
  <c r="Z163" i="68" s="1"/>
  <c r="T230" i="68"/>
  <c r="Z230" i="68" s="1"/>
  <c r="R230" i="68"/>
  <c r="R57" i="68"/>
  <c r="V57" i="68" s="1"/>
  <c r="W57" i="68" s="1"/>
  <c r="Y57" i="68" s="1"/>
  <c r="Z57" i="68" s="1"/>
  <c r="AA57" i="68" s="1"/>
  <c r="R221" i="68"/>
  <c r="T221" i="68"/>
  <c r="Z221" i="68" s="1"/>
  <c r="AB221" i="68" s="1"/>
  <c r="R35" i="68"/>
  <c r="T35" i="68"/>
  <c r="Z35" i="68" s="1"/>
  <c r="R305" i="68"/>
  <c r="T305" i="68"/>
  <c r="Z305" i="68" s="1"/>
  <c r="R102" i="68"/>
  <c r="T102" i="68"/>
  <c r="Z102" i="68" s="1"/>
  <c r="AB102" i="68" s="1"/>
  <c r="AA31" i="68"/>
  <c r="T236" i="68"/>
  <c r="Z236" i="68" s="1"/>
  <c r="AB236" i="68" s="1"/>
  <c r="R236" i="68"/>
  <c r="T264" i="68"/>
  <c r="Z264" i="68" s="1"/>
  <c r="R264" i="68"/>
  <c r="T85" i="68"/>
  <c r="Z85" i="68" s="1"/>
  <c r="R85" i="68"/>
  <c r="T97" i="68"/>
  <c r="Z97" i="68" s="1"/>
  <c r="R97" i="68"/>
  <c r="T270" i="68"/>
  <c r="Z270" i="68" s="1"/>
  <c r="R270" i="68"/>
  <c r="T265" i="68"/>
  <c r="Z265" i="68" s="1"/>
  <c r="R265" i="68"/>
  <c r="AB205" i="68"/>
  <c r="AA205" i="68"/>
  <c r="T134" i="68"/>
  <c r="Z134" i="68" s="1"/>
  <c r="R134" i="68"/>
  <c r="R276" i="68"/>
  <c r="V276" i="68" s="1"/>
  <c r="W276" i="68" s="1"/>
  <c r="Y276" i="68" s="1"/>
  <c r="T276" i="68"/>
  <c r="R288" i="68"/>
  <c r="T288" i="68"/>
  <c r="Z288" i="68" s="1"/>
  <c r="AA288" i="68" s="1"/>
  <c r="T212" i="68"/>
  <c r="Z212" i="68" s="1"/>
  <c r="R212" i="68"/>
  <c r="T135" i="68"/>
  <c r="Z135" i="68" s="1"/>
  <c r="R135" i="68"/>
  <c r="T170" i="68"/>
  <c r="Z170" i="68" s="1"/>
  <c r="R170" i="68"/>
  <c r="T124" i="68"/>
  <c r="Z124" i="68" s="1"/>
  <c r="R124" i="68"/>
  <c r="R75" i="68"/>
  <c r="T75" i="68"/>
  <c r="Z75" i="68" s="1"/>
  <c r="R56" i="68"/>
  <c r="V56" i="68" s="1"/>
  <c r="W56" i="68" s="1"/>
  <c r="Y56" i="68" s="1"/>
  <c r="Z56" i="68" s="1"/>
  <c r="AB56" i="68" s="1"/>
  <c r="AB160" i="68"/>
  <c r="AA160" i="68"/>
  <c r="R136" i="68"/>
  <c r="T136" i="68"/>
  <c r="Z136" i="68" s="1"/>
  <c r="T197" i="68"/>
  <c r="Z197" i="68" s="1"/>
  <c r="AB197" i="68" s="1"/>
  <c r="R197" i="68"/>
  <c r="R123" i="68"/>
  <c r="T123" i="68"/>
  <c r="Z123" i="68" s="1"/>
  <c r="T100" i="68"/>
  <c r="Z100" i="68" s="1"/>
  <c r="R100" i="68"/>
  <c r="T169" i="68"/>
  <c r="Z169" i="68" s="1"/>
  <c r="AB169" i="68" s="1"/>
  <c r="R38" i="68"/>
  <c r="T38" i="68"/>
  <c r="Z38" i="68" s="1"/>
  <c r="AB90" i="68"/>
  <c r="T211" i="68"/>
  <c r="Z211" i="68" s="1"/>
  <c r="R211" i="68"/>
  <c r="T116" i="68"/>
  <c r="Z116" i="68" s="1"/>
  <c r="R116" i="68"/>
  <c r="R308" i="68"/>
  <c r="T308" i="68"/>
  <c r="Z308" i="68" s="1"/>
  <c r="AB308" i="68" s="1"/>
  <c r="AA314" i="68"/>
  <c r="AA187" i="68"/>
  <c r="T261" i="68"/>
  <c r="Z261" i="68" s="1"/>
  <c r="AB261" i="68" s="1"/>
  <c r="R261" i="68"/>
  <c r="T59" i="68"/>
  <c r="D23" i="43" s="1"/>
  <c r="E18" i="8" s="1"/>
  <c r="Z289" i="68"/>
  <c r="AB144" i="68"/>
  <c r="AA144" i="68"/>
  <c r="AA94" i="68"/>
  <c r="R262" i="68"/>
  <c r="T262" i="68"/>
  <c r="Z262" i="68" s="1"/>
  <c r="R217" i="68"/>
  <c r="T217" i="68"/>
  <c r="Z217" i="68" s="1"/>
  <c r="T260" i="68"/>
  <c r="Z260" i="68" s="1"/>
  <c r="R260" i="68"/>
  <c r="T122" i="68"/>
  <c r="Z122" i="68" s="1"/>
  <c r="R122" i="68"/>
  <c r="R70" i="68"/>
  <c r="T103" i="68"/>
  <c r="Z103" i="68" s="1"/>
  <c r="AB103" i="68" s="1"/>
  <c r="AA188" i="68"/>
  <c r="T72" i="68"/>
  <c r="Z72" i="68" s="1"/>
  <c r="R72" i="68"/>
  <c r="T196" i="68"/>
  <c r="Z196" i="68" s="1"/>
  <c r="AB196" i="68" s="1"/>
  <c r="R196" i="68"/>
  <c r="T239" i="68"/>
  <c r="Z239" i="68" s="1"/>
  <c r="R239" i="68"/>
  <c r="T96" i="68"/>
  <c r="Z96" i="68" s="1"/>
  <c r="R96" i="68"/>
  <c r="R133" i="68"/>
  <c r="T133" i="68"/>
  <c r="Z133" i="68" s="1"/>
  <c r="AB133" i="68" s="1"/>
  <c r="R137" i="68"/>
  <c r="T137" i="68"/>
  <c r="Z137" i="68" s="1"/>
  <c r="E31" i="31"/>
  <c r="T64" i="68"/>
  <c r="R64" i="68"/>
  <c r="Z111" i="68"/>
  <c r="AB111" i="68" s="1"/>
  <c r="W245" i="68"/>
  <c r="V248" i="68"/>
  <c r="AC46" i="47"/>
  <c r="AD46" i="47" s="1"/>
  <c r="AE94" i="47"/>
  <c r="F31" i="31" s="1"/>
  <c r="H31" i="31" s="1"/>
  <c r="N16" i="31"/>
  <c r="S16" i="31" s="1"/>
  <c r="R16" i="31"/>
  <c r="P74" i="39"/>
  <c r="Q78" i="39" s="1"/>
  <c r="E77" i="39"/>
  <c r="P75" i="39" s="1"/>
  <c r="U53" i="69"/>
  <c r="K53" i="24"/>
  <c r="AE40" i="31"/>
  <c r="O74" i="39"/>
  <c r="F77" i="39"/>
  <c r="Q39" i="39"/>
  <c r="Q47" i="39" s="1"/>
  <c r="Q51" i="39" s="1"/>
  <c r="G62" i="39"/>
  <c r="C77" i="39"/>
  <c r="D77" i="39" s="1"/>
  <c r="D62" i="39"/>
  <c r="K43" i="14"/>
  <c r="J43" i="14"/>
  <c r="H43" i="14"/>
  <c r="E43" i="14"/>
  <c r="V18" i="69"/>
  <c r="T18" i="69"/>
  <c r="R18" i="69"/>
  <c r="P19" i="14"/>
  <c r="J19" i="14"/>
  <c r="E19" i="14"/>
  <c r="K19" i="14" s="1"/>
  <c r="L18" i="3"/>
  <c r="I18" i="3"/>
  <c r="F18" i="3"/>
  <c r="C45" i="15"/>
  <c r="AD48" i="31"/>
  <c r="AC48" i="31"/>
  <c r="AH48" i="31"/>
  <c r="D29" i="12"/>
  <c r="N29" i="3"/>
  <c r="K65" i="14"/>
  <c r="E65" i="14"/>
  <c r="J65" i="14"/>
  <c r="H65" i="14"/>
  <c r="I17" i="3"/>
  <c r="F17" i="3"/>
  <c r="L17" i="3"/>
  <c r="AD59" i="31"/>
  <c r="C59" i="14"/>
  <c r="M32" i="30"/>
  <c r="H32" i="5"/>
  <c r="D45" i="5"/>
  <c r="D47" i="5" s="1"/>
  <c r="AB104" i="68"/>
  <c r="AA104" i="68"/>
  <c r="Y241" i="68"/>
  <c r="H56" i="5"/>
  <c r="D69" i="5"/>
  <c r="D71" i="5" s="1"/>
  <c r="H10" i="5"/>
  <c r="D23" i="5"/>
  <c r="D25" i="5" s="1"/>
  <c r="R275" i="68"/>
  <c r="V275" i="68" s="1"/>
  <c r="W275" i="68" s="1"/>
  <c r="Y275" i="68" s="1"/>
  <c r="T275" i="68"/>
  <c r="Z275" i="68" s="1"/>
  <c r="W64" i="68"/>
  <c r="V183" i="68"/>
  <c r="R138" i="68"/>
  <c r="T138" i="68"/>
  <c r="Z138" i="68" s="1"/>
  <c r="Y304" i="68"/>
  <c r="W318" i="68"/>
  <c r="J64" i="46"/>
  <c r="A88" i="46"/>
  <c r="J88" i="46" s="1"/>
  <c r="J59" i="46"/>
  <c r="A83" i="46"/>
  <c r="J83" i="46" s="1"/>
  <c r="P19" i="44"/>
  <c r="P21" i="44"/>
  <c r="J58" i="46"/>
  <c r="A82" i="46"/>
  <c r="J82" i="46" s="1"/>
  <c r="E63" i="16"/>
  <c r="J63" i="16"/>
  <c r="L19" i="3"/>
  <c r="F19" i="3"/>
  <c r="I19" i="3"/>
  <c r="C24" i="14"/>
  <c r="V19" i="69"/>
  <c r="T19" i="69"/>
  <c r="R19" i="69"/>
  <c r="M53" i="30"/>
  <c r="Q53" i="38"/>
  <c r="Q55" i="38" s="1"/>
  <c r="I32" i="10"/>
  <c r="I36" i="10" s="1"/>
  <c r="AF97" i="31"/>
  <c r="P53" i="38"/>
  <c r="P55" i="38" s="1"/>
  <c r="E46" i="16"/>
  <c r="J46" i="16"/>
  <c r="K46" i="16" s="1"/>
  <c r="E26" i="16"/>
  <c r="J26" i="16"/>
  <c r="AD49" i="31"/>
  <c r="C49" i="14"/>
  <c r="Q28" i="30"/>
  <c r="O30" i="30" s="1"/>
  <c r="AA130" i="68"/>
  <c r="T269" i="68"/>
  <c r="R269" i="68"/>
  <c r="V269" i="68" s="1"/>
  <c r="W269" i="68" s="1"/>
  <c r="Y269" i="68" s="1"/>
  <c r="R32" i="68"/>
  <c r="V32" i="68" s="1"/>
  <c r="W32" i="68" s="1"/>
  <c r="Y32" i="68" s="1"/>
  <c r="T32" i="68"/>
  <c r="Z32" i="68" s="1"/>
  <c r="Z310" i="68"/>
  <c r="AB310" i="68" s="1"/>
  <c r="Z140" i="68"/>
  <c r="AB140" i="68" s="1"/>
  <c r="W194" i="68"/>
  <c r="V208" i="68"/>
  <c r="R48" i="47"/>
  <c r="S96" i="47"/>
  <c r="L27" i="46"/>
  <c r="O27" i="46"/>
  <c r="K54" i="3" s="1"/>
  <c r="P27" i="46"/>
  <c r="H54" i="3" s="1"/>
  <c r="Q39" i="31"/>
  <c r="S39" i="31" s="1"/>
  <c r="R39" i="31"/>
  <c r="D97" i="46"/>
  <c r="P18" i="44"/>
  <c r="Q30" i="31"/>
  <c r="S30" i="31" s="1"/>
  <c r="R30" i="31"/>
  <c r="P44" i="44"/>
  <c r="P43" i="44"/>
  <c r="P47" i="44"/>
  <c r="P46" i="44"/>
  <c r="I52" i="37"/>
  <c r="M27" i="46"/>
  <c r="D30" i="39"/>
  <c r="E37" i="33"/>
  <c r="G37" i="33" s="1"/>
  <c r="H19" i="9" s="1"/>
  <c r="C48" i="15"/>
  <c r="AH51" i="31"/>
  <c r="AD51" i="31"/>
  <c r="AC51" i="31"/>
  <c r="AH49" i="31"/>
  <c r="C46" i="15"/>
  <c r="AC49" i="31"/>
  <c r="P9" i="44"/>
  <c r="AE10" i="31"/>
  <c r="E39" i="15"/>
  <c r="J39" i="15"/>
  <c r="C48" i="3"/>
  <c r="Q59" i="37"/>
  <c r="J19" i="31"/>
  <c r="I20" i="3"/>
  <c r="F20" i="3"/>
  <c r="L20" i="3"/>
  <c r="L32" i="30"/>
  <c r="N32" i="30" s="1"/>
  <c r="E50" i="14"/>
  <c r="J50" i="14"/>
  <c r="C27" i="29"/>
  <c r="AE93" i="31"/>
  <c r="D69" i="25"/>
  <c r="D121" i="7"/>
  <c r="C37" i="16"/>
  <c r="AH40" i="31"/>
  <c r="AC40" i="31"/>
  <c r="G63" i="36"/>
  <c r="H48" i="9" s="1"/>
  <c r="AH69" i="31"/>
  <c r="C65" i="15"/>
  <c r="AC69" i="31"/>
  <c r="AD69" i="31"/>
  <c r="Y89" i="37"/>
  <c r="X93" i="37"/>
  <c r="F78" i="3"/>
  <c r="I78" i="3"/>
  <c r="L78" i="3"/>
  <c r="D42" i="40"/>
  <c r="F93" i="2"/>
  <c r="AE41" i="31"/>
  <c r="J69" i="46"/>
  <c r="A93" i="46"/>
  <c r="J93" i="46" s="1"/>
  <c r="C29" i="14"/>
  <c r="AD29" i="31"/>
  <c r="AE49" i="31"/>
  <c r="AB147" i="68"/>
  <c r="AA106" i="68"/>
  <c r="K45" i="3"/>
  <c r="O43" i="3"/>
  <c r="P43" i="3" s="1"/>
  <c r="AA117" i="68"/>
  <c r="E47" i="5"/>
  <c r="P15" i="25" s="1"/>
  <c r="AA77" i="68"/>
  <c r="AB77" i="68"/>
  <c r="AA214" i="68"/>
  <c r="H75" i="69"/>
  <c r="I75" i="69" s="1"/>
  <c r="C76" i="3" s="1"/>
  <c r="H75" i="2"/>
  <c r="K12" i="15"/>
  <c r="H12" i="15"/>
  <c r="E12" i="15"/>
  <c r="J12" i="15"/>
  <c r="H42" i="16"/>
  <c r="K42" i="16"/>
  <c r="J42" i="16"/>
  <c r="E42" i="16"/>
  <c r="J41" i="14"/>
  <c r="E41" i="14"/>
  <c r="L32" i="3"/>
  <c r="I32" i="3"/>
  <c r="F32" i="3"/>
  <c r="E11" i="69"/>
  <c r="C21" i="69"/>
  <c r="I88" i="3"/>
  <c r="L88" i="3"/>
  <c r="F88" i="3"/>
  <c r="J61" i="46"/>
  <c r="A85" i="46"/>
  <c r="J85" i="46" s="1"/>
  <c r="U15" i="45"/>
  <c r="U18" i="45"/>
  <c r="U17" i="45"/>
  <c r="U16" i="45"/>
  <c r="E25" i="69"/>
  <c r="I25" i="69" s="1"/>
  <c r="C26" i="3" s="1"/>
  <c r="C101" i="69"/>
  <c r="F97" i="46"/>
  <c r="E97" i="46"/>
  <c r="F19" i="24"/>
  <c r="L19" i="24"/>
  <c r="I19" i="24"/>
  <c r="C18" i="21"/>
  <c r="P18" i="2"/>
  <c r="T194" i="68"/>
  <c r="R194" i="68"/>
  <c r="T186" i="68"/>
  <c r="R186" i="68"/>
  <c r="R96" i="47"/>
  <c r="E39" i="31"/>
  <c r="J39" i="31" s="1"/>
  <c r="I39" i="31"/>
  <c r="AE95" i="47"/>
  <c r="O31" i="31" s="1"/>
  <c r="Q31" i="31" s="1"/>
  <c r="J67" i="46"/>
  <c r="A91" i="46"/>
  <c r="J91" i="46" s="1"/>
  <c r="J66" i="46"/>
  <c r="A90" i="46"/>
  <c r="J90" i="46" s="1"/>
  <c r="E13" i="25"/>
  <c r="E59" i="25"/>
  <c r="C41" i="16"/>
  <c r="AD44" i="31"/>
  <c r="AC44" i="31"/>
  <c r="AH44" i="31"/>
  <c r="H58" i="69"/>
  <c r="I58" i="69" s="1"/>
  <c r="C59" i="3" s="1"/>
  <c r="H58" i="2"/>
  <c r="J58" i="2" s="1"/>
  <c r="E40" i="14"/>
  <c r="J40" i="14"/>
  <c r="J38" i="16"/>
  <c r="E38" i="16"/>
  <c r="G97" i="46"/>
  <c r="L50" i="3"/>
  <c r="F50" i="3"/>
  <c r="I50" i="3"/>
  <c r="X25" i="8"/>
  <c r="X29" i="8" s="1"/>
  <c r="G29" i="8"/>
  <c r="AH41" i="31"/>
  <c r="C38" i="15"/>
  <c r="AC41" i="31"/>
  <c r="D85" i="25"/>
  <c r="E71" i="5"/>
  <c r="L34" i="3"/>
  <c r="F34" i="3"/>
  <c r="D34" i="12" s="1"/>
  <c r="I34" i="3"/>
  <c r="I11" i="10"/>
  <c r="E184" i="7"/>
  <c r="R273" i="68"/>
  <c r="V273" i="68" s="1"/>
  <c r="W273" i="68" s="1"/>
  <c r="Y273" i="68" s="1"/>
  <c r="T273" i="68"/>
  <c r="Z108" i="68"/>
  <c r="AB108" i="68" s="1"/>
  <c r="R159" i="68"/>
  <c r="T159" i="68"/>
  <c r="Z159" i="68" s="1"/>
  <c r="R44" i="47"/>
  <c r="S95" i="47"/>
  <c r="X94" i="47"/>
  <c r="C30" i="31" s="1"/>
  <c r="C31" i="37" s="1"/>
  <c r="Z89" i="68"/>
  <c r="AB89" i="68" s="1"/>
  <c r="Q51" i="69"/>
  <c r="E51" i="24"/>
  <c r="N52" i="46"/>
  <c r="O15" i="31"/>
  <c r="J60" i="46"/>
  <c r="A84" i="46"/>
  <c r="J84" i="46" s="1"/>
  <c r="J68" i="46"/>
  <c r="A92" i="46"/>
  <c r="J92" i="46" s="1"/>
  <c r="I20" i="45"/>
  <c r="O24" i="39"/>
  <c r="N30" i="39"/>
  <c r="O30" i="39" s="1"/>
  <c r="J63" i="46"/>
  <c r="A87" i="46"/>
  <c r="J87" i="46" s="1"/>
  <c r="D73" i="46"/>
  <c r="G73" i="46"/>
  <c r="F73" i="46"/>
  <c r="C73" i="46"/>
  <c r="Q53" i="69"/>
  <c r="E53" i="24"/>
  <c r="N29" i="46"/>
  <c r="J62" i="46"/>
  <c r="A86" i="46"/>
  <c r="J86" i="46" s="1"/>
  <c r="G17" i="45"/>
  <c r="G16" i="45"/>
  <c r="G15" i="45"/>
  <c r="D24" i="39"/>
  <c r="O60" i="39"/>
  <c r="P39" i="39"/>
  <c r="P47" i="39" s="1"/>
  <c r="P51" i="39" s="1"/>
  <c r="P43" i="14"/>
  <c r="C30" i="16"/>
  <c r="AH33" i="31"/>
  <c r="AD33" i="31"/>
  <c r="AC33" i="31"/>
  <c r="E95" i="31"/>
  <c r="H13" i="15"/>
  <c r="E13" i="15"/>
  <c r="J13" i="15"/>
  <c r="K13" i="15"/>
  <c r="E73" i="46"/>
  <c r="K51" i="15"/>
  <c r="E51" i="15"/>
  <c r="J51" i="15"/>
  <c r="H51" i="15"/>
  <c r="E57" i="14"/>
  <c r="J57" i="14"/>
  <c r="H57" i="14"/>
  <c r="K57" i="14"/>
  <c r="C14" i="3"/>
  <c r="V10" i="25"/>
  <c r="V11" i="25"/>
  <c r="AD41" i="31"/>
  <c r="G16" i="28"/>
  <c r="G25" i="26"/>
  <c r="G29" i="26" s="1"/>
  <c r="C21" i="2"/>
  <c r="C101" i="2"/>
  <c r="F25" i="2"/>
  <c r="J25" i="2" s="1"/>
  <c r="M55" i="69"/>
  <c r="M55" i="2"/>
  <c r="J65" i="46"/>
  <c r="A89" i="46"/>
  <c r="J89" i="46" s="1"/>
  <c r="C69" i="16"/>
  <c r="AC73" i="31"/>
  <c r="L55" i="3"/>
  <c r="I55" i="3"/>
  <c r="F55" i="3"/>
  <c r="D45" i="12"/>
  <c r="V318" i="68"/>
  <c r="C39" i="16"/>
  <c r="AH42" i="31"/>
  <c r="N27" i="46"/>
  <c r="U14" i="45"/>
  <c r="AD63" i="31"/>
  <c r="C63" i="14"/>
  <c r="H28" i="30"/>
  <c r="C30" i="30" s="1"/>
  <c r="E55" i="14"/>
  <c r="J55" i="14"/>
  <c r="E66" i="14"/>
  <c r="J66" i="14"/>
  <c r="C30" i="3"/>
  <c r="R39" i="39"/>
  <c r="R47" i="39" s="1"/>
  <c r="R51" i="39" s="1"/>
  <c r="I77" i="39"/>
  <c r="J77" i="39" s="1"/>
  <c r="J62" i="39"/>
  <c r="AH46" i="31"/>
  <c r="C43" i="16"/>
  <c r="AD46" i="31"/>
  <c r="AC46" i="31"/>
  <c r="D76" i="25"/>
  <c r="G16" i="6"/>
  <c r="AA201" i="68"/>
  <c r="W241" i="68"/>
  <c r="AB80" i="68"/>
  <c r="I79" i="5"/>
  <c r="E25" i="5"/>
  <c r="AA125" i="68"/>
  <c r="J56" i="13"/>
  <c r="G56" i="13"/>
  <c r="G27" i="13"/>
  <c r="J27" i="13"/>
  <c r="G37" i="12"/>
  <c r="M37" i="12"/>
  <c r="J37" i="12"/>
  <c r="R34" i="68"/>
  <c r="V34" i="68" s="1"/>
  <c r="W34" i="68" s="1"/>
  <c r="Y34" i="68" s="1"/>
  <c r="T34" i="68"/>
  <c r="W37" i="68"/>
  <c r="T37" i="68"/>
  <c r="P51" i="68"/>
  <c r="R37" i="68"/>
  <c r="H65" i="69" l="1"/>
  <c r="I65" i="69" s="1"/>
  <c r="C66" i="3" s="1"/>
  <c r="L66" i="3" s="1"/>
  <c r="H42" i="69"/>
  <c r="I42" i="69" s="1"/>
  <c r="C43" i="3" s="1"/>
  <c r="H42" i="2"/>
  <c r="J42" i="2" s="1"/>
  <c r="AB299" i="68"/>
  <c r="AA299" i="68"/>
  <c r="AA20" i="68"/>
  <c r="AA121" i="68"/>
  <c r="AA81" i="68"/>
  <c r="AA150" i="68"/>
  <c r="AA219" i="68"/>
  <c r="AB113" i="68"/>
  <c r="AA13" i="68"/>
  <c r="AA91" i="68"/>
  <c r="AA39" i="68"/>
  <c r="AB235" i="68"/>
  <c r="AA272" i="68"/>
  <c r="O53" i="30"/>
  <c r="L53" i="30"/>
  <c r="N53" i="30"/>
  <c r="Y64" i="37"/>
  <c r="I32" i="37"/>
  <c r="I35" i="37"/>
  <c r="Y41" i="37"/>
  <c r="K40" i="14"/>
  <c r="Y34" i="37"/>
  <c r="AA34" i="37" s="1"/>
  <c r="Q56" i="37"/>
  <c r="Q40" i="37"/>
  <c r="AA40" i="37" s="1"/>
  <c r="Q64" i="37"/>
  <c r="AA64" i="37" s="1"/>
  <c r="I67" i="37"/>
  <c r="AA67" i="37" s="1"/>
  <c r="Y55" i="37"/>
  <c r="Q14" i="37"/>
  <c r="AA14" i="37" s="1"/>
  <c r="Q49" i="37"/>
  <c r="I44" i="37"/>
  <c r="Y51" i="37"/>
  <c r="Q43" i="32"/>
  <c r="V241" i="68"/>
  <c r="AB297" i="68"/>
  <c r="AA233" i="68"/>
  <c r="AB109" i="68"/>
  <c r="AA151" i="68"/>
  <c r="Z34" i="68"/>
  <c r="AB34" i="68" s="1"/>
  <c r="Z273" i="68"/>
  <c r="AA273" i="68" s="1"/>
  <c r="AA261" i="68"/>
  <c r="W59" i="68"/>
  <c r="AA309" i="68"/>
  <c r="AA164" i="68"/>
  <c r="AA24" i="68"/>
  <c r="AA274" i="68"/>
  <c r="AA107" i="68"/>
  <c r="AB191" i="68"/>
  <c r="AB246" i="68"/>
  <c r="V51" i="68"/>
  <c r="Z269" i="68"/>
  <c r="AB269" i="68" s="1"/>
  <c r="AB223" i="68"/>
  <c r="AA40" i="68"/>
  <c r="AA278" i="68"/>
  <c r="AA279" i="68"/>
  <c r="AA14" i="68"/>
  <c r="AA167" i="68"/>
  <c r="AB157" i="68"/>
  <c r="AA157" i="68"/>
  <c r="AA112" i="68"/>
  <c r="AA158" i="68"/>
  <c r="AB218" i="68"/>
  <c r="AA79" i="68"/>
  <c r="AB68" i="68"/>
  <c r="AA16" i="68"/>
  <c r="AA263" i="68"/>
  <c r="AA120" i="68"/>
  <c r="AB83" i="68"/>
  <c r="AA73" i="68"/>
  <c r="AB312" i="68"/>
  <c r="AA105" i="68"/>
  <c r="Y252" i="68"/>
  <c r="Y255" i="68" s="1"/>
  <c r="AA220" i="68"/>
  <c r="AB155" i="68"/>
  <c r="AB156" i="68"/>
  <c r="AA306" i="68"/>
  <c r="AA152" i="68"/>
  <c r="AB132" i="68"/>
  <c r="K66" i="14"/>
  <c r="AH73" i="31"/>
  <c r="J69" i="15"/>
  <c r="E69" i="15"/>
  <c r="AE62" i="31"/>
  <c r="C10" i="29"/>
  <c r="AE21" i="31"/>
  <c r="E18" i="15"/>
  <c r="Y48" i="37"/>
  <c r="AA48" i="37" s="1"/>
  <c r="Y65" i="37"/>
  <c r="Q74" i="37"/>
  <c r="Y35" i="37"/>
  <c r="I62" i="37"/>
  <c r="Q13" i="37"/>
  <c r="AA13" i="37" s="1"/>
  <c r="Y45" i="37"/>
  <c r="AA56" i="37"/>
  <c r="I51" i="37"/>
  <c r="AA51" i="37" s="1"/>
  <c r="Y49" i="37"/>
  <c r="Q25" i="37"/>
  <c r="I46" i="37"/>
  <c r="Y47" i="37"/>
  <c r="Y69" i="37"/>
  <c r="V62" i="37"/>
  <c r="X62" i="37" s="1"/>
  <c r="U62" i="37"/>
  <c r="AA52" i="37"/>
  <c r="AB26" i="31"/>
  <c r="I33" i="37"/>
  <c r="I38" i="37"/>
  <c r="AH20" i="31"/>
  <c r="Q62" i="37"/>
  <c r="Q50" i="37"/>
  <c r="N27" i="37"/>
  <c r="P27" i="37" s="1"/>
  <c r="M27" i="37"/>
  <c r="Y39" i="37"/>
  <c r="Q12" i="37"/>
  <c r="F31" i="37"/>
  <c r="H31" i="37" s="1"/>
  <c r="E31" i="37"/>
  <c r="C11" i="29"/>
  <c r="I70" i="37"/>
  <c r="AA70" i="37" s="1"/>
  <c r="U28" i="37"/>
  <c r="V28" i="37"/>
  <c r="X28" i="37" s="1"/>
  <c r="Y28" i="37" s="1"/>
  <c r="AA21" i="37"/>
  <c r="Q35" i="37"/>
  <c r="AA35" i="37" s="1"/>
  <c r="Q45" i="37"/>
  <c r="Y68" i="37"/>
  <c r="AA68" i="37" s="1"/>
  <c r="N26" i="37"/>
  <c r="P26" i="37" s="1"/>
  <c r="M26" i="37"/>
  <c r="U76" i="31"/>
  <c r="S32" i="37"/>
  <c r="I50" i="37"/>
  <c r="Q39" i="37"/>
  <c r="I75" i="37"/>
  <c r="Y46" i="37"/>
  <c r="AA22" i="37"/>
  <c r="Y33" i="37"/>
  <c r="V26" i="37"/>
  <c r="X26" i="37" s="1"/>
  <c r="Y26" i="37" s="1"/>
  <c r="U26" i="37"/>
  <c r="Q66" i="37"/>
  <c r="Q69" i="37"/>
  <c r="AA69" i="37" s="1"/>
  <c r="AA24" i="37"/>
  <c r="AE73" i="31"/>
  <c r="Y61" i="37"/>
  <c r="Q58" i="37"/>
  <c r="AA58" i="37" s="1"/>
  <c r="I49" i="37"/>
  <c r="Y52" i="37"/>
  <c r="Q17" i="37"/>
  <c r="I55" i="37"/>
  <c r="AA55" i="37" s="1"/>
  <c r="I57" i="37"/>
  <c r="AA57" i="37" s="1"/>
  <c r="Q61" i="37"/>
  <c r="AA61" i="37" s="1"/>
  <c r="Y50" i="37"/>
  <c r="U27" i="37"/>
  <c r="V27" i="37"/>
  <c r="X27" i="37" s="1"/>
  <c r="I66" i="37"/>
  <c r="Y63" i="37"/>
  <c r="AA63" i="37" s="1"/>
  <c r="Y75" i="37"/>
  <c r="H91" i="37"/>
  <c r="F93" i="37"/>
  <c r="M28" i="37"/>
  <c r="N28" i="37"/>
  <c r="P28" i="37" s="1"/>
  <c r="Y24" i="37"/>
  <c r="Q44" i="37"/>
  <c r="U31" i="37"/>
  <c r="V31" i="37"/>
  <c r="X31" i="37" s="1"/>
  <c r="Y31" i="37" s="1"/>
  <c r="F27" i="8"/>
  <c r="W27" i="8" s="1"/>
  <c r="K28" i="3"/>
  <c r="K33" i="3" s="1"/>
  <c r="L33" i="3" s="1"/>
  <c r="G20" i="45"/>
  <c r="F46" i="27"/>
  <c r="E46" i="27"/>
  <c r="C46" i="27" s="1"/>
  <c r="D25" i="27"/>
  <c r="Q93" i="69" s="1"/>
  <c r="E25" i="27"/>
  <c r="S31" i="69" s="1"/>
  <c r="E25" i="16"/>
  <c r="K27" i="16"/>
  <c r="E62" i="15"/>
  <c r="J16" i="14"/>
  <c r="R22" i="31"/>
  <c r="J62" i="15"/>
  <c r="C20" i="29"/>
  <c r="C35" i="29" s="1"/>
  <c r="H25" i="16"/>
  <c r="H62" i="15"/>
  <c r="J25" i="16"/>
  <c r="AE74" i="31"/>
  <c r="AF74" i="31" s="1"/>
  <c r="J13" i="16"/>
  <c r="E36" i="16"/>
  <c r="K36" i="16" s="1"/>
  <c r="Q43" i="37"/>
  <c r="AA43" i="37" s="1"/>
  <c r="I41" i="37"/>
  <c r="I39" i="37"/>
  <c r="Q38" i="37"/>
  <c r="E74" i="37"/>
  <c r="F74" i="37"/>
  <c r="H74" i="37" s="1"/>
  <c r="C77" i="37"/>
  <c r="Q33" i="37"/>
  <c r="Q65" i="37"/>
  <c r="I65" i="37"/>
  <c r="I47" i="37"/>
  <c r="I45" i="37"/>
  <c r="L76" i="31"/>
  <c r="K32" i="37"/>
  <c r="N31" i="37"/>
  <c r="P31" i="37" s="1"/>
  <c r="M31" i="37"/>
  <c r="U19" i="37"/>
  <c r="V19" i="37"/>
  <c r="X19" i="37" s="1"/>
  <c r="E17" i="16"/>
  <c r="K17" i="16" s="1"/>
  <c r="Y16" i="37"/>
  <c r="I12" i="37"/>
  <c r="I11" i="37"/>
  <c r="AA11" i="37" s="1"/>
  <c r="AD27" i="31"/>
  <c r="E28" i="37"/>
  <c r="F28" i="37"/>
  <c r="H28" i="37" s="1"/>
  <c r="E27" i="37"/>
  <c r="F27" i="37"/>
  <c r="H27" i="37" s="1"/>
  <c r="I27" i="37" s="1"/>
  <c r="E26" i="37"/>
  <c r="F26" i="37"/>
  <c r="H26" i="37" s="1"/>
  <c r="I26" i="37" s="1"/>
  <c r="F25" i="37"/>
  <c r="H25" i="37" s="1"/>
  <c r="E25" i="37"/>
  <c r="V20" i="37"/>
  <c r="X20" i="37" s="1"/>
  <c r="U20" i="37"/>
  <c r="M19" i="37"/>
  <c r="N19" i="37"/>
  <c r="P19" i="37" s="1"/>
  <c r="Q19" i="37" s="1"/>
  <c r="U18" i="37"/>
  <c r="V18" i="37"/>
  <c r="X18" i="37" s="1"/>
  <c r="Y18" i="37" s="1"/>
  <c r="N18" i="37"/>
  <c r="P18" i="37" s="1"/>
  <c r="M18" i="37"/>
  <c r="Y17" i="37"/>
  <c r="F17" i="37"/>
  <c r="H17" i="37" s="1"/>
  <c r="E17" i="37"/>
  <c r="E16" i="37"/>
  <c r="F16" i="37"/>
  <c r="U15" i="37"/>
  <c r="V15" i="37"/>
  <c r="P15" i="37"/>
  <c r="I15" i="37"/>
  <c r="S55" i="30"/>
  <c r="N57" i="2"/>
  <c r="P57" i="2" s="1"/>
  <c r="O58" i="12"/>
  <c r="M57" i="69"/>
  <c r="N57" i="69" s="1"/>
  <c r="T57" i="69" s="1"/>
  <c r="AB141" i="68"/>
  <c r="AA141" i="68"/>
  <c r="AA28" i="68"/>
  <c r="AA98" i="68"/>
  <c r="AA203" i="68"/>
  <c r="AA22" i="68"/>
  <c r="AA161" i="68"/>
  <c r="AA190" i="68"/>
  <c r="AB301" i="68"/>
  <c r="AA166" i="68"/>
  <c r="AB267" i="68"/>
  <c r="AA110" i="68"/>
  <c r="AA266" i="68"/>
  <c r="AB67" i="68"/>
  <c r="AA41" i="68"/>
  <c r="AA142" i="68"/>
  <c r="AA143" i="68"/>
  <c r="AA111" i="68"/>
  <c r="AB311" i="68"/>
  <c r="E85" i="2"/>
  <c r="F85" i="2" s="1"/>
  <c r="AA139" i="68"/>
  <c r="AA216" i="68"/>
  <c r="AA172" i="68"/>
  <c r="AA82" i="68"/>
  <c r="Y59" i="68"/>
  <c r="AA26" i="68"/>
  <c r="AA78" i="68"/>
  <c r="AA129" i="68"/>
  <c r="AA131" i="68"/>
  <c r="AA225" i="68"/>
  <c r="AA145" i="68"/>
  <c r="AA65" i="68"/>
  <c r="AB181" i="68"/>
  <c r="AA268" i="68"/>
  <c r="AA84" i="68"/>
  <c r="AA119" i="68"/>
  <c r="K16" i="8"/>
  <c r="K12" i="8" s="1"/>
  <c r="K42" i="8" s="1"/>
  <c r="K38" i="8" s="1"/>
  <c r="AA236" i="68"/>
  <c r="AA313" i="68"/>
  <c r="AB224" i="68"/>
  <c r="AA126" i="68"/>
  <c r="AA95" i="68"/>
  <c r="AA69" i="68"/>
  <c r="AA49" i="68"/>
  <c r="AA215" i="68"/>
  <c r="AA153" i="68"/>
  <c r="AA221" i="68"/>
  <c r="R248" i="68"/>
  <c r="AB206" i="68"/>
  <c r="AA206" i="68"/>
  <c r="AA66" i="68"/>
  <c r="AA234" i="68"/>
  <c r="AB87" i="68"/>
  <c r="AA228" i="68"/>
  <c r="AA165" i="68"/>
  <c r="AB302" i="68"/>
  <c r="AB298" i="68"/>
  <c r="AB148" i="68"/>
  <c r="T318" i="68"/>
  <c r="I23" i="43" s="1"/>
  <c r="J18" i="8" s="1"/>
  <c r="AA146" i="68"/>
  <c r="AB55" i="68"/>
  <c r="V59" i="68"/>
  <c r="AA222" i="68"/>
  <c r="AA168" i="68"/>
  <c r="AA303" i="68"/>
  <c r="AA149" i="68"/>
  <c r="AA92" i="68"/>
  <c r="AA189" i="68"/>
  <c r="AB259" i="68"/>
  <c r="AA171" i="68"/>
  <c r="AA213" i="68"/>
  <c r="AA56" i="68"/>
  <c r="AA59" i="68" s="1"/>
  <c r="AA114" i="68"/>
  <c r="AA62" i="68"/>
  <c r="AA193" i="68"/>
  <c r="AA99" i="68"/>
  <c r="AA300" i="68"/>
  <c r="Z294" i="68"/>
  <c r="T294" i="68"/>
  <c r="L23" i="43" s="1"/>
  <c r="T255" i="68"/>
  <c r="K23" i="43" s="1"/>
  <c r="L18" i="8" s="1"/>
  <c r="L16" i="8" s="1"/>
  <c r="AA202" i="68"/>
  <c r="AA199" i="68"/>
  <c r="AA127" i="68"/>
  <c r="AA133" i="68"/>
  <c r="AA316" i="68"/>
  <c r="AA93" i="68"/>
  <c r="AA70" i="68"/>
  <c r="AA283" i="68"/>
  <c r="K77" i="2"/>
  <c r="C13" i="3"/>
  <c r="L13" i="3" s="1"/>
  <c r="U11" i="25"/>
  <c r="M35" i="12"/>
  <c r="M34" i="69" s="1"/>
  <c r="F100" i="3"/>
  <c r="I100" i="3"/>
  <c r="L100" i="3"/>
  <c r="R34" i="32"/>
  <c r="P93" i="37"/>
  <c r="Q89" i="37"/>
  <c r="Q93" i="37" s="1"/>
  <c r="AA59" i="37"/>
  <c r="V93" i="37"/>
  <c r="H51" i="2"/>
  <c r="J51" i="2" s="1"/>
  <c r="H28" i="3"/>
  <c r="I28" i="3" s="1"/>
  <c r="H91" i="3"/>
  <c r="I91" i="3" s="1"/>
  <c r="K90" i="2" s="1"/>
  <c r="K29" i="6"/>
  <c r="E28" i="3"/>
  <c r="F25" i="8"/>
  <c r="W25" i="8" s="1"/>
  <c r="W29" i="8" s="1"/>
  <c r="E91" i="3"/>
  <c r="X15" i="45"/>
  <c r="Q13" i="25" s="1"/>
  <c r="X18" i="45"/>
  <c r="X14" i="45"/>
  <c r="P13" i="25" s="1"/>
  <c r="X17" i="45"/>
  <c r="U20" i="45"/>
  <c r="J27" i="16"/>
  <c r="AA26" i="31"/>
  <c r="AC26" i="31" s="1"/>
  <c r="H27" i="16"/>
  <c r="K12" i="14"/>
  <c r="AE18" i="31"/>
  <c r="AB100" i="31"/>
  <c r="AE28" i="31"/>
  <c r="K60" i="14"/>
  <c r="AD28" i="31"/>
  <c r="C21" i="29"/>
  <c r="AE91" i="31"/>
  <c r="K58" i="16"/>
  <c r="AE22" i="31"/>
  <c r="AC27" i="31"/>
  <c r="E13" i="16"/>
  <c r="K39" i="15"/>
  <c r="AH27" i="31"/>
  <c r="C25" i="15"/>
  <c r="J25" i="15" s="1"/>
  <c r="AH100" i="31"/>
  <c r="AC100" i="31"/>
  <c r="AC28" i="31"/>
  <c r="AH28" i="31"/>
  <c r="AC74" i="31"/>
  <c r="K13" i="16"/>
  <c r="C70" i="15"/>
  <c r="H70" i="15" s="1"/>
  <c r="K63" i="16"/>
  <c r="K44" i="14"/>
  <c r="K52" i="16"/>
  <c r="X76" i="31"/>
  <c r="AE37" i="31"/>
  <c r="K50" i="14"/>
  <c r="AE90" i="31"/>
  <c r="K33" i="14"/>
  <c r="K46" i="14"/>
  <c r="F26" i="31"/>
  <c r="H26" i="31" s="1"/>
  <c r="E26" i="14"/>
  <c r="AD25" i="31"/>
  <c r="J26" i="14"/>
  <c r="AD19" i="31"/>
  <c r="K18" i="15"/>
  <c r="E15" i="16"/>
  <c r="K15" i="16" s="1"/>
  <c r="AH37" i="31"/>
  <c r="K23" i="15"/>
  <c r="J73" i="14"/>
  <c r="J23" i="15"/>
  <c r="E34" i="16"/>
  <c r="K34" i="16" s="1"/>
  <c r="H21" i="15"/>
  <c r="K21" i="15"/>
  <c r="E58" i="16"/>
  <c r="E66" i="16" s="1"/>
  <c r="U14" i="21" s="1"/>
  <c r="E21" i="15"/>
  <c r="J53" i="16"/>
  <c r="J58" i="16"/>
  <c r="AC25" i="31"/>
  <c r="AC23" i="31"/>
  <c r="E16" i="14"/>
  <c r="K16" i="14" s="1"/>
  <c r="J29" i="15"/>
  <c r="K29" i="15" s="1"/>
  <c r="H23" i="16"/>
  <c r="K23" i="16"/>
  <c r="E23" i="16"/>
  <c r="J23" i="16"/>
  <c r="AD23" i="31"/>
  <c r="AH25" i="31"/>
  <c r="AH23" i="31"/>
  <c r="N31" i="31"/>
  <c r="N76" i="31" s="1"/>
  <c r="W31" i="31"/>
  <c r="AA31" i="31"/>
  <c r="C28" i="16" s="1"/>
  <c r="AD14" i="31"/>
  <c r="AH14" i="31"/>
  <c r="AE24" i="31"/>
  <c r="AD73" i="31"/>
  <c r="E23" i="15"/>
  <c r="AE14" i="31"/>
  <c r="K14" i="16"/>
  <c r="N55" i="30"/>
  <c r="E52" i="3"/>
  <c r="O52" i="3" s="1"/>
  <c r="P52" i="3" s="1"/>
  <c r="Q50" i="46"/>
  <c r="H97" i="46"/>
  <c r="C53" i="30"/>
  <c r="E53" i="30"/>
  <c r="F53" i="30"/>
  <c r="G53" i="30"/>
  <c r="H50" i="46"/>
  <c r="H27" i="46"/>
  <c r="J14" i="16"/>
  <c r="E14" i="16"/>
  <c r="AE17" i="31"/>
  <c r="AH24" i="31"/>
  <c r="AC24" i="31"/>
  <c r="C22" i="15"/>
  <c r="J16" i="16"/>
  <c r="K16" i="16" s="1"/>
  <c r="AF69" i="31"/>
  <c r="C15" i="15"/>
  <c r="AC14" i="31"/>
  <c r="C22" i="14"/>
  <c r="AD21" i="31"/>
  <c r="AC37" i="31"/>
  <c r="I31" i="31"/>
  <c r="C31" i="14" s="1"/>
  <c r="H31" i="15"/>
  <c r="K31" i="15"/>
  <c r="J31" i="15"/>
  <c r="E31" i="15"/>
  <c r="E35" i="15"/>
  <c r="K35" i="15"/>
  <c r="H35" i="15"/>
  <c r="J35" i="15"/>
  <c r="E57" i="15"/>
  <c r="K57" i="15" s="1"/>
  <c r="K13" i="14"/>
  <c r="E61" i="14"/>
  <c r="K61" i="14"/>
  <c r="J61" i="14"/>
  <c r="H61" i="14"/>
  <c r="P61" i="14"/>
  <c r="J44" i="15"/>
  <c r="H44" i="15"/>
  <c r="E44" i="15"/>
  <c r="K44" i="15"/>
  <c r="E54" i="14"/>
  <c r="AD20" i="31"/>
  <c r="AD24" i="31"/>
  <c r="C25" i="14"/>
  <c r="J11" i="15"/>
  <c r="H11" i="15"/>
  <c r="K11" i="15"/>
  <c r="E11" i="15"/>
  <c r="H25" i="15"/>
  <c r="K25" i="15"/>
  <c r="J31" i="31"/>
  <c r="J54" i="14"/>
  <c r="AD74" i="31"/>
  <c r="J18" i="14"/>
  <c r="E18" i="14"/>
  <c r="P18" i="14"/>
  <c r="K38" i="16"/>
  <c r="K37" i="15"/>
  <c r="J37" i="14"/>
  <c r="E37" i="14"/>
  <c r="K55" i="14"/>
  <c r="K67" i="14"/>
  <c r="K30" i="15"/>
  <c r="K60" i="16"/>
  <c r="K26" i="16"/>
  <c r="K26" i="15"/>
  <c r="C19" i="16"/>
  <c r="AC18" i="31"/>
  <c r="AH18" i="31"/>
  <c r="E11" i="14"/>
  <c r="P11" i="14"/>
  <c r="J11" i="14"/>
  <c r="AD289" i="47"/>
  <c r="P21" i="14"/>
  <c r="E21" i="14"/>
  <c r="J21" i="14"/>
  <c r="AA79" i="31"/>
  <c r="K41" i="14"/>
  <c r="E38" i="14"/>
  <c r="J38" i="14"/>
  <c r="P38" i="14"/>
  <c r="AD37" i="31"/>
  <c r="E53" i="15"/>
  <c r="J53" i="15"/>
  <c r="E56" i="15"/>
  <c r="J56" i="15"/>
  <c r="K51" i="14"/>
  <c r="E73" i="14"/>
  <c r="J74" i="14"/>
  <c r="E74" i="14"/>
  <c r="K74" i="14" s="1"/>
  <c r="P74" i="14"/>
  <c r="K32" i="14"/>
  <c r="K61" i="16"/>
  <c r="E60" i="15"/>
  <c r="J60" i="15"/>
  <c r="E62" i="14"/>
  <c r="J62" i="14"/>
  <c r="P62" i="14"/>
  <c r="E45" i="14"/>
  <c r="J45" i="14"/>
  <c r="P45" i="14"/>
  <c r="Z76" i="31"/>
  <c r="E28" i="14"/>
  <c r="J28" i="14"/>
  <c r="AC19" i="31"/>
  <c r="C20" i="15"/>
  <c r="AH19" i="31"/>
  <c r="C18" i="16"/>
  <c r="AD17" i="31"/>
  <c r="AC17" i="31"/>
  <c r="AH17" i="31"/>
  <c r="J17" i="14"/>
  <c r="E17" i="14"/>
  <c r="AE16" i="31"/>
  <c r="P17" i="14"/>
  <c r="Q14" i="25"/>
  <c r="P67" i="44"/>
  <c r="E68" i="27"/>
  <c r="H37" i="24" s="1"/>
  <c r="F68" i="27"/>
  <c r="U37" i="69" s="1"/>
  <c r="Q16" i="25"/>
  <c r="D27" i="8"/>
  <c r="I27" i="8" s="1"/>
  <c r="Z27" i="8" s="1"/>
  <c r="P32" i="44"/>
  <c r="P15" i="44"/>
  <c r="Q60" i="39"/>
  <c r="Q74" i="39"/>
  <c r="L38" i="3"/>
  <c r="F38" i="3"/>
  <c r="D38" i="12" s="1"/>
  <c r="I38" i="3"/>
  <c r="J75" i="2"/>
  <c r="M26" i="69"/>
  <c r="G35" i="12"/>
  <c r="D35" i="13" s="1"/>
  <c r="L26" i="69"/>
  <c r="P53" i="39"/>
  <c r="N55" i="2"/>
  <c r="C55" i="21" s="1"/>
  <c r="C55" i="24" s="1"/>
  <c r="O27" i="12"/>
  <c r="M95" i="2"/>
  <c r="N95" i="2" s="1"/>
  <c r="M95" i="69"/>
  <c r="N95" i="69" s="1"/>
  <c r="O95" i="12"/>
  <c r="G95" i="13"/>
  <c r="L95" i="13" s="1"/>
  <c r="L27" i="13"/>
  <c r="I85" i="69"/>
  <c r="C86" i="3" s="1"/>
  <c r="C9" i="71"/>
  <c r="D9" i="71" s="1"/>
  <c r="M52" i="69"/>
  <c r="M52" i="2"/>
  <c r="L52" i="69"/>
  <c r="L52" i="2"/>
  <c r="D53" i="13"/>
  <c r="O53" i="12"/>
  <c r="P57" i="38"/>
  <c r="I28" i="10" s="1"/>
  <c r="E46" i="2" s="1"/>
  <c r="C105" i="69"/>
  <c r="N55" i="69"/>
  <c r="V55" i="69" s="1"/>
  <c r="AB307" i="68"/>
  <c r="AA307" i="68"/>
  <c r="AB136" i="68"/>
  <c r="AA136" i="68"/>
  <c r="AB170" i="68"/>
  <c r="AA170" i="68"/>
  <c r="AA232" i="68"/>
  <c r="AB232" i="68"/>
  <c r="AB35" i="68"/>
  <c r="AA35" i="68"/>
  <c r="AA169" i="68"/>
  <c r="AB230" i="68"/>
  <c r="AA230" i="68"/>
  <c r="AB74" i="68"/>
  <c r="AA74" i="68"/>
  <c r="AB163" i="68"/>
  <c r="AA163" i="68"/>
  <c r="AB76" i="68"/>
  <c r="AA76" i="68"/>
  <c r="AA198" i="68"/>
  <c r="AA229" i="68"/>
  <c r="AA88" i="68"/>
  <c r="T183" i="68"/>
  <c r="E23" i="43" s="1"/>
  <c r="F18" i="8" s="1"/>
  <c r="AB195" i="68"/>
  <c r="AA195" i="68"/>
  <c r="AA197" i="68"/>
  <c r="AA289" i="68"/>
  <c r="AA294" i="68" s="1"/>
  <c r="AA200" i="68"/>
  <c r="AB305" i="68"/>
  <c r="AA305" i="68"/>
  <c r="AB71" i="68"/>
  <c r="AA71" i="68"/>
  <c r="AA227" i="68"/>
  <c r="AB227" i="68"/>
  <c r="AB231" i="68"/>
  <c r="AA231" i="68"/>
  <c r="AB122" i="68"/>
  <c r="AA122" i="68"/>
  <c r="AB38" i="68"/>
  <c r="AA38" i="68"/>
  <c r="AB265" i="68"/>
  <c r="AA265" i="68"/>
  <c r="AB72" i="68"/>
  <c r="AA72" i="68"/>
  <c r="AB75" i="68"/>
  <c r="AA75" i="68"/>
  <c r="AB270" i="68"/>
  <c r="AA270" i="68"/>
  <c r="AB217" i="68"/>
  <c r="AA217" i="68"/>
  <c r="AB134" i="68"/>
  <c r="AA134" i="68"/>
  <c r="AB97" i="68"/>
  <c r="AA97" i="68"/>
  <c r="AB239" i="68"/>
  <c r="AA239" i="68"/>
  <c r="Z276" i="68"/>
  <c r="AB276" i="68" s="1"/>
  <c r="AA264" i="68"/>
  <c r="AB264" i="68"/>
  <c r="AA308" i="68"/>
  <c r="T241" i="68"/>
  <c r="G23" i="43" s="1"/>
  <c r="H18" i="8" s="1"/>
  <c r="H16" i="8" s="1"/>
  <c r="AA103" i="68"/>
  <c r="AB137" i="68"/>
  <c r="AA137" i="68"/>
  <c r="AA196" i="68"/>
  <c r="AA124" i="68"/>
  <c r="AB124" i="68"/>
  <c r="AB85" i="68"/>
  <c r="AA85" i="68"/>
  <c r="AA135" i="68"/>
  <c r="AB135" i="68"/>
  <c r="Y285" i="68"/>
  <c r="AA192" i="68"/>
  <c r="AB212" i="68"/>
  <c r="AA212" i="68"/>
  <c r="AB100" i="68"/>
  <c r="AA100" i="68"/>
  <c r="E14" i="8"/>
  <c r="E16" i="8"/>
  <c r="AB260" i="68"/>
  <c r="AA260" i="68"/>
  <c r="W285" i="68"/>
  <c r="AA86" i="68"/>
  <c r="AB96" i="68"/>
  <c r="AA96" i="68"/>
  <c r="V285" i="68"/>
  <c r="AA262" i="68"/>
  <c r="AB262" i="68"/>
  <c r="AB123" i="68"/>
  <c r="AA123" i="68"/>
  <c r="AA310" i="68"/>
  <c r="AA116" i="68"/>
  <c r="AB116" i="68"/>
  <c r="AA128" i="68"/>
  <c r="AA102" i="68"/>
  <c r="AA32" i="68"/>
  <c r="AB159" i="68"/>
  <c r="AA159" i="68"/>
  <c r="E34" i="15"/>
  <c r="J34" i="15"/>
  <c r="C103" i="2"/>
  <c r="I86" i="5"/>
  <c r="I65" i="13" s="1"/>
  <c r="P23" i="14"/>
  <c r="J23" i="14"/>
  <c r="E23" i="14"/>
  <c r="K23" i="14" s="1"/>
  <c r="S90" i="69"/>
  <c r="S27" i="69"/>
  <c r="H33" i="24"/>
  <c r="S34" i="69"/>
  <c r="H89" i="24"/>
  <c r="H47" i="24"/>
  <c r="H34" i="24"/>
  <c r="H28" i="24"/>
  <c r="S47" i="69"/>
  <c r="S33" i="69"/>
  <c r="S29" i="69"/>
  <c r="H32" i="24"/>
  <c r="H29" i="24"/>
  <c r="S32" i="69"/>
  <c r="H27" i="24"/>
  <c r="S28" i="69"/>
  <c r="F26" i="26"/>
  <c r="H21" i="16"/>
  <c r="E21" i="16"/>
  <c r="K21" i="16"/>
  <c r="J21" i="16"/>
  <c r="J38" i="15"/>
  <c r="E38" i="15"/>
  <c r="D36" i="40"/>
  <c r="D40" i="40" s="1"/>
  <c r="D44" i="40" s="1"/>
  <c r="H71" i="9" s="1"/>
  <c r="C36" i="40"/>
  <c r="D17" i="21"/>
  <c r="F17" i="21" s="1"/>
  <c r="N19" i="24"/>
  <c r="D19" i="21"/>
  <c r="K31" i="69"/>
  <c r="K31" i="2"/>
  <c r="E65" i="15"/>
  <c r="J65" i="15"/>
  <c r="K65" i="15"/>
  <c r="H65" i="15"/>
  <c r="H61" i="69"/>
  <c r="I61" i="69" s="1"/>
  <c r="C62" i="3" s="1"/>
  <c r="H61" i="2"/>
  <c r="J61" i="2" s="1"/>
  <c r="Q27" i="46"/>
  <c r="E54" i="3"/>
  <c r="O54" i="3" s="1"/>
  <c r="P54" i="3" s="1"/>
  <c r="AB275" i="68"/>
  <c r="AA275" i="68"/>
  <c r="J49" i="14"/>
  <c r="E49" i="14"/>
  <c r="P49" i="14"/>
  <c r="E15" i="2"/>
  <c r="D15" i="69"/>
  <c r="Y64" i="68"/>
  <c r="W183" i="68"/>
  <c r="O15" i="25"/>
  <c r="C47" i="5"/>
  <c r="E59" i="14"/>
  <c r="J59" i="14"/>
  <c r="P59" i="14"/>
  <c r="O75" i="39"/>
  <c r="Q75" i="39" s="1"/>
  <c r="G77" i="39"/>
  <c r="Y245" i="68"/>
  <c r="W248" i="68"/>
  <c r="E43" i="16"/>
  <c r="J43" i="16"/>
  <c r="F30" i="30"/>
  <c r="D30" i="30"/>
  <c r="G45" i="12"/>
  <c r="M45" i="12"/>
  <c r="J45" i="12"/>
  <c r="E69" i="16"/>
  <c r="E71" i="16" s="1"/>
  <c r="J69" i="16"/>
  <c r="J71" i="16" s="1"/>
  <c r="I14" i="3"/>
  <c r="L14" i="3"/>
  <c r="F14" i="3"/>
  <c r="P16" i="25"/>
  <c r="H36" i="3"/>
  <c r="I36" i="3" s="1"/>
  <c r="K35" i="69" s="1"/>
  <c r="L52" i="3"/>
  <c r="I52" i="3"/>
  <c r="K87" i="69"/>
  <c r="K87" i="2"/>
  <c r="H61" i="24"/>
  <c r="E30" i="30"/>
  <c r="J37" i="16"/>
  <c r="E37" i="16"/>
  <c r="H37" i="16"/>
  <c r="K37" i="16"/>
  <c r="L48" i="3"/>
  <c r="F48" i="3"/>
  <c r="I48" i="3"/>
  <c r="O61" i="39"/>
  <c r="Q61" i="39" s="1"/>
  <c r="E26" i="3"/>
  <c r="O14" i="25"/>
  <c r="C25" i="5"/>
  <c r="D25" i="8"/>
  <c r="Z241" i="68"/>
  <c r="AB211" i="68"/>
  <c r="I32" i="5"/>
  <c r="I45" i="5" s="1"/>
  <c r="H45" i="5"/>
  <c r="N26" i="2"/>
  <c r="P26" i="2" s="1"/>
  <c r="C57" i="21"/>
  <c r="C57" i="24" s="1"/>
  <c r="L56" i="13"/>
  <c r="D78" i="25"/>
  <c r="E76" i="25" s="1"/>
  <c r="G15" i="25" s="1"/>
  <c r="F30" i="3"/>
  <c r="I30" i="3"/>
  <c r="L30" i="3"/>
  <c r="E63" i="14"/>
  <c r="J63" i="14"/>
  <c r="P63" i="14"/>
  <c r="N55" i="3"/>
  <c r="D55" i="12"/>
  <c r="U47" i="69"/>
  <c r="U32" i="69"/>
  <c r="U28" i="69"/>
  <c r="U34" i="69"/>
  <c r="U29" i="69"/>
  <c r="U27" i="69"/>
  <c r="U90" i="69"/>
  <c r="U33" i="69"/>
  <c r="F27" i="26"/>
  <c r="K27" i="24"/>
  <c r="H73" i="46"/>
  <c r="H51" i="24"/>
  <c r="O51" i="24" s="1"/>
  <c r="P51" i="24" s="1"/>
  <c r="S51" i="69"/>
  <c r="Y51" i="69" s="1"/>
  <c r="AA89" i="68"/>
  <c r="AA269" i="68"/>
  <c r="N34" i="3"/>
  <c r="K33" i="69"/>
  <c r="K33" i="2"/>
  <c r="D87" i="25"/>
  <c r="E85" i="25" s="1"/>
  <c r="G16" i="25" s="1"/>
  <c r="J58" i="13"/>
  <c r="G58" i="13"/>
  <c r="K49" i="2"/>
  <c r="K49" i="69"/>
  <c r="P20" i="14"/>
  <c r="E20" i="14"/>
  <c r="J20" i="14"/>
  <c r="E41" i="16"/>
  <c r="J41" i="16"/>
  <c r="C39" i="14"/>
  <c r="AD39" i="31"/>
  <c r="T208" i="68"/>
  <c r="F23" i="43" s="1"/>
  <c r="G18" i="8" s="1"/>
  <c r="Z186" i="68"/>
  <c r="C18" i="24"/>
  <c r="G19" i="21"/>
  <c r="I19" i="21" s="1"/>
  <c r="G17" i="21"/>
  <c r="I17" i="21" s="1"/>
  <c r="C103" i="69"/>
  <c r="U91" i="69"/>
  <c r="U61" i="69"/>
  <c r="U43" i="69"/>
  <c r="U38" i="69"/>
  <c r="U26" i="69"/>
  <c r="U96" i="69"/>
  <c r="U89" i="69"/>
  <c r="U60" i="69"/>
  <c r="U44" i="69"/>
  <c r="U41" i="69"/>
  <c r="U31" i="69"/>
  <c r="U93" i="69"/>
  <c r="U62" i="69"/>
  <c r="U49" i="69"/>
  <c r="U45" i="69"/>
  <c r="U40" i="69"/>
  <c r="U30" i="69"/>
  <c r="U25" i="69"/>
  <c r="U46" i="69"/>
  <c r="U92" i="69"/>
  <c r="U48" i="69"/>
  <c r="K25" i="24"/>
  <c r="D27" i="26"/>
  <c r="I27" i="26" s="1"/>
  <c r="R31" i="31"/>
  <c r="AA101" i="68"/>
  <c r="J70" i="15"/>
  <c r="J71" i="15" s="1"/>
  <c r="K77" i="69"/>
  <c r="H53" i="69"/>
  <c r="I53" i="69" s="1"/>
  <c r="C54" i="3" s="1"/>
  <c r="H53" i="2"/>
  <c r="J53" i="2" s="1"/>
  <c r="E35" i="24"/>
  <c r="E37" i="24" s="1"/>
  <c r="Q35" i="69"/>
  <c r="Q36" i="69"/>
  <c r="C31" i="29"/>
  <c r="J46" i="15"/>
  <c r="E46" i="15"/>
  <c r="P49" i="44"/>
  <c r="AA140" i="68"/>
  <c r="H23" i="5"/>
  <c r="I10" i="5"/>
  <c r="I23" i="5" s="1"/>
  <c r="G30" i="30"/>
  <c r="F59" i="3"/>
  <c r="I59" i="3"/>
  <c r="L59" i="3"/>
  <c r="E66" i="25"/>
  <c r="F14" i="25" s="1"/>
  <c r="E67" i="25"/>
  <c r="G14" i="25" s="1"/>
  <c r="D20" i="12"/>
  <c r="N20" i="3"/>
  <c r="AE19" i="31"/>
  <c r="AH30" i="31"/>
  <c r="C27" i="15"/>
  <c r="AC30" i="31"/>
  <c r="C36" i="15"/>
  <c r="AH39" i="31"/>
  <c r="AC39" i="31"/>
  <c r="Y194" i="68"/>
  <c r="W208" i="68"/>
  <c r="Q53" i="30"/>
  <c r="P24" i="14"/>
  <c r="J24" i="14"/>
  <c r="E24" i="14"/>
  <c r="Z304" i="68"/>
  <c r="Y318" i="68"/>
  <c r="H69" i="5"/>
  <c r="I56" i="5"/>
  <c r="I69" i="5" s="1"/>
  <c r="D18" i="12"/>
  <c r="N18" i="3"/>
  <c r="E30" i="16"/>
  <c r="J30" i="16"/>
  <c r="Q15" i="31"/>
  <c r="O76" i="31"/>
  <c r="R15" i="31"/>
  <c r="L45" i="3"/>
  <c r="O45" i="3"/>
  <c r="P45" i="3" s="1"/>
  <c r="P29" i="14"/>
  <c r="E29" i="14"/>
  <c r="J29" i="14"/>
  <c r="T285" i="68"/>
  <c r="H23" i="43" s="1"/>
  <c r="I18" i="8" s="1"/>
  <c r="AB138" i="68"/>
  <c r="AA138" i="68"/>
  <c r="K62" i="3"/>
  <c r="K39" i="3"/>
  <c r="L39" i="3" s="1"/>
  <c r="K61" i="3"/>
  <c r="L61" i="3" s="1"/>
  <c r="K63" i="3"/>
  <c r="L63" i="3" s="1"/>
  <c r="K93" i="3"/>
  <c r="L93" i="3" s="1"/>
  <c r="K41" i="3"/>
  <c r="L41" i="3" s="1"/>
  <c r="K90" i="3"/>
  <c r="L90" i="3" s="1"/>
  <c r="K94" i="3"/>
  <c r="K46" i="3"/>
  <c r="K49" i="3"/>
  <c r="L49" i="3" s="1"/>
  <c r="K97" i="3"/>
  <c r="L97" i="3" s="1"/>
  <c r="K42" i="3"/>
  <c r="K44" i="3" s="1"/>
  <c r="L44" i="3" s="1"/>
  <c r="K31" i="3"/>
  <c r="L31" i="3" s="1"/>
  <c r="K92" i="3"/>
  <c r="L92" i="3" s="1"/>
  <c r="D17" i="12"/>
  <c r="N17" i="3"/>
  <c r="P14" i="25"/>
  <c r="H26" i="3"/>
  <c r="I26" i="3" s="1"/>
  <c r="D26" i="8"/>
  <c r="J39" i="16"/>
  <c r="E39" i="16"/>
  <c r="K54" i="69"/>
  <c r="K54" i="2"/>
  <c r="C105" i="2"/>
  <c r="Q34" i="69"/>
  <c r="Q27" i="69"/>
  <c r="Q47" i="69"/>
  <c r="Q33" i="69"/>
  <c r="Q28" i="69"/>
  <c r="Q90" i="69"/>
  <c r="Q32" i="69"/>
  <c r="Q29" i="69"/>
  <c r="E27" i="24"/>
  <c r="K28" i="28"/>
  <c r="F25" i="26"/>
  <c r="S53" i="69"/>
  <c r="Y53" i="69" s="1"/>
  <c r="H53" i="24"/>
  <c r="O53" i="24" s="1"/>
  <c r="P53" i="24" s="1"/>
  <c r="E30" i="31"/>
  <c r="I30" i="31"/>
  <c r="C76" i="31"/>
  <c r="AA108" i="68"/>
  <c r="AB271" i="68"/>
  <c r="AA271" i="68"/>
  <c r="G34" i="12"/>
  <c r="M34" i="12"/>
  <c r="J34" i="12"/>
  <c r="D50" i="12"/>
  <c r="N50" i="3"/>
  <c r="AE39" i="31"/>
  <c r="J19" i="21"/>
  <c r="L19" i="21" s="1"/>
  <c r="J17" i="21"/>
  <c r="L17" i="21" s="1"/>
  <c r="L26" i="3"/>
  <c r="D87" i="12"/>
  <c r="N88" i="3"/>
  <c r="D32" i="12"/>
  <c r="N32" i="3"/>
  <c r="H41" i="2"/>
  <c r="H41" i="69"/>
  <c r="H16" i="9"/>
  <c r="AA63" i="68"/>
  <c r="AB63" i="68"/>
  <c r="C36" i="29"/>
  <c r="D77" i="12"/>
  <c r="N78" i="3"/>
  <c r="E65" i="25"/>
  <c r="E48" i="15"/>
  <c r="J48" i="15"/>
  <c r="N30" i="30"/>
  <c r="L30" i="30"/>
  <c r="P30" i="30"/>
  <c r="D19" i="12"/>
  <c r="N19" i="3"/>
  <c r="O16" i="25"/>
  <c r="C71" i="5"/>
  <c r="E36" i="3"/>
  <c r="AA211" i="68"/>
  <c r="M30" i="30"/>
  <c r="G29" i="12"/>
  <c r="J29" i="12"/>
  <c r="M29" i="12"/>
  <c r="H45" i="15"/>
  <c r="E45" i="15"/>
  <c r="K45" i="15"/>
  <c r="J45" i="15"/>
  <c r="C17" i="15"/>
  <c r="AH16" i="31"/>
  <c r="AC16" i="31"/>
  <c r="AD16" i="31"/>
  <c r="M36" i="2"/>
  <c r="M36" i="69"/>
  <c r="D37" i="13"/>
  <c r="O37" i="12"/>
  <c r="L36" i="2"/>
  <c r="L36" i="69"/>
  <c r="L34" i="69"/>
  <c r="L34" i="2"/>
  <c r="T51" i="68"/>
  <c r="C23" i="43" s="1"/>
  <c r="AA34" i="68"/>
  <c r="Z59" i="68"/>
  <c r="AB57" i="68"/>
  <c r="R51" i="68"/>
  <c r="Y37" i="68"/>
  <c r="W51" i="68"/>
  <c r="F66" i="3" l="1"/>
  <c r="D66" i="12" s="1"/>
  <c r="I66" i="3"/>
  <c r="K65" i="2" s="1"/>
  <c r="L43" i="3"/>
  <c r="I43" i="3"/>
  <c r="F43" i="3"/>
  <c r="R57" i="69"/>
  <c r="K18" i="14"/>
  <c r="Y19" i="37"/>
  <c r="AA19" i="37" s="1"/>
  <c r="AA41" i="37"/>
  <c r="AA44" i="37"/>
  <c r="AA66" i="37"/>
  <c r="AA46" i="37"/>
  <c r="AA45" i="37"/>
  <c r="AA75" i="37"/>
  <c r="I31" i="37"/>
  <c r="AA49" i="37"/>
  <c r="Y20" i="37"/>
  <c r="AA20" i="37" s="1"/>
  <c r="AA33" i="37"/>
  <c r="Q28" i="37"/>
  <c r="K69" i="15"/>
  <c r="K45" i="14"/>
  <c r="K53" i="15"/>
  <c r="AB273" i="68"/>
  <c r="Z252" i="68"/>
  <c r="F185" i="7"/>
  <c r="C185" i="7"/>
  <c r="C14" i="29"/>
  <c r="D12" i="29" s="1"/>
  <c r="E27" i="26" s="1"/>
  <c r="H27" i="26" s="1"/>
  <c r="K69" i="16"/>
  <c r="AD22" i="31"/>
  <c r="AH22" i="31"/>
  <c r="I25" i="37"/>
  <c r="AA25" i="37" s="1"/>
  <c r="AA12" i="37"/>
  <c r="I91" i="37"/>
  <c r="H93" i="37"/>
  <c r="Q26" i="37"/>
  <c r="AA26" i="37" s="1"/>
  <c r="K46" i="15"/>
  <c r="E77" i="37"/>
  <c r="AA47" i="37"/>
  <c r="AA39" i="37"/>
  <c r="V32" i="37"/>
  <c r="X32" i="37" s="1"/>
  <c r="U32" i="37"/>
  <c r="U77" i="37" s="1"/>
  <c r="AA62" i="37"/>
  <c r="Q27" i="37"/>
  <c r="AA38" i="37"/>
  <c r="I80" i="37"/>
  <c r="G58" i="9" s="1"/>
  <c r="Y62" i="37"/>
  <c r="Y80" i="37" s="1"/>
  <c r="G60" i="9" s="1"/>
  <c r="H12" i="29" s="1"/>
  <c r="S77" i="37"/>
  <c r="K62" i="14"/>
  <c r="AC22" i="31"/>
  <c r="Q80" i="37"/>
  <c r="G59" i="9" s="1"/>
  <c r="H11" i="29" s="1"/>
  <c r="I17" i="37"/>
  <c r="AA17" i="37" s="1"/>
  <c r="I28" i="37"/>
  <c r="AA28" i="37" s="1"/>
  <c r="Y27" i="37"/>
  <c r="AA27" i="37" s="1"/>
  <c r="AA50" i="37"/>
  <c r="F16" i="8"/>
  <c r="O28" i="3"/>
  <c r="P28" i="3" s="1"/>
  <c r="K90" i="69"/>
  <c r="L28" i="3"/>
  <c r="K27" i="69" s="1"/>
  <c r="F29" i="8"/>
  <c r="S92" i="69"/>
  <c r="Q92" i="69"/>
  <c r="Y92" i="69" s="1"/>
  <c r="S48" i="69"/>
  <c r="S93" i="69"/>
  <c r="Y93" i="69" s="1"/>
  <c r="Q38" i="69"/>
  <c r="H30" i="24"/>
  <c r="Q46" i="69"/>
  <c r="H40" i="24"/>
  <c r="S91" i="69"/>
  <c r="Q40" i="69"/>
  <c r="D26" i="26"/>
  <c r="I26" i="26" s="1"/>
  <c r="H46" i="24"/>
  <c r="E25" i="24"/>
  <c r="E95" i="24" s="1"/>
  <c r="Q91" i="69"/>
  <c r="Q31" i="69"/>
  <c r="Y31" i="69" s="1"/>
  <c r="Q30" i="69"/>
  <c r="Q89" i="69"/>
  <c r="Q41" i="69"/>
  <c r="S46" i="69"/>
  <c r="S49" i="69"/>
  <c r="Q60" i="69"/>
  <c r="H60" i="24"/>
  <c r="S26" i="69"/>
  <c r="S96" i="69"/>
  <c r="Q49" i="69"/>
  <c r="Q25" i="69"/>
  <c r="H41" i="24"/>
  <c r="H25" i="24"/>
  <c r="H44" i="24"/>
  <c r="H38" i="24"/>
  <c r="C25" i="27"/>
  <c r="Q44" i="69"/>
  <c r="S61" i="69"/>
  <c r="H62" i="24"/>
  <c r="S60" i="69"/>
  <c r="D25" i="26"/>
  <c r="I25" i="26" s="1"/>
  <c r="Q96" i="69"/>
  <c r="Q48" i="69"/>
  <c r="H45" i="24"/>
  <c r="S30" i="69"/>
  <c r="H48" i="24"/>
  <c r="H91" i="24"/>
  <c r="S43" i="69"/>
  <c r="S40" i="69"/>
  <c r="H90" i="24"/>
  <c r="Q26" i="69"/>
  <c r="Q43" i="69"/>
  <c r="Q61" i="69"/>
  <c r="H92" i="24"/>
  <c r="H31" i="24"/>
  <c r="S62" i="69"/>
  <c r="S44" i="69"/>
  <c r="S41" i="69"/>
  <c r="Q45" i="69"/>
  <c r="Q62" i="69"/>
  <c r="H49" i="24"/>
  <c r="S38" i="69"/>
  <c r="H95" i="24"/>
  <c r="H26" i="24"/>
  <c r="S45" i="69"/>
  <c r="S25" i="69"/>
  <c r="H88" i="24"/>
  <c r="H43" i="24"/>
  <c r="S89" i="69"/>
  <c r="I13" i="3"/>
  <c r="K12" i="69" s="1"/>
  <c r="F13" i="3"/>
  <c r="D13" i="12" s="1"/>
  <c r="J13" i="12" s="1"/>
  <c r="AF93" i="31"/>
  <c r="C24" i="29"/>
  <c r="D22" i="29" s="1"/>
  <c r="U52" i="69" s="1"/>
  <c r="F76" i="31"/>
  <c r="K37" i="14"/>
  <c r="K54" i="14"/>
  <c r="C24" i="16"/>
  <c r="H24" i="16" s="1"/>
  <c r="AH26" i="31"/>
  <c r="AF51" i="31"/>
  <c r="K48" i="15"/>
  <c r="I74" i="37"/>
  <c r="AA74" i="37" s="1"/>
  <c r="AB75" i="37" s="1"/>
  <c r="AA65" i="37"/>
  <c r="Q31" i="37"/>
  <c r="AA31" i="37" s="1"/>
  <c r="N32" i="37"/>
  <c r="M32" i="37"/>
  <c r="K77" i="37"/>
  <c r="M77" i="37"/>
  <c r="Q18" i="37"/>
  <c r="AA18" i="37" s="1"/>
  <c r="H16" i="37"/>
  <c r="F77" i="37"/>
  <c r="X15" i="37"/>
  <c r="Q15" i="37"/>
  <c r="V57" i="69"/>
  <c r="K37" i="69"/>
  <c r="K99" i="2"/>
  <c r="V321" i="68"/>
  <c r="J85" i="2"/>
  <c r="AB59" i="68"/>
  <c r="V18" i="8" s="1"/>
  <c r="V14" i="8" s="1"/>
  <c r="Z255" i="68"/>
  <c r="AB252" i="68"/>
  <c r="AB255" i="68" s="1"/>
  <c r="AC18" i="8" s="1"/>
  <c r="N100" i="3"/>
  <c r="K99" i="69"/>
  <c r="N26" i="69"/>
  <c r="V26" i="69" s="1"/>
  <c r="M34" i="2"/>
  <c r="N34" i="2" s="1"/>
  <c r="D99" i="12"/>
  <c r="O35" i="12"/>
  <c r="AA89" i="37"/>
  <c r="F14" i="8"/>
  <c r="K65" i="69"/>
  <c r="N66" i="3"/>
  <c r="H33" i="3"/>
  <c r="I33" i="3" s="1"/>
  <c r="K32" i="69" s="1"/>
  <c r="Y90" i="69"/>
  <c r="Y34" i="69"/>
  <c r="E33" i="3"/>
  <c r="F33" i="3" s="1"/>
  <c r="D33" i="12" s="1"/>
  <c r="F28" i="3"/>
  <c r="D28" i="12" s="1"/>
  <c r="M28" i="12" s="1"/>
  <c r="O13" i="25"/>
  <c r="Y28" i="69"/>
  <c r="I26" i="31"/>
  <c r="AD26" i="31" s="1"/>
  <c r="K73" i="14"/>
  <c r="AA76" i="31"/>
  <c r="C74" i="16" s="1"/>
  <c r="K30" i="16"/>
  <c r="K56" i="15"/>
  <c r="AF95" i="31"/>
  <c r="AF98" i="31" s="1"/>
  <c r="AG98" i="31" s="1"/>
  <c r="J66" i="16"/>
  <c r="K66" i="16" s="1"/>
  <c r="Y93" i="37"/>
  <c r="E70" i="15"/>
  <c r="E71" i="15" s="1"/>
  <c r="K71" i="15" s="1"/>
  <c r="K70" i="15"/>
  <c r="E25" i="15"/>
  <c r="K38" i="14"/>
  <c r="K53" i="16"/>
  <c r="K60" i="15"/>
  <c r="K28" i="14"/>
  <c r="H100" i="31"/>
  <c r="J100" i="31" s="1"/>
  <c r="AE100" i="31" s="1"/>
  <c r="AF100" i="31" s="1"/>
  <c r="AF103" i="31" s="1"/>
  <c r="AG103" i="31" s="1"/>
  <c r="I100" i="31"/>
  <c r="AD100" i="31" s="1"/>
  <c r="K26" i="14"/>
  <c r="S31" i="31"/>
  <c r="J75" i="14"/>
  <c r="E28" i="16"/>
  <c r="J28" i="16"/>
  <c r="K28" i="16"/>
  <c r="H28" i="16"/>
  <c r="AB31" i="31"/>
  <c r="W76" i="31"/>
  <c r="AD31" i="31"/>
  <c r="F52" i="3"/>
  <c r="D52" i="12" s="1"/>
  <c r="Q30" i="30"/>
  <c r="H53" i="30"/>
  <c r="K71" i="16"/>
  <c r="K11" i="14"/>
  <c r="E15" i="15"/>
  <c r="J15" i="15"/>
  <c r="H22" i="15"/>
  <c r="K22" i="15"/>
  <c r="E22" i="15"/>
  <c r="J22" i="15"/>
  <c r="J70" i="14"/>
  <c r="E25" i="14"/>
  <c r="P25" i="14"/>
  <c r="J25" i="14"/>
  <c r="K20" i="14"/>
  <c r="E22" i="14"/>
  <c r="J22" i="14"/>
  <c r="P22" i="14"/>
  <c r="K39" i="16"/>
  <c r="E66" i="15"/>
  <c r="S14" i="21" s="1"/>
  <c r="E75" i="14"/>
  <c r="K63" i="14"/>
  <c r="K29" i="14"/>
  <c r="E19" i="16"/>
  <c r="J19" i="16"/>
  <c r="K24" i="14"/>
  <c r="K21" i="14"/>
  <c r="H30" i="30"/>
  <c r="K38" i="15"/>
  <c r="E70" i="14"/>
  <c r="Q14" i="21" s="1"/>
  <c r="J66" i="15"/>
  <c r="K49" i="14"/>
  <c r="K43" i="16"/>
  <c r="K41" i="16"/>
  <c r="E49" i="16"/>
  <c r="J49" i="16"/>
  <c r="E20" i="15"/>
  <c r="J20" i="15"/>
  <c r="J18" i="16"/>
  <c r="E18" i="16"/>
  <c r="K17" i="14"/>
  <c r="L14" i="8"/>
  <c r="L12" i="8" s="1"/>
  <c r="L42" i="8" s="1"/>
  <c r="L40" i="8" s="1"/>
  <c r="K40" i="8"/>
  <c r="K36" i="8" s="1"/>
  <c r="S36" i="69"/>
  <c r="H36" i="24"/>
  <c r="C68" i="27"/>
  <c r="S37" i="69"/>
  <c r="Y37" i="69" s="1"/>
  <c r="S35" i="69"/>
  <c r="U35" i="69"/>
  <c r="H35" i="24"/>
  <c r="K35" i="24"/>
  <c r="K36" i="24" s="1"/>
  <c r="K37" i="24" s="1"/>
  <c r="O37" i="24" s="1"/>
  <c r="P37" i="24" s="1"/>
  <c r="U36" i="69"/>
  <c r="U27" i="8"/>
  <c r="I25" i="5"/>
  <c r="I49" i="8" s="1"/>
  <c r="Q63" i="39"/>
  <c r="Q66" i="39" s="1"/>
  <c r="H65" i="9" s="1"/>
  <c r="H45" i="69" s="1"/>
  <c r="M38" i="12"/>
  <c r="G38" i="12"/>
  <c r="D38" i="13" s="1"/>
  <c r="J38" i="12"/>
  <c r="L37" i="69" s="1"/>
  <c r="Y27" i="69"/>
  <c r="N38" i="3"/>
  <c r="T55" i="69"/>
  <c r="P55" i="2"/>
  <c r="D46" i="69"/>
  <c r="E46" i="69" s="1"/>
  <c r="N52" i="2"/>
  <c r="C52" i="21" s="1"/>
  <c r="C52" i="24" s="1"/>
  <c r="R55" i="69"/>
  <c r="L58" i="13"/>
  <c r="T95" i="69"/>
  <c r="V95" i="69"/>
  <c r="R95" i="69"/>
  <c r="P95" i="2"/>
  <c r="C94" i="21"/>
  <c r="C94" i="24" s="1"/>
  <c r="I94" i="24" s="1"/>
  <c r="G94" i="21" s="1"/>
  <c r="I94" i="21" s="1"/>
  <c r="C26" i="21"/>
  <c r="C26" i="24" s="1"/>
  <c r="N52" i="69"/>
  <c r="G53" i="13"/>
  <c r="J53" i="13"/>
  <c r="K35" i="2"/>
  <c r="K25" i="69"/>
  <c r="E12" i="8"/>
  <c r="E42" i="8" s="1"/>
  <c r="AA276" i="68"/>
  <c r="AA285" i="68" s="1"/>
  <c r="AA241" i="68"/>
  <c r="AA252" i="68"/>
  <c r="AA255" i="68" s="1"/>
  <c r="H14" i="8"/>
  <c r="H12" i="8" s="1"/>
  <c r="H18" i="26" s="1"/>
  <c r="AB285" i="68"/>
  <c r="Z18" i="8" s="1"/>
  <c r="Z16" i="8" s="1"/>
  <c r="Z285" i="68"/>
  <c r="AB241" i="68"/>
  <c r="Y18" i="8" s="1"/>
  <c r="Y14" i="8" s="1"/>
  <c r="M28" i="2"/>
  <c r="M28" i="69"/>
  <c r="K25" i="2"/>
  <c r="G99" i="12"/>
  <c r="C16" i="15"/>
  <c r="AD15" i="31"/>
  <c r="AH15" i="31"/>
  <c r="AC15" i="31"/>
  <c r="R79" i="31"/>
  <c r="R76" i="31"/>
  <c r="I71" i="5"/>
  <c r="I74" i="5"/>
  <c r="E36" i="15"/>
  <c r="E49" i="15" s="1"/>
  <c r="J36" i="15"/>
  <c r="K89" i="24"/>
  <c r="K28" i="24"/>
  <c r="K33" i="24"/>
  <c r="K32" i="24"/>
  <c r="K47" i="24"/>
  <c r="F15" i="2"/>
  <c r="E21" i="2"/>
  <c r="E33" i="24"/>
  <c r="E47" i="24"/>
  <c r="E32" i="24"/>
  <c r="E28" i="24"/>
  <c r="E89" i="24"/>
  <c r="O27" i="24"/>
  <c r="P27" i="24" s="1"/>
  <c r="I16" i="8"/>
  <c r="AB304" i="68"/>
  <c r="AB318" i="68" s="1"/>
  <c r="AA18" i="8" s="1"/>
  <c r="Z318" i="68"/>
  <c r="G20" i="12"/>
  <c r="J20" i="12"/>
  <c r="M20" i="12"/>
  <c r="K58" i="69"/>
  <c r="K58" i="2"/>
  <c r="J26" i="31"/>
  <c r="H76" i="31"/>
  <c r="I18" i="24"/>
  <c r="F18" i="24"/>
  <c r="L18" i="24"/>
  <c r="E84" i="25"/>
  <c r="F16" i="25" s="1"/>
  <c r="E83" i="25"/>
  <c r="K29" i="69"/>
  <c r="K29" i="2"/>
  <c r="L62" i="3"/>
  <c r="F19" i="21"/>
  <c r="O19" i="21"/>
  <c r="W321" i="68"/>
  <c r="E17" i="15"/>
  <c r="J17" i="15"/>
  <c r="D29" i="13"/>
  <c r="O29" i="12"/>
  <c r="O36" i="3"/>
  <c r="P36" i="3" s="1"/>
  <c r="F36" i="3"/>
  <c r="J19" i="12"/>
  <c r="G19" i="12"/>
  <c r="M19" i="12"/>
  <c r="E69" i="25"/>
  <c r="E14" i="25"/>
  <c r="I41" i="69"/>
  <c r="C42" i="3" s="1"/>
  <c r="M87" i="12"/>
  <c r="G87" i="12"/>
  <c r="J87" i="12"/>
  <c r="L33" i="69"/>
  <c r="L33" i="2"/>
  <c r="J30" i="31"/>
  <c r="AE30" i="31" s="1"/>
  <c r="E76" i="31"/>
  <c r="Y29" i="69"/>
  <c r="Y33" i="69"/>
  <c r="K44" i="2"/>
  <c r="K44" i="69"/>
  <c r="N45" i="3"/>
  <c r="Q76" i="31"/>
  <c r="S15" i="31"/>
  <c r="AA304" i="68"/>
  <c r="AA318" i="68" s="1"/>
  <c r="J27" i="15"/>
  <c r="E27" i="15"/>
  <c r="N59" i="3"/>
  <c r="D59" i="12"/>
  <c r="D29" i="29"/>
  <c r="D28" i="29"/>
  <c r="AB186" i="68"/>
  <c r="AA186" i="68"/>
  <c r="M55" i="12"/>
  <c r="J55" i="12"/>
  <c r="G55" i="12"/>
  <c r="D30" i="12"/>
  <c r="N30" i="3"/>
  <c r="K47" i="5"/>
  <c r="J47" i="5"/>
  <c r="I25" i="8"/>
  <c r="U25" i="8"/>
  <c r="D29" i="8"/>
  <c r="K13" i="69"/>
  <c r="N13" i="69" s="1"/>
  <c r="K13" i="2"/>
  <c r="N13" i="2" s="1"/>
  <c r="E43" i="24"/>
  <c r="M44" i="2"/>
  <c r="M44" i="69"/>
  <c r="Q77" i="39"/>
  <c r="Q80" i="39" s="1"/>
  <c r="H67" i="9"/>
  <c r="K59" i="14"/>
  <c r="Z64" i="68"/>
  <c r="AA64" i="68" s="1"/>
  <c r="AA183" i="68" s="1"/>
  <c r="Y183" i="68"/>
  <c r="F65" i="13"/>
  <c r="I81" i="13"/>
  <c r="I61" i="13"/>
  <c r="I82" i="13"/>
  <c r="I96" i="13" s="1"/>
  <c r="I75" i="13"/>
  <c r="I66" i="13"/>
  <c r="I67" i="13" s="1"/>
  <c r="I68" i="13" s="1"/>
  <c r="I69" i="13" s="1"/>
  <c r="I70" i="13" s="1"/>
  <c r="I71" i="13" s="1"/>
  <c r="I72" i="13" s="1"/>
  <c r="I73" i="13" s="1"/>
  <c r="I74" i="13" s="1"/>
  <c r="I80" i="13" s="1"/>
  <c r="I76" i="13"/>
  <c r="K34" i="15"/>
  <c r="M32" i="12"/>
  <c r="G32" i="12"/>
  <c r="J32" i="12"/>
  <c r="J50" i="12"/>
  <c r="M50" i="12"/>
  <c r="G50" i="12"/>
  <c r="D34" i="13"/>
  <c r="O34" i="12"/>
  <c r="H39" i="3"/>
  <c r="I39" i="3" s="1"/>
  <c r="H46" i="3"/>
  <c r="H31" i="3"/>
  <c r="I31" i="3" s="1"/>
  <c r="H61" i="3"/>
  <c r="I61" i="3" s="1"/>
  <c r="H42" i="3"/>
  <c r="H90" i="3"/>
  <c r="I90" i="3" s="1"/>
  <c r="H97" i="3"/>
  <c r="I97" i="3" s="1"/>
  <c r="K96" i="69" s="1"/>
  <c r="H62" i="3"/>
  <c r="I62" i="3" s="1"/>
  <c r="H93" i="3"/>
  <c r="I93" i="3" s="1"/>
  <c r="H63" i="3"/>
  <c r="I63" i="3" s="1"/>
  <c r="H92" i="3"/>
  <c r="I92" i="3" s="1"/>
  <c r="H94" i="3"/>
  <c r="H49" i="3"/>
  <c r="I49" i="3" s="1"/>
  <c r="H41" i="3"/>
  <c r="C28" i="15"/>
  <c r="AC31" i="31"/>
  <c r="AH31" i="31"/>
  <c r="N48" i="3"/>
  <c r="D48" i="12"/>
  <c r="Y248" i="68"/>
  <c r="Z245" i="68"/>
  <c r="AB245" i="68" s="1"/>
  <c r="AB248" i="68" s="1"/>
  <c r="AB18" i="8" s="1"/>
  <c r="L28" i="2"/>
  <c r="L28" i="69"/>
  <c r="AD30" i="31"/>
  <c r="C30" i="14"/>
  <c r="G17" i="12"/>
  <c r="J17" i="12"/>
  <c r="M17" i="12"/>
  <c r="P31" i="14"/>
  <c r="K31" i="14"/>
  <c r="J31" i="14"/>
  <c r="E31" i="14"/>
  <c r="H31" i="14"/>
  <c r="K71" i="5"/>
  <c r="L36" i="12" s="1"/>
  <c r="J71" i="5"/>
  <c r="I36" i="12" s="1"/>
  <c r="Z194" i="68"/>
  <c r="AB194" i="68" s="1"/>
  <c r="Y208" i="68"/>
  <c r="F54" i="3"/>
  <c r="L54" i="3"/>
  <c r="I54" i="3"/>
  <c r="J39" i="14"/>
  <c r="J52" i="14" s="1"/>
  <c r="E39" i="14"/>
  <c r="E52" i="14" s="1"/>
  <c r="P39" i="14"/>
  <c r="E31" i="3"/>
  <c r="E61" i="3"/>
  <c r="E49" i="3"/>
  <c r="E39" i="3"/>
  <c r="E62" i="3"/>
  <c r="F62" i="3" s="1"/>
  <c r="E97" i="3"/>
  <c r="E44" i="3"/>
  <c r="E92" i="3"/>
  <c r="E90" i="3"/>
  <c r="E94" i="3"/>
  <c r="E63" i="3"/>
  <c r="E46" i="3"/>
  <c r="E42" i="3"/>
  <c r="O26" i="3"/>
  <c r="P26" i="3" s="1"/>
  <c r="E41" i="3"/>
  <c r="E93" i="3"/>
  <c r="K51" i="2"/>
  <c r="K51" i="69"/>
  <c r="D14" i="12"/>
  <c r="N14" i="3"/>
  <c r="L44" i="69"/>
  <c r="L44" i="2"/>
  <c r="H93" i="69"/>
  <c r="I93" i="69" s="1"/>
  <c r="C94" i="3" s="1"/>
  <c r="H93" i="2"/>
  <c r="J93" i="2" s="1"/>
  <c r="L55" i="24"/>
  <c r="J55" i="21" s="1"/>
  <c r="L55" i="21" s="1"/>
  <c r="J41" i="2"/>
  <c r="F26" i="3"/>
  <c r="M33" i="2"/>
  <c r="M33" i="69"/>
  <c r="F29" i="26"/>
  <c r="Y32" i="69"/>
  <c r="Y47" i="69"/>
  <c r="U26" i="8"/>
  <c r="I26" i="8"/>
  <c r="Z26" i="8" s="1"/>
  <c r="M18" i="12"/>
  <c r="J18" i="12"/>
  <c r="G18" i="12"/>
  <c r="E45" i="2"/>
  <c r="F45" i="2" s="1"/>
  <c r="F46" i="2"/>
  <c r="J25" i="5"/>
  <c r="K25" i="5"/>
  <c r="I50" i="8" s="1"/>
  <c r="Z50" i="8" s="1"/>
  <c r="D27" i="29"/>
  <c r="E36" i="24"/>
  <c r="D10" i="29"/>
  <c r="K26" i="24"/>
  <c r="K49" i="24" s="1"/>
  <c r="K48" i="24"/>
  <c r="K61" i="24"/>
  <c r="K95" i="24"/>
  <c r="K90" i="24"/>
  <c r="K30" i="24"/>
  <c r="K60" i="24"/>
  <c r="K31" i="24"/>
  <c r="K92" i="24"/>
  <c r="K46" i="24"/>
  <c r="K91" i="24"/>
  <c r="K62" i="24"/>
  <c r="K45" i="24"/>
  <c r="K41" i="24"/>
  <c r="K44" i="24" s="1"/>
  <c r="K88" i="24"/>
  <c r="K38" i="24"/>
  <c r="K40" i="24"/>
  <c r="K43" i="24" s="1"/>
  <c r="G16" i="8"/>
  <c r="G14" i="8"/>
  <c r="E74" i="25"/>
  <c r="E75" i="25"/>
  <c r="F15" i="25" s="1"/>
  <c r="I50" i="5"/>
  <c r="F42" i="12" s="1"/>
  <c r="I51" i="5"/>
  <c r="F44" i="12" s="1"/>
  <c r="K51" i="5"/>
  <c r="L44" i="12" s="1"/>
  <c r="J50" i="5"/>
  <c r="I42" i="12" s="1"/>
  <c r="I49" i="12" s="1"/>
  <c r="I47" i="5"/>
  <c r="K47" i="69"/>
  <c r="K47" i="2"/>
  <c r="D45" i="13"/>
  <c r="O45" i="12"/>
  <c r="D21" i="69"/>
  <c r="E15" i="69"/>
  <c r="C39" i="29"/>
  <c r="D37" i="29" s="1"/>
  <c r="J35" i="13"/>
  <c r="G35" i="13"/>
  <c r="N34" i="69"/>
  <c r="N36" i="2"/>
  <c r="G37" i="13"/>
  <c r="J37" i="13"/>
  <c r="N36" i="69"/>
  <c r="L57" i="24"/>
  <c r="J57" i="21" s="1"/>
  <c r="L57" i="21" s="1"/>
  <c r="I57" i="24"/>
  <c r="G57" i="21" s="1"/>
  <c r="I57" i="21" s="1"/>
  <c r="F57" i="24"/>
  <c r="T321" i="68"/>
  <c r="I12" i="10" s="1"/>
  <c r="I13" i="10" s="1"/>
  <c r="D84" i="69" s="1"/>
  <c r="Z37" i="68"/>
  <c r="AB37" i="68" s="1"/>
  <c r="Y51" i="68"/>
  <c r="D18" i="8"/>
  <c r="M23" i="43"/>
  <c r="N43" i="3" l="1"/>
  <c r="D43" i="12"/>
  <c r="K42" i="2"/>
  <c r="K42" i="69"/>
  <c r="M13" i="12"/>
  <c r="G38" i="13"/>
  <c r="J38" i="13"/>
  <c r="L38" i="13" s="1"/>
  <c r="T26" i="69"/>
  <c r="R26" i="69"/>
  <c r="E24" i="16"/>
  <c r="AB70" i="37"/>
  <c r="AB80" i="37" s="1"/>
  <c r="D11" i="29"/>
  <c r="E26" i="26" s="1"/>
  <c r="K24" i="16"/>
  <c r="K36" i="15"/>
  <c r="J24" i="16"/>
  <c r="J32" i="16" s="1"/>
  <c r="J74" i="16" s="1"/>
  <c r="Y48" i="69"/>
  <c r="V16" i="8"/>
  <c r="F12" i="8"/>
  <c r="F18" i="26" s="1"/>
  <c r="F14" i="26" s="1"/>
  <c r="D20" i="29"/>
  <c r="Q52" i="69" s="1"/>
  <c r="D21" i="29"/>
  <c r="H52" i="24" s="1"/>
  <c r="I52" i="24" s="1"/>
  <c r="G52" i="21" s="1"/>
  <c r="I52" i="21" s="1"/>
  <c r="H60" i="9"/>
  <c r="H14" i="69" s="1"/>
  <c r="I14" i="69" s="1"/>
  <c r="Y32" i="37"/>
  <c r="AB52" i="37"/>
  <c r="H10" i="29"/>
  <c r="H14" i="29" s="1"/>
  <c r="I10" i="29" s="1"/>
  <c r="Q42" i="69" s="1"/>
  <c r="K52" i="24"/>
  <c r="L52" i="24" s="1"/>
  <c r="J52" i="21" s="1"/>
  <c r="L52" i="21" s="1"/>
  <c r="I93" i="37"/>
  <c r="AA91" i="37"/>
  <c r="AB91" i="37" s="1"/>
  <c r="V77" i="37"/>
  <c r="K27" i="2"/>
  <c r="E61" i="24"/>
  <c r="O61" i="24" s="1"/>
  <c r="P61" i="24" s="1"/>
  <c r="E90" i="24"/>
  <c r="E40" i="24"/>
  <c r="Y60" i="69"/>
  <c r="I29" i="26"/>
  <c r="Y38" i="69"/>
  <c r="E30" i="24"/>
  <c r="O30" i="24" s="1"/>
  <c r="P30" i="24" s="1"/>
  <c r="Y30" i="69"/>
  <c r="Y96" i="69"/>
  <c r="Y40" i="69"/>
  <c r="Y91" i="69"/>
  <c r="Y41" i="69"/>
  <c r="E92" i="24"/>
  <c r="O92" i="24" s="1"/>
  <c r="P92" i="24" s="1"/>
  <c r="Y46" i="69"/>
  <c r="E88" i="24"/>
  <c r="O88" i="24" s="1"/>
  <c r="P88" i="24" s="1"/>
  <c r="O25" i="24"/>
  <c r="P25" i="24" s="1"/>
  <c r="E31" i="24"/>
  <c r="O31" i="24" s="1"/>
  <c r="P31" i="24" s="1"/>
  <c r="E41" i="24"/>
  <c r="O41" i="24" s="1"/>
  <c r="P41" i="24" s="1"/>
  <c r="E62" i="24"/>
  <c r="O62" i="24" s="1"/>
  <c r="P62" i="24" s="1"/>
  <c r="E26" i="24"/>
  <c r="E44" i="24" s="1"/>
  <c r="O44" i="24" s="1"/>
  <c r="P44" i="24" s="1"/>
  <c r="E60" i="24"/>
  <c r="O60" i="24" s="1"/>
  <c r="P60" i="24" s="1"/>
  <c r="E91" i="24"/>
  <c r="O91" i="24" s="1"/>
  <c r="P91" i="24" s="1"/>
  <c r="E38" i="24"/>
  <c r="O38" i="24" s="1"/>
  <c r="P38" i="24" s="1"/>
  <c r="E48" i="24"/>
  <c r="O48" i="24" s="1"/>
  <c r="P48" i="24" s="1"/>
  <c r="E45" i="24"/>
  <c r="O45" i="24" s="1"/>
  <c r="P45" i="24" s="1"/>
  <c r="Y89" i="69"/>
  <c r="Y61" i="69"/>
  <c r="D29" i="26"/>
  <c r="Y49" i="69"/>
  <c r="Y45" i="69"/>
  <c r="Y25" i="69"/>
  <c r="Y44" i="69"/>
  <c r="Y62" i="69"/>
  <c r="Y43" i="69"/>
  <c r="Y26" i="69"/>
  <c r="K12" i="2"/>
  <c r="N12" i="2" s="1"/>
  <c r="N13" i="3"/>
  <c r="G13" i="12"/>
  <c r="O13" i="12" s="1"/>
  <c r="K20" i="15"/>
  <c r="I79" i="31"/>
  <c r="I76" i="31"/>
  <c r="D44" i="25" s="1"/>
  <c r="C27" i="14"/>
  <c r="P27" i="14" s="1"/>
  <c r="P32" i="37"/>
  <c r="N77" i="37"/>
  <c r="I16" i="37"/>
  <c r="H77" i="37"/>
  <c r="Y15" i="37"/>
  <c r="AA15" i="37" s="1"/>
  <c r="X77" i="37"/>
  <c r="AC14" i="8"/>
  <c r="AC16" i="8"/>
  <c r="K32" i="2"/>
  <c r="P52" i="2"/>
  <c r="N28" i="3"/>
  <c r="M37" i="69"/>
  <c r="M37" i="2"/>
  <c r="AB14" i="8"/>
  <c r="AB16" i="8"/>
  <c r="H42" i="8"/>
  <c r="H40" i="8" s="1"/>
  <c r="Y16" i="8"/>
  <c r="Y12" i="8" s="1"/>
  <c r="Y42" i="8" s="1"/>
  <c r="G12" i="8"/>
  <c r="G18" i="26" s="1"/>
  <c r="E18" i="26"/>
  <c r="E16" i="26" s="1"/>
  <c r="Y36" i="69"/>
  <c r="O33" i="3"/>
  <c r="P33" i="3" s="1"/>
  <c r="G28" i="12"/>
  <c r="D28" i="13" s="1"/>
  <c r="O89" i="24"/>
  <c r="P89" i="24" s="1"/>
  <c r="J28" i="12"/>
  <c r="L27" i="2" s="1"/>
  <c r="N33" i="3"/>
  <c r="D46" i="25"/>
  <c r="K15" i="15"/>
  <c r="K75" i="14"/>
  <c r="K22" i="14"/>
  <c r="AB76" i="31"/>
  <c r="D27" i="25" s="1"/>
  <c r="D37" i="25"/>
  <c r="AE31" i="31"/>
  <c r="N52" i="3"/>
  <c r="E32" i="16"/>
  <c r="U11" i="21" s="1"/>
  <c r="K25" i="14"/>
  <c r="K66" i="15"/>
  <c r="K70" i="14"/>
  <c r="K27" i="15"/>
  <c r="K19" i="16"/>
  <c r="K18" i="16"/>
  <c r="K17" i="15"/>
  <c r="K39" i="14"/>
  <c r="K49" i="16"/>
  <c r="K52" i="14"/>
  <c r="L38" i="8"/>
  <c r="L36" i="8" s="1"/>
  <c r="Y35" i="69"/>
  <c r="O35" i="24"/>
  <c r="P35" i="24" s="1"/>
  <c r="O36" i="24"/>
  <c r="P36" i="24" s="1"/>
  <c r="O46" i="3"/>
  <c r="P46" i="3" s="1"/>
  <c r="H25" i="5"/>
  <c r="H45" i="2"/>
  <c r="J45" i="2" s="1"/>
  <c r="O38" i="12"/>
  <c r="F94" i="24"/>
  <c r="D94" i="21" s="1"/>
  <c r="D45" i="69"/>
  <c r="E45" i="69" s="1"/>
  <c r="I45" i="69" s="1"/>
  <c r="C46" i="3" s="1"/>
  <c r="O42" i="3"/>
  <c r="P42" i="3" s="1"/>
  <c r="O43" i="24"/>
  <c r="P43" i="24" s="1"/>
  <c r="O32" i="24"/>
  <c r="P32" i="24" s="1"/>
  <c r="O47" i="24"/>
  <c r="P47" i="24" s="1"/>
  <c r="N33" i="2"/>
  <c r="C33" i="21" s="1"/>
  <c r="C33" i="24" s="1"/>
  <c r="V52" i="69"/>
  <c r="L94" i="24"/>
  <c r="J94" i="21" s="1"/>
  <c r="L94" i="21" s="1"/>
  <c r="L35" i="13"/>
  <c r="N44" i="69"/>
  <c r="R44" i="69" s="1"/>
  <c r="N33" i="69"/>
  <c r="T33" i="69" s="1"/>
  <c r="K96" i="2"/>
  <c r="L53" i="13"/>
  <c r="AA194" i="68"/>
  <c r="AA208" i="68" s="1"/>
  <c r="Z14" i="8"/>
  <c r="Z12" i="8" s="1"/>
  <c r="Z42" i="8" s="1"/>
  <c r="Z38" i="8" s="1"/>
  <c r="E40" i="8"/>
  <c r="E38" i="8"/>
  <c r="N62" i="3"/>
  <c r="D62" i="12"/>
  <c r="K61" i="69"/>
  <c r="K61" i="2"/>
  <c r="U15" i="69"/>
  <c r="K15" i="24"/>
  <c r="L17" i="69"/>
  <c r="I99" i="12"/>
  <c r="L17" i="2"/>
  <c r="D36" i="29"/>
  <c r="O92" i="3"/>
  <c r="P92" i="3" s="1"/>
  <c r="F92" i="3"/>
  <c r="J48" i="12"/>
  <c r="M48" i="12"/>
  <c r="G48" i="12"/>
  <c r="K60" i="69"/>
  <c r="K60" i="2"/>
  <c r="L49" i="69"/>
  <c r="L49" i="2"/>
  <c r="L31" i="2"/>
  <c r="L31" i="69"/>
  <c r="L66" i="12"/>
  <c r="M66" i="12" s="1"/>
  <c r="L70" i="12"/>
  <c r="L74" i="12"/>
  <c r="L80" i="12" s="1"/>
  <c r="L78" i="12"/>
  <c r="M78" i="12" s="1"/>
  <c r="L73" i="12"/>
  <c r="L67" i="12"/>
  <c r="L71" i="12"/>
  <c r="L75" i="12"/>
  <c r="L79" i="12"/>
  <c r="M79" i="12" s="1"/>
  <c r="L69" i="12"/>
  <c r="L68" i="12"/>
  <c r="L72" i="12"/>
  <c r="L76" i="12"/>
  <c r="L65" i="12"/>
  <c r="L77" i="12"/>
  <c r="M77" i="12" s="1"/>
  <c r="L41" i="12"/>
  <c r="L54" i="2"/>
  <c r="L54" i="69"/>
  <c r="H26" i="26"/>
  <c r="H14" i="26" s="1"/>
  <c r="J45" i="13"/>
  <c r="G45" i="13"/>
  <c r="J14" i="12"/>
  <c r="M14" i="12"/>
  <c r="G14" i="12"/>
  <c r="F44" i="3"/>
  <c r="Z248" i="68"/>
  <c r="AA245" i="68"/>
  <c r="AA248" i="68" s="1"/>
  <c r="K21" i="69"/>
  <c r="N12" i="69"/>
  <c r="K91" i="69"/>
  <c r="K91" i="2"/>
  <c r="K30" i="69"/>
  <c r="K30" i="2"/>
  <c r="J34" i="13"/>
  <c r="G34" i="13"/>
  <c r="D32" i="13"/>
  <c r="O32" i="12"/>
  <c r="T13" i="69"/>
  <c r="V13" i="69"/>
  <c r="R13" i="69"/>
  <c r="AE15" i="31"/>
  <c r="S76" i="31"/>
  <c r="D26" i="25" s="1"/>
  <c r="D36" i="25"/>
  <c r="D19" i="13"/>
  <c r="O19" i="12"/>
  <c r="G16" i="21"/>
  <c r="I16" i="21" s="1"/>
  <c r="G18" i="21"/>
  <c r="I18" i="21" s="1"/>
  <c r="AE26" i="31"/>
  <c r="J76" i="31"/>
  <c r="D25" i="25" s="1"/>
  <c r="D35" i="25"/>
  <c r="D14" i="8"/>
  <c r="J49" i="15"/>
  <c r="K49" i="15" s="1"/>
  <c r="E21" i="69"/>
  <c r="I15" i="69"/>
  <c r="P44" i="12"/>
  <c r="Q44" i="12" s="1"/>
  <c r="D14" i="29"/>
  <c r="E25" i="26"/>
  <c r="D26" i="12"/>
  <c r="N26" i="3"/>
  <c r="O94" i="3"/>
  <c r="P94" i="3" s="1"/>
  <c r="F97" i="3"/>
  <c r="O97" i="3"/>
  <c r="P97" i="3" s="1"/>
  <c r="F61" i="3"/>
  <c r="O61" i="3"/>
  <c r="P61" i="3" s="1"/>
  <c r="M16" i="69"/>
  <c r="M16" i="2"/>
  <c r="L99" i="12"/>
  <c r="M99" i="12" s="1"/>
  <c r="T12" i="25"/>
  <c r="AC79" i="31"/>
  <c r="AA80" i="31" s="1"/>
  <c r="I41" i="3"/>
  <c r="H44" i="3"/>
  <c r="I44" i="3" s="1"/>
  <c r="K62" i="69"/>
  <c r="K62" i="2"/>
  <c r="K89" i="69"/>
  <c r="K89" i="2"/>
  <c r="O50" i="12"/>
  <c r="D50" i="13"/>
  <c r="M31" i="69"/>
  <c r="M31" i="2"/>
  <c r="F76" i="13"/>
  <c r="M76" i="13" s="1"/>
  <c r="N76" i="13" s="1"/>
  <c r="M65" i="13"/>
  <c r="F75" i="13"/>
  <c r="M75" i="13" s="1"/>
  <c r="N75" i="13" s="1"/>
  <c r="F81" i="13"/>
  <c r="M81" i="13" s="1"/>
  <c r="N81" i="13" s="1"/>
  <c r="F82" i="13"/>
  <c r="F61" i="13"/>
  <c r="M61" i="13" s="1"/>
  <c r="N61" i="13" s="1"/>
  <c r="F66" i="13"/>
  <c r="AB64" i="68"/>
  <c r="AB183" i="68" s="1"/>
  <c r="W18" i="8" s="1"/>
  <c r="Z183" i="68"/>
  <c r="O40" i="24"/>
  <c r="P40" i="24" s="1"/>
  <c r="O90" i="24"/>
  <c r="P90" i="24" s="1"/>
  <c r="I29" i="8"/>
  <c r="Z25" i="8"/>
  <c r="Z29" i="8" s="1"/>
  <c r="G30" i="12"/>
  <c r="J30" i="12"/>
  <c r="M30" i="12"/>
  <c r="Z208" i="68"/>
  <c r="S54" i="69"/>
  <c r="H54" i="24"/>
  <c r="E55" i="24"/>
  <c r="Z49" i="8"/>
  <c r="J29" i="13"/>
  <c r="G29" i="13"/>
  <c r="D20" i="13"/>
  <c r="O20" i="12"/>
  <c r="O33" i="24"/>
  <c r="P33" i="24" s="1"/>
  <c r="J15" i="2"/>
  <c r="F21" i="2"/>
  <c r="K34" i="24"/>
  <c r="K29" i="24"/>
  <c r="H71" i="5"/>
  <c r="F36" i="12"/>
  <c r="P36" i="12" s="1"/>
  <c r="Q36" i="12" s="1"/>
  <c r="O93" i="3"/>
  <c r="P93" i="3" s="1"/>
  <c r="F93" i="3"/>
  <c r="O39" i="3"/>
  <c r="P39" i="3" s="1"/>
  <c r="F39" i="3"/>
  <c r="D17" i="13"/>
  <c r="O17" i="12"/>
  <c r="H46" i="69"/>
  <c r="H46" i="2"/>
  <c r="P13" i="2"/>
  <c r="C13" i="21"/>
  <c r="C13" i="24" s="1"/>
  <c r="L13" i="24" s="1"/>
  <c r="J13" i="21" s="1"/>
  <c r="L13" i="21" s="1"/>
  <c r="M87" i="2"/>
  <c r="N87" i="2" s="1"/>
  <c r="M87" i="69"/>
  <c r="N87" i="69" s="1"/>
  <c r="D18" i="21"/>
  <c r="N18" i="24"/>
  <c r="D16" i="21"/>
  <c r="F16" i="21" s="1"/>
  <c r="J16" i="15"/>
  <c r="E16" i="15"/>
  <c r="N28" i="2"/>
  <c r="D35" i="29"/>
  <c r="E78" i="25"/>
  <c r="E15" i="25"/>
  <c r="Q54" i="69"/>
  <c r="E54" i="24"/>
  <c r="D31" i="29"/>
  <c r="I94" i="3"/>
  <c r="F94" i="3"/>
  <c r="L94" i="3"/>
  <c r="F41" i="3"/>
  <c r="O41" i="3"/>
  <c r="P41" i="3" s="1"/>
  <c r="F63" i="3"/>
  <c r="O63" i="3"/>
  <c r="P63" i="3" s="1"/>
  <c r="F49" i="3"/>
  <c r="O49" i="3"/>
  <c r="P49" i="3" s="1"/>
  <c r="K53" i="2"/>
  <c r="K53" i="69"/>
  <c r="P30" i="14"/>
  <c r="H30" i="14"/>
  <c r="E30" i="14"/>
  <c r="J30" i="14"/>
  <c r="K30" i="14"/>
  <c r="U29" i="8"/>
  <c r="M54" i="69"/>
  <c r="M54" i="2"/>
  <c r="E87" i="25"/>
  <c r="E16" i="25"/>
  <c r="F46" i="13"/>
  <c r="J74" i="5"/>
  <c r="F46" i="12"/>
  <c r="D99" i="13"/>
  <c r="H16" i="26"/>
  <c r="F77" i="12"/>
  <c r="F68" i="12"/>
  <c r="F72" i="12"/>
  <c r="F76" i="12"/>
  <c r="F65" i="12"/>
  <c r="F75" i="12"/>
  <c r="F78" i="12"/>
  <c r="F69" i="12"/>
  <c r="F73" i="12"/>
  <c r="F66" i="12"/>
  <c r="F67" i="12"/>
  <c r="F79" i="12"/>
  <c r="F70" i="12"/>
  <c r="F74" i="12"/>
  <c r="F71" i="12"/>
  <c r="H47" i="5"/>
  <c r="F41" i="12"/>
  <c r="P42" i="12"/>
  <c r="Q42" i="12" s="1"/>
  <c r="F49" i="12"/>
  <c r="P49" i="12" s="1"/>
  <c r="Q49" i="12" s="1"/>
  <c r="I51" i="8"/>
  <c r="Z51" i="8" s="1"/>
  <c r="I26" i="12"/>
  <c r="O18" i="12"/>
  <c r="D18" i="13"/>
  <c r="N44" i="2"/>
  <c r="F90" i="3"/>
  <c r="O90" i="3"/>
  <c r="P90" i="3" s="1"/>
  <c r="O62" i="3"/>
  <c r="P62" i="3" s="1"/>
  <c r="O31" i="3"/>
  <c r="P31" i="3" s="1"/>
  <c r="F31" i="3"/>
  <c r="D54" i="12"/>
  <c r="N54" i="3"/>
  <c r="E28" i="15"/>
  <c r="J28" i="15"/>
  <c r="K28" i="15"/>
  <c r="G33" i="12"/>
  <c r="J33" i="12"/>
  <c r="M33" i="12"/>
  <c r="K48" i="69"/>
  <c r="K48" i="2"/>
  <c r="K92" i="69"/>
  <c r="K92" i="2"/>
  <c r="K38" i="69"/>
  <c r="K38" i="2"/>
  <c r="M49" i="69"/>
  <c r="M49" i="2"/>
  <c r="O95" i="24"/>
  <c r="P95" i="24" s="1"/>
  <c r="G52" i="12"/>
  <c r="M52" i="12"/>
  <c r="J52" i="12"/>
  <c r="I68" i="12"/>
  <c r="I72" i="12"/>
  <c r="I76" i="12"/>
  <c r="I67" i="12"/>
  <c r="I79" i="12"/>
  <c r="J79" i="12" s="1"/>
  <c r="I65" i="12"/>
  <c r="I69" i="12"/>
  <c r="I73" i="12"/>
  <c r="I77" i="12"/>
  <c r="J77" i="12" s="1"/>
  <c r="I71" i="12"/>
  <c r="I66" i="12"/>
  <c r="J66" i="12" s="1"/>
  <c r="I70" i="12"/>
  <c r="I74" i="12"/>
  <c r="I80" i="12" s="1"/>
  <c r="I78" i="12"/>
  <c r="J78" i="12" s="1"/>
  <c r="I75" i="12"/>
  <c r="I41" i="12"/>
  <c r="O55" i="12"/>
  <c r="D55" i="13"/>
  <c r="AB208" i="68"/>
  <c r="X18" i="8" s="1"/>
  <c r="U54" i="69"/>
  <c r="H55" i="24"/>
  <c r="I55" i="24" s="1"/>
  <c r="G55" i="21" s="1"/>
  <c r="I55" i="21" s="1"/>
  <c r="K54" i="24"/>
  <c r="J59" i="12"/>
  <c r="G59" i="12"/>
  <c r="M59" i="12"/>
  <c r="D87" i="13"/>
  <c r="O87" i="12"/>
  <c r="L42" i="3"/>
  <c r="F42" i="3"/>
  <c r="I42" i="3"/>
  <c r="D36" i="12"/>
  <c r="N36" i="3"/>
  <c r="J18" i="21"/>
  <c r="L18" i="21" s="1"/>
  <c r="J16" i="21"/>
  <c r="L16" i="21" s="1"/>
  <c r="I14" i="8"/>
  <c r="I12" i="8" s="1"/>
  <c r="E29" i="24"/>
  <c r="E34" i="24"/>
  <c r="O28" i="24"/>
  <c r="P28" i="24" s="1"/>
  <c r="M27" i="69"/>
  <c r="M27" i="2"/>
  <c r="C74" i="15"/>
  <c r="D45" i="25"/>
  <c r="N28" i="69"/>
  <c r="C36" i="21"/>
  <c r="P36" i="2"/>
  <c r="V36" i="69"/>
  <c r="T36" i="69"/>
  <c r="R36" i="69"/>
  <c r="L37" i="13"/>
  <c r="P34" i="2"/>
  <c r="C34" i="21"/>
  <c r="T34" i="69"/>
  <c r="R34" i="69"/>
  <c r="V34" i="69"/>
  <c r="N57" i="24"/>
  <c r="D57" i="21"/>
  <c r="L26" i="24"/>
  <c r="J26" i="21" s="1"/>
  <c r="L26" i="21" s="1"/>
  <c r="I26" i="24"/>
  <c r="G26" i="21" s="1"/>
  <c r="I26" i="21" s="1"/>
  <c r="V12" i="8"/>
  <c r="V42" i="8" s="1"/>
  <c r="V38" i="8" s="1"/>
  <c r="E84" i="2"/>
  <c r="E101" i="2" s="1"/>
  <c r="E103" i="2" s="1"/>
  <c r="N23" i="43"/>
  <c r="AA37" i="68"/>
  <c r="D16" i="8"/>
  <c r="M18" i="8"/>
  <c r="AB51" i="68"/>
  <c r="Z51" i="68"/>
  <c r="E84" i="69"/>
  <c r="Y321" i="68"/>
  <c r="O91" i="3"/>
  <c r="P91" i="3" s="1"/>
  <c r="F91" i="3"/>
  <c r="G43" i="12" l="1"/>
  <c r="M43" i="12"/>
  <c r="J43" i="12"/>
  <c r="S52" i="69"/>
  <c r="T52" i="69" s="1"/>
  <c r="D24" i="29"/>
  <c r="E52" i="24"/>
  <c r="F52" i="24" s="1"/>
  <c r="N52" i="24" s="1"/>
  <c r="D13" i="13"/>
  <c r="G13" i="13" s="1"/>
  <c r="H14" i="2"/>
  <c r="J14" i="2" s="1"/>
  <c r="N14" i="2" s="1"/>
  <c r="C14" i="21" s="1"/>
  <c r="C14" i="24" s="1"/>
  <c r="F42" i="8"/>
  <c r="F38" i="8" s="1"/>
  <c r="AB12" i="8"/>
  <c r="AB42" i="8" s="1"/>
  <c r="AB38" i="8" s="1"/>
  <c r="Q14" i="69"/>
  <c r="E14" i="24"/>
  <c r="E42" i="24" s="1"/>
  <c r="AC76" i="31"/>
  <c r="AA77" i="31" s="1"/>
  <c r="AB93" i="37"/>
  <c r="I11" i="29"/>
  <c r="I12" i="29"/>
  <c r="O26" i="24"/>
  <c r="P26" i="24" s="1"/>
  <c r="F26" i="24"/>
  <c r="D26" i="21" s="1"/>
  <c r="E49" i="24"/>
  <c r="O49" i="24" s="1"/>
  <c r="P49" i="24" s="1"/>
  <c r="E46" i="24"/>
  <c r="O46" i="24" s="1"/>
  <c r="P46" i="24" s="1"/>
  <c r="K21" i="2"/>
  <c r="C78" i="14"/>
  <c r="N2" i="14" s="1"/>
  <c r="E27" i="14"/>
  <c r="E35" i="14" s="1"/>
  <c r="Q11" i="21" s="1"/>
  <c r="J27" i="14"/>
  <c r="C15" i="3"/>
  <c r="N14" i="69"/>
  <c r="Q32" i="37"/>
  <c r="P77" i="37"/>
  <c r="AA16" i="37"/>
  <c r="I79" i="37"/>
  <c r="G52" i="9" s="1"/>
  <c r="K35" i="25" s="1"/>
  <c r="I77" i="37"/>
  <c r="Y77" i="37"/>
  <c r="Y79" i="37"/>
  <c r="G54" i="9" s="1"/>
  <c r="K37" i="25" s="1"/>
  <c r="AA51" i="68"/>
  <c r="AA321" i="68" s="1"/>
  <c r="F16" i="26"/>
  <c r="F12" i="26" s="1"/>
  <c r="AC12" i="8"/>
  <c r="AC42" i="8" s="1"/>
  <c r="L27" i="69"/>
  <c r="N27" i="69" s="1"/>
  <c r="T27" i="69" s="1"/>
  <c r="H38" i="8"/>
  <c r="H36" i="8" s="1"/>
  <c r="E14" i="26"/>
  <c r="E12" i="26" s="1"/>
  <c r="J84" i="13"/>
  <c r="G42" i="8"/>
  <c r="G40" i="8" s="1"/>
  <c r="Y38" i="8"/>
  <c r="Y40" i="8"/>
  <c r="I13" i="24"/>
  <c r="G13" i="21" s="1"/>
  <c r="I13" i="21" s="1"/>
  <c r="O28" i="12"/>
  <c r="E74" i="16"/>
  <c r="J76" i="16" s="1"/>
  <c r="E32" i="15"/>
  <c r="S11" i="21" s="1"/>
  <c r="K32" i="16"/>
  <c r="P78" i="14"/>
  <c r="R80" i="31"/>
  <c r="I80" i="31"/>
  <c r="Z40" i="8"/>
  <c r="Z36" i="8" s="1"/>
  <c r="I53" i="8"/>
  <c r="P73" i="12"/>
  <c r="Q73" i="12" s="1"/>
  <c r="D101" i="69"/>
  <c r="D103" i="69" s="1"/>
  <c r="I46" i="69"/>
  <c r="C47" i="3" s="1"/>
  <c r="I47" i="3" s="1"/>
  <c r="V33" i="69"/>
  <c r="R33" i="69"/>
  <c r="P33" i="2"/>
  <c r="N94" i="24"/>
  <c r="O34" i="24"/>
  <c r="P34" i="24" s="1"/>
  <c r="L45" i="13"/>
  <c r="T44" i="69"/>
  <c r="V44" i="69"/>
  <c r="L29" i="13"/>
  <c r="F13" i="24"/>
  <c r="D13" i="21" s="1"/>
  <c r="N49" i="69"/>
  <c r="R49" i="69" s="1"/>
  <c r="N27" i="2"/>
  <c r="P27" i="2" s="1"/>
  <c r="L34" i="13"/>
  <c r="Z321" i="68"/>
  <c r="E36" i="8"/>
  <c r="H12" i="26"/>
  <c r="D12" i="8"/>
  <c r="D18" i="26" s="1"/>
  <c r="R28" i="69"/>
  <c r="V28" i="69"/>
  <c r="T28" i="69"/>
  <c r="N42" i="3"/>
  <c r="D42" i="12"/>
  <c r="O59" i="12"/>
  <c r="D59" i="13"/>
  <c r="D33" i="13"/>
  <c r="O33" i="12"/>
  <c r="P41" i="12"/>
  <c r="Q41" i="12" s="1"/>
  <c r="P70" i="12"/>
  <c r="Q70" i="12" s="1"/>
  <c r="P65" i="12"/>
  <c r="Q65" i="12" s="1"/>
  <c r="F81" i="12"/>
  <c r="F82" i="12"/>
  <c r="P77" i="12"/>
  <c r="Q77" i="12" s="1"/>
  <c r="G77" i="12"/>
  <c r="D49" i="12"/>
  <c r="N49" i="3"/>
  <c r="N41" i="3"/>
  <c r="D41" i="12"/>
  <c r="N39" i="3"/>
  <c r="D39" i="12"/>
  <c r="D30" i="13"/>
  <c r="O30" i="12"/>
  <c r="K43" i="2"/>
  <c r="K43" i="69"/>
  <c r="N97" i="3"/>
  <c r="D96" i="12"/>
  <c r="R12" i="69"/>
  <c r="T12" i="69"/>
  <c r="V12" i="69"/>
  <c r="J28" i="13"/>
  <c r="G28" i="13"/>
  <c r="M78" i="69"/>
  <c r="M78" i="2"/>
  <c r="P99" i="12"/>
  <c r="Q99" i="12" s="1"/>
  <c r="J99" i="12"/>
  <c r="V40" i="8"/>
  <c r="V36" i="8" s="1"/>
  <c r="X14" i="8"/>
  <c r="X16" i="8"/>
  <c r="M51" i="69"/>
  <c r="M51" i="2"/>
  <c r="P69" i="12"/>
  <c r="Q69" i="12" s="1"/>
  <c r="G99" i="13"/>
  <c r="J99" i="13"/>
  <c r="K16" i="15"/>
  <c r="F46" i="3"/>
  <c r="I46" i="3"/>
  <c r="L46" i="3"/>
  <c r="R87" i="69"/>
  <c r="T87" i="69"/>
  <c r="V87" i="69"/>
  <c r="Z53" i="8"/>
  <c r="K40" i="2"/>
  <c r="K40" i="69"/>
  <c r="D39" i="25"/>
  <c r="E37" i="25" s="1"/>
  <c r="G11" i="25" s="1"/>
  <c r="N44" i="3"/>
  <c r="D44" i="12"/>
  <c r="N31" i="69"/>
  <c r="D48" i="13"/>
  <c r="O48" i="12"/>
  <c r="I33" i="24"/>
  <c r="G33" i="21" s="1"/>
  <c r="I33" i="21" s="1"/>
  <c r="F33" i="24"/>
  <c r="L33" i="24"/>
  <c r="J33" i="21" s="1"/>
  <c r="L33" i="21" s="1"/>
  <c r="L21" i="69"/>
  <c r="N17" i="69"/>
  <c r="O29" i="24"/>
  <c r="P29" i="24" s="1"/>
  <c r="G36" i="12"/>
  <c r="J36" i="12"/>
  <c r="M36" i="12"/>
  <c r="G55" i="13"/>
  <c r="J55" i="13"/>
  <c r="L78" i="2"/>
  <c r="L78" i="69"/>
  <c r="I81" i="12"/>
  <c r="I82" i="12"/>
  <c r="D52" i="13"/>
  <c r="O52" i="12"/>
  <c r="M32" i="69"/>
  <c r="M32" i="2"/>
  <c r="D48" i="25"/>
  <c r="E46" i="25" s="1"/>
  <c r="G12" i="25" s="1"/>
  <c r="D31" i="12"/>
  <c r="N31" i="3"/>
  <c r="D89" i="12"/>
  <c r="N90" i="3"/>
  <c r="J18" i="13"/>
  <c r="G18" i="13"/>
  <c r="P71" i="12"/>
  <c r="Q71" i="12" s="1"/>
  <c r="P67" i="12"/>
  <c r="Q67" i="12" s="1"/>
  <c r="P78" i="12"/>
  <c r="Q78" i="12" s="1"/>
  <c r="G78" i="12"/>
  <c r="P72" i="12"/>
  <c r="Q72" i="12" s="1"/>
  <c r="N63" i="3"/>
  <c r="D63" i="12"/>
  <c r="N94" i="3"/>
  <c r="D93" i="12"/>
  <c r="O54" i="24"/>
  <c r="P54" i="24" s="1"/>
  <c r="E15" i="24"/>
  <c r="Q15" i="69"/>
  <c r="D39" i="29"/>
  <c r="J32" i="15"/>
  <c r="C86" i="21"/>
  <c r="C86" i="24" s="1"/>
  <c r="P87" i="2"/>
  <c r="D92" i="12"/>
  <c r="N93" i="3"/>
  <c r="J20" i="13"/>
  <c r="G20" i="13"/>
  <c r="O55" i="24"/>
  <c r="P55" i="24" s="1"/>
  <c r="F55" i="24"/>
  <c r="M29" i="2"/>
  <c r="M29" i="69"/>
  <c r="G50" i="13"/>
  <c r="J50" i="13"/>
  <c r="M21" i="2"/>
  <c r="N16" i="2"/>
  <c r="D61" i="12"/>
  <c r="N61" i="3"/>
  <c r="J26" i="12"/>
  <c r="M26" i="12"/>
  <c r="F13" i="69"/>
  <c r="F15" i="69"/>
  <c r="F12" i="69"/>
  <c r="F14" i="69"/>
  <c r="F11" i="69"/>
  <c r="F17" i="69"/>
  <c r="F16" i="69"/>
  <c r="D29" i="25"/>
  <c r="E27" i="25" s="1"/>
  <c r="G10" i="25" s="1"/>
  <c r="O14" i="12"/>
  <c r="D14" i="13"/>
  <c r="N54" i="69"/>
  <c r="L82" i="12"/>
  <c r="L81" i="12"/>
  <c r="N31" i="2"/>
  <c r="M47" i="69"/>
  <c r="M47" i="2"/>
  <c r="D91" i="12"/>
  <c r="N92" i="3"/>
  <c r="H15" i="24"/>
  <c r="S15" i="69"/>
  <c r="G16" i="26"/>
  <c r="G14" i="26"/>
  <c r="M62" i="12"/>
  <c r="L51" i="69"/>
  <c r="L51" i="2"/>
  <c r="P44" i="2"/>
  <c r="C44" i="21"/>
  <c r="C44" i="24" s="1"/>
  <c r="I61" i="12"/>
  <c r="I62" i="12"/>
  <c r="J62" i="12" s="1"/>
  <c r="F26" i="12"/>
  <c r="G26" i="12" s="1"/>
  <c r="I39" i="12"/>
  <c r="I96" i="12"/>
  <c r="I63" i="12"/>
  <c r="I89" i="12"/>
  <c r="I31" i="12"/>
  <c r="F31" i="12" s="1"/>
  <c r="P31" i="12" s="1"/>
  <c r="Q31" i="12" s="1"/>
  <c r="F18" i="21"/>
  <c r="O18" i="21"/>
  <c r="W16" i="8"/>
  <c r="W14" i="8"/>
  <c r="J32" i="13"/>
  <c r="G32" i="13"/>
  <c r="O44" i="3"/>
  <c r="P44" i="3" s="1"/>
  <c r="P12" i="2"/>
  <c r="C12" i="21"/>
  <c r="L58" i="69"/>
  <c r="L58" i="2"/>
  <c r="L65" i="69"/>
  <c r="L65" i="2"/>
  <c r="Y52" i="69"/>
  <c r="R52" i="69"/>
  <c r="J54" i="12"/>
  <c r="G54" i="12"/>
  <c r="M54" i="12"/>
  <c r="P79" i="12"/>
  <c r="Q79" i="12" s="1"/>
  <c r="G79" i="12"/>
  <c r="P76" i="12"/>
  <c r="Q76" i="12" s="1"/>
  <c r="F67" i="13"/>
  <c r="M66" i="13"/>
  <c r="M99" i="2"/>
  <c r="M99" i="69"/>
  <c r="H25" i="26"/>
  <c r="H29" i="26" s="1"/>
  <c r="E29" i="26"/>
  <c r="C16" i="3"/>
  <c r="N15" i="69"/>
  <c r="AF34" i="31"/>
  <c r="AF78" i="31" s="1"/>
  <c r="AF86" i="31" s="1"/>
  <c r="AG86" i="31" s="1"/>
  <c r="AE76" i="31"/>
  <c r="M77" i="69"/>
  <c r="M77" i="2"/>
  <c r="I18" i="26"/>
  <c r="I42" i="8"/>
  <c r="K41" i="2"/>
  <c r="K41" i="69"/>
  <c r="J87" i="13"/>
  <c r="G87" i="13"/>
  <c r="M58" i="2"/>
  <c r="M58" i="69"/>
  <c r="L77" i="69"/>
  <c r="L77" i="2"/>
  <c r="L79" i="69"/>
  <c r="L79" i="2"/>
  <c r="L32" i="69"/>
  <c r="L32" i="2"/>
  <c r="P66" i="12"/>
  <c r="Q66" i="12" s="1"/>
  <c r="G66" i="12"/>
  <c r="P75" i="12"/>
  <c r="Q75" i="12" s="1"/>
  <c r="P68" i="12"/>
  <c r="Q68" i="12" s="1"/>
  <c r="I46" i="13"/>
  <c r="M46" i="13" s="1"/>
  <c r="N46" i="13" s="1"/>
  <c r="I46" i="12"/>
  <c r="P46" i="12" s="1"/>
  <c r="Q46" i="12" s="1"/>
  <c r="K93" i="2"/>
  <c r="K93" i="69"/>
  <c r="Y54" i="69"/>
  <c r="C28" i="21"/>
  <c r="C28" i="24" s="1"/>
  <c r="P28" i="2"/>
  <c r="J17" i="13"/>
  <c r="G17" i="13"/>
  <c r="N15" i="2"/>
  <c r="L29" i="2"/>
  <c r="L29" i="69"/>
  <c r="F96" i="13"/>
  <c r="M96" i="13" s="1"/>
  <c r="N96" i="13" s="1"/>
  <c r="M82" i="13"/>
  <c r="N82" i="13" s="1"/>
  <c r="W12" i="25"/>
  <c r="M21" i="69"/>
  <c r="N16" i="69"/>
  <c r="J19" i="13"/>
  <c r="G19" i="13"/>
  <c r="J46" i="2"/>
  <c r="N54" i="2"/>
  <c r="M79" i="2"/>
  <c r="M79" i="69"/>
  <c r="M65" i="69"/>
  <c r="M65" i="2"/>
  <c r="N49" i="2"/>
  <c r="L47" i="69"/>
  <c r="L47" i="2"/>
  <c r="L21" i="2"/>
  <c r="N17" i="2"/>
  <c r="F80" i="12"/>
  <c r="P80" i="12" s="1"/>
  <c r="Q80" i="12" s="1"/>
  <c r="P74" i="12"/>
  <c r="Q74" i="12" s="1"/>
  <c r="C34" i="24"/>
  <c r="C36" i="24"/>
  <c r="F57" i="21"/>
  <c r="O57" i="21"/>
  <c r="F94" i="21"/>
  <c r="O94" i="21"/>
  <c r="F84" i="2"/>
  <c r="C184" i="7" s="1"/>
  <c r="U18" i="8"/>
  <c r="AB321" i="68"/>
  <c r="D26" i="43" s="1"/>
  <c r="I84" i="69"/>
  <c r="C6" i="71" s="1"/>
  <c r="D6" i="71" s="1"/>
  <c r="E101" i="69"/>
  <c r="D90" i="12"/>
  <c r="N91" i="3"/>
  <c r="M42" i="2" l="1"/>
  <c r="M42" i="69"/>
  <c r="L42" i="69"/>
  <c r="N42" i="69" s="1"/>
  <c r="R42" i="69" s="1"/>
  <c r="L42" i="2"/>
  <c r="N42" i="2" s="1"/>
  <c r="C42" i="21" s="1"/>
  <c r="C42" i="24" s="1"/>
  <c r="F42" i="24" s="1"/>
  <c r="O43" i="12"/>
  <c r="D43" i="13"/>
  <c r="R14" i="69"/>
  <c r="J13" i="13"/>
  <c r="O52" i="24"/>
  <c r="P52" i="24" s="1"/>
  <c r="AB40" i="8"/>
  <c r="AB36" i="8" s="1"/>
  <c r="N26" i="24"/>
  <c r="K27" i="14"/>
  <c r="F40" i="8"/>
  <c r="F36" i="8" s="1"/>
  <c r="F14" i="24"/>
  <c r="D14" i="21" s="1"/>
  <c r="R14" i="21" s="1"/>
  <c r="R77" i="31"/>
  <c r="I77" i="31"/>
  <c r="J35" i="14"/>
  <c r="U14" i="69"/>
  <c r="V14" i="69" s="1"/>
  <c r="U42" i="69"/>
  <c r="K14" i="24"/>
  <c r="S42" i="69"/>
  <c r="H42" i="24"/>
  <c r="I42" i="24" s="1"/>
  <c r="G42" i="21" s="1"/>
  <c r="I42" i="21" s="1"/>
  <c r="S14" i="69"/>
  <c r="H14" i="24"/>
  <c r="I14" i="29"/>
  <c r="G38" i="8"/>
  <c r="G36" i="8" s="1"/>
  <c r="L15" i="3"/>
  <c r="F15" i="3"/>
  <c r="I15" i="3"/>
  <c r="AA32" i="37"/>
  <c r="AB35" i="37" s="1"/>
  <c r="Q79" i="37"/>
  <c r="G53" i="9" s="1"/>
  <c r="K36" i="25" s="1"/>
  <c r="K39" i="25" s="1"/>
  <c r="L37" i="25" s="1"/>
  <c r="U11" i="69" s="1"/>
  <c r="Q77" i="37"/>
  <c r="AC38" i="8"/>
  <c r="AC40" i="8"/>
  <c r="T49" i="69"/>
  <c r="Y36" i="8"/>
  <c r="W12" i="8"/>
  <c r="W42" i="8" s="1"/>
  <c r="W40" i="8" s="1"/>
  <c r="E74" i="15"/>
  <c r="J2" i="16"/>
  <c r="K2" i="16" s="1"/>
  <c r="K76" i="16"/>
  <c r="K1" i="21" s="1"/>
  <c r="E78" i="14"/>
  <c r="P80" i="14" s="1"/>
  <c r="G18" i="25"/>
  <c r="E25" i="25"/>
  <c r="E10" i="25" s="1"/>
  <c r="E44" i="25"/>
  <c r="E12" i="25" s="1"/>
  <c r="E35" i="25"/>
  <c r="E11" i="25" s="1"/>
  <c r="F47" i="3"/>
  <c r="D47" i="12" s="1"/>
  <c r="L47" i="3"/>
  <c r="K46" i="69" s="1"/>
  <c r="O15" i="24"/>
  <c r="P15" i="24" s="1"/>
  <c r="N13" i="24"/>
  <c r="V49" i="69"/>
  <c r="N29" i="69"/>
  <c r="R29" i="69" s="1"/>
  <c r="N77" i="69"/>
  <c r="P42" i="2"/>
  <c r="V27" i="69"/>
  <c r="C27" i="21"/>
  <c r="C27" i="24" s="1"/>
  <c r="F27" i="24" s="1"/>
  <c r="N58" i="69"/>
  <c r="T58" i="69" s="1"/>
  <c r="N51" i="69"/>
  <c r="T51" i="69" s="1"/>
  <c r="R27" i="69"/>
  <c r="L99" i="13"/>
  <c r="L87" i="13"/>
  <c r="N77" i="2"/>
  <c r="P77" i="2" s="1"/>
  <c r="N79" i="2"/>
  <c r="P79" i="2" s="1"/>
  <c r="D52" i="21"/>
  <c r="F52" i="21" s="1"/>
  <c r="N47" i="69"/>
  <c r="R47" i="69" s="1"/>
  <c r="N29" i="2"/>
  <c r="P29" i="2" s="1"/>
  <c r="N79" i="69"/>
  <c r="L18" i="13"/>
  <c r="L17" i="13"/>
  <c r="L28" i="13"/>
  <c r="G12" i="26"/>
  <c r="X12" i="8"/>
  <c r="X42" i="8" s="1"/>
  <c r="X38" i="8" s="1"/>
  <c r="C85" i="3"/>
  <c r="P12" i="25"/>
  <c r="Q12" i="25"/>
  <c r="D54" i="13"/>
  <c r="O54" i="12"/>
  <c r="N55" i="24"/>
  <c r="D55" i="21"/>
  <c r="F86" i="24"/>
  <c r="L86" i="24"/>
  <c r="J86" i="21" s="1"/>
  <c r="L86" i="21" s="1"/>
  <c r="I86" i="24"/>
  <c r="G86" i="21" s="1"/>
  <c r="I86" i="21" s="1"/>
  <c r="J63" i="12"/>
  <c r="M63" i="12"/>
  <c r="R31" i="69"/>
  <c r="V31" i="69"/>
  <c r="T31" i="69"/>
  <c r="M49" i="12"/>
  <c r="J49" i="12"/>
  <c r="G49" i="12"/>
  <c r="P82" i="12"/>
  <c r="Q82" i="12" s="1"/>
  <c r="G59" i="13"/>
  <c r="J59" i="13"/>
  <c r="T16" i="69"/>
  <c r="R16" i="69"/>
  <c r="V16" i="69"/>
  <c r="D79" i="13"/>
  <c r="O79" i="12"/>
  <c r="L53" i="69"/>
  <c r="L53" i="2"/>
  <c r="L61" i="2"/>
  <c r="L61" i="69"/>
  <c r="O26" i="12"/>
  <c r="D26" i="13"/>
  <c r="K32" i="15"/>
  <c r="J74" i="15"/>
  <c r="M31" i="12"/>
  <c r="G31" i="12"/>
  <c r="J31" i="12"/>
  <c r="L55" i="13"/>
  <c r="D36" i="13"/>
  <c r="O36" i="12"/>
  <c r="J48" i="13"/>
  <c r="G48" i="13"/>
  <c r="J96" i="12"/>
  <c r="M96" i="12"/>
  <c r="M41" i="12"/>
  <c r="J41" i="12"/>
  <c r="G41" i="12"/>
  <c r="P81" i="12"/>
  <c r="Q81" i="12" s="1"/>
  <c r="L13" i="13"/>
  <c r="E26" i="25"/>
  <c r="F10" i="25" s="1"/>
  <c r="N32" i="2"/>
  <c r="I40" i="8"/>
  <c r="I38" i="8"/>
  <c r="V15" i="69"/>
  <c r="T15" i="69"/>
  <c r="R15" i="69"/>
  <c r="N65" i="69"/>
  <c r="P26" i="12"/>
  <c r="Q26" i="12" s="1"/>
  <c r="F39" i="12"/>
  <c r="P39" i="12" s="1"/>
  <c r="Q39" i="12" s="1"/>
  <c r="F89" i="12"/>
  <c r="P89" i="12" s="1"/>
  <c r="Q89" i="12" s="1"/>
  <c r="F96" i="12"/>
  <c r="P96" i="12" s="1"/>
  <c r="Q96" i="12" s="1"/>
  <c r="F63" i="12"/>
  <c r="P63" i="12" s="1"/>
  <c r="Q63" i="12" s="1"/>
  <c r="F61" i="12"/>
  <c r="P61" i="12" s="1"/>
  <c r="Q61" i="12" s="1"/>
  <c r="F62" i="12"/>
  <c r="G14" i="13"/>
  <c r="J14" i="13"/>
  <c r="M25" i="69"/>
  <c r="M25" i="2"/>
  <c r="C16" i="21"/>
  <c r="P16" i="2"/>
  <c r="N78" i="69"/>
  <c r="V17" i="69"/>
  <c r="T17" i="69"/>
  <c r="R17" i="69"/>
  <c r="N33" i="24"/>
  <c r="D33" i="21"/>
  <c r="J78" i="14"/>
  <c r="K35" i="14"/>
  <c r="G30" i="13"/>
  <c r="J30" i="13"/>
  <c r="D77" i="13"/>
  <c r="O77" i="12"/>
  <c r="J33" i="13"/>
  <c r="G33" i="13"/>
  <c r="J42" i="12"/>
  <c r="M42" i="12"/>
  <c r="G42" i="12"/>
  <c r="P54" i="2"/>
  <c r="C54" i="21"/>
  <c r="C54" i="24" s="1"/>
  <c r="L54" i="24" s="1"/>
  <c r="J54" i="21" s="1"/>
  <c r="L54" i="21" s="1"/>
  <c r="C12" i="24"/>
  <c r="P31" i="2"/>
  <c r="C31" i="21"/>
  <c r="O78" i="12"/>
  <c r="D78" i="13"/>
  <c r="L35" i="69"/>
  <c r="L35" i="2"/>
  <c r="D46" i="12"/>
  <c r="N46" i="3"/>
  <c r="L28" i="24"/>
  <c r="J28" i="21" s="1"/>
  <c r="L28" i="21" s="1"/>
  <c r="F28" i="24"/>
  <c r="I28" i="24"/>
  <c r="G28" i="21" s="1"/>
  <c r="I28" i="21" s="1"/>
  <c r="D66" i="13"/>
  <c r="O66" i="12"/>
  <c r="F68" i="13"/>
  <c r="M67" i="13"/>
  <c r="N67" i="13" s="1"/>
  <c r="N65" i="2"/>
  <c r="I44" i="24"/>
  <c r="G44" i="21" s="1"/>
  <c r="I44" i="21" s="1"/>
  <c r="F44" i="24"/>
  <c r="L44" i="24"/>
  <c r="J44" i="21" s="1"/>
  <c r="L44" i="21" s="1"/>
  <c r="N47" i="2"/>
  <c r="J61" i="12"/>
  <c r="M61" i="12"/>
  <c r="L50" i="13"/>
  <c r="P17" i="2"/>
  <c r="C17" i="21"/>
  <c r="C49" i="21"/>
  <c r="C49" i="24" s="1"/>
  <c r="P49" i="2"/>
  <c r="L19" i="13"/>
  <c r="O12" i="25"/>
  <c r="C15" i="21"/>
  <c r="C15" i="24" s="1"/>
  <c r="P15" i="2"/>
  <c r="N32" i="69"/>
  <c r="I16" i="26"/>
  <c r="I14" i="26"/>
  <c r="I16" i="3"/>
  <c r="F16" i="3"/>
  <c r="L16" i="3"/>
  <c r="M53" i="2"/>
  <c r="M53" i="69"/>
  <c r="N58" i="2"/>
  <c r="L32" i="13"/>
  <c r="N51" i="2"/>
  <c r="M61" i="2"/>
  <c r="M61" i="69"/>
  <c r="T54" i="69"/>
  <c r="R54" i="69"/>
  <c r="V54" i="69"/>
  <c r="E36" i="25"/>
  <c r="F11" i="25" s="1"/>
  <c r="L25" i="69"/>
  <c r="L25" i="2"/>
  <c r="L20" i="13"/>
  <c r="Y15" i="69"/>
  <c r="J89" i="12"/>
  <c r="M89" i="12"/>
  <c r="J52" i="13"/>
  <c r="G52" i="13"/>
  <c r="N78" i="2"/>
  <c r="M35" i="2"/>
  <c r="M35" i="69"/>
  <c r="E45" i="25"/>
  <c r="F12" i="25" s="1"/>
  <c r="J44" i="12"/>
  <c r="M44" i="12"/>
  <c r="G44" i="12"/>
  <c r="K45" i="69"/>
  <c r="K45" i="2"/>
  <c r="L99" i="2"/>
  <c r="N99" i="2" s="1"/>
  <c r="L99" i="69"/>
  <c r="N99" i="69" s="1"/>
  <c r="O99" i="12"/>
  <c r="M39" i="12"/>
  <c r="J39" i="12"/>
  <c r="L36" i="24"/>
  <c r="J36" i="21" s="1"/>
  <c r="L36" i="21" s="1"/>
  <c r="F36" i="24"/>
  <c r="I36" i="24"/>
  <c r="G36" i="21" s="1"/>
  <c r="I36" i="21" s="1"/>
  <c r="F26" i="21"/>
  <c r="O26" i="21"/>
  <c r="F34" i="24"/>
  <c r="L34" i="24"/>
  <c r="J34" i="21" s="1"/>
  <c r="L34" i="21" s="1"/>
  <c r="I34" i="24"/>
  <c r="G34" i="21" s="1"/>
  <c r="I34" i="21" s="1"/>
  <c r="F13" i="21"/>
  <c r="O13" i="21"/>
  <c r="F101" i="2"/>
  <c r="F105" i="2" s="1"/>
  <c r="J84" i="2"/>
  <c r="D42" i="8"/>
  <c r="D36" i="8" s="1"/>
  <c r="C107" i="69"/>
  <c r="E107" i="69" s="1"/>
  <c r="I107" i="69" s="1"/>
  <c r="U16" i="8"/>
  <c r="U14" i="8"/>
  <c r="AD18" i="8"/>
  <c r="C107" i="2" s="1"/>
  <c r="F107" i="2" s="1"/>
  <c r="J107" i="2" s="1"/>
  <c r="E103" i="69"/>
  <c r="E105" i="69"/>
  <c r="D201" i="7"/>
  <c r="D203" i="7" s="1"/>
  <c r="F184" i="7"/>
  <c r="F201" i="7" s="1"/>
  <c r="F203" i="7" s="1"/>
  <c r="F216" i="7" s="1"/>
  <c r="F218" i="7" s="1"/>
  <c r="D16" i="26"/>
  <c r="D14" i="26"/>
  <c r="J90" i="12"/>
  <c r="G90" i="12"/>
  <c r="M90" i="12"/>
  <c r="J43" i="13" l="1"/>
  <c r="G43" i="13"/>
  <c r="L43" i="13" s="1"/>
  <c r="V42" i="69"/>
  <c r="Y14" i="69"/>
  <c r="Y42" i="69"/>
  <c r="I14" i="24"/>
  <c r="O14" i="24"/>
  <c r="P14" i="24" s="1"/>
  <c r="K42" i="24"/>
  <c r="L14" i="24"/>
  <c r="J14" i="21" s="1"/>
  <c r="V14" i="21" s="1"/>
  <c r="T14" i="69"/>
  <c r="T42" i="69"/>
  <c r="D15" i="12"/>
  <c r="N15" i="3"/>
  <c r="L36" i="25"/>
  <c r="H11" i="24" s="1"/>
  <c r="K11" i="24"/>
  <c r="AB79" i="37"/>
  <c r="AB77" i="37"/>
  <c r="H54" i="9"/>
  <c r="H11" i="2" s="1"/>
  <c r="L35" i="25"/>
  <c r="Q11" i="69" s="1"/>
  <c r="C29" i="21"/>
  <c r="AC36" i="8"/>
  <c r="W38" i="8"/>
  <c r="W36" i="8" s="1"/>
  <c r="K78" i="16"/>
  <c r="J76" i="15"/>
  <c r="J2" i="15" s="1"/>
  <c r="K2" i="15" s="1"/>
  <c r="J80" i="14"/>
  <c r="J2" i="14" s="1"/>
  <c r="K2" i="14" s="1"/>
  <c r="E48" i="25"/>
  <c r="F18" i="25"/>
  <c r="I12" i="26"/>
  <c r="G61" i="12"/>
  <c r="O61" i="12" s="1"/>
  <c r="G96" i="12"/>
  <c r="O96" i="12" s="1"/>
  <c r="I36" i="8"/>
  <c r="G39" i="12"/>
  <c r="D39" i="13" s="1"/>
  <c r="K46" i="2"/>
  <c r="N47" i="3"/>
  <c r="V29" i="69"/>
  <c r="T29" i="69"/>
  <c r="G63" i="12"/>
  <c r="D63" i="13" s="1"/>
  <c r="C76" i="21"/>
  <c r="C76" i="24" s="1"/>
  <c r="I27" i="24"/>
  <c r="G27" i="21" s="1"/>
  <c r="I27" i="21" s="1"/>
  <c r="L27" i="24"/>
  <c r="J27" i="21" s="1"/>
  <c r="L27" i="21" s="1"/>
  <c r="V51" i="69"/>
  <c r="R51" i="69"/>
  <c r="L48" i="13"/>
  <c r="O52" i="21"/>
  <c r="I54" i="24"/>
  <c r="G54" i="21" s="1"/>
  <c r="I54" i="21" s="1"/>
  <c r="L30" i="13"/>
  <c r="C78" i="21"/>
  <c r="C78" i="24" s="1"/>
  <c r="R58" i="69"/>
  <c r="V58" i="69"/>
  <c r="N25" i="69"/>
  <c r="R25" i="69" s="1"/>
  <c r="N25" i="2"/>
  <c r="P25" i="2" s="1"/>
  <c r="L59" i="13"/>
  <c r="N53" i="69"/>
  <c r="T53" i="69" s="1"/>
  <c r="T47" i="69"/>
  <c r="F54" i="24"/>
  <c r="D54" i="21" s="1"/>
  <c r="N53" i="2"/>
  <c r="P53" i="2" s="1"/>
  <c r="V47" i="69"/>
  <c r="X40" i="8"/>
  <c r="X36" i="8" s="1"/>
  <c r="P99" i="2"/>
  <c r="C98" i="21"/>
  <c r="O44" i="12"/>
  <c r="D44" i="13"/>
  <c r="L89" i="69"/>
  <c r="L89" i="2"/>
  <c r="C51" i="21"/>
  <c r="P51" i="2"/>
  <c r="O17" i="21"/>
  <c r="C17" i="24"/>
  <c r="N44" i="24"/>
  <c r="D44" i="21"/>
  <c r="N28" i="24"/>
  <c r="D28" i="21"/>
  <c r="C31" i="24"/>
  <c r="P62" i="12"/>
  <c r="Q62" i="12" s="1"/>
  <c r="G62" i="12"/>
  <c r="L40" i="69"/>
  <c r="L40" i="2"/>
  <c r="M30" i="2"/>
  <c r="M30" i="69"/>
  <c r="G47" i="12"/>
  <c r="J47" i="12"/>
  <c r="M47" i="12"/>
  <c r="M38" i="2"/>
  <c r="M38" i="69"/>
  <c r="M43" i="69"/>
  <c r="M43" i="2"/>
  <c r="N16" i="3"/>
  <c r="D16" i="12"/>
  <c r="L60" i="69"/>
  <c r="L60" i="2"/>
  <c r="M41" i="2"/>
  <c r="M41" i="69"/>
  <c r="O33" i="21"/>
  <c r="F33" i="21"/>
  <c r="D27" i="21"/>
  <c r="M40" i="2"/>
  <c r="M40" i="69"/>
  <c r="S11" i="69"/>
  <c r="L43" i="69"/>
  <c r="L43" i="2"/>
  <c r="C77" i="21"/>
  <c r="C77" i="24" s="1"/>
  <c r="P78" i="2"/>
  <c r="P47" i="2"/>
  <c r="C47" i="21"/>
  <c r="P65" i="2"/>
  <c r="C65" i="21"/>
  <c r="J66" i="13"/>
  <c r="G66" i="13"/>
  <c r="N35" i="2"/>
  <c r="E29" i="25"/>
  <c r="F12" i="24"/>
  <c r="I12" i="24"/>
  <c r="G12" i="21" s="1"/>
  <c r="I12" i="21" s="1"/>
  <c r="L12" i="24"/>
  <c r="L41" i="69"/>
  <c r="L41" i="2"/>
  <c r="G77" i="13"/>
  <c r="J77" i="13"/>
  <c r="K14" i="21"/>
  <c r="U11" i="2"/>
  <c r="U14" i="2"/>
  <c r="P32" i="2"/>
  <c r="C32" i="21"/>
  <c r="M96" i="69"/>
  <c r="M96" i="2"/>
  <c r="L30" i="2"/>
  <c r="L30" i="69"/>
  <c r="N61" i="69"/>
  <c r="D49" i="13"/>
  <c r="O49" i="12"/>
  <c r="E39" i="25"/>
  <c r="M62" i="69"/>
  <c r="M62" i="2"/>
  <c r="N86" i="24"/>
  <c r="D86" i="21"/>
  <c r="G54" i="13"/>
  <c r="J54" i="13"/>
  <c r="P58" i="2"/>
  <c r="C58" i="21"/>
  <c r="F69" i="13"/>
  <c r="M68" i="13"/>
  <c r="N68" i="13" s="1"/>
  <c r="G78" i="13"/>
  <c r="J78" i="13"/>
  <c r="D42" i="13"/>
  <c r="O42" i="12"/>
  <c r="O16" i="21"/>
  <c r="C16" i="24"/>
  <c r="J36" i="13"/>
  <c r="G36" i="13"/>
  <c r="M48" i="69"/>
  <c r="M48" i="2"/>
  <c r="G89" i="12"/>
  <c r="J46" i="12"/>
  <c r="G46" i="12"/>
  <c r="M46" i="12"/>
  <c r="D42" i="21"/>
  <c r="L38" i="2"/>
  <c r="L38" i="69"/>
  <c r="L52" i="13"/>
  <c r="M89" i="2"/>
  <c r="M89" i="69"/>
  <c r="R32" i="69"/>
  <c r="V32" i="69"/>
  <c r="T32" i="69"/>
  <c r="F15" i="24"/>
  <c r="I15" i="24"/>
  <c r="G15" i="21" s="1"/>
  <c r="I15" i="21" s="1"/>
  <c r="L15" i="24"/>
  <c r="J15" i="21" s="1"/>
  <c r="L15" i="21" s="1"/>
  <c r="F49" i="24"/>
  <c r="I49" i="24"/>
  <c r="G49" i="21" s="1"/>
  <c r="I49" i="21" s="1"/>
  <c r="L49" i="24"/>
  <c r="J49" i="21" s="1"/>
  <c r="L49" i="21" s="1"/>
  <c r="M60" i="2"/>
  <c r="M60" i="69"/>
  <c r="C29" i="24"/>
  <c r="N35" i="69"/>
  <c r="E18" i="25"/>
  <c r="L33" i="13"/>
  <c r="L14" i="13"/>
  <c r="D41" i="13"/>
  <c r="O41" i="12"/>
  <c r="L96" i="69"/>
  <c r="L96" i="2"/>
  <c r="D31" i="13"/>
  <c r="O31" i="12"/>
  <c r="G26" i="13"/>
  <c r="J26" i="13"/>
  <c r="N61" i="2"/>
  <c r="L48" i="69"/>
  <c r="L48" i="2"/>
  <c r="L62" i="2"/>
  <c r="L62" i="69"/>
  <c r="O55" i="21"/>
  <c r="F55" i="21"/>
  <c r="D36" i="21"/>
  <c r="N36" i="24"/>
  <c r="D34" i="21"/>
  <c r="N34" i="24"/>
  <c r="F103" i="2"/>
  <c r="D12" i="26"/>
  <c r="U12" i="8"/>
  <c r="D216" i="7"/>
  <c r="H203" i="7"/>
  <c r="I203" i="7" s="1"/>
  <c r="D90" i="13"/>
  <c r="O90" i="12"/>
  <c r="L90" i="2"/>
  <c r="L90" i="69"/>
  <c r="M90" i="69"/>
  <c r="M90" i="2"/>
  <c r="L14" i="21" l="1"/>
  <c r="O42" i="24"/>
  <c r="P42" i="24" s="1"/>
  <c r="L42" i="24"/>
  <c r="G14" i="21"/>
  <c r="N14" i="24"/>
  <c r="L39" i="25"/>
  <c r="H11" i="69"/>
  <c r="I11" i="69" s="1"/>
  <c r="E11" i="24"/>
  <c r="O11" i="24" s="1"/>
  <c r="P11" i="24" s="1"/>
  <c r="M15" i="12"/>
  <c r="J15" i="12"/>
  <c r="G15" i="12"/>
  <c r="J11" i="2"/>
  <c r="H21" i="2"/>
  <c r="H42" i="9" s="1"/>
  <c r="I44" i="9" s="1"/>
  <c r="F73" i="3"/>
  <c r="K76" i="15"/>
  <c r="K78" i="15" s="1"/>
  <c r="K80" i="14"/>
  <c r="E1" i="21" s="1"/>
  <c r="E14" i="21" s="1"/>
  <c r="F14" i="21" s="1"/>
  <c r="Y11" i="69"/>
  <c r="D61" i="13"/>
  <c r="J61" i="13" s="1"/>
  <c r="C25" i="21"/>
  <c r="C25" i="24" s="1"/>
  <c r="O63" i="12"/>
  <c r="D96" i="13"/>
  <c r="J96" i="13" s="1"/>
  <c r="O39" i="12"/>
  <c r="N37" i="69"/>
  <c r="V37" i="69" s="1"/>
  <c r="N37" i="2"/>
  <c r="N96" i="69"/>
  <c r="V96" i="69" s="1"/>
  <c r="N27" i="24"/>
  <c r="N48" i="69"/>
  <c r="R48" i="69" s="1"/>
  <c r="N43" i="2"/>
  <c r="P43" i="2" s="1"/>
  <c r="N62" i="69"/>
  <c r="R62" i="69" s="1"/>
  <c r="V25" i="69"/>
  <c r="T25" i="69"/>
  <c r="N96" i="2"/>
  <c r="P96" i="2" s="1"/>
  <c r="N89" i="69"/>
  <c r="T89" i="69" s="1"/>
  <c r="N54" i="24"/>
  <c r="V53" i="69"/>
  <c r="N43" i="69"/>
  <c r="T43" i="69" s="1"/>
  <c r="N30" i="69"/>
  <c r="R30" i="69" s="1"/>
  <c r="N30" i="2"/>
  <c r="P30" i="2" s="1"/>
  <c r="L66" i="13"/>
  <c r="L54" i="13"/>
  <c r="N41" i="69"/>
  <c r="T41" i="69" s="1"/>
  <c r="L78" i="13"/>
  <c r="R53" i="69"/>
  <c r="L26" i="13"/>
  <c r="L77" i="13"/>
  <c r="C53" i="21"/>
  <c r="C53" i="24" s="1"/>
  <c r="F29" i="24"/>
  <c r="L29" i="24"/>
  <c r="J29" i="21" s="1"/>
  <c r="L29" i="21" s="1"/>
  <c r="I29" i="24"/>
  <c r="G29" i="21" s="1"/>
  <c r="I29" i="21" s="1"/>
  <c r="N15" i="24"/>
  <c r="D15" i="21"/>
  <c r="J42" i="13"/>
  <c r="G42" i="13"/>
  <c r="D49" i="21"/>
  <c r="N49" i="24"/>
  <c r="T35" i="69"/>
  <c r="V35" i="69"/>
  <c r="R35" i="69"/>
  <c r="N38" i="69"/>
  <c r="O46" i="12"/>
  <c r="D46" i="13"/>
  <c r="N62" i="2"/>
  <c r="G49" i="13"/>
  <c r="J49" i="13"/>
  <c r="C65" i="24"/>
  <c r="N60" i="2"/>
  <c r="N40" i="2"/>
  <c r="F31" i="24"/>
  <c r="I31" i="24"/>
  <c r="G31" i="21" s="1"/>
  <c r="I31" i="21" s="1"/>
  <c r="L31" i="24"/>
  <c r="J31" i="21" s="1"/>
  <c r="L31" i="21" s="1"/>
  <c r="C51" i="24"/>
  <c r="C98" i="24"/>
  <c r="O86" i="21"/>
  <c r="F86" i="21"/>
  <c r="C32" i="24"/>
  <c r="C47" i="24"/>
  <c r="O27" i="21"/>
  <c r="F27" i="21"/>
  <c r="M16" i="12"/>
  <c r="G16" i="12"/>
  <c r="J16" i="12"/>
  <c r="L46" i="2"/>
  <c r="L46" i="69"/>
  <c r="P61" i="2"/>
  <c r="C61" i="21"/>
  <c r="G31" i="13"/>
  <c r="J31" i="13"/>
  <c r="J41" i="13"/>
  <c r="G41" i="13"/>
  <c r="H18" i="25"/>
  <c r="M45" i="2"/>
  <c r="M45" i="69"/>
  <c r="F16" i="24"/>
  <c r="L16" i="24"/>
  <c r="I16" i="24"/>
  <c r="F70" i="13"/>
  <c r="M69" i="13"/>
  <c r="N69" i="13" s="1"/>
  <c r="D12" i="21"/>
  <c r="N12" i="24"/>
  <c r="G63" i="13"/>
  <c r="J63" i="13"/>
  <c r="N41" i="2"/>
  <c r="D47" i="13"/>
  <c r="O47" i="12"/>
  <c r="O62" i="12"/>
  <c r="D62" i="13"/>
  <c r="O44" i="21"/>
  <c r="F44" i="21"/>
  <c r="G44" i="13"/>
  <c r="J44" i="13"/>
  <c r="N48" i="2"/>
  <c r="N38" i="2"/>
  <c r="F42" i="21"/>
  <c r="L45" i="69"/>
  <c r="L45" i="2"/>
  <c r="O89" i="12"/>
  <c r="D89" i="13"/>
  <c r="L36" i="13"/>
  <c r="C58" i="24"/>
  <c r="G39" i="13"/>
  <c r="J39" i="13"/>
  <c r="T61" i="69"/>
  <c r="V61" i="69"/>
  <c r="R61" i="69"/>
  <c r="J12" i="21"/>
  <c r="C35" i="21"/>
  <c r="P35" i="2"/>
  <c r="N60" i="69"/>
  <c r="M46" i="2"/>
  <c r="M46" i="69"/>
  <c r="N40" i="69"/>
  <c r="O28" i="21"/>
  <c r="F28" i="21"/>
  <c r="F17" i="24"/>
  <c r="I17" i="24"/>
  <c r="L17" i="24"/>
  <c r="N89" i="2"/>
  <c r="F34" i="21"/>
  <c r="O34" i="21"/>
  <c r="F54" i="21"/>
  <c r="O54" i="21"/>
  <c r="F36" i="21"/>
  <c r="O36" i="21"/>
  <c r="H216" i="7"/>
  <c r="D218" i="7"/>
  <c r="U42" i="8"/>
  <c r="N90" i="69"/>
  <c r="J90" i="13"/>
  <c r="G90" i="13"/>
  <c r="N90" i="2"/>
  <c r="T14" i="21" l="1"/>
  <c r="I14" i="21"/>
  <c r="O14" i="21"/>
  <c r="J42" i="21"/>
  <c r="N42" i="24"/>
  <c r="H21" i="69"/>
  <c r="O15" i="12"/>
  <c r="D15" i="13"/>
  <c r="H94" i="69"/>
  <c r="H94" i="2"/>
  <c r="T10" i="25"/>
  <c r="W10" i="25" s="1"/>
  <c r="Q10" i="25" s="1"/>
  <c r="C12" i="3"/>
  <c r="N11" i="69"/>
  <c r="I21" i="69"/>
  <c r="T11" i="25"/>
  <c r="N11" i="2"/>
  <c r="J21" i="2"/>
  <c r="S14" i="2"/>
  <c r="O14" i="2" s="1"/>
  <c r="P14" i="2" s="1"/>
  <c r="G61" i="13"/>
  <c r="L61" i="13" s="1"/>
  <c r="G96" i="13"/>
  <c r="L96" i="13" s="1"/>
  <c r="T62" i="69"/>
  <c r="R37" i="69"/>
  <c r="L63" i="13"/>
  <c r="T37" i="69"/>
  <c r="C95" i="21"/>
  <c r="C95" i="24" s="1"/>
  <c r="C43" i="21"/>
  <c r="C43" i="24" s="1"/>
  <c r="L43" i="24" s="1"/>
  <c r="J43" i="21" s="1"/>
  <c r="L43" i="21" s="1"/>
  <c r="C37" i="21"/>
  <c r="C37" i="24" s="1"/>
  <c r="P37" i="2"/>
  <c r="R96" i="69"/>
  <c r="T96" i="69"/>
  <c r="V62" i="69"/>
  <c r="V48" i="69"/>
  <c r="T48" i="69"/>
  <c r="R43" i="69"/>
  <c r="V43" i="69"/>
  <c r="T30" i="69"/>
  <c r="R89" i="69"/>
  <c r="V89" i="69"/>
  <c r="C30" i="21"/>
  <c r="C30" i="24" s="1"/>
  <c r="V30" i="69"/>
  <c r="L42" i="13"/>
  <c r="R41" i="69"/>
  <c r="V41" i="69"/>
  <c r="L41" i="13"/>
  <c r="L44" i="13"/>
  <c r="J89" i="13"/>
  <c r="G89" i="13"/>
  <c r="C61" i="24"/>
  <c r="M70" i="13"/>
  <c r="N70" i="13" s="1"/>
  <c r="F71" i="13"/>
  <c r="N46" i="69"/>
  <c r="P62" i="2"/>
  <c r="C62" i="21"/>
  <c r="F15" i="21"/>
  <c r="O15" i="21"/>
  <c r="N29" i="24"/>
  <c r="D29" i="21"/>
  <c r="N17" i="24"/>
  <c r="C35" i="24"/>
  <c r="F12" i="21"/>
  <c r="O12" i="21"/>
  <c r="I25" i="24"/>
  <c r="G25" i="21" s="1"/>
  <c r="I25" i="21" s="1"/>
  <c r="L25" i="24"/>
  <c r="J25" i="21" s="1"/>
  <c r="L25" i="21" s="1"/>
  <c r="F25" i="24"/>
  <c r="N46" i="2"/>
  <c r="L47" i="24"/>
  <c r="J47" i="21" s="1"/>
  <c r="L47" i="21" s="1"/>
  <c r="F47" i="24"/>
  <c r="I47" i="24"/>
  <c r="G47" i="21" s="1"/>
  <c r="I47" i="21" s="1"/>
  <c r="D31" i="21"/>
  <c r="N31" i="24"/>
  <c r="P60" i="2"/>
  <c r="C60" i="21"/>
  <c r="G46" i="13"/>
  <c r="J46" i="13"/>
  <c r="C88" i="21"/>
  <c r="P89" i="2"/>
  <c r="T60" i="69"/>
  <c r="V60" i="69"/>
  <c r="R60" i="69"/>
  <c r="I58" i="24"/>
  <c r="G58" i="21" s="1"/>
  <c r="I58" i="21" s="1"/>
  <c r="F58" i="24"/>
  <c r="L58" i="24"/>
  <c r="J58" i="21" s="1"/>
  <c r="L58" i="21" s="1"/>
  <c r="N45" i="2"/>
  <c r="C38" i="21"/>
  <c r="P38" i="2"/>
  <c r="P48" i="2"/>
  <c r="C48" i="21"/>
  <c r="J47" i="13"/>
  <c r="G47" i="13"/>
  <c r="G20" i="25"/>
  <c r="U72" i="69" s="1"/>
  <c r="F20" i="25"/>
  <c r="S72" i="69" s="1"/>
  <c r="L51" i="24"/>
  <c r="J51" i="21" s="1"/>
  <c r="L51" i="21" s="1"/>
  <c r="I51" i="24"/>
  <c r="G51" i="21" s="1"/>
  <c r="I51" i="21" s="1"/>
  <c r="F51" i="24"/>
  <c r="P40" i="2"/>
  <c r="C40" i="21"/>
  <c r="V40" i="69"/>
  <c r="R40" i="69"/>
  <c r="T40" i="69"/>
  <c r="L12" i="21"/>
  <c r="L39" i="13"/>
  <c r="N45" i="69"/>
  <c r="I62" i="13"/>
  <c r="F62" i="13" s="1"/>
  <c r="M62" i="13" s="1"/>
  <c r="C41" i="21"/>
  <c r="P41" i="2"/>
  <c r="L53" i="24"/>
  <c r="J53" i="21" s="1"/>
  <c r="L53" i="21" s="1"/>
  <c r="F53" i="24"/>
  <c r="I53" i="24"/>
  <c r="G53" i="21" s="1"/>
  <c r="I53" i="21" s="1"/>
  <c r="N16" i="24"/>
  <c r="E20" i="25"/>
  <c r="Q72" i="69" s="1"/>
  <c r="L31" i="13"/>
  <c r="D16" i="13"/>
  <c r="O16" i="12"/>
  <c r="F32" i="24"/>
  <c r="L32" i="24"/>
  <c r="J32" i="21" s="1"/>
  <c r="L32" i="21" s="1"/>
  <c r="I32" i="24"/>
  <c r="G32" i="21" s="1"/>
  <c r="I32" i="21" s="1"/>
  <c r="L49" i="13"/>
  <c r="V38" i="69"/>
  <c r="R38" i="69"/>
  <c r="T38" i="69"/>
  <c r="O49" i="21"/>
  <c r="F49" i="21"/>
  <c r="H218" i="7"/>
  <c r="D91" i="7"/>
  <c r="U36" i="8"/>
  <c r="L90" i="13"/>
  <c r="C89" i="21"/>
  <c r="P90" i="2"/>
  <c r="T90" i="69"/>
  <c r="V90" i="69"/>
  <c r="R90" i="69"/>
  <c r="L42" i="21" l="1"/>
  <c r="O42" i="21"/>
  <c r="J15" i="13"/>
  <c r="G15" i="13"/>
  <c r="P10" i="25"/>
  <c r="C11" i="21"/>
  <c r="N21" i="2"/>
  <c r="E11" i="1" s="1"/>
  <c r="W11" i="25"/>
  <c r="O11" i="25" s="1"/>
  <c r="J94" i="2"/>
  <c r="J101" i="2" s="1"/>
  <c r="H101" i="2"/>
  <c r="H103" i="2" s="1"/>
  <c r="N21" i="69"/>
  <c r="C5" i="70" s="1"/>
  <c r="I7" i="70" s="1"/>
  <c r="J19" i="70" s="1"/>
  <c r="V11" i="69"/>
  <c r="V21" i="69" s="1"/>
  <c r="R11" i="69"/>
  <c r="R21" i="69" s="1"/>
  <c r="T11" i="69"/>
  <c r="T21" i="69" s="1"/>
  <c r="L12" i="3"/>
  <c r="L22" i="3" s="1"/>
  <c r="C22" i="3"/>
  <c r="I12" i="3"/>
  <c r="I22" i="3" s="1"/>
  <c r="F12" i="3"/>
  <c r="O10" i="25"/>
  <c r="H101" i="69"/>
  <c r="H103" i="69" s="1"/>
  <c r="I94" i="69"/>
  <c r="Y72" i="69"/>
  <c r="S11" i="2"/>
  <c r="O11" i="2" s="1"/>
  <c r="O21" i="2" s="1"/>
  <c r="F43" i="24"/>
  <c r="D43" i="21" s="1"/>
  <c r="I43" i="24"/>
  <c r="G43" i="21" s="1"/>
  <c r="I43" i="21" s="1"/>
  <c r="I37" i="24"/>
  <c r="G37" i="21" s="1"/>
  <c r="I37" i="21" s="1"/>
  <c r="F37" i="24"/>
  <c r="D37" i="21" s="1"/>
  <c r="L37" i="24"/>
  <c r="J37" i="21" s="1"/>
  <c r="L37" i="21" s="1"/>
  <c r="L89" i="13"/>
  <c r="U82" i="69"/>
  <c r="K64" i="24"/>
  <c r="U66" i="69"/>
  <c r="U99" i="69"/>
  <c r="V99" i="69" s="1"/>
  <c r="U65" i="69"/>
  <c r="V65" i="69" s="1"/>
  <c r="U75" i="69"/>
  <c r="U76" i="69"/>
  <c r="U81" i="69"/>
  <c r="U98" i="69"/>
  <c r="U80" i="69"/>
  <c r="U73" i="69"/>
  <c r="U68" i="69"/>
  <c r="U71" i="69"/>
  <c r="U74" i="69"/>
  <c r="U69" i="69"/>
  <c r="U67" i="69"/>
  <c r="U64" i="69"/>
  <c r="U70" i="69"/>
  <c r="C38" i="24"/>
  <c r="F29" i="21"/>
  <c r="O29" i="21"/>
  <c r="C41" i="24"/>
  <c r="C48" i="24"/>
  <c r="C88" i="24"/>
  <c r="F31" i="21"/>
  <c r="O31" i="21"/>
  <c r="F95" i="24"/>
  <c r="L95" i="24"/>
  <c r="J95" i="21" s="1"/>
  <c r="L95" i="21" s="1"/>
  <c r="I95" i="24"/>
  <c r="G95" i="21" s="1"/>
  <c r="I95" i="21" s="1"/>
  <c r="N53" i="24"/>
  <c r="D53" i="21"/>
  <c r="G62" i="13"/>
  <c r="L62" i="13" s="1"/>
  <c r="C60" i="24"/>
  <c r="C46" i="21"/>
  <c r="P46" i="2"/>
  <c r="D25" i="21"/>
  <c r="N25" i="24"/>
  <c r="C62" i="24"/>
  <c r="T46" i="69"/>
  <c r="V46" i="69"/>
  <c r="R46" i="69"/>
  <c r="N32" i="24"/>
  <c r="D32" i="21"/>
  <c r="F30" i="24"/>
  <c r="I30" i="24"/>
  <c r="G30" i="21" s="1"/>
  <c r="I30" i="21" s="1"/>
  <c r="L30" i="24"/>
  <c r="J30" i="21" s="1"/>
  <c r="L30" i="21" s="1"/>
  <c r="R45" i="69"/>
  <c r="T45" i="69"/>
  <c r="V45" i="69"/>
  <c r="L35" i="24"/>
  <c r="J35" i="21" s="1"/>
  <c r="L35" i="21" s="1"/>
  <c r="F35" i="24"/>
  <c r="I35" i="24"/>
  <c r="G35" i="21" s="1"/>
  <c r="I35" i="21" s="1"/>
  <c r="Q74" i="69"/>
  <c r="Q76" i="69"/>
  <c r="Q73" i="69"/>
  <c r="E74" i="24"/>
  <c r="E64" i="24"/>
  <c r="Q66" i="69"/>
  <c r="Q98" i="69"/>
  <c r="Q82" i="69"/>
  <c r="Q71" i="69"/>
  <c r="Q67" i="69"/>
  <c r="E70" i="24"/>
  <c r="E72" i="24"/>
  <c r="E68" i="24"/>
  <c r="E75" i="24"/>
  <c r="E69" i="24"/>
  <c r="Q65" i="69"/>
  <c r="Q80" i="69"/>
  <c r="Q68" i="69"/>
  <c r="H20" i="25"/>
  <c r="E66" i="24"/>
  <c r="E67" i="24"/>
  <c r="Q70" i="69"/>
  <c r="Q99" i="69"/>
  <c r="E65" i="24"/>
  <c r="Q75" i="69"/>
  <c r="E71" i="24"/>
  <c r="Q81" i="69"/>
  <c r="Q69" i="69"/>
  <c r="E73" i="24"/>
  <c r="Q64" i="69"/>
  <c r="C40" i="24"/>
  <c r="P45" i="2"/>
  <c r="C45" i="21"/>
  <c r="L46" i="13"/>
  <c r="J16" i="13"/>
  <c r="G16" i="13"/>
  <c r="N51" i="24"/>
  <c r="D51" i="21"/>
  <c r="H66" i="24"/>
  <c r="H64" i="24"/>
  <c r="J26" i="26" s="1"/>
  <c r="S82" i="69"/>
  <c r="H70" i="24"/>
  <c r="H68" i="24"/>
  <c r="S75" i="69"/>
  <c r="H74" i="24"/>
  <c r="S76" i="69"/>
  <c r="S66" i="69"/>
  <c r="S80" i="69"/>
  <c r="S69" i="69"/>
  <c r="S64" i="69"/>
  <c r="S73" i="69"/>
  <c r="S98" i="69"/>
  <c r="H98" i="24"/>
  <c r="I98" i="24" s="1"/>
  <c r="G98" i="21" s="1"/>
  <c r="I98" i="21" s="1"/>
  <c r="H69" i="24"/>
  <c r="S71" i="69"/>
  <c r="H65" i="24"/>
  <c r="I65" i="24" s="1"/>
  <c r="G65" i="21" s="1"/>
  <c r="I65" i="21" s="1"/>
  <c r="H75" i="24"/>
  <c r="H97" i="24"/>
  <c r="H80" i="24"/>
  <c r="H67" i="24"/>
  <c r="S67" i="69"/>
  <c r="S68" i="69"/>
  <c r="H79" i="24"/>
  <c r="H81" i="24"/>
  <c r="S99" i="69"/>
  <c r="T99" i="69" s="1"/>
  <c r="H71" i="24"/>
  <c r="H73" i="24"/>
  <c r="S81" i="69"/>
  <c r="S74" i="69"/>
  <c r="S70" i="69"/>
  <c r="H72" i="24"/>
  <c r="S65" i="69"/>
  <c r="T65" i="69" s="1"/>
  <c r="L47" i="13"/>
  <c r="D58" i="21"/>
  <c r="N58" i="24"/>
  <c r="N47" i="24"/>
  <c r="D47" i="21"/>
  <c r="M71" i="13"/>
  <c r="N71" i="13" s="1"/>
  <c r="F72" i="13"/>
  <c r="L61" i="24"/>
  <c r="J61" i="21" s="1"/>
  <c r="L61" i="21" s="1"/>
  <c r="I61" i="24"/>
  <c r="G61" i="21" s="1"/>
  <c r="I61" i="21" s="1"/>
  <c r="F61" i="24"/>
  <c r="N91" i="7"/>
  <c r="D93" i="7"/>
  <c r="P10" i="7"/>
  <c r="C89" i="24"/>
  <c r="H22" i="3" l="1"/>
  <c r="H95" i="3" s="1"/>
  <c r="L15" i="13"/>
  <c r="O18" i="25"/>
  <c r="U21" i="69"/>
  <c r="U94" i="69" s="1"/>
  <c r="J105" i="2"/>
  <c r="J103" i="2"/>
  <c r="K22" i="3"/>
  <c r="K95" i="3" s="1"/>
  <c r="Q11" i="25"/>
  <c r="Q18" i="25" s="1"/>
  <c r="P11" i="25"/>
  <c r="P18" i="25" s="1"/>
  <c r="S21" i="69"/>
  <c r="F22" i="3"/>
  <c r="E22" i="3" s="1"/>
  <c r="N12" i="3"/>
  <c r="N22" i="3" s="1"/>
  <c r="D12" i="12"/>
  <c r="I101" i="69"/>
  <c r="C95" i="3"/>
  <c r="Q21" i="69"/>
  <c r="C11" i="24"/>
  <c r="C21" i="21"/>
  <c r="I73" i="3"/>
  <c r="O73" i="3"/>
  <c r="P73" i="3" s="1"/>
  <c r="P11" i="2"/>
  <c r="P21" i="2" s="1"/>
  <c r="N43" i="24"/>
  <c r="Y82" i="69"/>
  <c r="Y69" i="69"/>
  <c r="Y75" i="69"/>
  <c r="Y80" i="69"/>
  <c r="Y74" i="69"/>
  <c r="F37" i="21"/>
  <c r="O37" i="21"/>
  <c r="N37" i="24"/>
  <c r="D61" i="21"/>
  <c r="N61" i="24"/>
  <c r="N30" i="24"/>
  <c r="D30" i="21"/>
  <c r="I62" i="24"/>
  <c r="G62" i="21" s="1"/>
  <c r="I62" i="21" s="1"/>
  <c r="F62" i="24"/>
  <c r="L62" i="24"/>
  <c r="J62" i="21" s="1"/>
  <c r="L62" i="21" s="1"/>
  <c r="F25" i="21"/>
  <c r="O25" i="21"/>
  <c r="F73" i="13"/>
  <c r="M72" i="13"/>
  <c r="N72" i="13" s="1"/>
  <c r="F65" i="24"/>
  <c r="Y65" i="69"/>
  <c r="R65" i="69"/>
  <c r="L60" i="24"/>
  <c r="J60" i="21" s="1"/>
  <c r="L60" i="21" s="1"/>
  <c r="F60" i="24"/>
  <c r="I60" i="24"/>
  <c r="G60" i="21" s="1"/>
  <c r="I60" i="21" s="1"/>
  <c r="F88" i="24"/>
  <c r="I88" i="24"/>
  <c r="G88" i="21" s="1"/>
  <c r="I88" i="21" s="1"/>
  <c r="L88" i="24"/>
  <c r="J88" i="21" s="1"/>
  <c r="L88" i="21" s="1"/>
  <c r="F43" i="21"/>
  <c r="O43" i="21"/>
  <c r="Y81" i="69"/>
  <c r="Y99" i="69"/>
  <c r="R99" i="69"/>
  <c r="Y98" i="69"/>
  <c r="Y73" i="69"/>
  <c r="K68" i="24"/>
  <c r="O68" i="24" s="1"/>
  <c r="P68" i="24" s="1"/>
  <c r="K69" i="24"/>
  <c r="O69" i="24" s="1"/>
  <c r="P69" i="24" s="1"/>
  <c r="K65" i="24"/>
  <c r="L65" i="24" s="1"/>
  <c r="J65" i="21" s="1"/>
  <c r="L65" i="21" s="1"/>
  <c r="K79" i="24"/>
  <c r="K98" i="24"/>
  <c r="L98" i="24" s="1"/>
  <c r="J98" i="21" s="1"/>
  <c r="L98" i="21" s="1"/>
  <c r="K70" i="24"/>
  <c r="O70" i="24" s="1"/>
  <c r="P70" i="24" s="1"/>
  <c r="K80" i="24"/>
  <c r="K74" i="24"/>
  <c r="O74" i="24" s="1"/>
  <c r="P74" i="24" s="1"/>
  <c r="K71" i="24"/>
  <c r="O71" i="24" s="1"/>
  <c r="P71" i="24" s="1"/>
  <c r="K67" i="24"/>
  <c r="O67" i="24" s="1"/>
  <c r="P67" i="24" s="1"/>
  <c r="K75" i="24"/>
  <c r="O75" i="24" s="1"/>
  <c r="P75" i="24" s="1"/>
  <c r="K66" i="24"/>
  <c r="O66" i="24" s="1"/>
  <c r="P66" i="24" s="1"/>
  <c r="K73" i="24"/>
  <c r="O73" i="24" s="1"/>
  <c r="P73" i="24" s="1"/>
  <c r="K72" i="24"/>
  <c r="O72" i="24" s="1"/>
  <c r="P72" i="24" s="1"/>
  <c r="K97" i="24"/>
  <c r="K81" i="24"/>
  <c r="J27" i="26"/>
  <c r="F47" i="21"/>
  <c r="O47" i="21"/>
  <c r="L16" i="13"/>
  <c r="I40" i="24"/>
  <c r="G40" i="21" s="1"/>
  <c r="I40" i="21" s="1"/>
  <c r="L40" i="24"/>
  <c r="J40" i="21" s="1"/>
  <c r="L40" i="21" s="1"/>
  <c r="F40" i="24"/>
  <c r="Y71" i="69"/>
  <c r="O64" i="24"/>
  <c r="P64" i="24" s="1"/>
  <c r="E79" i="24"/>
  <c r="J25" i="26"/>
  <c r="E80" i="24"/>
  <c r="E98" i="24"/>
  <c r="E81" i="24"/>
  <c r="E97" i="24"/>
  <c r="F41" i="24"/>
  <c r="I41" i="24"/>
  <c r="G41" i="21" s="1"/>
  <c r="I41" i="21" s="1"/>
  <c r="L41" i="24"/>
  <c r="J41" i="21" s="1"/>
  <c r="L41" i="21" s="1"/>
  <c r="O94" i="2"/>
  <c r="O101" i="2" s="1"/>
  <c r="O103" i="2" s="1"/>
  <c r="O4" i="2"/>
  <c r="F58" i="21"/>
  <c r="O58" i="21"/>
  <c r="F51" i="21"/>
  <c r="O51" i="21"/>
  <c r="C45" i="24"/>
  <c r="Y64" i="69"/>
  <c r="Y70" i="69"/>
  <c r="Y68" i="69"/>
  <c r="Y67" i="69"/>
  <c r="Y66" i="69"/>
  <c r="Y76" i="69"/>
  <c r="D35" i="21"/>
  <c r="N35" i="24"/>
  <c r="F32" i="21"/>
  <c r="O32" i="21"/>
  <c r="C46" i="24"/>
  <c r="F53" i="21"/>
  <c r="O53" i="21"/>
  <c r="N95" i="24"/>
  <c r="D95" i="21"/>
  <c r="F48" i="24"/>
  <c r="L48" i="24"/>
  <c r="J48" i="21" s="1"/>
  <c r="L48" i="21" s="1"/>
  <c r="I48" i="24"/>
  <c r="G48" i="21" s="1"/>
  <c r="I48" i="21" s="1"/>
  <c r="I38" i="24"/>
  <c r="G38" i="21" s="1"/>
  <c r="I38" i="21" s="1"/>
  <c r="L38" i="24"/>
  <c r="J38" i="21" s="1"/>
  <c r="L38" i="21" s="1"/>
  <c r="F38" i="24"/>
  <c r="D95" i="7"/>
  <c r="N93" i="7"/>
  <c r="F89" i="24"/>
  <c r="L89" i="24"/>
  <c r="J89" i="21" s="1"/>
  <c r="L89" i="21" s="1"/>
  <c r="I89" i="24"/>
  <c r="G89" i="21" s="1"/>
  <c r="I89" i="21" s="1"/>
  <c r="U79" i="69" l="1"/>
  <c r="V79" i="69" s="1"/>
  <c r="R18" i="25"/>
  <c r="O20" i="25" s="1"/>
  <c r="E65" i="3" s="1"/>
  <c r="U78" i="69"/>
  <c r="V78" i="69" s="1"/>
  <c r="U77" i="69"/>
  <c r="V77" i="69" s="1"/>
  <c r="C102" i="3"/>
  <c r="L95" i="3"/>
  <c r="I95" i="3"/>
  <c r="S78" i="69"/>
  <c r="T78" i="69" s="1"/>
  <c r="S79" i="69"/>
  <c r="T79" i="69" s="1"/>
  <c r="S77" i="69"/>
  <c r="T77" i="69" s="1"/>
  <c r="S94" i="69"/>
  <c r="I103" i="69"/>
  <c r="I105" i="69"/>
  <c r="C21" i="24"/>
  <c r="L11" i="24"/>
  <c r="I11" i="24"/>
  <c r="F11" i="24"/>
  <c r="J12" i="12"/>
  <c r="J22" i="12" s="1"/>
  <c r="G12" i="12"/>
  <c r="D22" i="12"/>
  <c r="M12" i="12"/>
  <c r="M22" i="12" s="1"/>
  <c r="O22" i="3"/>
  <c r="E95" i="3"/>
  <c r="O95" i="3" s="1"/>
  <c r="P95" i="3" s="1"/>
  <c r="Q79" i="69"/>
  <c r="Q78" i="69"/>
  <c r="Q77" i="69"/>
  <c r="Q94" i="69"/>
  <c r="O80" i="24"/>
  <c r="P80" i="24" s="1"/>
  <c r="O97" i="24"/>
  <c r="P97" i="24" s="1"/>
  <c r="D41" i="21"/>
  <c r="N41" i="24"/>
  <c r="F46" i="24"/>
  <c r="L46" i="24"/>
  <c r="J46" i="21" s="1"/>
  <c r="L46" i="21" s="1"/>
  <c r="I46" i="24"/>
  <c r="G46" i="21" s="1"/>
  <c r="I46" i="21" s="1"/>
  <c r="N65" i="24"/>
  <c r="D65" i="21"/>
  <c r="F30" i="21"/>
  <c r="O30" i="21"/>
  <c r="N48" i="24"/>
  <c r="D48" i="21"/>
  <c r="F35" i="21"/>
  <c r="O35" i="21"/>
  <c r="J29" i="26"/>
  <c r="D40" i="21"/>
  <c r="N40" i="24"/>
  <c r="D88" i="21"/>
  <c r="N88" i="24"/>
  <c r="O65" i="24"/>
  <c r="P65" i="24" s="1"/>
  <c r="D62" i="21"/>
  <c r="N62" i="24"/>
  <c r="O98" i="24"/>
  <c r="P98" i="24" s="1"/>
  <c r="F98" i="24"/>
  <c r="D38" i="21"/>
  <c r="N38" i="24"/>
  <c r="L45" i="24"/>
  <c r="J45" i="21" s="1"/>
  <c r="L45" i="21" s="1"/>
  <c r="I45" i="24"/>
  <c r="G45" i="21" s="1"/>
  <c r="I45" i="21" s="1"/>
  <c r="F45" i="24"/>
  <c r="F95" i="21"/>
  <c r="O95" i="21"/>
  <c r="O81" i="24"/>
  <c r="P81" i="24" s="1"/>
  <c r="O79" i="24"/>
  <c r="P79" i="24" s="1"/>
  <c r="N60" i="24"/>
  <c r="D60" i="21"/>
  <c r="F74" i="13"/>
  <c r="M73" i="13"/>
  <c r="N73" i="13" s="1"/>
  <c r="F61" i="21"/>
  <c r="O61" i="21"/>
  <c r="E98" i="7"/>
  <c r="D97" i="7"/>
  <c r="N97" i="7" s="1"/>
  <c r="N95" i="7"/>
  <c r="D89" i="21"/>
  <c r="N89" i="24"/>
  <c r="Q20" i="25" l="1"/>
  <c r="K65" i="3" s="1"/>
  <c r="J49" i="8"/>
  <c r="AA49" i="8" s="1"/>
  <c r="P20" i="25"/>
  <c r="H65" i="3" s="1"/>
  <c r="H72" i="3" s="1"/>
  <c r="I72" i="3" s="1"/>
  <c r="I22" i="12"/>
  <c r="I94" i="12" s="1"/>
  <c r="L22" i="12"/>
  <c r="L94" i="12" s="1"/>
  <c r="N11" i="24"/>
  <c r="N21" i="24" s="1"/>
  <c r="F21" i="24"/>
  <c r="E21" i="24" s="1"/>
  <c r="D11" i="21"/>
  <c r="R79" i="69"/>
  <c r="Y79" i="69"/>
  <c r="G11" i="21"/>
  <c r="I21" i="24"/>
  <c r="H21" i="24" s="1"/>
  <c r="K94" i="69"/>
  <c r="K94" i="2"/>
  <c r="Y77" i="69"/>
  <c r="R77" i="69"/>
  <c r="R78" i="69"/>
  <c r="Y78" i="69"/>
  <c r="J11" i="21"/>
  <c r="L21" i="24"/>
  <c r="K21" i="24" s="1"/>
  <c r="Y94" i="69"/>
  <c r="G22" i="12"/>
  <c r="F22" i="12" s="1"/>
  <c r="O12" i="12"/>
  <c r="O22" i="12" s="1"/>
  <c r="D12" i="13"/>
  <c r="F95" i="3"/>
  <c r="C106" i="3"/>
  <c r="C104" i="3"/>
  <c r="E77" i="3"/>
  <c r="E74" i="3"/>
  <c r="E75" i="3"/>
  <c r="E82" i="3"/>
  <c r="E83" i="3"/>
  <c r="E69" i="3"/>
  <c r="E99" i="3"/>
  <c r="E71" i="3"/>
  <c r="E68" i="3"/>
  <c r="E67" i="3"/>
  <c r="E72" i="3"/>
  <c r="F65" i="3"/>
  <c r="D65" i="12" s="1"/>
  <c r="J25" i="8"/>
  <c r="AA25" i="8" s="1"/>
  <c r="E81" i="3"/>
  <c r="E76" i="3"/>
  <c r="E70" i="3"/>
  <c r="D45" i="21"/>
  <c r="N45" i="24"/>
  <c r="F88" i="21"/>
  <c r="O88" i="21"/>
  <c r="F41" i="21"/>
  <c r="O41" i="21"/>
  <c r="F80" i="13"/>
  <c r="M80" i="13" s="1"/>
  <c r="N80" i="13" s="1"/>
  <c r="M74" i="13"/>
  <c r="N74" i="13" s="1"/>
  <c r="F38" i="21"/>
  <c r="O38" i="21"/>
  <c r="D98" i="21"/>
  <c r="N98" i="24"/>
  <c r="F40" i="21"/>
  <c r="O40" i="21"/>
  <c r="F65" i="21"/>
  <c r="O65" i="21"/>
  <c r="N46" i="24"/>
  <c r="D46" i="21"/>
  <c r="F62" i="21"/>
  <c r="O62" i="21"/>
  <c r="F48" i="21"/>
  <c r="O48" i="21"/>
  <c r="F60" i="21"/>
  <c r="O60" i="21"/>
  <c r="F89" i="21"/>
  <c r="O89" i="21"/>
  <c r="J51" i="8" l="1"/>
  <c r="AA51" i="8" s="1"/>
  <c r="H75" i="3"/>
  <c r="I75" i="3" s="1"/>
  <c r="I65" i="3"/>
  <c r="O65" i="3"/>
  <c r="P65" i="3" s="1"/>
  <c r="H77" i="3"/>
  <c r="I77" i="3" s="1"/>
  <c r="H82" i="3"/>
  <c r="I82" i="3" s="1"/>
  <c r="H69" i="3"/>
  <c r="I69" i="3" s="1"/>
  <c r="H74" i="3"/>
  <c r="I74" i="3" s="1"/>
  <c r="H71" i="3"/>
  <c r="I71" i="3" s="1"/>
  <c r="R20" i="25"/>
  <c r="H68" i="3"/>
  <c r="I68" i="3" s="1"/>
  <c r="H67" i="3"/>
  <c r="I67" i="3" s="1"/>
  <c r="H99" i="3"/>
  <c r="I99" i="3" s="1"/>
  <c r="H81" i="3"/>
  <c r="I81" i="3" s="1"/>
  <c r="H76" i="3"/>
  <c r="I76" i="3" s="1"/>
  <c r="H83" i="3"/>
  <c r="I83" i="3" s="1"/>
  <c r="H70" i="3"/>
  <c r="I70" i="3" s="1"/>
  <c r="J50" i="8"/>
  <c r="AA50" i="8" s="1"/>
  <c r="J26" i="8"/>
  <c r="AA26" i="8" s="1"/>
  <c r="AA14" i="8" s="1"/>
  <c r="K77" i="24"/>
  <c r="L77" i="24" s="1"/>
  <c r="J77" i="21" s="1"/>
  <c r="L77" i="21" s="1"/>
  <c r="K78" i="24"/>
  <c r="L78" i="24" s="1"/>
  <c r="J78" i="21" s="1"/>
  <c r="L78" i="21" s="1"/>
  <c r="K76" i="24"/>
  <c r="L76" i="24" s="1"/>
  <c r="J76" i="21" s="1"/>
  <c r="L76" i="21" s="1"/>
  <c r="K93" i="24"/>
  <c r="J21" i="21"/>
  <c r="E11" i="20" s="1"/>
  <c r="V11" i="21"/>
  <c r="O11" i="21"/>
  <c r="R11" i="21"/>
  <c r="D21" i="21"/>
  <c r="T11" i="21"/>
  <c r="G21" i="21"/>
  <c r="E11" i="19" s="1"/>
  <c r="D22" i="13"/>
  <c r="I98" i="13"/>
  <c r="G12" i="13"/>
  <c r="J12" i="13"/>
  <c r="J22" i="13" s="1"/>
  <c r="F98" i="13"/>
  <c r="F94" i="12"/>
  <c r="P94" i="12" s="1"/>
  <c r="Q94" i="12" s="1"/>
  <c r="P22" i="12"/>
  <c r="E76" i="24"/>
  <c r="O21" i="24"/>
  <c r="E93" i="24"/>
  <c r="E78" i="24"/>
  <c r="E77" i="24"/>
  <c r="H76" i="24"/>
  <c r="I76" i="24" s="1"/>
  <c r="G76" i="21" s="1"/>
  <c r="I76" i="21" s="1"/>
  <c r="H93" i="24"/>
  <c r="H77" i="24"/>
  <c r="I77" i="24" s="1"/>
  <c r="G77" i="21" s="1"/>
  <c r="I77" i="21" s="1"/>
  <c r="H78" i="24"/>
  <c r="I78" i="24" s="1"/>
  <c r="G78" i="21" s="1"/>
  <c r="I78" i="21" s="1"/>
  <c r="D94" i="12"/>
  <c r="N95" i="3"/>
  <c r="F76" i="3"/>
  <c r="D75" i="12" s="1"/>
  <c r="F99" i="3"/>
  <c r="L73" i="3"/>
  <c r="K69" i="3"/>
  <c r="L69" i="3" s="1"/>
  <c r="K71" i="3"/>
  <c r="L71" i="3" s="1"/>
  <c r="K74" i="3"/>
  <c r="L74" i="3" s="1"/>
  <c r="K99" i="3"/>
  <c r="L99" i="3" s="1"/>
  <c r="K68" i="3"/>
  <c r="L68" i="3" s="1"/>
  <c r="K81" i="3"/>
  <c r="L81" i="3" s="1"/>
  <c r="K77" i="3"/>
  <c r="L77" i="3" s="1"/>
  <c r="K67" i="3"/>
  <c r="L67" i="3" s="1"/>
  <c r="K83" i="3"/>
  <c r="L83" i="3" s="1"/>
  <c r="L65" i="3"/>
  <c r="K75" i="3"/>
  <c r="L75" i="3" s="1"/>
  <c r="K76" i="3"/>
  <c r="L76" i="3" s="1"/>
  <c r="K82" i="3"/>
  <c r="L82" i="3" s="1"/>
  <c r="K70" i="3"/>
  <c r="L70" i="3" s="1"/>
  <c r="K69" i="2" s="1"/>
  <c r="J27" i="8"/>
  <c r="K72" i="3"/>
  <c r="L72" i="3" s="1"/>
  <c r="K71" i="2" s="1"/>
  <c r="G65" i="12"/>
  <c r="J65" i="12"/>
  <c r="M65" i="12"/>
  <c r="F75" i="3"/>
  <c r="F74" i="3"/>
  <c r="F77" i="3"/>
  <c r="D76" i="12" s="1"/>
  <c r="F81" i="3"/>
  <c r="F69" i="3"/>
  <c r="F82" i="3"/>
  <c r="F72" i="3"/>
  <c r="D72" i="12" s="1"/>
  <c r="F67" i="3"/>
  <c r="F68" i="3"/>
  <c r="D68" i="12" s="1"/>
  <c r="F70" i="3"/>
  <c r="D70" i="12" s="1"/>
  <c r="F71" i="3"/>
  <c r="F83" i="3"/>
  <c r="D82" i="12" s="1"/>
  <c r="F46" i="21"/>
  <c r="O46" i="21"/>
  <c r="F45" i="21"/>
  <c r="O45" i="21"/>
  <c r="F98" i="21"/>
  <c r="O98" i="21"/>
  <c r="K72" i="2" l="1"/>
  <c r="N73" i="3"/>
  <c r="K72" i="69"/>
  <c r="K75" i="69"/>
  <c r="AA53" i="8"/>
  <c r="K64" i="2"/>
  <c r="K81" i="2"/>
  <c r="K74" i="69"/>
  <c r="K76" i="69"/>
  <c r="K68" i="2"/>
  <c r="K73" i="2"/>
  <c r="K70" i="2"/>
  <c r="K67" i="2"/>
  <c r="K98" i="69"/>
  <c r="K66" i="2"/>
  <c r="K82" i="2"/>
  <c r="J14" i="8"/>
  <c r="M14" i="8" s="1"/>
  <c r="N14" i="8" s="1"/>
  <c r="J53" i="8"/>
  <c r="K80" i="2"/>
  <c r="O67" i="3"/>
  <c r="P67" i="3" s="1"/>
  <c r="O93" i="24"/>
  <c r="P93" i="24" s="1"/>
  <c r="O69" i="3"/>
  <c r="P69" i="3" s="1"/>
  <c r="K66" i="69"/>
  <c r="O83" i="3"/>
  <c r="P83" i="3" s="1"/>
  <c r="M98" i="13"/>
  <c r="K68" i="69"/>
  <c r="O71" i="3"/>
  <c r="P71" i="3" s="1"/>
  <c r="K81" i="69"/>
  <c r="O81" i="3"/>
  <c r="P81" i="3" s="1"/>
  <c r="O68" i="3"/>
  <c r="P68" i="3" s="1"/>
  <c r="O74" i="3"/>
  <c r="P74" i="3" s="1"/>
  <c r="F77" i="24"/>
  <c r="O77" i="24"/>
  <c r="P77" i="24" s="1"/>
  <c r="O78" i="24"/>
  <c r="P78" i="24" s="1"/>
  <c r="F78" i="24"/>
  <c r="G22" i="13"/>
  <c r="F22" i="13" s="1"/>
  <c r="L12" i="13"/>
  <c r="L22" i="13" s="1"/>
  <c r="K74" i="2"/>
  <c r="G94" i="12"/>
  <c r="M94" i="12"/>
  <c r="J94" i="12"/>
  <c r="F76" i="24"/>
  <c r="O76" i="24"/>
  <c r="P76" i="24" s="1"/>
  <c r="K82" i="69"/>
  <c r="K70" i="69"/>
  <c r="O99" i="3"/>
  <c r="I22" i="13"/>
  <c r="I94" i="13" s="1"/>
  <c r="J79" i="13"/>
  <c r="I79" i="13" s="1"/>
  <c r="F79" i="13" s="1"/>
  <c r="K73" i="69"/>
  <c r="K98" i="2"/>
  <c r="O72" i="3"/>
  <c r="P72" i="3" s="1"/>
  <c r="K71" i="69"/>
  <c r="N76" i="3"/>
  <c r="O76" i="3"/>
  <c r="P76" i="3" s="1"/>
  <c r="O21" i="21"/>
  <c r="E11" i="18"/>
  <c r="D81" i="12"/>
  <c r="N82" i="3"/>
  <c r="AA27" i="8"/>
  <c r="AA16" i="8" s="1"/>
  <c r="AD16" i="8" s="1"/>
  <c r="AE16" i="8" s="1"/>
  <c r="J16" i="8"/>
  <c r="M16" i="8" s="1"/>
  <c r="N16" i="8" s="1"/>
  <c r="K85" i="3" s="1"/>
  <c r="D71" i="12"/>
  <c r="N71" i="3"/>
  <c r="D80" i="12"/>
  <c r="N81" i="3"/>
  <c r="D98" i="12"/>
  <c r="N99" i="3"/>
  <c r="M68" i="12"/>
  <c r="J68" i="12"/>
  <c r="G68" i="12"/>
  <c r="J72" i="12"/>
  <c r="M72" i="12"/>
  <c r="G72" i="12"/>
  <c r="D73" i="12"/>
  <c r="N74" i="3"/>
  <c r="K69" i="69"/>
  <c r="M70" i="12"/>
  <c r="G70" i="12"/>
  <c r="J70" i="12"/>
  <c r="K80" i="69"/>
  <c r="AD14" i="8"/>
  <c r="AE14" i="8" s="1"/>
  <c r="G76" i="12"/>
  <c r="J76" i="12"/>
  <c r="M76" i="12"/>
  <c r="L64" i="69"/>
  <c r="L64" i="2"/>
  <c r="K64" i="69"/>
  <c r="K67" i="69"/>
  <c r="D74" i="12"/>
  <c r="N75" i="3"/>
  <c r="K76" i="2"/>
  <c r="N77" i="3"/>
  <c r="O70" i="3"/>
  <c r="P70" i="3" s="1"/>
  <c r="G75" i="12"/>
  <c r="J75" i="12"/>
  <c r="M75" i="12"/>
  <c r="N72" i="3"/>
  <c r="O77" i="3"/>
  <c r="P77" i="3" s="1"/>
  <c r="M64" i="69"/>
  <c r="M64" i="2"/>
  <c r="G82" i="12"/>
  <c r="M82" i="12"/>
  <c r="J82" i="12"/>
  <c r="N83" i="3"/>
  <c r="D67" i="12"/>
  <c r="N67" i="3"/>
  <c r="K75" i="2"/>
  <c r="O65" i="12"/>
  <c r="D65" i="13"/>
  <c r="N65" i="3"/>
  <c r="N70" i="3"/>
  <c r="O82" i="3"/>
  <c r="P82" i="3" s="1"/>
  <c r="D69" i="12"/>
  <c r="N69" i="3"/>
  <c r="J29" i="8"/>
  <c r="O75" i="3"/>
  <c r="P75" i="3" s="1"/>
  <c r="N68" i="3"/>
  <c r="O94" i="12" l="1"/>
  <c r="D94" i="13"/>
  <c r="F94" i="13"/>
  <c r="M94" i="13" s="1"/>
  <c r="N94" i="13" s="1"/>
  <c r="M22" i="13"/>
  <c r="N78" i="24"/>
  <c r="D78" i="21"/>
  <c r="AA12" i="8"/>
  <c r="AD12" i="8" s="1"/>
  <c r="N76" i="24"/>
  <c r="D76" i="21"/>
  <c r="AA29" i="8"/>
  <c r="L94" i="69"/>
  <c r="L94" i="2"/>
  <c r="G79" i="13"/>
  <c r="L79" i="13" s="1"/>
  <c r="M79" i="13"/>
  <c r="N79" i="13" s="1"/>
  <c r="M94" i="69"/>
  <c r="M94" i="2"/>
  <c r="N77" i="24"/>
  <c r="D77" i="21"/>
  <c r="N64" i="2"/>
  <c r="G71" i="12"/>
  <c r="J71" i="12"/>
  <c r="M71" i="12"/>
  <c r="J12" i="8"/>
  <c r="D76" i="13"/>
  <c r="O76" i="12"/>
  <c r="M71" i="69"/>
  <c r="M71" i="2"/>
  <c r="M75" i="69"/>
  <c r="M75" i="2"/>
  <c r="O70" i="12"/>
  <c r="D70" i="13"/>
  <c r="D68" i="13"/>
  <c r="O68" i="12"/>
  <c r="G67" i="12"/>
  <c r="M67" i="12"/>
  <c r="J67" i="12"/>
  <c r="D116" i="12"/>
  <c r="L75" i="2"/>
  <c r="L75" i="69"/>
  <c r="M69" i="2"/>
  <c r="M69" i="69"/>
  <c r="L67" i="2"/>
  <c r="L67" i="69"/>
  <c r="G65" i="13"/>
  <c r="J65" i="13"/>
  <c r="O75" i="12"/>
  <c r="D75" i="13"/>
  <c r="M67" i="2"/>
  <c r="M67" i="69"/>
  <c r="L82" i="69"/>
  <c r="L82" i="2"/>
  <c r="J74" i="12"/>
  <c r="G74" i="12"/>
  <c r="M74" i="12"/>
  <c r="M82" i="2"/>
  <c r="M82" i="69"/>
  <c r="M76" i="2"/>
  <c r="M76" i="69"/>
  <c r="G73" i="12"/>
  <c r="J73" i="12"/>
  <c r="M73" i="12"/>
  <c r="J98" i="12"/>
  <c r="M98" i="12"/>
  <c r="G98" i="12"/>
  <c r="K86" i="3"/>
  <c r="L86" i="3" s="1"/>
  <c r="L85" i="3"/>
  <c r="K108" i="2"/>
  <c r="K107" i="2" s="1"/>
  <c r="H85" i="3"/>
  <c r="K108" i="69"/>
  <c r="O82" i="12"/>
  <c r="D82" i="13"/>
  <c r="N64" i="69"/>
  <c r="L76" i="2"/>
  <c r="N76" i="2" s="1"/>
  <c r="L76" i="69"/>
  <c r="D72" i="13"/>
  <c r="O72" i="12"/>
  <c r="J69" i="12"/>
  <c r="M69" i="12"/>
  <c r="G69" i="12"/>
  <c r="L69" i="2"/>
  <c r="L69" i="69"/>
  <c r="L71" i="2"/>
  <c r="L71" i="69"/>
  <c r="J80" i="12"/>
  <c r="G80" i="12"/>
  <c r="M80" i="12"/>
  <c r="J81" i="12"/>
  <c r="G81" i="12"/>
  <c r="M81" i="12"/>
  <c r="N76" i="69" l="1"/>
  <c r="R76" i="69" s="1"/>
  <c r="N71" i="69"/>
  <c r="R71" i="69" s="1"/>
  <c r="N67" i="69"/>
  <c r="R67" i="69" s="1"/>
  <c r="N75" i="2"/>
  <c r="P75" i="2" s="1"/>
  <c r="N71" i="2"/>
  <c r="C71" i="21" s="1"/>
  <c r="C71" i="24" s="1"/>
  <c r="AA42" i="8"/>
  <c r="AA40" i="8" s="1"/>
  <c r="AD40" i="8" s="1"/>
  <c r="O78" i="21"/>
  <c r="F78" i="21"/>
  <c r="N94" i="2"/>
  <c r="N69" i="69"/>
  <c r="V69" i="69" s="1"/>
  <c r="N94" i="69"/>
  <c r="N69" i="2"/>
  <c r="C69" i="21" s="1"/>
  <c r="C69" i="24" s="1"/>
  <c r="F77" i="21"/>
  <c r="O77" i="21"/>
  <c r="J94" i="13"/>
  <c r="G94" i="13"/>
  <c r="L102" i="3"/>
  <c r="L106" i="3" s="1"/>
  <c r="N75" i="69"/>
  <c r="R75" i="69" s="1"/>
  <c r="O76" i="21"/>
  <c r="F76" i="21"/>
  <c r="D98" i="13"/>
  <c r="O98" i="12"/>
  <c r="D74" i="13"/>
  <c r="O74" i="12"/>
  <c r="J82" i="13"/>
  <c r="G82" i="13"/>
  <c r="M98" i="69"/>
  <c r="M98" i="2"/>
  <c r="L74" i="69"/>
  <c r="L74" i="2"/>
  <c r="L98" i="69"/>
  <c r="L98" i="2"/>
  <c r="D81" i="13"/>
  <c r="O81" i="12"/>
  <c r="N82" i="69"/>
  <c r="J18" i="26"/>
  <c r="J42" i="8"/>
  <c r="M12" i="8"/>
  <c r="I85" i="3"/>
  <c r="H86" i="3"/>
  <c r="I86" i="3" s="1"/>
  <c r="AE12" i="8"/>
  <c r="AE18" i="8" s="1"/>
  <c r="AF18" i="8"/>
  <c r="M80" i="69"/>
  <c r="M80" i="2"/>
  <c r="O73" i="12"/>
  <c r="D73" i="13"/>
  <c r="N67" i="2"/>
  <c r="M66" i="2"/>
  <c r="M66" i="69"/>
  <c r="M116" i="12"/>
  <c r="L70" i="69"/>
  <c r="L70" i="2"/>
  <c r="P76" i="2"/>
  <c r="C75" i="21"/>
  <c r="C75" i="24" s="1"/>
  <c r="L81" i="69"/>
  <c r="L81" i="2"/>
  <c r="L72" i="2"/>
  <c r="L73" i="2"/>
  <c r="L73" i="69"/>
  <c r="L72" i="69"/>
  <c r="M70" i="69"/>
  <c r="M70" i="2"/>
  <c r="D69" i="13"/>
  <c r="O69" i="12"/>
  <c r="G116" i="12"/>
  <c r="D67" i="13"/>
  <c r="O67" i="12"/>
  <c r="D71" i="13"/>
  <c r="O71" i="12"/>
  <c r="L68" i="69"/>
  <c r="L68" i="2"/>
  <c r="J68" i="13"/>
  <c r="G68" i="13"/>
  <c r="J70" i="13"/>
  <c r="G70" i="13"/>
  <c r="M81" i="69"/>
  <c r="M81" i="2"/>
  <c r="N82" i="2"/>
  <c r="G76" i="13"/>
  <c r="J76" i="13"/>
  <c r="J72" i="13"/>
  <c r="G72" i="13"/>
  <c r="M73" i="2"/>
  <c r="M73" i="69"/>
  <c r="M72" i="2"/>
  <c r="M72" i="69"/>
  <c r="L65" i="13"/>
  <c r="L66" i="2"/>
  <c r="L66" i="69"/>
  <c r="J116" i="12"/>
  <c r="D80" i="13"/>
  <c r="O80" i="12"/>
  <c r="L80" i="2"/>
  <c r="L80" i="69"/>
  <c r="M68" i="2"/>
  <c r="M68" i="69"/>
  <c r="V64" i="69"/>
  <c r="R64" i="69"/>
  <c r="T64" i="69"/>
  <c r="M74" i="69"/>
  <c r="M74" i="2"/>
  <c r="G75" i="13"/>
  <c r="J75" i="13"/>
  <c r="P64" i="2"/>
  <c r="C64" i="21"/>
  <c r="V76" i="69" l="1"/>
  <c r="T76" i="69"/>
  <c r="T71" i="69"/>
  <c r="P71" i="2"/>
  <c r="V71" i="69"/>
  <c r="T67" i="69"/>
  <c r="V67" i="69"/>
  <c r="L94" i="13"/>
  <c r="N70" i="69"/>
  <c r="T70" i="69" s="1"/>
  <c r="K102" i="3"/>
  <c r="C74" i="21"/>
  <c r="C74" i="24" s="1"/>
  <c r="L70" i="13"/>
  <c r="AA38" i="8"/>
  <c r="AD38" i="8" s="1"/>
  <c r="N66" i="69"/>
  <c r="V66" i="69" s="1"/>
  <c r="N66" i="2"/>
  <c r="P66" i="2" s="1"/>
  <c r="AD42" i="8"/>
  <c r="AE40" i="8" s="1"/>
  <c r="L104" i="3"/>
  <c r="K104" i="3" s="1"/>
  <c r="N70" i="2"/>
  <c r="P70" i="2" s="1"/>
  <c r="L68" i="13"/>
  <c r="N72" i="2"/>
  <c r="P72" i="2" s="1"/>
  <c r="L82" i="13"/>
  <c r="N68" i="69"/>
  <c r="R68" i="69" s="1"/>
  <c r="P69" i="2"/>
  <c r="V94" i="69"/>
  <c r="R94" i="69"/>
  <c r="T94" i="69"/>
  <c r="T69" i="69"/>
  <c r="P94" i="2"/>
  <c r="C93" i="21"/>
  <c r="C93" i="24" s="1"/>
  <c r="R69" i="69"/>
  <c r="N81" i="2"/>
  <c r="P81" i="2" s="1"/>
  <c r="N81" i="69"/>
  <c r="V81" i="69" s="1"/>
  <c r="T75" i="69"/>
  <c r="V75" i="69"/>
  <c r="L69" i="24"/>
  <c r="J69" i="21" s="1"/>
  <c r="L69" i="21" s="1"/>
  <c r="F69" i="24"/>
  <c r="I69" i="24"/>
  <c r="G69" i="21" s="1"/>
  <c r="I69" i="21" s="1"/>
  <c r="J71" i="13"/>
  <c r="G71" i="13"/>
  <c r="G81" i="13"/>
  <c r="J81" i="13"/>
  <c r="G67" i="13"/>
  <c r="J67" i="13"/>
  <c r="J116" i="13" s="1"/>
  <c r="D116" i="13"/>
  <c r="N98" i="2"/>
  <c r="L75" i="13"/>
  <c r="N80" i="69"/>
  <c r="C81" i="21"/>
  <c r="C81" i="24" s="1"/>
  <c r="P82" i="2"/>
  <c r="R116" i="12"/>
  <c r="N72" i="69"/>
  <c r="K84" i="69"/>
  <c r="K84" i="2"/>
  <c r="I102" i="3"/>
  <c r="N98" i="69"/>
  <c r="J74" i="13"/>
  <c r="G74" i="13"/>
  <c r="J80" i="13"/>
  <c r="G80" i="13"/>
  <c r="K18" i="26"/>
  <c r="J16" i="26"/>
  <c r="K16" i="26" s="1"/>
  <c r="J14" i="26"/>
  <c r="K14" i="26" s="1"/>
  <c r="J92" i="12"/>
  <c r="J91" i="12"/>
  <c r="J93" i="12"/>
  <c r="T82" i="69"/>
  <c r="R82" i="69"/>
  <c r="V82" i="69"/>
  <c r="N80" i="2"/>
  <c r="N73" i="69"/>
  <c r="N12" i="8"/>
  <c r="O18" i="8"/>
  <c r="N74" i="2"/>
  <c r="L75" i="24"/>
  <c r="J75" i="21" s="1"/>
  <c r="L75" i="21" s="1"/>
  <c r="F75" i="24"/>
  <c r="I75" i="24"/>
  <c r="G75" i="21" s="1"/>
  <c r="I75" i="21" s="1"/>
  <c r="J73" i="13"/>
  <c r="G73" i="13"/>
  <c r="C64" i="24"/>
  <c r="G69" i="13"/>
  <c r="J69" i="13"/>
  <c r="C70" i="21"/>
  <c r="C70" i="24" s="1"/>
  <c r="L76" i="13"/>
  <c r="M92" i="12"/>
  <c r="M93" i="12"/>
  <c r="M91" i="12"/>
  <c r="K85" i="2"/>
  <c r="K85" i="69"/>
  <c r="L72" i="13"/>
  <c r="N68" i="2"/>
  <c r="N73" i="2"/>
  <c r="I71" i="24"/>
  <c r="G71" i="21" s="1"/>
  <c r="I71" i="21" s="1"/>
  <c r="F71" i="24"/>
  <c r="L71" i="24"/>
  <c r="J71" i="21" s="1"/>
  <c r="L71" i="21" s="1"/>
  <c r="P67" i="2"/>
  <c r="C67" i="21"/>
  <c r="C67" i="24" s="1"/>
  <c r="M42" i="8"/>
  <c r="J38" i="8"/>
  <c r="M38" i="8" s="1"/>
  <c r="J40" i="8"/>
  <c r="M40" i="8" s="1"/>
  <c r="N74" i="69"/>
  <c r="G98" i="13"/>
  <c r="J98" i="13"/>
  <c r="V70" i="69" l="1"/>
  <c r="R70" i="69"/>
  <c r="R66" i="69"/>
  <c r="T66" i="69"/>
  <c r="C66" i="21"/>
  <c r="C66" i="24" s="1"/>
  <c r="AE38" i="8"/>
  <c r="AA36" i="8"/>
  <c r="AD36" i="8" s="1"/>
  <c r="AF42" i="8" s="1"/>
  <c r="L74" i="13"/>
  <c r="N38" i="8"/>
  <c r="L84" i="12" s="1"/>
  <c r="L85" i="12" s="1"/>
  <c r="T68" i="69"/>
  <c r="L71" i="13"/>
  <c r="N40" i="8"/>
  <c r="I84" i="12" s="1"/>
  <c r="I85" i="12" s="1"/>
  <c r="J36" i="8"/>
  <c r="M36" i="8" s="1"/>
  <c r="N36" i="8" s="1"/>
  <c r="L73" i="13"/>
  <c r="T81" i="69"/>
  <c r="K101" i="69"/>
  <c r="K103" i="69" s="1"/>
  <c r="V68" i="69"/>
  <c r="J12" i="26"/>
  <c r="K12" i="26" s="1"/>
  <c r="L14" i="26"/>
  <c r="S84" i="69" s="1"/>
  <c r="L80" i="13"/>
  <c r="R81" i="69"/>
  <c r="C80" i="21"/>
  <c r="C80" i="24" s="1"/>
  <c r="F80" i="24" s="1"/>
  <c r="L16" i="26"/>
  <c r="K83" i="24" s="1"/>
  <c r="K84" i="24" s="1"/>
  <c r="L93" i="24"/>
  <c r="J93" i="21" s="1"/>
  <c r="I93" i="24"/>
  <c r="G93" i="21" s="1"/>
  <c r="F93" i="24"/>
  <c r="L67" i="13"/>
  <c r="G116" i="13"/>
  <c r="N71" i="24"/>
  <c r="D71" i="21"/>
  <c r="L81" i="13"/>
  <c r="M93" i="69"/>
  <c r="M93" i="2"/>
  <c r="L93" i="12"/>
  <c r="M92" i="69"/>
  <c r="L92" i="12"/>
  <c r="M92" i="2"/>
  <c r="D75" i="21"/>
  <c r="N75" i="24"/>
  <c r="C97" i="21"/>
  <c r="P98" i="2"/>
  <c r="R74" i="69"/>
  <c r="T74" i="69"/>
  <c r="V74" i="69"/>
  <c r="I64" i="24"/>
  <c r="G64" i="21" s="1"/>
  <c r="I64" i="21" s="1"/>
  <c r="L64" i="24"/>
  <c r="J64" i="21" s="1"/>
  <c r="L64" i="21" s="1"/>
  <c r="F64" i="24"/>
  <c r="L81" i="24"/>
  <c r="J81" i="21" s="1"/>
  <c r="L81" i="21" s="1"/>
  <c r="F81" i="24"/>
  <c r="I81" i="24"/>
  <c r="G81" i="21" s="1"/>
  <c r="I81" i="21" s="1"/>
  <c r="I104" i="3"/>
  <c r="H104" i="3" s="1"/>
  <c r="H102" i="3"/>
  <c r="I106" i="3"/>
  <c r="P74" i="2"/>
  <c r="C73" i="21"/>
  <c r="D69" i="21"/>
  <c r="N69" i="24"/>
  <c r="N18" i="8"/>
  <c r="E85" i="3"/>
  <c r="G93" i="12"/>
  <c r="L93" i="69"/>
  <c r="I93" i="12"/>
  <c r="L93" i="2"/>
  <c r="V72" i="69"/>
  <c r="T72" i="69"/>
  <c r="R72" i="69"/>
  <c r="L92" i="69"/>
  <c r="G92" i="12"/>
  <c r="L92" i="2"/>
  <c r="I92" i="12"/>
  <c r="L70" i="24"/>
  <c r="J70" i="21" s="1"/>
  <c r="L70" i="21" s="1"/>
  <c r="I70" i="24"/>
  <c r="G70" i="21" s="1"/>
  <c r="I70" i="21" s="1"/>
  <c r="F70" i="24"/>
  <c r="R73" i="69"/>
  <c r="T73" i="69"/>
  <c r="V73" i="69"/>
  <c r="M91" i="69"/>
  <c r="L91" i="12"/>
  <c r="M91" i="2"/>
  <c r="C79" i="21"/>
  <c r="P80" i="2"/>
  <c r="R98" i="69"/>
  <c r="T98" i="69"/>
  <c r="V98" i="69"/>
  <c r="C72" i="21"/>
  <c r="P73" i="2"/>
  <c r="L69" i="13"/>
  <c r="L74" i="24"/>
  <c r="J74" i="21" s="1"/>
  <c r="L74" i="21" s="1"/>
  <c r="I74" i="24"/>
  <c r="G74" i="21" s="1"/>
  <c r="I74" i="21" s="1"/>
  <c r="F74" i="24"/>
  <c r="R80" i="69"/>
  <c r="V80" i="69"/>
  <c r="T80" i="69"/>
  <c r="P68" i="2"/>
  <c r="C68" i="21"/>
  <c r="K101" i="2"/>
  <c r="I67" i="24"/>
  <c r="G67" i="21" s="1"/>
  <c r="I67" i="21" s="1"/>
  <c r="L67" i="24"/>
  <c r="J67" i="21" s="1"/>
  <c r="L67" i="21" s="1"/>
  <c r="F67" i="24"/>
  <c r="L98" i="13"/>
  <c r="I91" i="12"/>
  <c r="L91" i="2"/>
  <c r="L91" i="69"/>
  <c r="G91" i="12"/>
  <c r="J93" i="13"/>
  <c r="J92" i="13"/>
  <c r="J91" i="13"/>
  <c r="M108" i="2" l="1"/>
  <c r="M107" i="2" s="1"/>
  <c r="M108" i="69"/>
  <c r="N107" i="69"/>
  <c r="C7" i="70" s="1"/>
  <c r="J28" i="70" s="1"/>
  <c r="S6" i="70" s="1"/>
  <c r="T6" i="70" s="1"/>
  <c r="U6" i="70" s="1"/>
  <c r="W6" i="70" s="1"/>
  <c r="X6" i="70" s="1"/>
  <c r="Y6" i="70" s="1"/>
  <c r="Z6" i="70" s="1"/>
  <c r="AB6" i="70" s="1"/>
  <c r="AC6" i="70" s="1"/>
  <c r="AD6" i="70" s="1"/>
  <c r="AE36" i="8"/>
  <c r="AE42" i="8" s="1"/>
  <c r="N42" i="8"/>
  <c r="F85" i="12"/>
  <c r="P85" i="12" s="1"/>
  <c r="Q85" i="12" s="1"/>
  <c r="L108" i="2"/>
  <c r="L107" i="2" s="1"/>
  <c r="L108" i="69"/>
  <c r="O42" i="8"/>
  <c r="F84" i="12"/>
  <c r="P84" i="12" s="1"/>
  <c r="Q84" i="12" s="1"/>
  <c r="K105" i="69"/>
  <c r="H83" i="24"/>
  <c r="H84" i="24" s="1"/>
  <c r="S85" i="69"/>
  <c r="U85" i="69"/>
  <c r="I80" i="24"/>
  <c r="G80" i="21" s="1"/>
  <c r="I80" i="21" s="1"/>
  <c r="L12" i="26"/>
  <c r="M18" i="26"/>
  <c r="U84" i="69"/>
  <c r="L80" i="24"/>
  <c r="J80" i="21" s="1"/>
  <c r="L80" i="21" s="1"/>
  <c r="N91" i="69"/>
  <c r="T91" i="69" s="1"/>
  <c r="N93" i="24"/>
  <c r="D93" i="21"/>
  <c r="O93" i="21" s="1"/>
  <c r="N92" i="2"/>
  <c r="P92" i="2" s="1"/>
  <c r="F66" i="24"/>
  <c r="I66" i="24"/>
  <c r="G66" i="21" s="1"/>
  <c r="I66" i="21" s="1"/>
  <c r="L66" i="24"/>
  <c r="J66" i="21" s="1"/>
  <c r="L66" i="21" s="1"/>
  <c r="D74" i="21"/>
  <c r="N74" i="24"/>
  <c r="N92" i="69"/>
  <c r="F69" i="21"/>
  <c r="O69" i="21"/>
  <c r="N91" i="2"/>
  <c r="C72" i="24"/>
  <c r="N93" i="69"/>
  <c r="D92" i="13"/>
  <c r="G92" i="13" s="1"/>
  <c r="F92" i="12"/>
  <c r="P92" i="12" s="1"/>
  <c r="Q92" i="12" s="1"/>
  <c r="O92" i="12"/>
  <c r="N64" i="24"/>
  <c r="D64" i="21"/>
  <c r="C79" i="24"/>
  <c r="N67" i="24"/>
  <c r="D67" i="21"/>
  <c r="N93" i="2"/>
  <c r="C73" i="24"/>
  <c r="N70" i="24"/>
  <c r="D70" i="21"/>
  <c r="F71" i="21"/>
  <c r="O71" i="21"/>
  <c r="K105" i="2"/>
  <c r="K103" i="2"/>
  <c r="D80" i="21"/>
  <c r="D93" i="13"/>
  <c r="G93" i="13" s="1"/>
  <c r="F93" i="12"/>
  <c r="P93" i="12" s="1"/>
  <c r="Q93" i="12" s="1"/>
  <c r="O93" i="12"/>
  <c r="C97" i="24"/>
  <c r="F75" i="21"/>
  <c r="O75" i="21"/>
  <c r="D91" i="13"/>
  <c r="G91" i="13" s="1"/>
  <c r="O91" i="12"/>
  <c r="F91" i="12"/>
  <c r="P91" i="12" s="1"/>
  <c r="Q91" i="12" s="1"/>
  <c r="C68" i="24"/>
  <c r="F85" i="3"/>
  <c r="E86" i="3"/>
  <c r="O85" i="3"/>
  <c r="P85" i="3" s="1"/>
  <c r="D81" i="21"/>
  <c r="N81" i="24"/>
  <c r="N107" i="2" l="1"/>
  <c r="E13" i="1" s="1"/>
  <c r="S9" i="70"/>
  <c r="T9" i="70" s="1"/>
  <c r="U9" i="70" s="1"/>
  <c r="W9" i="70" s="1"/>
  <c r="X9" i="70" s="1"/>
  <c r="Y9" i="70" s="1"/>
  <c r="Z9" i="70" s="1"/>
  <c r="AB9" i="70" s="1"/>
  <c r="AC9" i="70" s="1"/>
  <c r="AD9" i="70" s="1"/>
  <c r="J27" i="70"/>
  <c r="M27" i="70" s="1"/>
  <c r="K11" i="70" s="1"/>
  <c r="M11" i="70" s="1"/>
  <c r="S8" i="70"/>
  <c r="T8" i="70" s="1"/>
  <c r="U8" i="70" s="1"/>
  <c r="W8" i="70" s="1"/>
  <c r="X8" i="70" s="1"/>
  <c r="Y8" i="70" s="1"/>
  <c r="Z8" i="70" s="1"/>
  <c r="AB8" i="70" s="1"/>
  <c r="AC8" i="70" s="1"/>
  <c r="AD8" i="70" s="1"/>
  <c r="S7" i="70"/>
  <c r="T7" i="70" s="1"/>
  <c r="U7" i="70" s="1"/>
  <c r="W7" i="70" s="1"/>
  <c r="X7" i="70" s="1"/>
  <c r="Y7" i="70" s="1"/>
  <c r="Z7" i="70" s="1"/>
  <c r="AB7" i="70" s="1"/>
  <c r="AC7" i="70" s="1"/>
  <c r="AD7" i="70" s="1"/>
  <c r="J26" i="70"/>
  <c r="V91" i="69"/>
  <c r="R91" i="69"/>
  <c r="Q85" i="69"/>
  <c r="Y85" i="69" s="1"/>
  <c r="L18" i="26"/>
  <c r="Q84" i="69"/>
  <c r="Y84" i="69" s="1"/>
  <c r="E83" i="24"/>
  <c r="N80" i="24"/>
  <c r="C91" i="21"/>
  <c r="C91" i="24" s="1"/>
  <c r="L91" i="13"/>
  <c r="F91" i="13"/>
  <c r="L93" i="13"/>
  <c r="F93" i="13"/>
  <c r="I91" i="13"/>
  <c r="L92" i="13"/>
  <c r="F92" i="13"/>
  <c r="L68" i="24"/>
  <c r="J68" i="21" s="1"/>
  <c r="L68" i="21" s="1"/>
  <c r="F68" i="24"/>
  <c r="I68" i="24"/>
  <c r="G68" i="21" s="1"/>
  <c r="I68" i="21" s="1"/>
  <c r="F97" i="24"/>
  <c r="L97" i="24"/>
  <c r="J97" i="21" s="1"/>
  <c r="L97" i="21" s="1"/>
  <c r="I97" i="24"/>
  <c r="G97" i="21" s="1"/>
  <c r="I97" i="21" s="1"/>
  <c r="F81" i="21"/>
  <c r="O81" i="21"/>
  <c r="F64" i="21"/>
  <c r="O64" i="21"/>
  <c r="F74" i="21"/>
  <c r="O74" i="21"/>
  <c r="O80" i="21"/>
  <c r="F80" i="21"/>
  <c r="F86" i="3"/>
  <c r="O86" i="3"/>
  <c r="P86" i="3" s="1"/>
  <c r="I93" i="13"/>
  <c r="F73" i="24"/>
  <c r="L73" i="24"/>
  <c r="J73" i="21" s="1"/>
  <c r="L73" i="21" s="1"/>
  <c r="I73" i="24"/>
  <c r="G73" i="21" s="1"/>
  <c r="I73" i="21" s="1"/>
  <c r="R93" i="69"/>
  <c r="V93" i="69"/>
  <c r="T93" i="69"/>
  <c r="F67" i="21"/>
  <c r="O67" i="21"/>
  <c r="F72" i="24"/>
  <c r="L72" i="24"/>
  <c r="J72" i="21" s="1"/>
  <c r="L72" i="21" s="1"/>
  <c r="I72" i="24"/>
  <c r="G72" i="21" s="1"/>
  <c r="I72" i="21" s="1"/>
  <c r="C90" i="21"/>
  <c r="P91" i="2"/>
  <c r="T92" i="69"/>
  <c r="R92" i="69"/>
  <c r="V92" i="69"/>
  <c r="F70" i="21"/>
  <c r="O70" i="21"/>
  <c r="F79" i="24"/>
  <c r="L79" i="24"/>
  <c r="J79" i="21" s="1"/>
  <c r="L79" i="21" s="1"/>
  <c r="I79" i="24"/>
  <c r="G79" i="21" s="1"/>
  <c r="I79" i="21" s="1"/>
  <c r="D84" i="12"/>
  <c r="N85" i="3"/>
  <c r="I92" i="13"/>
  <c r="C92" i="21"/>
  <c r="P93" i="2"/>
  <c r="N66" i="24"/>
  <c r="D66" i="21"/>
  <c r="P107" i="2" l="1"/>
  <c r="C106" i="21"/>
  <c r="D106" i="21" s="1"/>
  <c r="D107" i="21" s="1"/>
  <c r="N108" i="2"/>
  <c r="I11" i="70"/>
  <c r="M93" i="13"/>
  <c r="N93" i="13" s="1"/>
  <c r="E84" i="24"/>
  <c r="O84" i="24" s="1"/>
  <c r="P84" i="24" s="1"/>
  <c r="O83" i="24"/>
  <c r="P83" i="24" s="1"/>
  <c r="M92" i="13"/>
  <c r="N92" i="13" s="1"/>
  <c r="G84" i="12"/>
  <c r="M84" i="12"/>
  <c r="J84" i="12"/>
  <c r="C90" i="24"/>
  <c r="I91" i="24"/>
  <c r="G91" i="21" s="1"/>
  <c r="I91" i="21" s="1"/>
  <c r="F91" i="24"/>
  <c r="L91" i="24"/>
  <c r="J91" i="21" s="1"/>
  <c r="L91" i="21" s="1"/>
  <c r="N72" i="24"/>
  <c r="D72" i="21"/>
  <c r="D97" i="21"/>
  <c r="N97" i="24"/>
  <c r="N86" i="3"/>
  <c r="N102" i="3" s="1"/>
  <c r="D85" i="12"/>
  <c r="D101" i="12" s="1"/>
  <c r="F66" i="21"/>
  <c r="O66" i="21"/>
  <c r="C92" i="24"/>
  <c r="D73" i="21"/>
  <c r="N73" i="24"/>
  <c r="D79" i="21"/>
  <c r="N79" i="24"/>
  <c r="M91" i="13"/>
  <c r="N91" i="13" s="1"/>
  <c r="F102" i="3"/>
  <c r="D68" i="21"/>
  <c r="N68" i="24"/>
  <c r="J106" i="21" l="1"/>
  <c r="E13" i="20" s="1"/>
  <c r="E13" i="18"/>
  <c r="G106" i="21"/>
  <c r="C107" i="21"/>
  <c r="F90" i="24"/>
  <c r="I90" i="24"/>
  <c r="G90" i="21" s="1"/>
  <c r="I90" i="21" s="1"/>
  <c r="L90" i="24"/>
  <c r="J90" i="21" s="1"/>
  <c r="L90" i="21" s="1"/>
  <c r="I92" i="24"/>
  <c r="G92" i="21" s="1"/>
  <c r="I92" i="21" s="1"/>
  <c r="F92" i="24"/>
  <c r="L92" i="24"/>
  <c r="J92" i="21" s="1"/>
  <c r="L92" i="21" s="1"/>
  <c r="L84" i="69"/>
  <c r="L84" i="2"/>
  <c r="F97" i="21"/>
  <c r="O97" i="21"/>
  <c r="D105" i="12"/>
  <c r="D103" i="12"/>
  <c r="M84" i="2"/>
  <c r="M84" i="69"/>
  <c r="F79" i="21"/>
  <c r="O79" i="21"/>
  <c r="D84" i="13"/>
  <c r="O84" i="12"/>
  <c r="M85" i="12"/>
  <c r="M101" i="12" s="1"/>
  <c r="J85" i="12"/>
  <c r="G85" i="12"/>
  <c r="D91" i="21"/>
  <c r="N91" i="24"/>
  <c r="E102" i="3"/>
  <c r="O102" i="3" s="1"/>
  <c r="F106" i="3"/>
  <c r="F104" i="3"/>
  <c r="E104" i="3" s="1"/>
  <c r="O104" i="3" s="1"/>
  <c r="F72" i="21"/>
  <c r="O72" i="21"/>
  <c r="F68" i="21"/>
  <c r="O68" i="21"/>
  <c r="F73" i="21"/>
  <c r="O73" i="21"/>
  <c r="N106" i="3"/>
  <c r="N104" i="3"/>
  <c r="O106" i="21" l="1"/>
  <c r="J107" i="21"/>
  <c r="E13" i="19"/>
  <c r="G107" i="21"/>
  <c r="N84" i="69"/>
  <c r="V84" i="69" s="1"/>
  <c r="N84" i="2"/>
  <c r="M85" i="2"/>
  <c r="M101" i="2" s="1"/>
  <c r="M85" i="69"/>
  <c r="M101" i="69" s="1"/>
  <c r="D85" i="13"/>
  <c r="O85" i="12"/>
  <c r="O101" i="12" s="1"/>
  <c r="L85" i="69"/>
  <c r="L85" i="2"/>
  <c r="G101" i="12"/>
  <c r="G84" i="13"/>
  <c r="M103" i="12"/>
  <c r="L103" i="12" s="1"/>
  <c r="M105" i="12"/>
  <c r="L101" i="12"/>
  <c r="D92" i="21"/>
  <c r="N92" i="24"/>
  <c r="F91" i="21"/>
  <c r="O91" i="21"/>
  <c r="J101" i="12"/>
  <c r="D90" i="21"/>
  <c r="N90" i="24"/>
  <c r="N85" i="2" l="1"/>
  <c r="P85" i="2" s="1"/>
  <c r="R84" i="69"/>
  <c r="T84" i="69"/>
  <c r="J103" i="12"/>
  <c r="I103" i="12" s="1"/>
  <c r="J105" i="12"/>
  <c r="I101" i="12"/>
  <c r="O103" i="12"/>
  <c r="O105" i="12"/>
  <c r="M103" i="2"/>
  <c r="M105" i="2"/>
  <c r="F90" i="21"/>
  <c r="O90" i="21"/>
  <c r="L101" i="69"/>
  <c r="N85" i="69"/>
  <c r="J85" i="13"/>
  <c r="J101" i="13" s="1"/>
  <c r="G85" i="13"/>
  <c r="F92" i="21"/>
  <c r="O92" i="21"/>
  <c r="L84" i="13"/>
  <c r="F84" i="13"/>
  <c r="I84" i="13"/>
  <c r="L101" i="2"/>
  <c r="M105" i="69"/>
  <c r="M103" i="69"/>
  <c r="D101" i="13"/>
  <c r="F101" i="12"/>
  <c r="G103" i="12"/>
  <c r="F103" i="12" s="1"/>
  <c r="G105" i="12"/>
  <c r="P84" i="2"/>
  <c r="C83" i="21"/>
  <c r="N101" i="2" l="1"/>
  <c r="N103" i="2" s="1"/>
  <c r="C84" i="21"/>
  <c r="C84" i="24" s="1"/>
  <c r="I84" i="24" s="1"/>
  <c r="G84" i="21" s="1"/>
  <c r="I84" i="21" s="1"/>
  <c r="L85" i="13"/>
  <c r="L101" i="13" s="1"/>
  <c r="L105" i="13" s="1"/>
  <c r="P103" i="12"/>
  <c r="C83" i="24"/>
  <c r="G101" i="13"/>
  <c r="M84" i="13"/>
  <c r="N84" i="13" s="1"/>
  <c r="L103" i="2"/>
  <c r="L105" i="2"/>
  <c r="L103" i="69"/>
  <c r="L105" i="69"/>
  <c r="P101" i="12"/>
  <c r="P101" i="2"/>
  <c r="I101" i="13"/>
  <c r="J105" i="13"/>
  <c r="J103" i="13"/>
  <c r="T85" i="69"/>
  <c r="T101" i="69" s="1"/>
  <c r="R85" i="69"/>
  <c r="R101" i="69" s="1"/>
  <c r="V85" i="69"/>
  <c r="V101" i="69" s="1"/>
  <c r="N101" i="69"/>
  <c r="D105" i="13"/>
  <c r="D103" i="13"/>
  <c r="C100" i="21" l="1"/>
  <c r="C102" i="21" s="1"/>
  <c r="E12" i="1"/>
  <c r="T10" i="1" s="1"/>
  <c r="U10" i="1" s="1"/>
  <c r="N105" i="2"/>
  <c r="F84" i="24"/>
  <c r="D84" i="21" s="1"/>
  <c r="C100" i="24"/>
  <c r="C104" i="24" s="1"/>
  <c r="L84" i="24"/>
  <c r="J84" i="21" s="1"/>
  <c r="L84" i="21" s="1"/>
  <c r="I103" i="13"/>
  <c r="L103" i="13"/>
  <c r="F83" i="24"/>
  <c r="L83" i="24"/>
  <c r="I83" i="24"/>
  <c r="N103" i="69"/>
  <c r="C6" i="70"/>
  <c r="I8" i="70" s="1"/>
  <c r="F101" i="13"/>
  <c r="M101" i="13" s="1"/>
  <c r="G103" i="13"/>
  <c r="F103" i="13" s="1"/>
  <c r="G105" i="13"/>
  <c r="P103" i="2"/>
  <c r="P105" i="2"/>
  <c r="W101" i="69"/>
  <c r="X101" i="69" s="1"/>
  <c r="C104" i="21" l="1"/>
  <c r="M103" i="13"/>
  <c r="C102" i="24"/>
  <c r="T9" i="1"/>
  <c r="U9" i="1" s="1"/>
  <c r="E14" i="1" s="1"/>
  <c r="E16" i="1" s="1"/>
  <c r="T11" i="1"/>
  <c r="U11" i="1" s="1"/>
  <c r="AI35" i="1" s="1"/>
  <c r="T12" i="1"/>
  <c r="U12" i="1" s="1"/>
  <c r="V12" i="1" s="1"/>
  <c r="W12" i="1" s="1"/>
  <c r="X12" i="1" s="1"/>
  <c r="Z12" i="1" s="1"/>
  <c r="AA12" i="1" s="1"/>
  <c r="AB12" i="1" s="1"/>
  <c r="N84" i="24"/>
  <c r="AE6" i="70"/>
  <c r="AF6" i="70" s="1"/>
  <c r="AE7" i="70"/>
  <c r="AF7" i="70" s="1"/>
  <c r="AE8" i="70"/>
  <c r="AF8" i="70" s="1"/>
  <c r="I16" i="70"/>
  <c r="K8" i="70"/>
  <c r="AE9" i="70"/>
  <c r="AF9" i="70" s="1"/>
  <c r="I9" i="70"/>
  <c r="D83" i="21"/>
  <c r="N83" i="24"/>
  <c r="V10" i="1"/>
  <c r="W10" i="1" s="1"/>
  <c r="X10" i="1" s="1"/>
  <c r="Z10" i="1" s="1"/>
  <c r="AA10" i="1" s="1"/>
  <c r="AB10" i="1" s="1"/>
  <c r="AI34" i="1"/>
  <c r="J83" i="21"/>
  <c r="L100" i="24"/>
  <c r="G83" i="21"/>
  <c r="I100" i="24"/>
  <c r="F84" i="21"/>
  <c r="O84" i="21"/>
  <c r="F100" i="24"/>
  <c r="V11" i="1" l="1"/>
  <c r="W11" i="1" s="1"/>
  <c r="X11" i="1" s="1"/>
  <c r="Z11" i="1" s="1"/>
  <c r="AA11" i="1" s="1"/>
  <c r="AB11" i="1" s="1"/>
  <c r="AE11" i="1" s="1"/>
  <c r="AI26" i="1" s="1"/>
  <c r="AI36" i="1"/>
  <c r="V9" i="1"/>
  <c r="W9" i="1" s="1"/>
  <c r="X9" i="1" s="1"/>
  <c r="Z9" i="1" s="1"/>
  <c r="AA9" i="1" s="1"/>
  <c r="AB9" i="1" s="1"/>
  <c r="AE9" i="1" s="1"/>
  <c r="AI24" i="1" s="1"/>
  <c r="AI33" i="1"/>
  <c r="N100" i="24"/>
  <c r="N104" i="24" s="1"/>
  <c r="H100" i="24"/>
  <c r="I104" i="24"/>
  <c r="I102" i="24"/>
  <c r="H102" i="24" s="1"/>
  <c r="F83" i="21"/>
  <c r="O83" i="21"/>
  <c r="G100" i="21"/>
  <c r="I83" i="21"/>
  <c r="J100" i="21"/>
  <c r="L83" i="21"/>
  <c r="F102" i="24"/>
  <c r="E102" i="24" s="1"/>
  <c r="F104" i="24"/>
  <c r="E100" i="24"/>
  <c r="AE10" i="1"/>
  <c r="AI25" i="1" s="1"/>
  <c r="AC10" i="1"/>
  <c r="L102" i="24"/>
  <c r="K102" i="24" s="1"/>
  <c r="L104" i="24"/>
  <c r="K100" i="24"/>
  <c r="AE12" i="1"/>
  <c r="AI27" i="1" s="1"/>
  <c r="AC12" i="1"/>
  <c r="D100" i="21"/>
  <c r="AC11" i="1" l="1"/>
  <c r="AI44" i="1" s="1"/>
  <c r="AC9" i="1"/>
  <c r="U15" i="1" s="1"/>
  <c r="N102" i="24"/>
  <c r="E12" i="19"/>
  <c r="G104" i="21"/>
  <c r="G102" i="21"/>
  <c r="E12" i="18"/>
  <c r="D104" i="21"/>
  <c r="D102" i="21"/>
  <c r="O100" i="21"/>
  <c r="O102" i="24"/>
  <c r="AI45" i="1"/>
  <c r="AD12" i="1"/>
  <c r="AI21" i="1" s="1"/>
  <c r="U18" i="1"/>
  <c r="J102" i="21"/>
  <c r="J104" i="21"/>
  <c r="E12" i="20"/>
  <c r="U16" i="1"/>
  <c r="AD10" i="1"/>
  <c r="AI19" i="1" s="1"/>
  <c r="AI43" i="1"/>
  <c r="O100" i="24"/>
  <c r="AD11" i="1" l="1"/>
  <c r="AI20" i="1" s="1"/>
  <c r="AI41" i="1" s="1"/>
  <c r="U17" i="1"/>
  <c r="V17" i="1" s="1"/>
  <c r="W17" i="1" s="1"/>
  <c r="X17" i="1" s="1"/>
  <c r="Z17" i="1" s="1"/>
  <c r="AA17" i="1" s="1"/>
  <c r="AB17" i="1" s="1"/>
  <c r="AD9" i="1"/>
  <c r="AI18" i="1" s="1"/>
  <c r="AI42" i="1"/>
  <c r="T10" i="18"/>
  <c r="U10" i="18" s="1"/>
  <c r="T9" i="18"/>
  <c r="U9" i="18" s="1"/>
  <c r="T12" i="18"/>
  <c r="U12" i="18" s="1"/>
  <c r="T11" i="18"/>
  <c r="U11" i="18" s="1"/>
  <c r="V15" i="1"/>
  <c r="W15" i="1" s="1"/>
  <c r="X15" i="1" s="1"/>
  <c r="Z15" i="1" s="1"/>
  <c r="AA15" i="1" s="1"/>
  <c r="AB15" i="1" s="1"/>
  <c r="AJ33" i="1"/>
  <c r="O102" i="21"/>
  <c r="AJ34" i="1"/>
  <c r="V16" i="1"/>
  <c r="W16" i="1" s="1"/>
  <c r="X16" i="1" s="1"/>
  <c r="Z16" i="1" s="1"/>
  <c r="AA16" i="1" s="1"/>
  <c r="AB16" i="1" s="1"/>
  <c r="AJ36" i="1"/>
  <c r="V18" i="1"/>
  <c r="W18" i="1" s="1"/>
  <c r="X18" i="1" s="1"/>
  <c r="Z18" i="1" s="1"/>
  <c r="AA18" i="1" s="1"/>
  <c r="AB18" i="1" s="1"/>
  <c r="T9" i="20"/>
  <c r="U9" i="20" s="1"/>
  <c r="T12" i="20"/>
  <c r="U12" i="20" s="1"/>
  <c r="T11" i="20"/>
  <c r="U11" i="20" s="1"/>
  <c r="T10" i="20"/>
  <c r="U10" i="20" s="1"/>
  <c r="T9" i="19"/>
  <c r="U9" i="19" s="1"/>
  <c r="T12" i="19"/>
  <c r="U12" i="19" s="1"/>
  <c r="T11" i="19"/>
  <c r="U11" i="19" s="1"/>
  <c r="T10" i="19"/>
  <c r="U10" i="19" s="1"/>
  <c r="AI23" i="1" l="1"/>
  <c r="AI32" i="1"/>
  <c r="AJ35" i="1"/>
  <c r="AI34" i="20"/>
  <c r="V10" i="20"/>
  <c r="W10" i="20" s="1"/>
  <c r="X10" i="20" s="1"/>
  <c r="Z10" i="20" s="1"/>
  <c r="AA10" i="20" s="1"/>
  <c r="AB10" i="20" s="1"/>
  <c r="V11" i="20"/>
  <c r="W11" i="20" s="1"/>
  <c r="X11" i="20" s="1"/>
  <c r="Z11" i="20" s="1"/>
  <c r="AA11" i="20" s="1"/>
  <c r="AB11" i="20" s="1"/>
  <c r="AI35" i="20"/>
  <c r="V12" i="19"/>
  <c r="W12" i="19" s="1"/>
  <c r="X12" i="19" s="1"/>
  <c r="Z12" i="19" s="1"/>
  <c r="AA12" i="19" s="1"/>
  <c r="AB12" i="19" s="1"/>
  <c r="AI36" i="19"/>
  <c r="V12" i="18"/>
  <c r="W12" i="18" s="1"/>
  <c r="X12" i="18" s="1"/>
  <c r="Z12" i="18" s="1"/>
  <c r="AA12" i="18" s="1"/>
  <c r="AB12" i="18" s="1"/>
  <c r="AI36" i="18"/>
  <c r="AI33" i="18"/>
  <c r="E14" i="18"/>
  <c r="E16" i="18" s="1"/>
  <c r="V9" i="18"/>
  <c r="W9" i="18" s="1"/>
  <c r="X9" i="18" s="1"/>
  <c r="Z9" i="18" s="1"/>
  <c r="AA9" i="18" s="1"/>
  <c r="AB9" i="18" s="1"/>
  <c r="AE15" i="1"/>
  <c r="AJ24" i="1" s="1"/>
  <c r="AC15" i="1"/>
  <c r="V10" i="19"/>
  <c r="W10" i="19" s="1"/>
  <c r="X10" i="19" s="1"/>
  <c r="Z10" i="19" s="1"/>
  <c r="AA10" i="19" s="1"/>
  <c r="AB10" i="19" s="1"/>
  <c r="AI34" i="19"/>
  <c r="V11" i="19"/>
  <c r="W11" i="19" s="1"/>
  <c r="X11" i="19" s="1"/>
  <c r="Z11" i="19" s="1"/>
  <c r="AA11" i="19" s="1"/>
  <c r="AB11" i="19" s="1"/>
  <c r="AI35" i="19"/>
  <c r="V11" i="18"/>
  <c r="W11" i="18" s="1"/>
  <c r="X11" i="18" s="1"/>
  <c r="Z11" i="18" s="1"/>
  <c r="AA11" i="18" s="1"/>
  <c r="AB11" i="18" s="1"/>
  <c r="AI35" i="18"/>
  <c r="AI33" i="19"/>
  <c r="V9" i="19"/>
  <c r="W9" i="19" s="1"/>
  <c r="X9" i="19" s="1"/>
  <c r="Z9" i="19" s="1"/>
  <c r="AA9" i="19" s="1"/>
  <c r="AB9" i="19" s="1"/>
  <c r="E14" i="19"/>
  <c r="E16" i="19" s="1"/>
  <c r="AE18" i="1"/>
  <c r="AJ27" i="1" s="1"/>
  <c r="AC18" i="1"/>
  <c r="V10" i="18"/>
  <c r="W10" i="18" s="1"/>
  <c r="X10" i="18" s="1"/>
  <c r="Z10" i="18" s="1"/>
  <c r="AA10" i="18" s="1"/>
  <c r="AB10" i="18" s="1"/>
  <c r="AI34" i="18"/>
  <c r="AE16" i="1"/>
  <c r="AJ25" i="1" s="1"/>
  <c r="AC16" i="1"/>
  <c r="AI36" i="20"/>
  <c r="V12" i="20"/>
  <c r="W12" i="20" s="1"/>
  <c r="X12" i="20" s="1"/>
  <c r="Z12" i="20" s="1"/>
  <c r="AA12" i="20" s="1"/>
  <c r="AB12" i="20" s="1"/>
  <c r="V9" i="20"/>
  <c r="W9" i="20" s="1"/>
  <c r="X9" i="20" s="1"/>
  <c r="Z9" i="20" s="1"/>
  <c r="AA9" i="20" s="1"/>
  <c r="AB9" i="20" s="1"/>
  <c r="E14" i="20"/>
  <c r="E16" i="20" s="1"/>
  <c r="AI33" i="20"/>
  <c r="AE17" i="1"/>
  <c r="AJ26" i="1" s="1"/>
  <c r="AC17" i="1"/>
  <c r="AE11" i="19" l="1"/>
  <c r="AI26" i="19" s="1"/>
  <c r="AC11" i="19"/>
  <c r="AE10" i="19"/>
  <c r="AI25" i="19" s="1"/>
  <c r="AC10" i="19"/>
  <c r="AE12" i="19"/>
  <c r="AI27" i="19" s="1"/>
  <c r="AC12" i="19"/>
  <c r="AE9" i="18"/>
  <c r="AI24" i="18" s="1"/>
  <c r="AC9" i="18"/>
  <c r="AE11" i="20"/>
  <c r="AI26" i="20" s="1"/>
  <c r="AC11" i="20"/>
  <c r="AD18" i="1"/>
  <c r="AJ21" i="1" s="1"/>
  <c r="AJ45" i="1"/>
  <c r="U24" i="1"/>
  <c r="AE12" i="18"/>
  <c r="AI27" i="18" s="1"/>
  <c r="AC12" i="18"/>
  <c r="AE12" i="20"/>
  <c r="AI27" i="20" s="1"/>
  <c r="AC12" i="20"/>
  <c r="U21" i="1"/>
  <c r="AD15" i="1"/>
  <c r="AJ18" i="1" s="1"/>
  <c r="AJ42" i="1"/>
  <c r="AJ43" i="1"/>
  <c r="AD16" i="1"/>
  <c r="AJ19" i="1" s="1"/>
  <c r="U22" i="1"/>
  <c r="AD17" i="1"/>
  <c r="AJ20" i="1" s="1"/>
  <c r="U23" i="1"/>
  <c r="AJ44" i="1"/>
  <c r="AE11" i="18"/>
  <c r="AI26" i="18" s="1"/>
  <c r="AC11" i="18"/>
  <c r="AE10" i="20"/>
  <c r="AI25" i="20" s="1"/>
  <c r="AC10" i="20"/>
  <c r="AE9" i="20"/>
  <c r="AI24" i="20" s="1"/>
  <c r="AC9" i="20"/>
  <c r="AE9" i="19"/>
  <c r="AI24" i="19" s="1"/>
  <c r="AC9" i="19"/>
  <c r="AE10" i="18"/>
  <c r="AI25" i="18" s="1"/>
  <c r="AC10" i="18"/>
  <c r="V21" i="1" l="1"/>
  <c r="W21" i="1" s="1"/>
  <c r="X21" i="1" s="1"/>
  <c r="Z21" i="1" s="1"/>
  <c r="AA21" i="1" s="1"/>
  <c r="AB21" i="1" s="1"/>
  <c r="AK33" i="1"/>
  <c r="V23" i="1"/>
  <c r="W23" i="1" s="1"/>
  <c r="X23" i="1" s="1"/>
  <c r="Z23" i="1" s="1"/>
  <c r="AA23" i="1" s="1"/>
  <c r="AB23" i="1" s="1"/>
  <c r="AK35" i="1"/>
  <c r="AD10" i="18"/>
  <c r="AI19" i="18" s="1"/>
  <c r="AI43" i="18"/>
  <c r="U16" i="18"/>
  <c r="AK34" i="1"/>
  <c r="V22" i="1"/>
  <c r="W22" i="1" s="1"/>
  <c r="X22" i="1" s="1"/>
  <c r="Z22" i="1" s="1"/>
  <c r="AA22" i="1" s="1"/>
  <c r="AB22" i="1" s="1"/>
  <c r="U18" i="20"/>
  <c r="AD12" i="20"/>
  <c r="AI21" i="20" s="1"/>
  <c r="AI45" i="20"/>
  <c r="AI43" i="19"/>
  <c r="U16" i="19"/>
  <c r="AD10" i="19"/>
  <c r="AI19" i="19" s="1"/>
  <c r="AI42" i="19"/>
  <c r="AD9" i="19"/>
  <c r="AI18" i="19" s="1"/>
  <c r="U15" i="19"/>
  <c r="AK36" i="1"/>
  <c r="V24" i="1"/>
  <c r="W24" i="1" s="1"/>
  <c r="X24" i="1" s="1"/>
  <c r="Z24" i="1" s="1"/>
  <c r="AA24" i="1" s="1"/>
  <c r="AB24" i="1" s="1"/>
  <c r="U15" i="18"/>
  <c r="AD9" i="18"/>
  <c r="AI18" i="18" s="1"/>
  <c r="AI42" i="18"/>
  <c r="AJ32" i="1"/>
  <c r="AJ23" i="1"/>
  <c r="AJ41" i="1"/>
  <c r="AI45" i="19"/>
  <c r="U18" i="19"/>
  <c r="AD12" i="19"/>
  <c r="AI21" i="19" s="1"/>
  <c r="U17" i="18"/>
  <c r="AD11" i="18"/>
  <c r="AI20" i="18" s="1"/>
  <c r="AI44" i="18"/>
  <c r="AD12" i="18"/>
  <c r="AI21" i="18" s="1"/>
  <c r="U18" i="18"/>
  <c r="AI45" i="18"/>
  <c r="AI44" i="20"/>
  <c r="U17" i="20"/>
  <c r="AD11" i="20"/>
  <c r="AI20" i="20" s="1"/>
  <c r="AD11" i="19"/>
  <c r="AI20" i="19" s="1"/>
  <c r="U17" i="19"/>
  <c r="AI44" i="19"/>
  <c r="AD10" i="20"/>
  <c r="AI19" i="20" s="1"/>
  <c r="U16" i="20"/>
  <c r="AI43" i="20"/>
  <c r="U15" i="20"/>
  <c r="AI42" i="20"/>
  <c r="AD9" i="20"/>
  <c r="AI18" i="20" s="1"/>
  <c r="AJ35" i="19" l="1"/>
  <c r="V17" i="19"/>
  <c r="W17" i="19" s="1"/>
  <c r="X17" i="19" s="1"/>
  <c r="Z17" i="19" s="1"/>
  <c r="AA17" i="19" s="1"/>
  <c r="AB17" i="19" s="1"/>
  <c r="AI32" i="19"/>
  <c r="AI23" i="19"/>
  <c r="AI41" i="19"/>
  <c r="AI41" i="20"/>
  <c r="AI23" i="20"/>
  <c r="AI32" i="20"/>
  <c r="V17" i="18"/>
  <c r="W17" i="18" s="1"/>
  <c r="X17" i="18" s="1"/>
  <c r="Z17" i="18" s="1"/>
  <c r="AA17" i="18" s="1"/>
  <c r="AB17" i="18" s="1"/>
  <c r="AJ35" i="18"/>
  <c r="AJ34" i="19"/>
  <c r="V16" i="19"/>
  <c r="W16" i="19" s="1"/>
  <c r="X16" i="19" s="1"/>
  <c r="Z16" i="19" s="1"/>
  <c r="AA16" i="19" s="1"/>
  <c r="AB16" i="19" s="1"/>
  <c r="AJ33" i="20"/>
  <c r="V15" i="20"/>
  <c r="W15" i="20" s="1"/>
  <c r="X15" i="20" s="1"/>
  <c r="Z15" i="20" s="1"/>
  <c r="AA15" i="20" s="1"/>
  <c r="AB15" i="20" s="1"/>
  <c r="AJ35" i="20"/>
  <c r="V17" i="20"/>
  <c r="W17" i="20" s="1"/>
  <c r="X17" i="20" s="1"/>
  <c r="Z17" i="20" s="1"/>
  <c r="AA17" i="20" s="1"/>
  <c r="AB17" i="20" s="1"/>
  <c r="V18" i="19"/>
  <c r="W18" i="19" s="1"/>
  <c r="X18" i="19" s="1"/>
  <c r="Z18" i="19" s="1"/>
  <c r="AA18" i="19" s="1"/>
  <c r="AB18" i="19" s="1"/>
  <c r="AJ36" i="19"/>
  <c r="AC23" i="1"/>
  <c r="AE23" i="1"/>
  <c r="AK26" i="1" s="1"/>
  <c r="AI32" i="18"/>
  <c r="AI23" i="18"/>
  <c r="AI41" i="18"/>
  <c r="AJ34" i="18"/>
  <c r="V16" i="18"/>
  <c r="W16" i="18" s="1"/>
  <c r="X16" i="18" s="1"/>
  <c r="Z16" i="18" s="1"/>
  <c r="AA16" i="18" s="1"/>
  <c r="AB16" i="18" s="1"/>
  <c r="AJ33" i="18"/>
  <c r="V15" i="18"/>
  <c r="W15" i="18" s="1"/>
  <c r="X15" i="18" s="1"/>
  <c r="Z15" i="18" s="1"/>
  <c r="AA15" i="18" s="1"/>
  <c r="AB15" i="18" s="1"/>
  <c r="AC24" i="1"/>
  <c r="AE24" i="1"/>
  <c r="AK27" i="1" s="1"/>
  <c r="AJ34" i="20"/>
  <c r="V16" i="20"/>
  <c r="W16" i="20" s="1"/>
  <c r="X16" i="20" s="1"/>
  <c r="Z16" i="20" s="1"/>
  <c r="AA16" i="20" s="1"/>
  <c r="AB16" i="20" s="1"/>
  <c r="AJ36" i="18"/>
  <c r="V18" i="18"/>
  <c r="W18" i="18" s="1"/>
  <c r="X18" i="18" s="1"/>
  <c r="Z18" i="18" s="1"/>
  <c r="AA18" i="18" s="1"/>
  <c r="AB18" i="18" s="1"/>
  <c r="AJ33" i="19"/>
  <c r="V15" i="19"/>
  <c r="W15" i="19" s="1"/>
  <c r="X15" i="19" s="1"/>
  <c r="Z15" i="19" s="1"/>
  <c r="AA15" i="19" s="1"/>
  <c r="AB15" i="19" s="1"/>
  <c r="AJ36" i="20"/>
  <c r="V18" i="20"/>
  <c r="W18" i="20" s="1"/>
  <c r="X18" i="20" s="1"/>
  <c r="Z18" i="20" s="1"/>
  <c r="AA18" i="20" s="1"/>
  <c r="AB18" i="20" s="1"/>
  <c r="AE22" i="1"/>
  <c r="AK25" i="1" s="1"/>
  <c r="AC22" i="1"/>
  <c r="AE21" i="1"/>
  <c r="AK24" i="1" s="1"/>
  <c r="AC21" i="1"/>
  <c r="AE17" i="20" l="1"/>
  <c r="AJ26" i="20" s="1"/>
  <c r="AC17" i="20"/>
  <c r="AK43" i="1"/>
  <c r="U28" i="1"/>
  <c r="AD22" i="1"/>
  <c r="AK19" i="1" s="1"/>
  <c r="AE15" i="20"/>
  <c r="AJ24" i="20" s="1"/>
  <c r="AC15" i="20"/>
  <c r="AK45" i="1"/>
  <c r="U30" i="1"/>
  <c r="AD24" i="1"/>
  <c r="AK21" i="1" s="1"/>
  <c r="AC16" i="19"/>
  <c r="AE16" i="19"/>
  <c r="AJ25" i="19" s="1"/>
  <c r="AC15" i="19"/>
  <c r="AE15" i="19"/>
  <c r="AJ24" i="19" s="1"/>
  <c r="AC16" i="20"/>
  <c r="AE16" i="20"/>
  <c r="AJ25" i="20" s="1"/>
  <c r="AC18" i="20"/>
  <c r="AE18" i="20"/>
  <c r="AJ27" i="20" s="1"/>
  <c r="AE15" i="18"/>
  <c r="AJ24" i="18" s="1"/>
  <c r="AC15" i="18"/>
  <c r="AK44" i="1"/>
  <c r="U29" i="1"/>
  <c r="AD23" i="1"/>
  <c r="AK20" i="1" s="1"/>
  <c r="AC17" i="19"/>
  <c r="AE17" i="19"/>
  <c r="AJ26" i="19" s="1"/>
  <c r="AK42" i="1"/>
  <c r="U27" i="1"/>
  <c r="AD21" i="1"/>
  <c r="AK18" i="1" s="1"/>
  <c r="AC18" i="18"/>
  <c r="AE18" i="18"/>
  <c r="AJ27" i="18" s="1"/>
  <c r="AE16" i="18"/>
  <c r="AJ25" i="18" s="1"/>
  <c r="AC16" i="18"/>
  <c r="AE18" i="19"/>
  <c r="AJ27" i="19" s="1"/>
  <c r="AC18" i="19"/>
  <c r="AC17" i="18"/>
  <c r="AE17" i="18"/>
  <c r="AJ26" i="18" s="1"/>
  <c r="AJ44" i="19" l="1"/>
  <c r="U23" i="19"/>
  <c r="AD17" i="19"/>
  <c r="AJ20" i="19" s="1"/>
  <c r="U24" i="18"/>
  <c r="AD18" i="18"/>
  <c r="AJ21" i="18" s="1"/>
  <c r="AJ45" i="18"/>
  <c r="AJ42" i="18"/>
  <c r="AD15" i="18"/>
  <c r="AJ18" i="18" s="1"/>
  <c r="U21" i="18"/>
  <c r="V28" i="1"/>
  <c r="W28" i="1" s="1"/>
  <c r="X28" i="1" s="1"/>
  <c r="Z28" i="1" s="1"/>
  <c r="AA28" i="1" s="1"/>
  <c r="AB28" i="1" s="1"/>
  <c r="AL34" i="1"/>
  <c r="AJ44" i="18"/>
  <c r="AD17" i="18"/>
  <c r="AJ20" i="18" s="1"/>
  <c r="U23" i="18"/>
  <c r="AL33" i="1"/>
  <c r="V27" i="1"/>
  <c r="W27" i="1" s="1"/>
  <c r="X27" i="1" s="1"/>
  <c r="Z27" i="1" s="1"/>
  <c r="AA27" i="1" s="1"/>
  <c r="AB27" i="1" s="1"/>
  <c r="AD16" i="19"/>
  <c r="AJ19" i="19" s="1"/>
  <c r="AJ43" i="19"/>
  <c r="U22" i="19"/>
  <c r="AD16" i="18"/>
  <c r="AJ19" i="18" s="1"/>
  <c r="AJ43" i="18"/>
  <c r="U22" i="18"/>
  <c r="AK23" i="1"/>
  <c r="AK32" i="1"/>
  <c r="AK41" i="1"/>
  <c r="AD15" i="20"/>
  <c r="AJ18" i="20" s="1"/>
  <c r="AJ42" i="20"/>
  <c r="U21" i="20"/>
  <c r="AJ45" i="19"/>
  <c r="AD18" i="19"/>
  <c r="AJ21" i="19" s="1"/>
  <c r="U24" i="19"/>
  <c r="U23" i="20"/>
  <c r="AJ44" i="20"/>
  <c r="AD17" i="20"/>
  <c r="AJ20" i="20" s="1"/>
  <c r="AD16" i="20"/>
  <c r="AJ19" i="20" s="1"/>
  <c r="U22" i="20"/>
  <c r="AJ43" i="20"/>
  <c r="V29" i="1"/>
  <c r="W29" i="1" s="1"/>
  <c r="X29" i="1" s="1"/>
  <c r="Z29" i="1" s="1"/>
  <c r="AA29" i="1" s="1"/>
  <c r="AB29" i="1" s="1"/>
  <c r="AL35" i="1"/>
  <c r="AJ42" i="19"/>
  <c r="U21" i="19"/>
  <c r="AD15" i="19"/>
  <c r="AJ18" i="19" s="1"/>
  <c r="AD18" i="20"/>
  <c r="AJ21" i="20" s="1"/>
  <c r="U24" i="20"/>
  <c r="AJ45" i="20"/>
  <c r="V30" i="1"/>
  <c r="W30" i="1" s="1"/>
  <c r="X30" i="1" s="1"/>
  <c r="Z30" i="1" s="1"/>
  <c r="AA30" i="1" s="1"/>
  <c r="AB30" i="1" s="1"/>
  <c r="AL36" i="1"/>
  <c r="AK35" i="20" l="1"/>
  <c r="V23" i="20"/>
  <c r="W23" i="20" s="1"/>
  <c r="X23" i="20" s="1"/>
  <c r="Z23" i="20" s="1"/>
  <c r="AA23" i="20" s="1"/>
  <c r="AB23" i="20" s="1"/>
  <c r="AE29" i="1"/>
  <c r="AL26" i="1" s="1"/>
  <c r="AC29" i="1"/>
  <c r="V23" i="18"/>
  <c r="W23" i="18" s="1"/>
  <c r="X23" i="18" s="1"/>
  <c r="Z23" i="18" s="1"/>
  <c r="AA23" i="18" s="1"/>
  <c r="AB23" i="18" s="1"/>
  <c r="AK35" i="18"/>
  <c r="AJ32" i="18"/>
  <c r="AJ23" i="18"/>
  <c r="AJ41" i="18"/>
  <c r="V24" i="20"/>
  <c r="W24" i="20" s="1"/>
  <c r="X24" i="20" s="1"/>
  <c r="Z24" i="20" s="1"/>
  <c r="AA24" i="20" s="1"/>
  <c r="AB24" i="20" s="1"/>
  <c r="AK36" i="20"/>
  <c r="V21" i="20"/>
  <c r="W21" i="20" s="1"/>
  <c r="X21" i="20" s="1"/>
  <c r="Z21" i="20" s="1"/>
  <c r="AA21" i="20" s="1"/>
  <c r="AB21" i="20" s="1"/>
  <c r="AK33" i="20"/>
  <c r="AK34" i="19"/>
  <c r="V22" i="19"/>
  <c r="W22" i="19" s="1"/>
  <c r="X22" i="19" s="1"/>
  <c r="Z22" i="19" s="1"/>
  <c r="AA22" i="19" s="1"/>
  <c r="AB22" i="19" s="1"/>
  <c r="AJ32" i="19"/>
  <c r="AJ41" i="19"/>
  <c r="AJ23" i="19"/>
  <c r="AE30" i="1"/>
  <c r="AL27" i="1" s="1"/>
  <c r="AC30" i="1"/>
  <c r="V22" i="18"/>
  <c r="W22" i="18" s="1"/>
  <c r="X22" i="18" s="1"/>
  <c r="Z22" i="18" s="1"/>
  <c r="AA22" i="18" s="1"/>
  <c r="AB22" i="18" s="1"/>
  <c r="AK34" i="18"/>
  <c r="V22" i="20"/>
  <c r="W22" i="20" s="1"/>
  <c r="X22" i="20" s="1"/>
  <c r="Z22" i="20" s="1"/>
  <c r="AA22" i="20" s="1"/>
  <c r="AB22" i="20" s="1"/>
  <c r="AK34" i="20"/>
  <c r="AK36" i="18"/>
  <c r="V24" i="18"/>
  <c r="W24" i="18" s="1"/>
  <c r="X24" i="18" s="1"/>
  <c r="Z24" i="18" s="1"/>
  <c r="AA24" i="18" s="1"/>
  <c r="AB24" i="18" s="1"/>
  <c r="AJ23" i="20"/>
  <c r="AJ41" i="20"/>
  <c r="AJ32" i="20"/>
  <c r="AC28" i="1"/>
  <c r="AE28" i="1"/>
  <c r="AL25" i="1" s="1"/>
  <c r="AK35" i="19"/>
  <c r="V23" i="19"/>
  <c r="W23" i="19" s="1"/>
  <c r="X23" i="19" s="1"/>
  <c r="Z23" i="19" s="1"/>
  <c r="AA23" i="19" s="1"/>
  <c r="AB23" i="19" s="1"/>
  <c r="AE27" i="1"/>
  <c r="AL24" i="1" s="1"/>
  <c r="AC27" i="1"/>
  <c r="AK36" i="19"/>
  <c r="V24" i="19"/>
  <c r="W24" i="19" s="1"/>
  <c r="X24" i="19" s="1"/>
  <c r="Z24" i="19" s="1"/>
  <c r="AA24" i="19" s="1"/>
  <c r="AB24" i="19" s="1"/>
  <c r="V21" i="19"/>
  <c r="W21" i="19" s="1"/>
  <c r="X21" i="19" s="1"/>
  <c r="Z21" i="19" s="1"/>
  <c r="AA21" i="19" s="1"/>
  <c r="AB21" i="19" s="1"/>
  <c r="AK33" i="19"/>
  <c r="AK33" i="18"/>
  <c r="V21" i="18"/>
  <c r="W21" i="18" s="1"/>
  <c r="X21" i="18" s="1"/>
  <c r="Z21" i="18" s="1"/>
  <c r="AA21" i="18" s="1"/>
  <c r="AB21" i="18" s="1"/>
  <c r="AE21" i="19" l="1"/>
  <c r="AK24" i="19" s="1"/>
  <c r="AC21" i="19"/>
  <c r="AE23" i="18"/>
  <c r="AK26" i="18" s="1"/>
  <c r="AC23" i="18"/>
  <c r="AE21" i="20"/>
  <c r="AK24" i="20" s="1"/>
  <c r="AC21" i="20"/>
  <c r="U33" i="1"/>
  <c r="AD27" i="1"/>
  <c r="AL18" i="1" s="1"/>
  <c r="AL42" i="1"/>
  <c r="AE22" i="19"/>
  <c r="AK25" i="19" s="1"/>
  <c r="AC22" i="19"/>
  <c r="U34" i="1"/>
  <c r="AD28" i="1"/>
  <c r="AL19" i="1" s="1"/>
  <c r="AL43" i="1"/>
  <c r="AC22" i="18"/>
  <c r="AE22" i="18"/>
  <c r="AK25" i="18" s="1"/>
  <c r="U36" i="1"/>
  <c r="AD30" i="1"/>
  <c r="AL21" i="1" s="1"/>
  <c r="AL45" i="1"/>
  <c r="AD29" i="1"/>
  <c r="AL20" i="1" s="1"/>
  <c r="U35" i="1"/>
  <c r="AL44" i="1"/>
  <c r="AE24" i="18"/>
  <c r="AK27" i="18" s="1"/>
  <c r="AC24" i="18"/>
  <c r="AE24" i="20"/>
  <c r="AK27" i="20" s="1"/>
  <c r="AC24" i="20"/>
  <c r="AE23" i="20"/>
  <c r="AK26" i="20" s="1"/>
  <c r="AC23" i="20"/>
  <c r="AE22" i="20"/>
  <c r="AK25" i="20" s="1"/>
  <c r="AC22" i="20"/>
  <c r="AE24" i="19"/>
  <c r="AK27" i="19" s="1"/>
  <c r="AC24" i="19"/>
  <c r="AC21" i="18"/>
  <c r="AE21" i="18"/>
  <c r="AK24" i="18" s="1"/>
  <c r="AC23" i="19"/>
  <c r="AE23" i="19"/>
  <c r="AK26" i="19" s="1"/>
  <c r="AD24" i="19" l="1"/>
  <c r="AK21" i="19" s="1"/>
  <c r="AK45" i="19"/>
  <c r="U30" i="19"/>
  <c r="AK45" i="18"/>
  <c r="U30" i="18"/>
  <c r="AD24" i="18"/>
  <c r="AK21" i="18" s="1"/>
  <c r="AM33" i="1"/>
  <c r="V33" i="1"/>
  <c r="W33" i="1" s="1"/>
  <c r="X33" i="1" s="1"/>
  <c r="Z33" i="1" s="1"/>
  <c r="AA33" i="1" s="1"/>
  <c r="AB33" i="1" s="1"/>
  <c r="AD21" i="20"/>
  <c r="AK18" i="20" s="1"/>
  <c r="U27" i="20"/>
  <c r="AK42" i="20"/>
  <c r="AD23" i="20"/>
  <c r="AK20" i="20" s="1"/>
  <c r="AK44" i="20"/>
  <c r="U29" i="20"/>
  <c r="V34" i="1"/>
  <c r="W34" i="1" s="1"/>
  <c r="X34" i="1" s="1"/>
  <c r="Z34" i="1" s="1"/>
  <c r="AA34" i="1" s="1"/>
  <c r="AB34" i="1" s="1"/>
  <c r="AM34" i="1"/>
  <c r="AD23" i="19"/>
  <c r="AK20" i="19" s="1"/>
  <c r="U29" i="19"/>
  <c r="AK44" i="19"/>
  <c r="AD22" i="19"/>
  <c r="AK19" i="19" s="1"/>
  <c r="U28" i="19"/>
  <c r="AK43" i="19"/>
  <c r="AK43" i="20"/>
  <c r="U28" i="20"/>
  <c r="AD22" i="20"/>
  <c r="AK19" i="20" s="1"/>
  <c r="V35" i="1"/>
  <c r="W35" i="1" s="1"/>
  <c r="X35" i="1" s="1"/>
  <c r="Z35" i="1" s="1"/>
  <c r="AA35" i="1" s="1"/>
  <c r="AB35" i="1" s="1"/>
  <c r="AM35" i="1"/>
  <c r="AK44" i="18"/>
  <c r="U29" i="18"/>
  <c r="AD23" i="18"/>
  <c r="AK20" i="18" s="1"/>
  <c r="AD21" i="19"/>
  <c r="AK18" i="19" s="1"/>
  <c r="AK42" i="19"/>
  <c r="U27" i="19"/>
  <c r="AK43" i="18"/>
  <c r="U28" i="18"/>
  <c r="AD22" i="18"/>
  <c r="AK19" i="18" s="1"/>
  <c r="AL41" i="1"/>
  <c r="AL32" i="1"/>
  <c r="AL23" i="1"/>
  <c r="AK45" i="20"/>
  <c r="U30" i="20"/>
  <c r="AD24" i="20"/>
  <c r="AK21" i="20" s="1"/>
  <c r="AK42" i="18"/>
  <c r="AD21" i="18"/>
  <c r="AK18" i="18" s="1"/>
  <c r="U27" i="18"/>
  <c r="V36" i="1"/>
  <c r="W36" i="1" s="1"/>
  <c r="X36" i="1" s="1"/>
  <c r="Z36" i="1" s="1"/>
  <c r="AA36" i="1" s="1"/>
  <c r="AB36" i="1" s="1"/>
  <c r="AM36" i="1"/>
  <c r="AE33" i="1" l="1"/>
  <c r="AM24" i="1" s="1"/>
  <c r="AC33" i="1"/>
  <c r="AE34" i="1"/>
  <c r="AM25" i="1" s="1"/>
  <c r="AC34" i="1"/>
  <c r="AK23" i="18"/>
  <c r="AK41" i="18"/>
  <c r="AK32" i="18"/>
  <c r="V28" i="19"/>
  <c r="W28" i="19" s="1"/>
  <c r="X28" i="19" s="1"/>
  <c r="Z28" i="19" s="1"/>
  <c r="AA28" i="19" s="1"/>
  <c r="AB28" i="19" s="1"/>
  <c r="AL34" i="19"/>
  <c r="V28" i="18"/>
  <c r="W28" i="18" s="1"/>
  <c r="X28" i="18" s="1"/>
  <c r="Z28" i="18" s="1"/>
  <c r="AA28" i="18" s="1"/>
  <c r="AB28" i="18" s="1"/>
  <c r="AL34" i="18"/>
  <c r="V30" i="19"/>
  <c r="W30" i="19" s="1"/>
  <c r="X30" i="19" s="1"/>
  <c r="Z30" i="19" s="1"/>
  <c r="AA30" i="19" s="1"/>
  <c r="AB30" i="19" s="1"/>
  <c r="AL36" i="19"/>
  <c r="V28" i="20"/>
  <c r="W28" i="20" s="1"/>
  <c r="X28" i="20" s="1"/>
  <c r="Z28" i="20" s="1"/>
  <c r="AA28" i="20" s="1"/>
  <c r="AB28" i="20" s="1"/>
  <c r="AL34" i="20"/>
  <c r="AC36" i="1"/>
  <c r="AE36" i="1"/>
  <c r="AM27" i="1" s="1"/>
  <c r="V27" i="18"/>
  <c r="W27" i="18" s="1"/>
  <c r="X27" i="18" s="1"/>
  <c r="Z27" i="18" s="1"/>
  <c r="AA27" i="18" s="1"/>
  <c r="AB27" i="18" s="1"/>
  <c r="AL33" i="18"/>
  <c r="AL35" i="18"/>
  <c r="V29" i="18"/>
  <c r="W29" i="18" s="1"/>
  <c r="X29" i="18" s="1"/>
  <c r="Z29" i="18" s="1"/>
  <c r="AA29" i="18" s="1"/>
  <c r="AB29" i="18" s="1"/>
  <c r="AL36" i="18"/>
  <c r="V30" i="18"/>
  <c r="W30" i="18" s="1"/>
  <c r="X30" i="18" s="1"/>
  <c r="Z30" i="18" s="1"/>
  <c r="AA30" i="18" s="1"/>
  <c r="AB30" i="18" s="1"/>
  <c r="AK41" i="20"/>
  <c r="AK23" i="20"/>
  <c r="AK32" i="20"/>
  <c r="AC35" i="1"/>
  <c r="AE35" i="1"/>
  <c r="AM26" i="1" s="1"/>
  <c r="V29" i="19"/>
  <c r="W29" i="19" s="1"/>
  <c r="X29" i="19" s="1"/>
  <c r="Z29" i="19" s="1"/>
  <c r="AA29" i="19" s="1"/>
  <c r="AB29" i="19" s="1"/>
  <c r="AL35" i="19"/>
  <c r="V27" i="20"/>
  <c r="W27" i="20" s="1"/>
  <c r="X27" i="20" s="1"/>
  <c r="Z27" i="20" s="1"/>
  <c r="AA27" i="20" s="1"/>
  <c r="AB27" i="20" s="1"/>
  <c r="AL33" i="20"/>
  <c r="AL35" i="20"/>
  <c r="V29" i="20"/>
  <c r="W29" i="20" s="1"/>
  <c r="X29" i="20" s="1"/>
  <c r="Z29" i="20" s="1"/>
  <c r="AA29" i="20" s="1"/>
  <c r="AB29" i="20" s="1"/>
  <c r="V30" i="20"/>
  <c r="W30" i="20" s="1"/>
  <c r="X30" i="20" s="1"/>
  <c r="Z30" i="20" s="1"/>
  <c r="AA30" i="20" s="1"/>
  <c r="AB30" i="20" s="1"/>
  <c r="AL36" i="20"/>
  <c r="V27" i="19"/>
  <c r="W27" i="19" s="1"/>
  <c r="X27" i="19" s="1"/>
  <c r="Z27" i="19" s="1"/>
  <c r="AA27" i="19" s="1"/>
  <c r="AB27" i="19" s="1"/>
  <c r="AL33" i="19"/>
  <c r="AK32" i="19"/>
  <c r="AK23" i="19"/>
  <c r="AK41" i="19"/>
  <c r="AE28" i="19" l="1"/>
  <c r="AL25" i="19" s="1"/>
  <c r="AC28" i="19"/>
  <c r="AM43" i="1"/>
  <c r="AD34" i="1"/>
  <c r="AM19" i="1" s="1"/>
  <c r="U40" i="1"/>
  <c r="V40" i="1" s="1"/>
  <c r="W40" i="1" s="1"/>
  <c r="X40" i="1" s="1"/>
  <c r="Z40" i="1" s="1"/>
  <c r="AA40" i="1" s="1"/>
  <c r="AB40" i="1" s="1"/>
  <c r="AE30" i="20"/>
  <c r="AL27" i="20" s="1"/>
  <c r="AC30" i="20"/>
  <c r="U41" i="1"/>
  <c r="V41" i="1" s="1"/>
  <c r="W41" i="1" s="1"/>
  <c r="X41" i="1" s="1"/>
  <c r="Z41" i="1" s="1"/>
  <c r="AA41" i="1" s="1"/>
  <c r="AB41" i="1" s="1"/>
  <c r="AD35" i="1"/>
  <c r="AM20" i="1" s="1"/>
  <c r="AM44" i="1"/>
  <c r="AM45" i="1"/>
  <c r="AD36" i="1"/>
  <c r="AM21" i="1" s="1"/>
  <c r="U42" i="1"/>
  <c r="V42" i="1" s="1"/>
  <c r="W42" i="1" s="1"/>
  <c r="X42" i="1" s="1"/>
  <c r="Z42" i="1" s="1"/>
  <c r="AA42" i="1" s="1"/>
  <c r="AB42" i="1" s="1"/>
  <c r="AC27" i="20"/>
  <c r="AE27" i="20"/>
  <c r="AL24" i="20" s="1"/>
  <c r="AC28" i="20"/>
  <c r="AE28" i="20"/>
  <c r="AL25" i="20" s="1"/>
  <c r="AE27" i="19"/>
  <c r="AL24" i="19" s="1"/>
  <c r="AC27" i="19"/>
  <c r="AE29" i="18"/>
  <c r="AL26" i="18" s="1"/>
  <c r="AC29" i="18"/>
  <c r="AE30" i="19"/>
  <c r="AL27" i="19" s="1"/>
  <c r="AC30" i="19"/>
  <c r="AE29" i="20"/>
  <c r="AL26" i="20" s="1"/>
  <c r="AC29" i="20"/>
  <c r="AE27" i="18"/>
  <c r="AL24" i="18" s="1"/>
  <c r="AC27" i="18"/>
  <c r="AE28" i="18"/>
  <c r="AL25" i="18" s="1"/>
  <c r="AC28" i="18"/>
  <c r="AM42" i="1"/>
  <c r="AD33" i="1"/>
  <c r="AM18" i="1" s="1"/>
  <c r="U39" i="1"/>
  <c r="V39" i="1" s="1"/>
  <c r="W39" i="1" s="1"/>
  <c r="X39" i="1" s="1"/>
  <c r="Z39" i="1" s="1"/>
  <c r="AA39" i="1" s="1"/>
  <c r="AB39" i="1" s="1"/>
  <c r="AE30" i="18"/>
  <c r="AL27" i="18" s="1"/>
  <c r="AC30" i="18"/>
  <c r="AC29" i="19"/>
  <c r="AE29" i="19"/>
  <c r="AL26" i="19" s="1"/>
  <c r="AE41" i="1" l="1"/>
  <c r="AC41" i="1"/>
  <c r="AD30" i="19"/>
  <c r="AL21" i="19" s="1"/>
  <c r="AL45" i="19"/>
  <c r="U36" i="19"/>
  <c r="AC42" i="1"/>
  <c r="AE42" i="1"/>
  <c r="AL42" i="18"/>
  <c r="AD27" i="18"/>
  <c r="AL18" i="18" s="1"/>
  <c r="U33" i="18"/>
  <c r="AE39" i="1"/>
  <c r="AC39" i="1"/>
  <c r="AD30" i="20"/>
  <c r="AL21" i="20" s="1"/>
  <c r="AL45" i="20"/>
  <c r="U36" i="20"/>
  <c r="AC40" i="1"/>
  <c r="AE40" i="1"/>
  <c r="AL44" i="19"/>
  <c r="U35" i="19"/>
  <c r="AD29" i="19"/>
  <c r="AL20" i="19" s="1"/>
  <c r="U33" i="19"/>
  <c r="AD27" i="19"/>
  <c r="AL18" i="19" s="1"/>
  <c r="AL42" i="19"/>
  <c r="AD30" i="18"/>
  <c r="AL21" i="18" s="1"/>
  <c r="AL45" i="18"/>
  <c r="U36" i="18"/>
  <c r="AD28" i="19"/>
  <c r="AL19" i="19" s="1"/>
  <c r="AL43" i="19"/>
  <c r="U34" i="19"/>
  <c r="U34" i="20"/>
  <c r="AD28" i="20"/>
  <c r="AL19" i="20" s="1"/>
  <c r="AL43" i="20"/>
  <c r="AL42" i="20"/>
  <c r="AD27" i="20"/>
  <c r="AL18" i="20" s="1"/>
  <c r="U33" i="20"/>
  <c r="U34" i="18"/>
  <c r="AD28" i="18"/>
  <c r="AL19" i="18" s="1"/>
  <c r="AL43" i="18"/>
  <c r="AD29" i="18"/>
  <c r="AL20" i="18" s="1"/>
  <c r="U35" i="18"/>
  <c r="AL44" i="18"/>
  <c r="AL44" i="20"/>
  <c r="AD29" i="20"/>
  <c r="AL20" i="20" s="1"/>
  <c r="U35" i="20"/>
  <c r="AM32" i="1"/>
  <c r="AM23" i="1"/>
  <c r="AM41" i="1"/>
  <c r="AL23" i="18" l="1"/>
  <c r="AL41" i="18"/>
  <c r="AL32" i="18"/>
  <c r="V36" i="20"/>
  <c r="W36" i="20" s="1"/>
  <c r="X36" i="20" s="1"/>
  <c r="Z36" i="20" s="1"/>
  <c r="AA36" i="20" s="1"/>
  <c r="AB36" i="20" s="1"/>
  <c r="AM36" i="20"/>
  <c r="AL41" i="19"/>
  <c r="AL32" i="19"/>
  <c r="AL23" i="19"/>
  <c r="AL23" i="20"/>
  <c r="AL41" i="20"/>
  <c r="AL32" i="20"/>
  <c r="V33" i="20"/>
  <c r="W33" i="20" s="1"/>
  <c r="X33" i="20" s="1"/>
  <c r="Z33" i="20" s="1"/>
  <c r="AA33" i="20" s="1"/>
  <c r="AB33" i="20" s="1"/>
  <c r="AM33" i="20"/>
  <c r="AM35" i="19"/>
  <c r="V35" i="19"/>
  <c r="W35" i="19" s="1"/>
  <c r="X35" i="19" s="1"/>
  <c r="Z35" i="19" s="1"/>
  <c r="AA35" i="19" s="1"/>
  <c r="AB35" i="19" s="1"/>
  <c r="AM35" i="18"/>
  <c r="V35" i="18"/>
  <c r="W35" i="18" s="1"/>
  <c r="X35" i="18" s="1"/>
  <c r="Z35" i="18" s="1"/>
  <c r="AA35" i="18" s="1"/>
  <c r="AB35" i="18" s="1"/>
  <c r="U46" i="1"/>
  <c r="V46" i="1" s="1"/>
  <c r="W46" i="1" s="1"/>
  <c r="X46" i="1" s="1"/>
  <c r="Z46" i="1" s="1"/>
  <c r="AA46" i="1" s="1"/>
  <c r="AB46" i="1" s="1"/>
  <c r="AD40" i="1"/>
  <c r="AD42" i="1"/>
  <c r="U48" i="1"/>
  <c r="V48" i="1" s="1"/>
  <c r="W48" i="1" s="1"/>
  <c r="X48" i="1" s="1"/>
  <c r="Z48" i="1" s="1"/>
  <c r="AA48" i="1" s="1"/>
  <c r="AB48" i="1" s="1"/>
  <c r="V34" i="19"/>
  <c r="W34" i="19" s="1"/>
  <c r="X34" i="19" s="1"/>
  <c r="Z34" i="19" s="1"/>
  <c r="AA34" i="19" s="1"/>
  <c r="AB34" i="19" s="1"/>
  <c r="AM34" i="19"/>
  <c r="V36" i="19"/>
  <c r="W36" i="19" s="1"/>
  <c r="X36" i="19" s="1"/>
  <c r="Z36" i="19" s="1"/>
  <c r="AA36" i="19" s="1"/>
  <c r="AB36" i="19" s="1"/>
  <c r="AM36" i="19"/>
  <c r="V34" i="18"/>
  <c r="W34" i="18" s="1"/>
  <c r="X34" i="18" s="1"/>
  <c r="Z34" i="18" s="1"/>
  <c r="AA34" i="18" s="1"/>
  <c r="AB34" i="18" s="1"/>
  <c r="AM34" i="18"/>
  <c r="AD39" i="1"/>
  <c r="U45" i="1"/>
  <c r="V45" i="1" s="1"/>
  <c r="W45" i="1" s="1"/>
  <c r="X45" i="1" s="1"/>
  <c r="Z45" i="1" s="1"/>
  <c r="AA45" i="1" s="1"/>
  <c r="AB45" i="1" s="1"/>
  <c r="V36" i="18"/>
  <c r="W36" i="18" s="1"/>
  <c r="X36" i="18" s="1"/>
  <c r="Z36" i="18" s="1"/>
  <c r="AA36" i="18" s="1"/>
  <c r="AB36" i="18" s="1"/>
  <c r="AM36" i="18"/>
  <c r="V33" i="18"/>
  <c r="W33" i="18" s="1"/>
  <c r="X33" i="18" s="1"/>
  <c r="Z33" i="18" s="1"/>
  <c r="AA33" i="18" s="1"/>
  <c r="AB33" i="18" s="1"/>
  <c r="AM33" i="18"/>
  <c r="U47" i="1"/>
  <c r="V47" i="1" s="1"/>
  <c r="W47" i="1" s="1"/>
  <c r="X47" i="1" s="1"/>
  <c r="Z47" i="1" s="1"/>
  <c r="AA47" i="1" s="1"/>
  <c r="AB47" i="1" s="1"/>
  <c r="AD41" i="1"/>
  <c r="V34" i="20"/>
  <c r="W34" i="20" s="1"/>
  <c r="X34" i="20" s="1"/>
  <c r="Z34" i="20" s="1"/>
  <c r="AA34" i="20" s="1"/>
  <c r="AB34" i="20" s="1"/>
  <c r="AM34" i="20"/>
  <c r="V33" i="19"/>
  <c r="W33" i="19" s="1"/>
  <c r="X33" i="19" s="1"/>
  <c r="Z33" i="19" s="1"/>
  <c r="AA33" i="19" s="1"/>
  <c r="AB33" i="19" s="1"/>
  <c r="AM33" i="19"/>
  <c r="AM35" i="20"/>
  <c r="V35" i="20"/>
  <c r="W35" i="20" s="1"/>
  <c r="X35" i="20" s="1"/>
  <c r="Z35" i="20" s="1"/>
  <c r="AA35" i="20" s="1"/>
  <c r="AB35" i="20" s="1"/>
  <c r="AC35" i="19" l="1"/>
  <c r="AE35" i="19"/>
  <c r="AM26" i="19" s="1"/>
  <c r="AC33" i="19"/>
  <c r="AE33" i="19"/>
  <c r="AM24" i="19" s="1"/>
  <c r="AE45" i="1"/>
  <c r="AC45" i="1"/>
  <c r="AN42" i="1"/>
  <c r="AE34" i="20"/>
  <c r="AM25" i="20" s="1"/>
  <c r="AC34" i="20"/>
  <c r="AE36" i="20"/>
  <c r="AM27" i="20" s="1"/>
  <c r="AC36" i="20"/>
  <c r="AE36" i="19"/>
  <c r="AM27" i="19" s="1"/>
  <c r="AC36" i="19"/>
  <c r="AC36" i="18"/>
  <c r="AE36" i="18"/>
  <c r="AM27" i="18" s="1"/>
  <c r="AC47" i="1"/>
  <c r="AN44" i="1"/>
  <c r="AE47" i="1"/>
  <c r="AC46" i="1"/>
  <c r="AE46" i="1"/>
  <c r="AN43" i="1"/>
  <c r="AC33" i="18"/>
  <c r="AE33" i="18"/>
  <c r="AM24" i="18" s="1"/>
  <c r="AE34" i="19"/>
  <c r="AM25" i="19" s="1"/>
  <c r="AC34" i="19"/>
  <c r="AE48" i="1"/>
  <c r="AN45" i="1"/>
  <c r="AC48" i="1"/>
  <c r="AE33" i="20"/>
  <c r="AM24" i="20" s="1"/>
  <c r="AC33" i="20"/>
  <c r="AC34" i="18"/>
  <c r="AE34" i="18"/>
  <c r="AM25" i="18" s="1"/>
  <c r="AE35" i="20"/>
  <c r="AM26" i="20" s="1"/>
  <c r="AC35" i="20"/>
  <c r="AE35" i="18"/>
  <c r="AM26" i="18" s="1"/>
  <c r="AC35" i="18"/>
  <c r="AD47" i="1" l="1"/>
  <c r="AN26" i="1" s="1"/>
  <c r="U53" i="1"/>
  <c r="V53" i="1" s="1"/>
  <c r="W53" i="1" s="1"/>
  <c r="X53" i="1" s="1"/>
  <c r="Z53" i="1" s="1"/>
  <c r="AA53" i="1" s="1"/>
  <c r="AB53" i="1" s="1"/>
  <c r="AN20" i="1"/>
  <c r="U51" i="1"/>
  <c r="V51" i="1" s="1"/>
  <c r="W51" i="1" s="1"/>
  <c r="X51" i="1" s="1"/>
  <c r="Z51" i="1" s="1"/>
  <c r="AA51" i="1" s="1"/>
  <c r="AB51" i="1" s="1"/>
  <c r="AN18" i="1"/>
  <c r="AD45" i="1"/>
  <c r="AN24" i="1" s="1"/>
  <c r="AN21" i="1"/>
  <c r="U54" i="1"/>
  <c r="V54" i="1" s="1"/>
  <c r="W54" i="1" s="1"/>
  <c r="X54" i="1" s="1"/>
  <c r="Z54" i="1" s="1"/>
  <c r="AA54" i="1" s="1"/>
  <c r="AB54" i="1" s="1"/>
  <c r="AD48" i="1"/>
  <c r="AN27" i="1" s="1"/>
  <c r="AD46" i="1"/>
  <c r="AN25" i="1" s="1"/>
  <c r="AN19" i="1"/>
  <c r="U52" i="1"/>
  <c r="V52" i="1" s="1"/>
  <c r="W52" i="1" s="1"/>
  <c r="X52" i="1" s="1"/>
  <c r="Z52" i="1" s="1"/>
  <c r="AA52" i="1" s="1"/>
  <c r="AB52" i="1" s="1"/>
  <c r="AD36" i="20"/>
  <c r="AM21" i="20" s="1"/>
  <c r="AM45" i="20"/>
  <c r="U42" i="20"/>
  <c r="V42" i="20" s="1"/>
  <c r="W42" i="20" s="1"/>
  <c r="X42" i="20" s="1"/>
  <c r="Z42" i="20" s="1"/>
  <c r="AA42" i="20" s="1"/>
  <c r="AB42" i="20" s="1"/>
  <c r="U39" i="19"/>
  <c r="V39" i="19" s="1"/>
  <c r="W39" i="19" s="1"/>
  <c r="X39" i="19" s="1"/>
  <c r="Z39" i="19" s="1"/>
  <c r="AA39" i="19" s="1"/>
  <c r="AB39" i="19" s="1"/>
  <c r="AD33" i="19"/>
  <c r="AM18" i="19" s="1"/>
  <c r="AM42" i="19"/>
  <c r="AM43" i="18"/>
  <c r="AD34" i="18"/>
  <c r="AM19" i="18" s="1"/>
  <c r="U40" i="18"/>
  <c r="V40" i="18" s="1"/>
  <c r="W40" i="18" s="1"/>
  <c r="X40" i="18" s="1"/>
  <c r="Z40" i="18" s="1"/>
  <c r="AA40" i="18" s="1"/>
  <c r="AB40" i="18" s="1"/>
  <c r="AD33" i="20"/>
  <c r="AM18" i="20" s="1"/>
  <c r="AM42" i="20"/>
  <c r="U39" i="20"/>
  <c r="V39" i="20" s="1"/>
  <c r="W39" i="20" s="1"/>
  <c r="X39" i="20" s="1"/>
  <c r="Z39" i="20" s="1"/>
  <c r="AA39" i="20" s="1"/>
  <c r="AB39" i="20" s="1"/>
  <c r="AD35" i="20"/>
  <c r="AM20" i="20" s="1"/>
  <c r="AM44" i="20"/>
  <c r="U41" i="20"/>
  <c r="V41" i="20" s="1"/>
  <c r="W41" i="20" s="1"/>
  <c r="X41" i="20" s="1"/>
  <c r="Z41" i="20" s="1"/>
  <c r="AA41" i="20" s="1"/>
  <c r="AB41" i="20" s="1"/>
  <c r="AD33" i="18"/>
  <c r="AM18" i="18" s="1"/>
  <c r="U39" i="18"/>
  <c r="V39" i="18" s="1"/>
  <c r="W39" i="18" s="1"/>
  <c r="X39" i="18" s="1"/>
  <c r="Z39" i="18" s="1"/>
  <c r="AA39" i="18" s="1"/>
  <c r="AB39" i="18" s="1"/>
  <c r="AM42" i="18"/>
  <c r="AD36" i="18"/>
  <c r="AM21" i="18" s="1"/>
  <c r="AM45" i="18"/>
  <c r="U42" i="18"/>
  <c r="V42" i="18" s="1"/>
  <c r="W42" i="18" s="1"/>
  <c r="X42" i="18" s="1"/>
  <c r="Z42" i="18" s="1"/>
  <c r="AA42" i="18" s="1"/>
  <c r="AB42" i="18" s="1"/>
  <c r="AD36" i="19"/>
  <c r="AM21" i="19" s="1"/>
  <c r="U42" i="19"/>
  <c r="V42" i="19" s="1"/>
  <c r="W42" i="19" s="1"/>
  <c r="X42" i="19" s="1"/>
  <c r="Z42" i="19" s="1"/>
  <c r="AA42" i="19" s="1"/>
  <c r="AB42" i="19" s="1"/>
  <c r="AM45" i="19"/>
  <c r="AM44" i="18"/>
  <c r="AD35" i="18"/>
  <c r="AM20" i="18" s="1"/>
  <c r="U41" i="18"/>
  <c r="V41" i="18" s="1"/>
  <c r="W41" i="18" s="1"/>
  <c r="X41" i="18" s="1"/>
  <c r="Z41" i="18" s="1"/>
  <c r="AA41" i="18" s="1"/>
  <c r="AB41" i="18" s="1"/>
  <c r="AM43" i="19"/>
  <c r="U40" i="19"/>
  <c r="V40" i="19" s="1"/>
  <c r="W40" i="19" s="1"/>
  <c r="X40" i="19" s="1"/>
  <c r="Z40" i="19" s="1"/>
  <c r="AA40" i="19" s="1"/>
  <c r="AB40" i="19" s="1"/>
  <c r="AD34" i="19"/>
  <c r="AM19" i="19" s="1"/>
  <c r="AD34" i="20"/>
  <c r="AM19" i="20" s="1"/>
  <c r="U40" i="20"/>
  <c r="V40" i="20" s="1"/>
  <c r="W40" i="20" s="1"/>
  <c r="X40" i="20" s="1"/>
  <c r="Z40" i="20" s="1"/>
  <c r="AA40" i="20" s="1"/>
  <c r="AB40" i="20" s="1"/>
  <c r="AM43" i="20"/>
  <c r="U41" i="19"/>
  <c r="V41" i="19" s="1"/>
  <c r="W41" i="19" s="1"/>
  <c r="X41" i="19" s="1"/>
  <c r="Z41" i="19" s="1"/>
  <c r="AA41" i="19" s="1"/>
  <c r="AB41" i="19" s="1"/>
  <c r="AD35" i="19"/>
  <c r="AM20" i="19" s="1"/>
  <c r="AM44" i="19"/>
  <c r="AC39" i="19" l="1"/>
  <c r="AE39" i="19"/>
  <c r="AM23" i="19"/>
  <c r="AM41" i="19"/>
  <c r="AM32" i="19"/>
  <c r="AM32" i="18"/>
  <c r="AM41" i="18"/>
  <c r="AM23" i="18"/>
  <c r="AC51" i="1"/>
  <c r="AE51" i="1"/>
  <c r="AO42" i="1"/>
  <c r="AC42" i="19"/>
  <c r="AE42" i="19"/>
  <c r="AE41" i="20"/>
  <c r="AC41" i="20"/>
  <c r="AN41" i="1"/>
  <c r="AN32" i="1"/>
  <c r="AN23" i="1"/>
  <c r="AE39" i="20"/>
  <c r="AC39" i="20"/>
  <c r="AC42" i="20"/>
  <c r="AE42" i="20"/>
  <c r="AC39" i="18"/>
  <c r="AE39" i="18"/>
  <c r="AC53" i="1"/>
  <c r="AO44" i="1"/>
  <c r="AE53" i="1"/>
  <c r="AO45" i="1"/>
  <c r="AE54" i="1"/>
  <c r="AC54" i="1"/>
  <c r="AC41" i="18"/>
  <c r="AE41" i="18"/>
  <c r="AC41" i="19"/>
  <c r="AE41" i="19"/>
  <c r="AC40" i="18"/>
  <c r="AE40" i="18"/>
  <c r="AC40" i="20"/>
  <c r="AE40" i="20"/>
  <c r="AO43" i="1"/>
  <c r="AE52" i="1"/>
  <c r="AC52" i="1"/>
  <c r="AC40" i="19"/>
  <c r="AE40" i="19"/>
  <c r="AE42" i="18"/>
  <c r="AC42" i="18"/>
  <c r="AM23" i="20"/>
  <c r="AM41" i="20"/>
  <c r="AM32" i="20"/>
  <c r="AD41" i="18" l="1"/>
  <c r="U47" i="18"/>
  <c r="V47" i="18" s="1"/>
  <c r="W47" i="18" s="1"/>
  <c r="X47" i="18" s="1"/>
  <c r="Z47" i="18" s="1"/>
  <c r="AA47" i="18" s="1"/>
  <c r="AB47" i="18" s="1"/>
  <c r="AD42" i="18"/>
  <c r="U48" i="18"/>
  <c r="V48" i="18" s="1"/>
  <c r="W48" i="18" s="1"/>
  <c r="X48" i="18" s="1"/>
  <c r="Z48" i="18" s="1"/>
  <c r="AA48" i="18" s="1"/>
  <c r="AB48" i="18" s="1"/>
  <c r="U45" i="20"/>
  <c r="V45" i="20" s="1"/>
  <c r="W45" i="20" s="1"/>
  <c r="X45" i="20" s="1"/>
  <c r="Z45" i="20" s="1"/>
  <c r="AA45" i="20" s="1"/>
  <c r="AB45" i="20" s="1"/>
  <c r="AD39" i="20"/>
  <c r="U46" i="19"/>
  <c r="V46" i="19" s="1"/>
  <c r="W46" i="19" s="1"/>
  <c r="X46" i="19" s="1"/>
  <c r="Z46" i="19" s="1"/>
  <c r="AA46" i="19" s="1"/>
  <c r="AB46" i="19" s="1"/>
  <c r="AD40" i="19"/>
  <c r="U45" i="18"/>
  <c r="V45" i="18" s="1"/>
  <c r="W45" i="18" s="1"/>
  <c r="X45" i="18" s="1"/>
  <c r="Z45" i="18" s="1"/>
  <c r="AA45" i="18" s="1"/>
  <c r="AB45" i="18" s="1"/>
  <c r="AD39" i="18"/>
  <c r="U47" i="20"/>
  <c r="V47" i="20" s="1"/>
  <c r="W47" i="20" s="1"/>
  <c r="X47" i="20" s="1"/>
  <c r="Z47" i="20" s="1"/>
  <c r="AA47" i="20" s="1"/>
  <c r="AB47" i="20" s="1"/>
  <c r="AD41" i="20"/>
  <c r="AD54" i="1"/>
  <c r="AO27" i="1" s="1"/>
  <c r="U60" i="1"/>
  <c r="V60" i="1" s="1"/>
  <c r="W60" i="1" s="1"/>
  <c r="X60" i="1" s="1"/>
  <c r="Z60" i="1" s="1"/>
  <c r="AA60" i="1" s="1"/>
  <c r="AB60" i="1" s="1"/>
  <c r="AO21" i="1"/>
  <c r="U46" i="20"/>
  <c r="V46" i="20" s="1"/>
  <c r="W46" i="20" s="1"/>
  <c r="X46" i="20" s="1"/>
  <c r="Z46" i="20" s="1"/>
  <c r="AA46" i="20" s="1"/>
  <c r="AB46" i="20" s="1"/>
  <c r="AD40" i="20"/>
  <c r="U48" i="20"/>
  <c r="V48" i="20" s="1"/>
  <c r="W48" i="20" s="1"/>
  <c r="X48" i="20" s="1"/>
  <c r="Z48" i="20" s="1"/>
  <c r="AA48" i="20" s="1"/>
  <c r="AB48" i="20" s="1"/>
  <c r="AD42" i="20"/>
  <c r="U48" i="19"/>
  <c r="V48" i="19" s="1"/>
  <c r="W48" i="19" s="1"/>
  <c r="X48" i="19" s="1"/>
  <c r="Z48" i="19" s="1"/>
  <c r="AA48" i="19" s="1"/>
  <c r="AB48" i="19" s="1"/>
  <c r="AD42" i="19"/>
  <c r="AD40" i="18"/>
  <c r="U46" i="18"/>
  <c r="V46" i="18" s="1"/>
  <c r="W46" i="18" s="1"/>
  <c r="X46" i="18" s="1"/>
  <c r="Z46" i="18" s="1"/>
  <c r="AA46" i="18" s="1"/>
  <c r="AB46" i="18" s="1"/>
  <c r="U58" i="1"/>
  <c r="V58" i="1" s="1"/>
  <c r="W58" i="1" s="1"/>
  <c r="X58" i="1" s="1"/>
  <c r="Z58" i="1" s="1"/>
  <c r="AA58" i="1" s="1"/>
  <c r="AB58" i="1" s="1"/>
  <c r="AD52" i="1"/>
  <c r="AO25" i="1" s="1"/>
  <c r="AO19" i="1"/>
  <c r="U47" i="19"/>
  <c r="V47" i="19" s="1"/>
  <c r="W47" i="19" s="1"/>
  <c r="X47" i="19" s="1"/>
  <c r="Z47" i="19" s="1"/>
  <c r="AA47" i="19" s="1"/>
  <c r="AB47" i="19" s="1"/>
  <c r="AD41" i="19"/>
  <c r="AO20" i="1"/>
  <c r="U59" i="1"/>
  <c r="V59" i="1" s="1"/>
  <c r="W59" i="1" s="1"/>
  <c r="X59" i="1" s="1"/>
  <c r="Z59" i="1" s="1"/>
  <c r="AA59" i="1" s="1"/>
  <c r="AB59" i="1" s="1"/>
  <c r="AD53" i="1"/>
  <c r="AO26" i="1" s="1"/>
  <c r="U57" i="1"/>
  <c r="V57" i="1" s="1"/>
  <c r="W57" i="1" s="1"/>
  <c r="X57" i="1" s="1"/>
  <c r="Z57" i="1" s="1"/>
  <c r="AA57" i="1" s="1"/>
  <c r="AB57" i="1" s="1"/>
  <c r="AO18" i="1"/>
  <c r="AD51" i="1"/>
  <c r="AO24" i="1" s="1"/>
  <c r="U45" i="19"/>
  <c r="V45" i="19" s="1"/>
  <c r="W45" i="19" s="1"/>
  <c r="X45" i="19" s="1"/>
  <c r="Z45" i="19" s="1"/>
  <c r="AA45" i="19" s="1"/>
  <c r="AB45" i="19" s="1"/>
  <c r="AD39" i="19"/>
  <c r="AP43" i="1" l="1"/>
  <c r="AE58" i="1"/>
  <c r="AC58" i="1"/>
  <c r="AE46" i="18"/>
  <c r="AC46" i="18"/>
  <c r="AN43" i="18"/>
  <c r="AN42" i="20"/>
  <c r="AE45" i="20"/>
  <c r="AC45" i="20"/>
  <c r="AE45" i="19"/>
  <c r="AC45" i="19"/>
  <c r="AN42" i="19"/>
  <c r="AN44" i="19"/>
  <c r="AE47" i="19"/>
  <c r="AC47" i="19"/>
  <c r="AC47" i="20"/>
  <c r="AE47" i="20"/>
  <c r="AN44" i="20"/>
  <c r="AP44" i="1"/>
  <c r="AE59" i="1"/>
  <c r="AC59" i="1"/>
  <c r="AE48" i="19"/>
  <c r="AC48" i="19"/>
  <c r="AN45" i="19"/>
  <c r="AN45" i="20"/>
  <c r="AE48" i="20"/>
  <c r="AC48" i="20"/>
  <c r="AN44" i="18"/>
  <c r="AC47" i="18"/>
  <c r="AE47" i="18"/>
  <c r="AC57" i="1"/>
  <c r="AP42" i="1"/>
  <c r="AE57" i="1"/>
  <c r="AE46" i="20"/>
  <c r="AC46" i="20"/>
  <c r="AN43" i="20"/>
  <c r="AC46" i="19"/>
  <c r="AN43" i="19"/>
  <c r="AE46" i="19"/>
  <c r="AC60" i="1"/>
  <c r="AE60" i="1"/>
  <c r="AP45" i="1"/>
  <c r="AO23" i="1"/>
  <c r="AO32" i="1"/>
  <c r="AO41" i="1"/>
  <c r="AE48" i="18"/>
  <c r="AC48" i="18"/>
  <c r="AN45" i="18"/>
  <c r="AN42" i="18"/>
  <c r="AC45" i="18"/>
  <c r="AE45" i="18"/>
  <c r="AD60" i="1" l="1"/>
  <c r="AP27" i="1" s="1"/>
  <c r="AP21" i="1"/>
  <c r="AD48" i="18"/>
  <c r="AN27" i="18" s="1"/>
  <c r="AN21" i="18"/>
  <c r="U54" i="18"/>
  <c r="V54" i="18" s="1"/>
  <c r="W54" i="18" s="1"/>
  <c r="X54" i="18" s="1"/>
  <c r="Z54" i="18" s="1"/>
  <c r="AA54" i="18" s="1"/>
  <c r="AB54" i="18" s="1"/>
  <c r="U54" i="19"/>
  <c r="V54" i="19" s="1"/>
  <c r="W54" i="19" s="1"/>
  <c r="X54" i="19" s="1"/>
  <c r="Z54" i="19" s="1"/>
  <c r="AA54" i="19" s="1"/>
  <c r="AB54" i="19" s="1"/>
  <c r="AN21" i="19"/>
  <c r="AD48" i="19"/>
  <c r="AN27" i="19" s="1"/>
  <c r="AN20" i="18"/>
  <c r="AD47" i="18"/>
  <c r="AN26" i="18" s="1"/>
  <c r="U53" i="18"/>
  <c r="V53" i="18" s="1"/>
  <c r="W53" i="18" s="1"/>
  <c r="X53" i="18" s="1"/>
  <c r="Z53" i="18" s="1"/>
  <c r="AA53" i="18" s="1"/>
  <c r="AB53" i="18" s="1"/>
  <c r="AD58" i="1"/>
  <c r="AP25" i="1" s="1"/>
  <c r="AP19" i="1"/>
  <c r="AD57" i="1"/>
  <c r="AP24" i="1" s="1"/>
  <c r="AP18" i="1"/>
  <c r="AP20" i="1"/>
  <c r="AD59" i="1"/>
  <c r="AP26" i="1" s="1"/>
  <c r="U52" i="20"/>
  <c r="V52" i="20" s="1"/>
  <c r="W52" i="20" s="1"/>
  <c r="X52" i="20" s="1"/>
  <c r="Z52" i="20" s="1"/>
  <c r="AA52" i="20" s="1"/>
  <c r="AB52" i="20" s="1"/>
  <c r="AD46" i="20"/>
  <c r="AN25" i="20" s="1"/>
  <c r="AN19" i="20"/>
  <c r="AN20" i="20"/>
  <c r="AD47" i="20"/>
  <c r="AN26" i="20" s="1"/>
  <c r="U53" i="20"/>
  <c r="V53" i="20" s="1"/>
  <c r="W53" i="20" s="1"/>
  <c r="X53" i="20" s="1"/>
  <c r="Z53" i="20" s="1"/>
  <c r="AA53" i="20" s="1"/>
  <c r="AB53" i="20" s="1"/>
  <c r="U53" i="19"/>
  <c r="V53" i="19" s="1"/>
  <c r="W53" i="19" s="1"/>
  <c r="X53" i="19" s="1"/>
  <c r="Z53" i="19" s="1"/>
  <c r="AA53" i="19" s="1"/>
  <c r="AB53" i="19" s="1"/>
  <c r="AN20" i="19"/>
  <c r="AD47" i="19"/>
  <c r="AN26" i="19" s="1"/>
  <c r="U52" i="19"/>
  <c r="V52" i="19" s="1"/>
  <c r="W52" i="19" s="1"/>
  <c r="X52" i="19" s="1"/>
  <c r="Z52" i="19" s="1"/>
  <c r="AA52" i="19" s="1"/>
  <c r="AB52" i="19" s="1"/>
  <c r="AD46" i="19"/>
  <c r="AN25" i="19" s="1"/>
  <c r="AN19" i="19"/>
  <c r="AD46" i="18"/>
  <c r="AN25" i="18" s="1"/>
  <c r="U52" i="18"/>
  <c r="V52" i="18" s="1"/>
  <c r="W52" i="18" s="1"/>
  <c r="X52" i="18" s="1"/>
  <c r="Z52" i="18" s="1"/>
  <c r="AA52" i="18" s="1"/>
  <c r="AB52" i="18" s="1"/>
  <c r="AN19" i="18"/>
  <c r="U54" i="20"/>
  <c r="V54" i="20" s="1"/>
  <c r="W54" i="20" s="1"/>
  <c r="X54" i="20" s="1"/>
  <c r="Z54" i="20" s="1"/>
  <c r="AA54" i="20" s="1"/>
  <c r="AB54" i="20" s="1"/>
  <c r="AD48" i="20"/>
  <c r="AN27" i="20" s="1"/>
  <c r="AN21" i="20"/>
  <c r="U51" i="19"/>
  <c r="V51" i="19" s="1"/>
  <c r="W51" i="19" s="1"/>
  <c r="X51" i="19" s="1"/>
  <c r="Z51" i="19" s="1"/>
  <c r="AA51" i="19" s="1"/>
  <c r="AB51" i="19" s="1"/>
  <c r="AD45" i="19"/>
  <c r="AN24" i="19" s="1"/>
  <c r="AN18" i="19"/>
  <c r="AD45" i="18"/>
  <c r="AN24" i="18" s="1"/>
  <c r="U51" i="18"/>
  <c r="V51" i="18" s="1"/>
  <c r="W51" i="18" s="1"/>
  <c r="X51" i="18" s="1"/>
  <c r="Z51" i="18" s="1"/>
  <c r="AA51" i="18" s="1"/>
  <c r="AB51" i="18" s="1"/>
  <c r="AN18" i="18"/>
  <c r="U51" i="20"/>
  <c r="V51" i="20" s="1"/>
  <c r="W51" i="20" s="1"/>
  <c r="X51" i="20" s="1"/>
  <c r="Z51" i="20" s="1"/>
  <c r="AA51" i="20" s="1"/>
  <c r="AB51" i="20" s="1"/>
  <c r="AN18" i="20"/>
  <c r="AD45" i="20"/>
  <c r="AN24" i="20" s="1"/>
  <c r="AE54" i="19" l="1"/>
  <c r="AO45" i="19"/>
  <c r="AC54" i="19"/>
  <c r="AC54" i="18"/>
  <c r="AE54" i="18"/>
  <c r="AO45" i="18"/>
  <c r="AO44" i="19"/>
  <c r="AE53" i="19"/>
  <c r="AC53" i="19"/>
  <c r="AP23" i="1"/>
  <c r="AP41" i="1"/>
  <c r="AI48" i="1" s="1"/>
  <c r="AP32" i="1"/>
  <c r="AE53" i="20"/>
  <c r="AC53" i="20"/>
  <c r="AO44" i="20"/>
  <c r="AO44" i="18"/>
  <c r="AC53" i="18"/>
  <c r="AE53" i="18"/>
  <c r="AC51" i="19"/>
  <c r="AO42" i="19"/>
  <c r="AE51" i="19"/>
  <c r="AE52" i="20"/>
  <c r="AC52" i="20"/>
  <c r="AO43" i="20"/>
  <c r="AC52" i="18"/>
  <c r="AO43" i="18"/>
  <c r="AE52" i="18"/>
  <c r="AE52" i="19"/>
  <c r="AC52" i="19"/>
  <c r="AO43" i="19"/>
  <c r="AE51" i="20"/>
  <c r="AO42" i="20"/>
  <c r="AC51" i="20"/>
  <c r="AE54" i="20"/>
  <c r="AC54" i="20"/>
  <c r="AO45" i="20"/>
  <c r="AN23" i="19"/>
  <c r="AN32" i="19"/>
  <c r="AN41" i="19"/>
  <c r="AE51" i="18"/>
  <c r="AC51" i="18"/>
  <c r="AO42" i="18"/>
  <c r="AN23" i="20"/>
  <c r="AN41" i="20"/>
  <c r="AN32" i="20"/>
  <c r="AN23" i="18"/>
  <c r="AN32" i="18"/>
  <c r="AN41" i="18"/>
  <c r="AD54" i="19" l="1"/>
  <c r="AO27" i="19" s="1"/>
  <c r="U60" i="19"/>
  <c r="V60" i="19" s="1"/>
  <c r="W60" i="19" s="1"/>
  <c r="X60" i="19" s="1"/>
  <c r="Z60" i="19" s="1"/>
  <c r="AA60" i="19" s="1"/>
  <c r="AB60" i="19" s="1"/>
  <c r="AO21" i="19"/>
  <c r="AI39" i="1"/>
  <c r="E15" i="1"/>
  <c r="AI30" i="1"/>
  <c r="H19" i="1"/>
  <c r="H29" i="1" s="1"/>
  <c r="E10" i="1" s="1"/>
  <c r="E9" i="1" s="1"/>
  <c r="AO19" i="20"/>
  <c r="AD52" i="20"/>
  <c r="AO25" i="20" s="1"/>
  <c r="U58" i="20"/>
  <c r="V58" i="20" s="1"/>
  <c r="W58" i="20" s="1"/>
  <c r="X58" i="20" s="1"/>
  <c r="Z58" i="20" s="1"/>
  <c r="AA58" i="20" s="1"/>
  <c r="AB58" i="20" s="1"/>
  <c r="AO20" i="20"/>
  <c r="AD53" i="20"/>
  <c r="AO26" i="20" s="1"/>
  <c r="U59" i="20"/>
  <c r="V59" i="20" s="1"/>
  <c r="W59" i="20" s="1"/>
  <c r="X59" i="20" s="1"/>
  <c r="Z59" i="20" s="1"/>
  <c r="AA59" i="20" s="1"/>
  <c r="AB59" i="20" s="1"/>
  <c r="AO19" i="19"/>
  <c r="AD52" i="19"/>
  <c r="AO25" i="19" s="1"/>
  <c r="U58" i="19"/>
  <c r="V58" i="19" s="1"/>
  <c r="W58" i="19" s="1"/>
  <c r="X58" i="19" s="1"/>
  <c r="Z58" i="19" s="1"/>
  <c r="AA58" i="19" s="1"/>
  <c r="AB58" i="19" s="1"/>
  <c r="U60" i="18"/>
  <c r="V60" i="18" s="1"/>
  <c r="W60" i="18" s="1"/>
  <c r="X60" i="18" s="1"/>
  <c r="Z60" i="18" s="1"/>
  <c r="AA60" i="18" s="1"/>
  <c r="AB60" i="18" s="1"/>
  <c r="AO21" i="18"/>
  <c r="AD54" i="18"/>
  <c r="AO27" i="18" s="1"/>
  <c r="AO21" i="20"/>
  <c r="AD54" i="20"/>
  <c r="AO27" i="20" s="1"/>
  <c r="U60" i="20"/>
  <c r="V60" i="20" s="1"/>
  <c r="W60" i="20" s="1"/>
  <c r="X60" i="20" s="1"/>
  <c r="Z60" i="20" s="1"/>
  <c r="AA60" i="20" s="1"/>
  <c r="AB60" i="20" s="1"/>
  <c r="AD51" i="19"/>
  <c r="AO24" i="19" s="1"/>
  <c r="U57" i="19"/>
  <c r="V57" i="19" s="1"/>
  <c r="W57" i="19" s="1"/>
  <c r="X57" i="19" s="1"/>
  <c r="Z57" i="19" s="1"/>
  <c r="AA57" i="19" s="1"/>
  <c r="AB57" i="19" s="1"/>
  <c r="AO18" i="19"/>
  <c r="AO18" i="18"/>
  <c r="AD51" i="18"/>
  <c r="AO24" i="18" s="1"/>
  <c r="U57" i="18"/>
  <c r="V57" i="18" s="1"/>
  <c r="W57" i="18" s="1"/>
  <c r="X57" i="18" s="1"/>
  <c r="Z57" i="18" s="1"/>
  <c r="AA57" i="18" s="1"/>
  <c r="AB57" i="18" s="1"/>
  <c r="AD51" i="20"/>
  <c r="AO24" i="20" s="1"/>
  <c r="U57" i="20"/>
  <c r="V57" i="20" s="1"/>
  <c r="W57" i="20" s="1"/>
  <c r="X57" i="20" s="1"/>
  <c r="Z57" i="20" s="1"/>
  <c r="AA57" i="20" s="1"/>
  <c r="AB57" i="20" s="1"/>
  <c r="AO18" i="20"/>
  <c r="U58" i="18"/>
  <c r="V58" i="18" s="1"/>
  <c r="W58" i="18" s="1"/>
  <c r="X58" i="18" s="1"/>
  <c r="Z58" i="18" s="1"/>
  <c r="AA58" i="18" s="1"/>
  <c r="AB58" i="18" s="1"/>
  <c r="AO19" i="18"/>
  <c r="AD52" i="18"/>
  <c r="AO25" i="18" s="1"/>
  <c r="AO20" i="18"/>
  <c r="AD53" i="18"/>
  <c r="AO26" i="18" s="1"/>
  <c r="U59" i="18"/>
  <c r="V59" i="18" s="1"/>
  <c r="W59" i="18" s="1"/>
  <c r="X59" i="18" s="1"/>
  <c r="Z59" i="18" s="1"/>
  <c r="AA59" i="18" s="1"/>
  <c r="AB59" i="18" s="1"/>
  <c r="U59" i="19"/>
  <c r="V59" i="19" s="1"/>
  <c r="W59" i="19" s="1"/>
  <c r="X59" i="19" s="1"/>
  <c r="Z59" i="19" s="1"/>
  <c r="AA59" i="19" s="1"/>
  <c r="AB59" i="19" s="1"/>
  <c r="AD53" i="19"/>
  <c r="AO26" i="19" s="1"/>
  <c r="AO20" i="19"/>
  <c r="AP43" i="18" l="1"/>
  <c r="AC58" i="18"/>
  <c r="AE58" i="18"/>
  <c r="AC58" i="19"/>
  <c r="AE58" i="19"/>
  <c r="AP43" i="19"/>
  <c r="AE57" i="20"/>
  <c r="AC57" i="20"/>
  <c r="AP42" i="20"/>
  <c r="AE59" i="18"/>
  <c r="AP44" i="18"/>
  <c r="AC59" i="18"/>
  <c r="AE57" i="18"/>
  <c r="AC57" i="18"/>
  <c r="AP42" i="18"/>
  <c r="AO23" i="18"/>
  <c r="AO41" i="18"/>
  <c r="AO32" i="18"/>
  <c r="AO23" i="20"/>
  <c r="AO32" i="20"/>
  <c r="AO41" i="20"/>
  <c r="AC59" i="19"/>
  <c r="AP44" i="19"/>
  <c r="AE59" i="19"/>
  <c r="AE59" i="20"/>
  <c r="AP44" i="20"/>
  <c r="AC59" i="20"/>
  <c r="AC58" i="20"/>
  <c r="AE58" i="20"/>
  <c r="AP43" i="20"/>
  <c r="AC60" i="19"/>
  <c r="AP45" i="19"/>
  <c r="AE60" i="19"/>
  <c r="AO32" i="19"/>
  <c r="AO41" i="19"/>
  <c r="AO23" i="19"/>
  <c r="AP42" i="19"/>
  <c r="AC57" i="19"/>
  <c r="AE57" i="19"/>
  <c r="AP45" i="20"/>
  <c r="AE60" i="20"/>
  <c r="AC60" i="20"/>
  <c r="AC60" i="18"/>
  <c r="AE60" i="18"/>
  <c r="AP45" i="18"/>
  <c r="AD60" i="19" l="1"/>
  <c r="AP27" i="19" s="1"/>
  <c r="AP21" i="19"/>
  <c r="AD57" i="18"/>
  <c r="AP24" i="18" s="1"/>
  <c r="AP18" i="18"/>
  <c r="AP19" i="19"/>
  <c r="AD58" i="19"/>
  <c r="AP25" i="19" s="1"/>
  <c r="AD57" i="19"/>
  <c r="AP24" i="19" s="1"/>
  <c r="AP18" i="19"/>
  <c r="AP21" i="20"/>
  <c r="AD60" i="20"/>
  <c r="AP27" i="20" s="1"/>
  <c r="AP19" i="18"/>
  <c r="AD58" i="18"/>
  <c r="AP25" i="18" s="1"/>
  <c r="AP18" i="20"/>
  <c r="AD57" i="20"/>
  <c r="AP24" i="20" s="1"/>
  <c r="AD59" i="19"/>
  <c r="AP26" i="19" s="1"/>
  <c r="AP20" i="19"/>
  <c r="AD58" i="20"/>
  <c r="AP25" i="20" s="1"/>
  <c r="AP19" i="20"/>
  <c r="AD59" i="18"/>
  <c r="AP26" i="18" s="1"/>
  <c r="AP20" i="18"/>
  <c r="AD60" i="18"/>
  <c r="AP27" i="18" s="1"/>
  <c r="AP21" i="18"/>
  <c r="AD59" i="20"/>
  <c r="AP26" i="20" s="1"/>
  <c r="AP20" i="20"/>
  <c r="AP32" i="18" l="1"/>
  <c r="AP41" i="18"/>
  <c r="AI48" i="18" s="1"/>
  <c r="AP23" i="18"/>
  <c r="AP41" i="20"/>
  <c r="AI48" i="20" s="1"/>
  <c r="AP23" i="20"/>
  <c r="AP32" i="20"/>
  <c r="AP41" i="19"/>
  <c r="AI48" i="19" s="1"/>
  <c r="AP23" i="19"/>
  <c r="AP32" i="19"/>
  <c r="AI30" i="20" l="1"/>
  <c r="H19" i="20"/>
  <c r="H29" i="20" s="1"/>
  <c r="E10" i="20" s="1"/>
  <c r="E15" i="20"/>
  <c r="AI39" i="20"/>
  <c r="AI30" i="19"/>
  <c r="H19" i="19"/>
  <c r="H29" i="19" s="1"/>
  <c r="E10" i="19" s="1"/>
  <c r="AI30" i="18"/>
  <c r="H19" i="18"/>
  <c r="H29" i="18" s="1"/>
  <c r="E10" i="18" s="1"/>
  <c r="AI39" i="19"/>
  <c r="E15" i="19"/>
  <c r="E15" i="18"/>
  <c r="AI39" i="18"/>
  <c r="L322" i="68"/>
  <c r="E11" i="21" l="1"/>
  <c r="E9" i="18"/>
  <c r="H2" i="14"/>
  <c r="G2" i="14" s="1"/>
  <c r="H2" i="15"/>
  <c r="G2" i="15" s="1"/>
  <c r="E9" i="19"/>
  <c r="H11" i="21"/>
  <c r="K11" i="21"/>
  <c r="H2" i="16"/>
  <c r="G2" i="16" s="1"/>
  <c r="E9" i="20"/>
  <c r="L11" i="21" l="1"/>
  <c r="L21" i="21" s="1"/>
  <c r="K21" i="21"/>
  <c r="H3" i="16"/>
  <c r="H4" i="16"/>
  <c r="H21" i="21"/>
  <c r="I11" i="21"/>
  <c r="I21" i="21" s="1"/>
  <c r="H4" i="15"/>
  <c r="H3" i="15"/>
  <c r="H4" i="14"/>
  <c r="H3" i="14"/>
  <c r="E21" i="21"/>
  <c r="F11" i="21"/>
  <c r="F21" i="21" s="1"/>
  <c r="K93" i="21" l="1"/>
  <c r="K4" i="21"/>
  <c r="F55" i="15"/>
  <c r="G55" i="15" s="1"/>
  <c r="F20" i="15"/>
  <c r="G20" i="15" s="1"/>
  <c r="H20" i="15" s="1"/>
  <c r="F28" i="15"/>
  <c r="G28" i="15" s="1"/>
  <c r="H28" i="15" s="1"/>
  <c r="F35" i="15"/>
  <c r="G35" i="15" s="1"/>
  <c r="F31" i="15"/>
  <c r="G31" i="15" s="1"/>
  <c r="F29" i="15"/>
  <c r="G29" i="15" s="1"/>
  <c r="H29" i="15" s="1"/>
  <c r="F43" i="15"/>
  <c r="G43" i="15" s="1"/>
  <c r="H43" i="15" s="1"/>
  <c r="F12" i="15"/>
  <c r="G12" i="15" s="1"/>
  <c r="F37" i="15"/>
  <c r="G37" i="15" s="1"/>
  <c r="H37" i="15" s="1"/>
  <c r="F38" i="15"/>
  <c r="G38" i="15" s="1"/>
  <c r="H38" i="15" s="1"/>
  <c r="F61" i="15"/>
  <c r="G61" i="15" s="1"/>
  <c r="H61" i="15" s="1"/>
  <c r="F22" i="15"/>
  <c r="G22" i="15" s="1"/>
  <c r="F58" i="15"/>
  <c r="G58" i="15" s="1"/>
  <c r="F54" i="15"/>
  <c r="G54" i="15" s="1"/>
  <c r="F62" i="15"/>
  <c r="G62" i="15" s="1"/>
  <c r="F19" i="15"/>
  <c r="G19" i="15" s="1"/>
  <c r="H19" i="15" s="1"/>
  <c r="F59" i="15"/>
  <c r="G59" i="15" s="1"/>
  <c r="F53" i="15"/>
  <c r="G53" i="15" s="1"/>
  <c r="H53" i="15" s="1"/>
  <c r="F70" i="15"/>
  <c r="G70" i="15" s="1"/>
  <c r="F13" i="15"/>
  <c r="G13" i="15" s="1"/>
  <c r="F17" i="15"/>
  <c r="G17" i="15" s="1"/>
  <c r="H17" i="15" s="1"/>
  <c r="F26" i="15"/>
  <c r="G26" i="15" s="1"/>
  <c r="H26" i="15" s="1"/>
  <c r="F39" i="15"/>
  <c r="G39" i="15" s="1"/>
  <c r="H39" i="15" s="1"/>
  <c r="F45" i="15"/>
  <c r="G45" i="15" s="1"/>
  <c r="F46" i="15"/>
  <c r="G46" i="15" s="1"/>
  <c r="H46" i="15" s="1"/>
  <c r="F48" i="15"/>
  <c r="G48" i="15" s="1"/>
  <c r="H48" i="15" s="1"/>
  <c r="F27" i="15"/>
  <c r="G27" i="15" s="1"/>
  <c r="H27" i="15" s="1"/>
  <c r="F14" i="15"/>
  <c r="G14" i="15" s="1"/>
  <c r="F30" i="15"/>
  <c r="G30" i="15" s="1"/>
  <c r="H30" i="15" s="1"/>
  <c r="F11" i="15"/>
  <c r="G11" i="15" s="1"/>
  <c r="F42" i="15"/>
  <c r="G42" i="15" s="1"/>
  <c r="F15" i="15"/>
  <c r="G15" i="15" s="1"/>
  <c r="H15" i="15" s="1"/>
  <c r="F16" i="15"/>
  <c r="G16" i="15" s="1"/>
  <c r="H16" i="15" s="1"/>
  <c r="F65" i="15"/>
  <c r="G65" i="15" s="1"/>
  <c r="F25" i="15"/>
  <c r="G25" i="15" s="1"/>
  <c r="F44" i="15"/>
  <c r="G44" i="15" s="1"/>
  <c r="F52" i="15"/>
  <c r="G52" i="15" s="1"/>
  <c r="H52" i="15" s="1"/>
  <c r="F47" i="15"/>
  <c r="G47" i="15" s="1"/>
  <c r="F36" i="15"/>
  <c r="G36" i="15" s="1"/>
  <c r="H36" i="15" s="1"/>
  <c r="F40" i="15"/>
  <c r="G40" i="15" s="1"/>
  <c r="F34" i="15"/>
  <c r="G34" i="15" s="1"/>
  <c r="F21" i="15"/>
  <c r="G21" i="15" s="1"/>
  <c r="F57" i="15"/>
  <c r="G57" i="15" s="1"/>
  <c r="H57" i="15" s="1"/>
  <c r="F56" i="15"/>
  <c r="G56" i="15" s="1"/>
  <c r="H56" i="15" s="1"/>
  <c r="F60" i="15"/>
  <c r="G60" i="15" s="1"/>
  <c r="H60" i="15" s="1"/>
  <c r="F51" i="15"/>
  <c r="G51" i="15" s="1"/>
  <c r="F23" i="15"/>
  <c r="G23" i="15" s="1"/>
  <c r="F41" i="15"/>
  <c r="G41" i="15" s="1"/>
  <c r="H41" i="15" s="1"/>
  <c r="F69" i="15"/>
  <c r="G69" i="15" s="1"/>
  <c r="H69" i="15" s="1"/>
  <c r="F24" i="15"/>
  <c r="G24" i="15" s="1"/>
  <c r="F18" i="15"/>
  <c r="G18" i="15" s="1"/>
  <c r="H18" i="15" s="1"/>
  <c r="F63" i="15"/>
  <c r="G63" i="15" s="1"/>
  <c r="H63" i="15" s="1"/>
  <c r="F64" i="15"/>
  <c r="G64" i="15" s="1"/>
  <c r="H93" i="21"/>
  <c r="H4" i="21"/>
  <c r="F18" i="16"/>
  <c r="G18" i="16" s="1"/>
  <c r="H18" i="16" s="1"/>
  <c r="F12" i="16"/>
  <c r="G12" i="16" s="1"/>
  <c r="H12" i="16" s="1"/>
  <c r="F46" i="16"/>
  <c r="G46" i="16" s="1"/>
  <c r="H46" i="16" s="1"/>
  <c r="F38" i="16"/>
  <c r="G38" i="16" s="1"/>
  <c r="H38" i="16" s="1"/>
  <c r="F62" i="16"/>
  <c r="G62" i="16" s="1"/>
  <c r="F20" i="16"/>
  <c r="G20" i="16" s="1"/>
  <c r="H20" i="16" s="1"/>
  <c r="F41" i="16"/>
  <c r="G41" i="16" s="1"/>
  <c r="H41" i="16" s="1"/>
  <c r="F40" i="16"/>
  <c r="G40" i="16" s="1"/>
  <c r="F64" i="16"/>
  <c r="G64" i="16" s="1"/>
  <c r="F28" i="16"/>
  <c r="G28" i="16" s="1"/>
  <c r="F19" i="16"/>
  <c r="G19" i="16" s="1"/>
  <c r="H19" i="16" s="1"/>
  <c r="F39" i="16"/>
  <c r="G39" i="16" s="1"/>
  <c r="H39" i="16" s="1"/>
  <c r="F52" i="16"/>
  <c r="G52" i="16" s="1"/>
  <c r="H52" i="16" s="1"/>
  <c r="F37" i="16"/>
  <c r="G37" i="16" s="1"/>
  <c r="F61" i="16"/>
  <c r="G61" i="16" s="1"/>
  <c r="H61" i="16" s="1"/>
  <c r="F44" i="16"/>
  <c r="G44" i="16" s="1"/>
  <c r="F30" i="16"/>
  <c r="G30" i="16" s="1"/>
  <c r="H30" i="16" s="1"/>
  <c r="F35" i="16"/>
  <c r="G35" i="16" s="1"/>
  <c r="F27" i="16"/>
  <c r="G27" i="16" s="1"/>
  <c r="F21" i="16"/>
  <c r="G21" i="16" s="1"/>
  <c r="F48" i="16"/>
  <c r="G48" i="16" s="1"/>
  <c r="H48" i="16" s="1"/>
  <c r="F14" i="16"/>
  <c r="G14" i="16" s="1"/>
  <c r="F25" i="16"/>
  <c r="G25" i="16" s="1"/>
  <c r="F36" i="16"/>
  <c r="G36" i="16" s="1"/>
  <c r="H36" i="16" s="1"/>
  <c r="F22" i="16"/>
  <c r="G22" i="16" s="1"/>
  <c r="F70" i="16"/>
  <c r="G70" i="16" s="1"/>
  <c r="F43" i="16"/>
  <c r="G43" i="16" s="1"/>
  <c r="H43" i="16" s="1"/>
  <c r="F53" i="16"/>
  <c r="G53" i="16" s="1"/>
  <c r="H53" i="16" s="1"/>
  <c r="F13" i="16"/>
  <c r="G13" i="16" s="1"/>
  <c r="F51" i="16"/>
  <c r="G51" i="16" s="1"/>
  <c r="F45" i="16"/>
  <c r="G45" i="16" s="1"/>
  <c r="H45" i="16" s="1"/>
  <c r="F17" i="16"/>
  <c r="G17" i="16" s="1"/>
  <c r="H17" i="16" s="1"/>
  <c r="F58" i="16"/>
  <c r="G58" i="16" s="1"/>
  <c r="F59" i="16"/>
  <c r="G59" i="16" s="1"/>
  <c r="F34" i="16"/>
  <c r="G34" i="16" s="1"/>
  <c r="F11" i="16"/>
  <c r="G11" i="16" s="1"/>
  <c r="F56" i="16"/>
  <c r="G56" i="16" s="1"/>
  <c r="H56" i="16" s="1"/>
  <c r="F29" i="16"/>
  <c r="G29" i="16" s="1"/>
  <c r="F16" i="16"/>
  <c r="G16" i="16" s="1"/>
  <c r="H16" i="16" s="1"/>
  <c r="F23" i="16"/>
  <c r="G23" i="16" s="1"/>
  <c r="F60" i="16"/>
  <c r="G60" i="16" s="1"/>
  <c r="H60" i="16" s="1"/>
  <c r="F15" i="16"/>
  <c r="G15" i="16" s="1"/>
  <c r="H15" i="16" s="1"/>
  <c r="F47" i="16"/>
  <c r="G47" i="16" s="1"/>
  <c r="F69" i="16"/>
  <c r="G69" i="16" s="1"/>
  <c r="H69" i="16" s="1"/>
  <c r="F65" i="16"/>
  <c r="G65" i="16" s="1"/>
  <c r="F54" i="16"/>
  <c r="G54" i="16" s="1"/>
  <c r="F31" i="16"/>
  <c r="G31" i="16" s="1"/>
  <c r="F26" i="16"/>
  <c r="G26" i="16" s="1"/>
  <c r="H26" i="16" s="1"/>
  <c r="F42" i="16"/>
  <c r="G42" i="16" s="1"/>
  <c r="F63" i="16"/>
  <c r="G63" i="16" s="1"/>
  <c r="H63" i="16" s="1"/>
  <c r="F24" i="16"/>
  <c r="G24" i="16" s="1"/>
  <c r="F57" i="16"/>
  <c r="G57" i="16" s="1"/>
  <c r="H57" i="16" s="1"/>
  <c r="F55" i="16"/>
  <c r="G55" i="16" s="1"/>
  <c r="E4" i="21"/>
  <c r="E93" i="21"/>
  <c r="F20" i="14"/>
  <c r="G20" i="14" s="1"/>
  <c r="H20" i="14" s="1"/>
  <c r="F73" i="14"/>
  <c r="G73" i="14" s="1"/>
  <c r="F15" i="14"/>
  <c r="G15" i="14" s="1"/>
  <c r="H15" i="14" s="1"/>
  <c r="F32" i="14"/>
  <c r="G32" i="14" s="1"/>
  <c r="H32" i="14" s="1"/>
  <c r="F50" i="14"/>
  <c r="G50" i="14" s="1"/>
  <c r="H50" i="14" s="1"/>
  <c r="F68" i="14"/>
  <c r="G68" i="14" s="1"/>
  <c r="F54" i="14"/>
  <c r="G54" i="14" s="1"/>
  <c r="F57" i="14"/>
  <c r="G57" i="14" s="1"/>
  <c r="F66" i="14"/>
  <c r="G66" i="14" s="1"/>
  <c r="H66" i="14" s="1"/>
  <c r="F25" i="14"/>
  <c r="G25" i="14" s="1"/>
  <c r="H25" i="14" s="1"/>
  <c r="F41" i="14"/>
  <c r="G41" i="14" s="1"/>
  <c r="H41" i="14" s="1"/>
  <c r="F11" i="14"/>
  <c r="G11" i="14" s="1"/>
  <c r="F46" i="14"/>
  <c r="G46" i="14" s="1"/>
  <c r="H46" i="14" s="1"/>
  <c r="F29" i="14"/>
  <c r="G29" i="14" s="1"/>
  <c r="H29" i="14" s="1"/>
  <c r="F60" i="14"/>
  <c r="G60" i="14" s="1"/>
  <c r="H60" i="14" s="1"/>
  <c r="F12" i="14"/>
  <c r="G12" i="14" s="1"/>
  <c r="H12" i="14" s="1"/>
  <c r="F40" i="14"/>
  <c r="G40" i="14" s="1"/>
  <c r="H40" i="14" s="1"/>
  <c r="F59" i="14"/>
  <c r="G59" i="14" s="1"/>
  <c r="H59" i="14" s="1"/>
  <c r="F17" i="14"/>
  <c r="G17" i="14" s="1"/>
  <c r="H17" i="14" s="1"/>
  <c r="F28" i="14"/>
  <c r="G28" i="14" s="1"/>
  <c r="H28" i="14" s="1"/>
  <c r="F74" i="14"/>
  <c r="G74" i="14" s="1"/>
  <c r="H74" i="14" s="1"/>
  <c r="F64" i="14"/>
  <c r="G64" i="14" s="1"/>
  <c r="H64" i="14" s="1"/>
  <c r="F61" i="14"/>
  <c r="G61" i="14" s="1"/>
  <c r="F31" i="14"/>
  <c r="G31" i="14" s="1"/>
  <c r="F18" i="14"/>
  <c r="G18" i="14" s="1"/>
  <c r="H18" i="14" s="1"/>
  <c r="F56" i="14"/>
  <c r="G56" i="14" s="1"/>
  <c r="H56" i="14" s="1"/>
  <c r="F34" i="14"/>
  <c r="G34" i="14" s="1"/>
  <c r="F38" i="14"/>
  <c r="G38" i="14" s="1"/>
  <c r="H38" i="14" s="1"/>
  <c r="F42" i="14"/>
  <c r="G42" i="14" s="1"/>
  <c r="H42" i="14" s="1"/>
  <c r="F21" i="14"/>
  <c r="G21" i="14" s="1"/>
  <c r="H21" i="14" s="1"/>
  <c r="F39" i="14"/>
  <c r="G39" i="14" s="1"/>
  <c r="H39" i="14" s="1"/>
  <c r="F27" i="14"/>
  <c r="G27" i="14" s="1"/>
  <c r="H27" i="14" s="1"/>
  <c r="F44" i="14"/>
  <c r="G44" i="14" s="1"/>
  <c r="H44" i="14" s="1"/>
  <c r="F26" i="14"/>
  <c r="G26" i="14" s="1"/>
  <c r="H26" i="14" s="1"/>
  <c r="F45" i="14"/>
  <c r="G45" i="14" s="1"/>
  <c r="H45" i="14" s="1"/>
  <c r="F37" i="14"/>
  <c r="G37" i="14" s="1"/>
  <c r="F22" i="14"/>
  <c r="G22" i="14" s="1"/>
  <c r="H22" i="14" s="1"/>
  <c r="F58" i="14"/>
  <c r="G58" i="14" s="1"/>
  <c r="H58" i="14" s="1"/>
  <c r="F69" i="14"/>
  <c r="G69" i="14" s="1"/>
  <c r="H69" i="14" s="1"/>
  <c r="F63" i="14"/>
  <c r="G63" i="14" s="1"/>
  <c r="H63" i="14" s="1"/>
  <c r="F13" i="14"/>
  <c r="G13" i="14" s="1"/>
  <c r="H13" i="14" s="1"/>
  <c r="F24" i="14"/>
  <c r="G24" i="14" s="1"/>
  <c r="H24" i="14" s="1"/>
  <c r="F49" i="14"/>
  <c r="G49" i="14" s="1"/>
  <c r="H49" i="14" s="1"/>
  <c r="F47" i="14"/>
  <c r="G47" i="14" s="1"/>
  <c r="H47" i="14" s="1"/>
  <c r="F33" i="14"/>
  <c r="G33" i="14" s="1"/>
  <c r="H33" i="14" s="1"/>
  <c r="F23" i="14"/>
  <c r="G23" i="14" s="1"/>
  <c r="H23" i="14" s="1"/>
  <c r="F67" i="14"/>
  <c r="G67" i="14" s="1"/>
  <c r="H67" i="14" s="1"/>
  <c r="F48" i="14"/>
  <c r="G48" i="14" s="1"/>
  <c r="H48" i="14" s="1"/>
  <c r="F55" i="14"/>
  <c r="G55" i="14" s="1"/>
  <c r="H55" i="14" s="1"/>
  <c r="F65" i="14"/>
  <c r="G65" i="14" s="1"/>
  <c r="F19" i="14"/>
  <c r="G19" i="14" s="1"/>
  <c r="H19" i="14" s="1"/>
  <c r="F14" i="14"/>
  <c r="G14" i="14" s="1"/>
  <c r="H14" i="14" s="1"/>
  <c r="F51" i="14"/>
  <c r="G51" i="14" s="1"/>
  <c r="H51" i="14" s="1"/>
  <c r="F16" i="14"/>
  <c r="G16" i="14" s="1"/>
  <c r="H16" i="14" s="1"/>
  <c r="F30" i="14"/>
  <c r="G30" i="14" s="1"/>
  <c r="F43" i="14"/>
  <c r="G43" i="14" s="1"/>
  <c r="F62" i="14"/>
  <c r="G62" i="14" s="1"/>
  <c r="H62" i="14" s="1"/>
  <c r="G71" i="16" l="1"/>
  <c r="G75" i="14"/>
  <c r="H73" i="14"/>
  <c r="G52" i="14"/>
  <c r="H37" i="14"/>
  <c r="H34" i="16"/>
  <c r="G49" i="16"/>
  <c r="H34" i="15"/>
  <c r="G49" i="15"/>
  <c r="F93" i="21"/>
  <c r="F100" i="21" s="1"/>
  <c r="E100" i="21"/>
  <c r="E102" i="21" s="1"/>
  <c r="H100" i="21"/>
  <c r="H102" i="21" s="1"/>
  <c r="I93" i="21"/>
  <c r="I100" i="21" s="1"/>
  <c r="L93" i="21"/>
  <c r="L100" i="21" s="1"/>
  <c r="K100" i="21"/>
  <c r="K102" i="21" s="1"/>
  <c r="G32" i="16"/>
  <c r="H11" i="14"/>
  <c r="G35" i="14"/>
  <c r="G71" i="15"/>
  <c r="G70" i="14"/>
  <c r="H54" i="14"/>
  <c r="G66" i="16"/>
  <c r="G66" i="15"/>
  <c r="G32" i="15"/>
  <c r="G74" i="16" l="1"/>
  <c r="G76" i="16" s="1"/>
  <c r="G74" i="15"/>
  <c r="G76" i="15" s="1"/>
  <c r="L104" i="21"/>
  <c r="L102" i="21"/>
  <c r="I104" i="21"/>
  <c r="I102" i="21"/>
  <c r="G78" i="14"/>
  <c r="G80" i="14" s="1"/>
  <c r="F104" i="21"/>
  <c r="F102" i="21"/>
  <c r="T27" i="70"/>
  <c r="M28" i="70"/>
  <c r="L28" i="70"/>
  <c r="Y67" i="70"/>
  <c r="Y65" i="70"/>
  <c r="T29" i="70"/>
  <c r="AI36" i="70"/>
  <c r="AI39" i="70"/>
  <c r="K14" i="70"/>
  <c r="T33" i="70"/>
  <c r="T21" i="70"/>
  <c r="T16" i="70"/>
  <c r="T11" i="70"/>
  <c r="AI37" i="70"/>
  <c r="K45" i="70"/>
  <c r="K46" i="70"/>
  <c r="K44" i="70"/>
  <c r="Z65" i="70"/>
  <c r="J12" i="70"/>
  <c r="K12" i="70"/>
  <c r="M12" i="70"/>
  <c r="V45" i="70"/>
  <c r="T24" i="70"/>
  <c r="AG37" i="70"/>
  <c r="AH37" i="70"/>
  <c r="Q82" i="14"/>
  <c r="J33" i="70"/>
  <c r="Y63" i="70"/>
  <c r="T39" i="70"/>
  <c r="T17" i="70"/>
  <c r="T13" i="70"/>
  <c r="M16" i="70"/>
  <c r="M20" i="70"/>
  <c r="AH38" i="70"/>
  <c r="AI38" i="70"/>
  <c r="T12" i="70"/>
  <c r="AF39" i="70"/>
  <c r="AG39" i="70"/>
  <c r="AH39" i="70"/>
  <c r="AG38" i="70"/>
  <c r="T19" i="70"/>
  <c r="T36" i="70"/>
  <c r="Z66" i="70"/>
  <c r="T28" i="70"/>
  <c r="L26" i="70"/>
  <c r="M26" i="70"/>
  <c r="T32" i="70"/>
  <c r="T23" i="70"/>
  <c r="R48" i="70"/>
  <c r="T37" i="70"/>
  <c r="Z64" i="70"/>
  <c r="K34" i="70"/>
  <c r="K26" i="70"/>
  <c r="AC38" i="70"/>
  <c r="AD38" i="70"/>
  <c r="AE38" i="70"/>
  <c r="AF38" i="70"/>
  <c r="Z37" i="70"/>
  <c r="AB37" i="70"/>
  <c r="AC37" i="70"/>
  <c r="AD37" i="70"/>
  <c r="AE37" i="70"/>
  <c r="AF37" i="70"/>
  <c r="T38" i="70"/>
  <c r="K16" i="70"/>
  <c r="J35" i="70"/>
  <c r="T22" i="70"/>
  <c r="T14" i="70"/>
  <c r="T18" i="70"/>
  <c r="M14" i="70"/>
  <c r="K33" i="70"/>
  <c r="Z63" i="70"/>
  <c r="T31" i="70"/>
  <c r="T26" i="70"/>
  <c r="AC36" i="70"/>
  <c r="AD36" i="70"/>
  <c r="AE36" i="70"/>
  <c r="AF36" i="70"/>
  <c r="AG36" i="70"/>
  <c r="AH36" i="70"/>
  <c r="Y36" i="70"/>
  <c r="Z36" i="70"/>
  <c r="AB36" i="70"/>
  <c r="Y66" i="70"/>
  <c r="K9" i="70"/>
  <c r="J36" i="70"/>
  <c r="K36" i="70"/>
  <c r="J21" i="70"/>
  <c r="J20" i="70"/>
  <c r="K43" i="70"/>
  <c r="K47" i="70"/>
  <c r="I14" i="70"/>
  <c r="I12" i="70"/>
  <c r="J37" i="70"/>
  <c r="K37" i="70"/>
  <c r="Z67" i="70"/>
  <c r="AD39" i="70"/>
  <c r="AE39" i="70"/>
  <c r="K7" i="70"/>
  <c r="M7" i="70"/>
  <c r="M9" i="70"/>
  <c r="J34" i="70"/>
  <c r="Y64" i="70"/>
  <c r="T34" i="70"/>
  <c r="U39" i="70"/>
  <c r="W39" i="70"/>
  <c r="X39" i="70"/>
  <c r="Y39" i="70"/>
  <c r="Z39" i="70"/>
  <c r="AB39" i="70"/>
  <c r="AC39" i="70"/>
  <c r="AE28" i="70"/>
  <c r="AF28" i="70"/>
  <c r="AG28" i="70"/>
  <c r="AH28" i="70"/>
  <c r="AI28" i="70"/>
  <c r="S33" i="70"/>
  <c r="U33" i="70"/>
  <c r="W33" i="70"/>
  <c r="X33" i="70"/>
  <c r="Y33" i="70"/>
  <c r="Z33" i="70"/>
  <c r="AB33" i="70"/>
  <c r="AC33" i="70"/>
  <c r="AD33" i="70"/>
  <c r="AE33" i="70"/>
  <c r="AF33" i="70"/>
  <c r="AG33" i="70"/>
  <c r="AH33" i="70"/>
  <c r="AI33" i="70"/>
  <c r="S38" i="70"/>
  <c r="U38" i="70"/>
  <c r="W38" i="70"/>
  <c r="X38" i="70"/>
  <c r="Y38" i="70"/>
  <c r="Z38" i="70"/>
  <c r="AB38" i="70"/>
  <c r="S27" i="70"/>
  <c r="U27" i="70"/>
  <c r="W27" i="70"/>
  <c r="X27" i="70"/>
  <c r="Y27" i="70"/>
  <c r="Z27" i="70"/>
  <c r="AB27" i="70"/>
  <c r="AC27" i="70"/>
  <c r="AD27" i="70"/>
  <c r="AE27" i="70"/>
  <c r="AF27" i="70"/>
  <c r="AG27" i="70"/>
  <c r="AH27" i="70"/>
  <c r="AI27" i="70"/>
  <c r="S32" i="70"/>
  <c r="U32" i="70"/>
  <c r="W32" i="70"/>
  <c r="X32" i="70"/>
  <c r="Y32" i="70"/>
  <c r="Z32" i="70"/>
  <c r="AB32" i="70"/>
  <c r="AC32" i="70"/>
  <c r="AD32" i="70"/>
  <c r="AE32" i="70"/>
  <c r="AF32" i="70"/>
  <c r="AG32" i="70"/>
  <c r="AH32" i="70"/>
  <c r="AI32" i="70"/>
  <c r="S37" i="70"/>
  <c r="U37" i="70"/>
  <c r="W37" i="70"/>
  <c r="X37" i="70"/>
  <c r="Y37" i="70"/>
  <c r="AB29" i="70"/>
  <c r="AC29" i="70"/>
  <c r="AD29" i="70"/>
  <c r="AE29" i="70"/>
  <c r="AF29" i="70"/>
  <c r="AG29" i="70"/>
  <c r="AH29" i="70"/>
  <c r="AI29" i="70"/>
  <c r="S34" i="70"/>
  <c r="U34" i="70"/>
  <c r="W34" i="70"/>
  <c r="X34" i="70"/>
  <c r="Y34" i="70"/>
  <c r="Z34" i="70"/>
  <c r="AB34" i="70"/>
  <c r="AC34" i="70"/>
  <c r="AD34" i="70"/>
  <c r="AE34" i="70"/>
  <c r="AF34" i="70"/>
  <c r="AG34" i="70"/>
  <c r="AH34" i="70"/>
  <c r="AI34" i="70"/>
  <c r="S39" i="70"/>
  <c r="AF18" i="70"/>
  <c r="AG18" i="70"/>
  <c r="AH18" i="70"/>
  <c r="AI18" i="70"/>
  <c r="S23" i="70"/>
  <c r="U23" i="70"/>
  <c r="W23" i="70"/>
  <c r="X23" i="70"/>
  <c r="Y23" i="70"/>
  <c r="Z23" i="70"/>
  <c r="AB23" i="70"/>
  <c r="AC23" i="70"/>
  <c r="AD23" i="70"/>
  <c r="AE23" i="70"/>
  <c r="AF23" i="70"/>
  <c r="AG23" i="70"/>
  <c r="AH23" i="70"/>
  <c r="AI23" i="70"/>
  <c r="S28" i="70"/>
  <c r="U28" i="70"/>
  <c r="W28" i="70"/>
  <c r="X28" i="70"/>
  <c r="Y28" i="70"/>
  <c r="Z28" i="70"/>
  <c r="AB28" i="70"/>
  <c r="AC28" i="70"/>
  <c r="AD28" i="70"/>
  <c r="AH19" i="70"/>
  <c r="AI19" i="70"/>
  <c r="S24" i="70"/>
  <c r="U24" i="70"/>
  <c r="W24" i="70"/>
  <c r="X24" i="70"/>
  <c r="Y24" i="70"/>
  <c r="Z24" i="70"/>
  <c r="AB24" i="70"/>
  <c r="AC24" i="70"/>
  <c r="AD24" i="70"/>
  <c r="AE24" i="70"/>
  <c r="AF24" i="70"/>
  <c r="AG24" i="70"/>
  <c r="AH24" i="70"/>
  <c r="AI24" i="70"/>
  <c r="S29" i="70"/>
  <c r="U29" i="70"/>
  <c r="W29" i="70"/>
  <c r="X29" i="70"/>
  <c r="Y29" i="70"/>
  <c r="Z29" i="70"/>
  <c r="AE17" i="70"/>
  <c r="AF17" i="70"/>
  <c r="AG17" i="70"/>
  <c r="AH17" i="70"/>
  <c r="AI17" i="70"/>
  <c r="S22" i="70"/>
  <c r="U22" i="70"/>
  <c r="W22" i="70"/>
  <c r="X22" i="70"/>
  <c r="Y22" i="70"/>
  <c r="Z22" i="70"/>
  <c r="AB22" i="70"/>
  <c r="AC22" i="70"/>
  <c r="AD22" i="70"/>
  <c r="AE22" i="70"/>
  <c r="AF22" i="70"/>
  <c r="AG22" i="70"/>
  <c r="AH22" i="70"/>
  <c r="AI22" i="70"/>
  <c r="X18" i="70"/>
  <c r="Y18" i="70"/>
  <c r="Z18" i="70"/>
  <c r="AB18" i="70"/>
  <c r="AC18" i="70"/>
  <c r="AD18" i="70"/>
  <c r="AE18" i="70"/>
  <c r="AI8" i="70"/>
  <c r="S13" i="70"/>
  <c r="U13" i="70"/>
  <c r="W13" i="70"/>
  <c r="X13" i="70"/>
  <c r="Y13" i="70"/>
  <c r="Z13" i="70"/>
  <c r="AB13" i="70"/>
  <c r="AC13" i="70"/>
  <c r="AD13" i="70"/>
  <c r="AE13" i="70"/>
  <c r="AF13" i="70"/>
  <c r="AG13" i="70"/>
  <c r="AH13" i="70"/>
  <c r="AI13" i="70"/>
  <c r="S18" i="70"/>
  <c r="U18" i="70"/>
  <c r="W18" i="70"/>
  <c r="U36" i="70"/>
  <c r="W36" i="70"/>
  <c r="X36" i="70"/>
  <c r="S19" i="70"/>
  <c r="U19" i="70"/>
  <c r="W19" i="70"/>
  <c r="X19" i="70"/>
  <c r="Y19" i="70"/>
  <c r="Z19" i="70"/>
  <c r="AB19" i="70"/>
  <c r="AC19" i="70"/>
  <c r="AD19" i="70"/>
  <c r="AE19" i="70"/>
  <c r="AF19" i="70"/>
  <c r="AG19" i="70"/>
  <c r="AG7" i="70"/>
  <c r="AH7" i="70"/>
  <c r="AI7" i="70"/>
  <c r="S12" i="70"/>
  <c r="U12" i="70"/>
  <c r="W12" i="70"/>
  <c r="X12" i="70"/>
  <c r="Y12" i="70"/>
  <c r="Z12" i="70"/>
  <c r="AB12" i="70"/>
  <c r="AC12" i="70"/>
  <c r="AD12" i="70"/>
  <c r="AE12" i="70"/>
  <c r="AF12" i="70"/>
  <c r="AG12" i="70"/>
  <c r="AH12" i="70"/>
  <c r="AI12" i="70"/>
  <c r="S17" i="70"/>
  <c r="U17" i="70"/>
  <c r="W17" i="70"/>
  <c r="X17" i="70"/>
  <c r="Y17" i="70"/>
  <c r="Z17" i="70"/>
  <c r="AB17" i="70"/>
  <c r="AC17" i="70"/>
  <c r="AD17" i="70"/>
  <c r="AG9" i="70"/>
  <c r="AH9" i="70"/>
  <c r="AI9" i="70"/>
  <c r="S14" i="70"/>
  <c r="U14" i="70"/>
  <c r="W14" i="70"/>
  <c r="X14" i="70"/>
  <c r="Y14" i="70"/>
  <c r="Z14" i="70"/>
  <c r="AB14" i="70"/>
  <c r="AC14" i="70"/>
  <c r="AD14" i="70"/>
  <c r="AE14" i="70"/>
  <c r="AF14" i="70"/>
  <c r="AG14" i="70"/>
  <c r="AH14" i="70"/>
  <c r="AI14" i="70"/>
  <c r="M19" i="70"/>
  <c r="M21" i="70"/>
  <c r="Q81" i="14"/>
  <c r="AG8" i="70"/>
  <c r="AH8" i="70"/>
  <c r="AD26" i="70"/>
  <c r="AE26" i="70"/>
  <c r="AF26" i="70"/>
  <c r="AG26" i="70"/>
  <c r="AH26" i="70"/>
  <c r="AI26" i="70"/>
  <c r="S31" i="70"/>
  <c r="U31" i="70"/>
  <c r="W31" i="70"/>
  <c r="X31" i="70"/>
  <c r="Y31" i="70"/>
  <c r="Z31" i="70"/>
  <c r="AB31" i="70"/>
  <c r="AC31" i="70"/>
  <c r="AD31" i="70"/>
  <c r="AE31" i="70"/>
  <c r="AF31" i="70"/>
  <c r="AG31" i="70"/>
  <c r="AH31" i="70"/>
  <c r="AI31" i="70"/>
  <c r="S36" i="70"/>
  <c r="R49" i="70"/>
  <c r="V43" i="70"/>
  <c r="V44" i="70"/>
  <c r="R51" i="70"/>
  <c r="J7" i="70"/>
  <c r="L7" i="70"/>
  <c r="L8" i="70"/>
  <c r="M8" i="70"/>
  <c r="K35" i="70"/>
  <c r="J49" i="70"/>
  <c r="AG6" i="70"/>
  <c r="AH6" i="70"/>
  <c r="AI6" i="70"/>
  <c r="S11" i="70"/>
  <c r="U11" i="70"/>
  <c r="W11" i="70"/>
  <c r="X11" i="70"/>
  <c r="Y11" i="70"/>
  <c r="Z11" i="70"/>
  <c r="AB11" i="70"/>
  <c r="AC11" i="70"/>
  <c r="AD11" i="70"/>
  <c r="AE11" i="70"/>
  <c r="AF11" i="70"/>
  <c r="AG11" i="70"/>
  <c r="AH11" i="70"/>
  <c r="AI11" i="70"/>
  <c r="S16" i="70"/>
  <c r="U16" i="70"/>
  <c r="W16" i="70"/>
  <c r="X16" i="70"/>
  <c r="Y16" i="70"/>
  <c r="Z16" i="70"/>
  <c r="AB16" i="70"/>
  <c r="AC16" i="70"/>
  <c r="AD16" i="70"/>
  <c r="AE16" i="70"/>
  <c r="AF16" i="70"/>
  <c r="AG16" i="70"/>
  <c r="AH16" i="70"/>
  <c r="AI16" i="70"/>
  <c r="S21" i="70"/>
  <c r="U21" i="70"/>
  <c r="W21" i="70"/>
  <c r="X21" i="70"/>
  <c r="Y21" i="70"/>
  <c r="Z21" i="70"/>
  <c r="AB21" i="70"/>
  <c r="AC21" i="70"/>
  <c r="AD21" i="70"/>
  <c r="AE21" i="70"/>
  <c r="AF21" i="70"/>
  <c r="AG21" i="70"/>
  <c r="AH21" i="70"/>
  <c r="AI21" i="70"/>
  <c r="S26" i="70"/>
  <c r="U26" i="70"/>
  <c r="W26" i="70"/>
  <c r="X26" i="70"/>
  <c r="Y26" i="70"/>
  <c r="Z26" i="70"/>
  <c r="AB26" i="70"/>
  <c r="AC26" i="70"/>
</calcChain>
</file>

<file path=xl/comments1.xml><?xml version="1.0" encoding="utf-8"?>
<comments xmlns="http://schemas.openxmlformats.org/spreadsheetml/2006/main">
  <authors>
    <author>Hammond, Greg (UTC)</author>
  </authors>
  <commentList>
    <comment ref="C10" authorId="0" shapeId="0">
      <text>
        <r>
          <rPr>
            <b/>
            <sz val="9"/>
            <color indexed="81"/>
            <rFont val="Tahoma"/>
            <family val="2"/>
          </rPr>
          <t>Hammond, Greg (UTC):</t>
        </r>
        <r>
          <rPr>
            <sz val="9"/>
            <color indexed="81"/>
            <rFont val="Tahoma"/>
            <family val="2"/>
          </rPr>
          <t xml:space="preserve">
As a policy, we match corporate tax rate and do not allow higher than 21% in this field</t>
        </r>
      </text>
    </comment>
  </commentList>
</comments>
</file>

<file path=xl/comments10.xml><?xml version="1.0" encoding="utf-8"?>
<comments xmlns="http://schemas.openxmlformats.org/spreadsheetml/2006/main">
  <authors>
    <author>Hammond, Greg (UTC)</author>
  </authors>
  <commentList>
    <comment ref="C52" authorId="0" shapeId="0">
      <text>
        <r>
          <rPr>
            <b/>
            <sz val="9"/>
            <color indexed="81"/>
            <rFont val="Tahoma"/>
            <family val="2"/>
          </rPr>
          <t>Hammond, Greg (UTC):</t>
        </r>
        <r>
          <rPr>
            <sz val="9"/>
            <color indexed="81"/>
            <rFont val="Tahoma"/>
            <family val="2"/>
          </rPr>
          <t xml:space="preserve">
Is this residential monthly customers?</t>
        </r>
      </text>
    </comment>
  </commentList>
</comments>
</file>

<file path=xl/comments11.xml><?xml version="1.0" encoding="utf-8"?>
<comments xmlns="http://schemas.openxmlformats.org/spreadsheetml/2006/main">
  <authors>
    <author>Hammond, Greg (UTC)</author>
  </authors>
  <commentList>
    <comment ref="D26" authorId="0" shapeId="0">
      <text>
        <r>
          <rPr>
            <b/>
            <sz val="9"/>
            <color indexed="81"/>
            <rFont val="Tahoma"/>
            <family val="2"/>
          </rPr>
          <t>Hammond, Greg (UTC):</t>
        </r>
        <r>
          <rPr>
            <sz val="9"/>
            <color indexed="81"/>
            <rFont val="Tahoma"/>
            <family val="2"/>
          </rPr>
          <t xml:space="preserve">
Changed link to Staff calculated amount</t>
        </r>
      </text>
    </comment>
  </commentList>
</comments>
</file>

<file path=xl/comments2.xml><?xml version="1.0" encoding="utf-8"?>
<comments xmlns="http://schemas.openxmlformats.org/spreadsheetml/2006/main">
  <authors>
    <author>Hammond, Greg (UTC)</author>
  </authors>
  <commentList>
    <comment ref="H58" authorId="0" shapeId="0">
      <text>
        <r>
          <rPr>
            <b/>
            <sz val="9"/>
            <color indexed="81"/>
            <rFont val="Tahoma"/>
            <family val="2"/>
          </rPr>
          <t>Hammond, Greg (UTC):</t>
        </r>
        <r>
          <rPr>
            <sz val="9"/>
            <color indexed="81"/>
            <rFont val="Tahoma"/>
            <family val="2"/>
          </rPr>
          <t xml:space="preserve">
Removed Non-Allowable expense</t>
        </r>
      </text>
    </comment>
    <comment ref="H85" authorId="0" shapeId="0">
      <text>
        <r>
          <rPr>
            <b/>
            <sz val="9"/>
            <color indexed="81"/>
            <rFont val="Tahoma"/>
            <family val="2"/>
          </rPr>
          <t>Hammond, Greg (UTC):</t>
        </r>
        <r>
          <rPr>
            <sz val="9"/>
            <color indexed="81"/>
            <rFont val="Tahoma"/>
            <family val="2"/>
          </rPr>
          <t xml:space="preserve">
Added 3 additional gains on sale (from trade-ins) per DEPN2K worksheet. Amortize all gains over 3 years</t>
        </r>
      </text>
    </comment>
  </commentList>
</comments>
</file>

<file path=xl/comments3.xml><?xml version="1.0" encoding="utf-8"?>
<comments xmlns="http://schemas.openxmlformats.org/spreadsheetml/2006/main">
  <authors>
    <author>Hammond, Greg (UTC)</author>
  </authors>
  <commentList>
    <comment ref="E65" authorId="0" shapeId="0">
      <text>
        <r>
          <rPr>
            <b/>
            <sz val="9"/>
            <color indexed="81"/>
            <rFont val="Tahoma"/>
            <family val="2"/>
          </rPr>
          <t>Hammond, Greg (UTC):</t>
        </r>
        <r>
          <rPr>
            <sz val="9"/>
            <color indexed="81"/>
            <rFont val="Tahoma"/>
            <family val="2"/>
          </rPr>
          <t xml:space="preserve">
This appears to be Customer Counts by County - Does not reflect reg/non-reg split. Changed to staff-created "Average of all allocators"</t>
        </r>
      </text>
    </comment>
  </commentList>
</comments>
</file>

<file path=xl/comments4.xml><?xml version="1.0" encoding="utf-8"?>
<comments xmlns="http://schemas.openxmlformats.org/spreadsheetml/2006/main">
  <authors>
    <author>Hammond, Greg (UTC)</author>
  </authors>
  <commentList>
    <comment ref="F65" authorId="0" shapeId="0">
      <text>
        <r>
          <rPr>
            <b/>
            <sz val="9"/>
            <color indexed="81"/>
            <rFont val="Tahoma"/>
            <family val="2"/>
          </rPr>
          <t>Hammond, Greg (UTC):</t>
        </r>
        <r>
          <rPr>
            <sz val="9"/>
            <color indexed="81"/>
            <rFont val="Tahoma"/>
            <family val="2"/>
          </rPr>
          <t xml:space="preserve">
Set at 100% - employee hours seems more appropriate</t>
        </r>
      </text>
    </comment>
    <comment ref="F66" authorId="0" shapeId="0">
      <text>
        <r>
          <rPr>
            <b/>
            <sz val="9"/>
            <color indexed="81"/>
            <rFont val="Tahoma"/>
            <family val="2"/>
          </rPr>
          <t>Hammond, Greg (UTC):</t>
        </r>
        <r>
          <rPr>
            <sz val="9"/>
            <color indexed="81"/>
            <rFont val="Tahoma"/>
            <family val="2"/>
          </rPr>
          <t xml:space="preserve">
This was hardcoded at 98 percent - employee hours seems more appropriate</t>
        </r>
      </text>
    </comment>
  </commentList>
</comments>
</file>

<file path=xl/comments5.xml><?xml version="1.0" encoding="utf-8"?>
<comments xmlns="http://schemas.openxmlformats.org/spreadsheetml/2006/main">
  <authors>
    <author>Hammond, Greg (UTC)</author>
  </authors>
  <commentList>
    <comment ref="J49" authorId="0" shapeId="0">
      <text>
        <r>
          <rPr>
            <b/>
            <sz val="9"/>
            <color indexed="81"/>
            <rFont val="Tahoma"/>
            <family val="2"/>
          </rPr>
          <t>Hammond, Greg (UTC):</t>
        </r>
        <r>
          <rPr>
            <sz val="9"/>
            <color indexed="81"/>
            <rFont val="Tahoma"/>
            <family val="2"/>
          </rPr>
          <t xml:space="preserve">
These were set at 98-1-1. Hardcoded numbers, changed to staff created "Average of Allocators"</t>
        </r>
      </text>
    </comment>
  </commentList>
</comments>
</file>

<file path=xl/comments6.xml><?xml version="1.0" encoding="utf-8"?>
<comments xmlns="http://schemas.openxmlformats.org/spreadsheetml/2006/main">
  <authors>
    <author>Glen</author>
  </authors>
  <commentList>
    <comment ref="K51" authorId="0" shapeId="0">
      <text>
        <r>
          <rPr>
            <b/>
            <sz val="9"/>
            <color indexed="81"/>
            <rFont val="Tahoma"/>
            <family val="2"/>
          </rPr>
          <t>Glen:</t>
        </r>
        <r>
          <rPr>
            <sz val="9"/>
            <color indexed="81"/>
            <rFont val="Tahoma"/>
            <family val="2"/>
          </rPr>
          <t xml:space="preserve">
This is to high.  Franchise includes containers also. 
We can deliver a lot of totes per trip but only a few containers
</t>
        </r>
      </text>
    </comment>
  </commentList>
</comments>
</file>

<file path=xl/comments7.xml><?xml version="1.0" encoding="utf-8"?>
<comments xmlns="http://schemas.openxmlformats.org/spreadsheetml/2006/main">
  <authors>
    <author>Hammond, Greg (UTC)</author>
    <author>Glen</author>
  </authors>
  <commentList>
    <comment ref="B17" authorId="0" shapeId="0">
      <text>
        <r>
          <rPr>
            <b/>
            <sz val="9"/>
            <color indexed="81"/>
            <rFont val="Tahoma"/>
            <family val="2"/>
          </rPr>
          <t>Hammond, Greg (UTC):</t>
        </r>
        <r>
          <rPr>
            <sz val="9"/>
            <color indexed="81"/>
            <rFont val="Tahoma"/>
            <family val="2"/>
          </rPr>
          <t xml:space="preserve">
Recycle only</t>
        </r>
      </text>
    </comment>
    <comment ref="B29" authorId="0" shapeId="0">
      <text>
        <r>
          <rPr>
            <b/>
            <sz val="9"/>
            <color indexed="81"/>
            <rFont val="Tahoma"/>
            <family val="2"/>
          </rPr>
          <t>Hammond, Greg (UTC):</t>
        </r>
        <r>
          <rPr>
            <sz val="9"/>
            <color indexed="81"/>
            <rFont val="Tahoma"/>
            <family val="2"/>
          </rPr>
          <t xml:space="preserve">
Engine for Recycle</t>
        </r>
      </text>
    </comment>
    <comment ref="P31" authorId="0" shapeId="0">
      <text>
        <r>
          <rPr>
            <b/>
            <sz val="9"/>
            <color indexed="81"/>
            <rFont val="Tahoma"/>
            <family val="2"/>
          </rPr>
          <t>Hammond, Greg (UTC):</t>
        </r>
        <r>
          <rPr>
            <sz val="9"/>
            <color indexed="81"/>
            <rFont val="Tahoma"/>
            <family val="2"/>
          </rPr>
          <t xml:space="preserve">
Removed- Asset fully depreciated in 2018</t>
        </r>
      </text>
    </comment>
    <comment ref="AI31" authorId="1" shapeId="0">
      <text>
        <r>
          <rPr>
            <b/>
            <sz val="9"/>
            <color indexed="81"/>
            <rFont val="Tahoma"/>
            <family val="2"/>
          </rPr>
          <t>Glen:</t>
        </r>
        <r>
          <rPr>
            <sz val="9"/>
            <color indexed="81"/>
            <rFont val="Tahoma"/>
            <family val="2"/>
          </rPr>
          <t xml:space="preserve">
Traded in on 2020 Freightliner
</t>
        </r>
      </text>
    </comment>
    <comment ref="P33" authorId="0" shapeId="0">
      <text>
        <r>
          <rPr>
            <b/>
            <sz val="9"/>
            <color indexed="81"/>
            <rFont val="Tahoma"/>
            <family val="2"/>
          </rPr>
          <t>Hammond, Greg (UTC):</t>
        </r>
        <r>
          <rPr>
            <sz val="9"/>
            <color indexed="81"/>
            <rFont val="Tahoma"/>
            <family val="2"/>
          </rPr>
          <t xml:space="preserve">
Removed- Asset fully depreciated in 2018</t>
        </r>
      </text>
    </comment>
    <comment ref="L34" authorId="0" shapeId="0">
      <text>
        <r>
          <rPr>
            <b/>
            <sz val="9"/>
            <color indexed="81"/>
            <rFont val="Tahoma"/>
            <family val="2"/>
          </rPr>
          <t>Hammond, Greg (UTC):</t>
        </r>
        <r>
          <rPr>
            <sz val="9"/>
            <color indexed="81"/>
            <rFont val="Tahoma"/>
            <family val="2"/>
          </rPr>
          <t xml:space="preserve">
Invoice includes a 43,500 trade in credit for a 2007 Sterling w/ McNeilus 20 yd RL Body</t>
        </r>
      </text>
    </comment>
    <comment ref="AJ34" authorId="0" shapeId="0">
      <text>
        <r>
          <rPr>
            <b/>
            <sz val="9"/>
            <color indexed="81"/>
            <rFont val="Tahoma"/>
            <family val="2"/>
          </rPr>
          <t>Hammond, Greg (UTC):</t>
        </r>
        <r>
          <rPr>
            <sz val="9"/>
            <color indexed="81"/>
            <rFont val="Tahoma"/>
            <family val="2"/>
          </rPr>
          <t xml:space="preserve">
Remaining Salvage Value on Asset from last rate case</t>
        </r>
      </text>
    </comment>
    <comment ref="AB36" authorId="0" shapeId="0">
      <text>
        <r>
          <rPr>
            <b/>
            <sz val="9"/>
            <color indexed="81"/>
            <rFont val="Tahoma"/>
            <family val="2"/>
          </rPr>
          <t>Hammond, Greg (UTC):</t>
        </r>
        <r>
          <rPr>
            <sz val="9"/>
            <color indexed="81"/>
            <rFont val="Tahoma"/>
            <family val="2"/>
          </rPr>
          <t xml:space="preserve">
Asset has been disposed - remove depr. Exp and avg investment</t>
        </r>
      </text>
    </comment>
    <comment ref="AL36" authorId="0" shapeId="0">
      <text>
        <r>
          <rPr>
            <b/>
            <sz val="9"/>
            <color indexed="81"/>
            <rFont val="Tahoma"/>
            <family val="2"/>
          </rPr>
          <t>Hammond, Greg (UTC):</t>
        </r>
        <r>
          <rPr>
            <sz val="9"/>
            <color indexed="81"/>
            <rFont val="Tahoma"/>
            <family val="2"/>
          </rPr>
          <t xml:space="preserve">
Removed gain on sale - Truck never in rates and has been disposed</t>
        </r>
      </text>
    </comment>
    <comment ref="L37" authorId="0" shapeId="0">
      <text>
        <r>
          <rPr>
            <b/>
            <sz val="9"/>
            <color indexed="81"/>
            <rFont val="Tahoma"/>
            <family val="2"/>
          </rPr>
          <t>Hammond, Greg (UTC):</t>
        </r>
        <r>
          <rPr>
            <sz val="9"/>
            <color indexed="81"/>
            <rFont val="Tahoma"/>
            <family val="2"/>
          </rPr>
          <t xml:space="preserve">
Includes Trade in for 2007 Sterling Acterra w 20 Yd Cobra - 35,000</t>
        </r>
      </text>
    </comment>
    <comment ref="AJ37" authorId="0" shapeId="0">
      <text>
        <r>
          <rPr>
            <b/>
            <sz val="9"/>
            <color indexed="81"/>
            <rFont val="Tahoma"/>
            <family val="2"/>
          </rPr>
          <t>Hammond, Greg (UTC):</t>
        </r>
        <r>
          <rPr>
            <sz val="9"/>
            <color indexed="81"/>
            <rFont val="Tahoma"/>
            <family val="2"/>
          </rPr>
          <t xml:space="preserve">
Remaining Salvage Value on Asset</t>
        </r>
      </text>
    </comment>
    <comment ref="S38" authorId="0" shapeId="0">
      <text>
        <r>
          <rPr>
            <b/>
            <sz val="9"/>
            <color indexed="81"/>
            <rFont val="Tahoma"/>
            <family val="2"/>
          </rPr>
          <t>Hammond, Greg (UTC):</t>
        </r>
        <r>
          <rPr>
            <sz val="9"/>
            <color indexed="81"/>
            <rFont val="Tahoma"/>
            <family val="2"/>
          </rPr>
          <t xml:space="preserve">
How much is personal use adjustment?</t>
        </r>
      </text>
    </comment>
    <comment ref="L49" authorId="1" shapeId="0">
      <text>
        <r>
          <rPr>
            <b/>
            <sz val="9"/>
            <color indexed="81"/>
            <rFont val="Tahoma"/>
            <family val="2"/>
          </rPr>
          <t>Glen:</t>
        </r>
        <r>
          <rPr>
            <sz val="9"/>
            <color indexed="81"/>
            <rFont val="Tahoma"/>
            <family val="2"/>
          </rPr>
          <t xml:space="preserve">
Includes $40,000 trade in of 2013 Freightliner
</t>
        </r>
      </text>
    </comment>
    <comment ref="L57" authorId="0" shapeId="0">
      <text>
        <r>
          <rPr>
            <b/>
            <sz val="9"/>
            <color indexed="81"/>
            <rFont val="Tahoma"/>
            <family val="2"/>
          </rPr>
          <t>Hammond, Greg (UTC):</t>
        </r>
        <r>
          <rPr>
            <sz val="9"/>
            <color indexed="81"/>
            <rFont val="Tahoma"/>
            <family val="2"/>
          </rPr>
          <t xml:space="preserve">
Includes 2 trade-ins 
2005 Sterling w/ McNeilus 20 YD RL 
2004 Freightliner w Rolloff Hoist</t>
        </r>
      </text>
    </comment>
    <comment ref="AJ57" authorId="0" shapeId="0">
      <text>
        <r>
          <rPr>
            <b/>
            <sz val="9"/>
            <color indexed="81"/>
            <rFont val="Tahoma"/>
            <family val="2"/>
          </rPr>
          <t>Hammond, Greg (UTC):</t>
        </r>
        <r>
          <rPr>
            <sz val="9"/>
            <color indexed="81"/>
            <rFont val="Tahoma"/>
            <family val="2"/>
          </rPr>
          <t xml:space="preserve">
Remaining Salvage Value on Assets</t>
        </r>
      </text>
    </comment>
    <comment ref="P188" authorId="0" shapeId="0">
      <text>
        <r>
          <rPr>
            <b/>
            <sz val="9"/>
            <color indexed="81"/>
            <rFont val="Tahoma"/>
            <family val="2"/>
          </rPr>
          <t>Hammond, Greg (UTC):</t>
        </r>
        <r>
          <rPr>
            <sz val="9"/>
            <color indexed="81"/>
            <rFont val="Tahoma"/>
            <family val="2"/>
          </rPr>
          <t xml:space="preserve">
Removed- Asset fully depreciated in 2018</t>
        </r>
      </text>
    </comment>
    <comment ref="P189" authorId="0" shapeId="0">
      <text>
        <r>
          <rPr>
            <b/>
            <sz val="9"/>
            <color indexed="81"/>
            <rFont val="Tahoma"/>
            <family val="2"/>
          </rPr>
          <t>Hammond, Greg (UTC):</t>
        </r>
        <r>
          <rPr>
            <sz val="9"/>
            <color indexed="81"/>
            <rFont val="Tahoma"/>
            <family val="2"/>
          </rPr>
          <t xml:space="preserve">
Removed- Asset fully depreciated in 2018</t>
        </r>
      </text>
    </comment>
    <comment ref="P274" authorId="0" shapeId="0">
      <text>
        <r>
          <rPr>
            <b/>
            <sz val="9"/>
            <color indexed="81"/>
            <rFont val="Tahoma"/>
            <family val="2"/>
          </rPr>
          <t>Hammond, Greg (UTC):</t>
        </r>
        <r>
          <rPr>
            <sz val="9"/>
            <color indexed="81"/>
            <rFont val="Tahoma"/>
            <family val="2"/>
          </rPr>
          <t xml:space="preserve">
Removed- Asset fully depreciated in 2018</t>
        </r>
      </text>
    </comment>
    <comment ref="P277" authorId="0" shapeId="0">
      <text>
        <r>
          <rPr>
            <b/>
            <sz val="9"/>
            <color indexed="81"/>
            <rFont val="Tahoma"/>
            <family val="2"/>
          </rPr>
          <t>Hammond, Greg (UTC):</t>
        </r>
        <r>
          <rPr>
            <sz val="9"/>
            <color indexed="81"/>
            <rFont val="Tahoma"/>
            <family val="2"/>
          </rPr>
          <t xml:space="preserve">
Removed- Asset fully depreciated in 2018</t>
        </r>
      </text>
    </comment>
  </commentList>
</comments>
</file>

<file path=xl/comments8.xml><?xml version="1.0" encoding="utf-8"?>
<comments xmlns="http://schemas.openxmlformats.org/spreadsheetml/2006/main">
  <authors>
    <author>Glen</author>
  </authors>
  <commentList>
    <comment ref="C184" authorId="0" shapeId="0">
      <text>
        <r>
          <rPr>
            <b/>
            <sz val="9"/>
            <color indexed="81"/>
            <rFont val="Tahoma"/>
            <family val="2"/>
          </rPr>
          <t>Glen:</t>
        </r>
        <r>
          <rPr>
            <sz val="9"/>
            <color indexed="81"/>
            <rFont val="Tahoma"/>
            <family val="2"/>
          </rPr>
          <t xml:space="preserve">
Use this number for 
rate cases.  It is from their new depr schedule
</t>
        </r>
      </text>
    </comment>
    <comment ref="D184" authorId="0" shapeId="0">
      <text>
        <r>
          <rPr>
            <b/>
            <sz val="9"/>
            <color indexed="81"/>
            <rFont val="Tahoma"/>
            <family val="2"/>
          </rPr>
          <t>Glen:</t>
        </r>
        <r>
          <rPr>
            <sz val="9"/>
            <color indexed="81"/>
            <rFont val="Tahoma"/>
            <family val="2"/>
          </rPr>
          <t xml:space="preserve">
This is a plug figure from my old depr schedule for Annual report purposes. 
 New one wont tie out.
</t>
        </r>
      </text>
    </comment>
    <comment ref="C185" authorId="0" shapeId="0">
      <text>
        <r>
          <rPr>
            <b/>
            <sz val="9"/>
            <color indexed="81"/>
            <rFont val="Tahoma"/>
            <family val="2"/>
          </rPr>
          <t>Glen:</t>
        </r>
        <r>
          <rPr>
            <sz val="9"/>
            <color indexed="81"/>
            <rFont val="Tahoma"/>
            <family val="2"/>
          </rPr>
          <t xml:space="preserve">
Use this number for Rate Cases.  Its from their new Depr Schedule
</t>
        </r>
      </text>
    </comment>
    <comment ref="D185" authorId="0" shapeId="0">
      <text>
        <r>
          <rPr>
            <b/>
            <sz val="9"/>
            <color indexed="81"/>
            <rFont val="Tahoma"/>
            <family val="2"/>
          </rPr>
          <t>Glen:</t>
        </r>
        <r>
          <rPr>
            <sz val="9"/>
            <color indexed="81"/>
            <rFont val="Tahoma"/>
            <family val="2"/>
          </rPr>
          <t xml:space="preserve">
This is a plug figure from my old depr schedule for Annual report purposes.
New one wont tie out
</t>
        </r>
      </text>
    </comment>
  </commentList>
</comments>
</file>

<file path=xl/comments9.xml><?xml version="1.0" encoding="utf-8"?>
<comments xmlns="http://schemas.openxmlformats.org/spreadsheetml/2006/main">
  <authors>
    <author>Hammond, Greg (UTC)</author>
  </authors>
  <commentList>
    <comment ref="A12" authorId="0" shapeId="0">
      <text>
        <r>
          <rPr>
            <b/>
            <sz val="9"/>
            <color indexed="81"/>
            <rFont val="Tahoma"/>
            <family val="2"/>
          </rPr>
          <t xml:space="preserve">Hammond, Greg (UTC):
</t>
        </r>
        <r>
          <rPr>
            <sz val="9"/>
            <color indexed="81"/>
            <rFont val="Tahoma"/>
            <family val="2"/>
          </rPr>
          <t>Monthly service not on tariff?</t>
        </r>
      </text>
    </comment>
  </commentList>
</comments>
</file>

<file path=xl/sharedStrings.xml><?xml version="1.0" encoding="utf-8"?>
<sst xmlns="http://schemas.openxmlformats.org/spreadsheetml/2006/main" count="5066" uniqueCount="1442">
  <si>
    <t>Zippy Disposal Service, Inc.</t>
  </si>
  <si>
    <t>Statements of Income - Income Tax Basis</t>
  </si>
  <si>
    <t>Total</t>
  </si>
  <si>
    <t>REVENUE:</t>
  </si>
  <si>
    <t>Total Revenue</t>
  </si>
  <si>
    <t>Residential revenue</t>
  </si>
  <si>
    <t>Bridgeport Contract</t>
  </si>
  <si>
    <t>Pateros Contract</t>
  </si>
  <si>
    <t>Drop box revenue</t>
  </si>
  <si>
    <t>Drop box pass through fee</t>
  </si>
  <si>
    <t>Recycling/Sale of salvage</t>
  </si>
  <si>
    <t>Misc. garbage revenue</t>
  </si>
  <si>
    <t>OPERATING EXPENSES:</t>
  </si>
  <si>
    <t>EQUIP. MAINT. &amp; GARAGE</t>
  </si>
  <si>
    <t>TRAFFIC,SOLICT. &amp; ADVERT</t>
  </si>
  <si>
    <t>INSURANCE &amp; SAFETY EXP.</t>
  </si>
  <si>
    <t>COLLECTION EXPENSES</t>
  </si>
  <si>
    <t>DISPOSAL FEES</t>
  </si>
  <si>
    <t>ADMINISTRATIVE &amp; GENERAL</t>
  </si>
  <si>
    <t>DEPRECIATION EXPENSE</t>
  </si>
  <si>
    <t>AMORTIZATION</t>
  </si>
  <si>
    <t>TAXES &amp; LICENSES</t>
  </si>
  <si>
    <t>OPERATING RENTS</t>
  </si>
  <si>
    <t>Total operating expenses</t>
  </si>
  <si>
    <t>Net operating income</t>
  </si>
  <si>
    <t>OTHER INCOME (EXPENSE):</t>
  </si>
  <si>
    <t>Total other income</t>
  </si>
  <si>
    <t>Income before taxes</t>
  </si>
  <si>
    <t>Net income</t>
  </si>
  <si>
    <t>Wages - Truck maintenance</t>
  </si>
  <si>
    <t>Wages - Container maint.</t>
  </si>
  <si>
    <t>Repairs - Trucks</t>
  </si>
  <si>
    <t>Repairs - Containers</t>
  </si>
  <si>
    <t>Tires and tubes</t>
  </si>
  <si>
    <t>Other maint &amp; supplies</t>
  </si>
  <si>
    <t>Supervision salaries</t>
  </si>
  <si>
    <t>Drivers &amp; helpers wages</t>
  </si>
  <si>
    <t>Drivers wages - rolloff</t>
  </si>
  <si>
    <t>Fuel &amp; oil</t>
  </si>
  <si>
    <t>Other collection expenses</t>
  </si>
  <si>
    <t>Disposal fees-Chelan</t>
  </si>
  <si>
    <t>Disp. fees-Chelan Pass through</t>
  </si>
  <si>
    <t>Disposal fees-Bridgeport</t>
  </si>
  <si>
    <t xml:space="preserve">Disp. Fees-Bridgeport Pass </t>
  </si>
  <si>
    <t>Tariffs and schedules</t>
  </si>
  <si>
    <t>Advertising &amp; promotion</t>
  </si>
  <si>
    <t>Public Liab &amp; Prop. Damage</t>
  </si>
  <si>
    <t>Workmen's compensation</t>
  </si>
  <si>
    <t>Other insurance expenses</t>
  </si>
  <si>
    <t>Salaries - General officers</t>
  </si>
  <si>
    <t>Wages-Billing &amp; collection</t>
  </si>
  <si>
    <t>Wages-General office</t>
  </si>
  <si>
    <t>Office &amp; other expenses</t>
  </si>
  <si>
    <t>Bank service charges</t>
  </si>
  <si>
    <t>Office equipment repairs</t>
  </si>
  <si>
    <t>Office supplies</t>
  </si>
  <si>
    <t>Postage</t>
  </si>
  <si>
    <t>Legal and accounting</t>
  </si>
  <si>
    <t>Communication &amp; utilities</t>
  </si>
  <si>
    <t>Employee welfare-health</t>
  </si>
  <si>
    <t>Employee welfare-pension</t>
  </si>
  <si>
    <t>Bad debt collection expense</t>
  </si>
  <si>
    <t>Uncollectible revenue</t>
  </si>
  <si>
    <t>Regulatory expense</t>
  </si>
  <si>
    <t>Dues &amp; subscriptions</t>
  </si>
  <si>
    <t>Employee reimbursements</t>
  </si>
  <si>
    <t>Travel</t>
  </si>
  <si>
    <t>Depreciaton expense</t>
  </si>
  <si>
    <t>Gain/loss on asset sale</t>
  </si>
  <si>
    <t>Amortization</t>
  </si>
  <si>
    <t>Vehicle licenses</t>
  </si>
  <si>
    <t>Property taxes</t>
  </si>
  <si>
    <t>Social Security taxes</t>
  </si>
  <si>
    <t>Federal Unemployment taxes</t>
  </si>
  <si>
    <t>State Unemployment taxes</t>
  </si>
  <si>
    <t>State revenue taxes</t>
  </si>
  <si>
    <t>Franchise fees</t>
  </si>
  <si>
    <t>Taxes &amp; licenses - other</t>
  </si>
  <si>
    <t>Rent for land &amp; buildings</t>
  </si>
  <si>
    <t>Gain on installment sales</t>
  </si>
  <si>
    <t>Net from equipment rental</t>
  </si>
  <si>
    <t>Interest income - banks</t>
  </si>
  <si>
    <t>Interest income - contracts</t>
  </si>
  <si>
    <t>Interest expense-equipment</t>
  </si>
  <si>
    <t>Misc. income</t>
  </si>
  <si>
    <t>Per Books</t>
  </si>
  <si>
    <t>Restating</t>
  </si>
  <si>
    <t>Adjustments</t>
  </si>
  <si>
    <t>Restated</t>
  </si>
  <si>
    <t>Proforma</t>
  </si>
  <si>
    <t>Adjustment</t>
  </si>
  <si>
    <t>Remove</t>
  </si>
  <si>
    <t>Fire</t>
  </si>
  <si>
    <t>Activity</t>
  </si>
  <si>
    <t>ROP</t>
  </si>
  <si>
    <t xml:space="preserve">Remove </t>
  </si>
  <si>
    <t>Contracts</t>
  </si>
  <si>
    <t>ROP w/o</t>
  </si>
  <si>
    <t xml:space="preserve">Effect of </t>
  </si>
  <si>
    <t>Proposed</t>
  </si>
  <si>
    <t>Rates</t>
  </si>
  <si>
    <t>Proforma ROP</t>
  </si>
  <si>
    <t>with Proposed</t>
  </si>
  <si>
    <t>Operating ratio</t>
  </si>
  <si>
    <t>Net Investment</t>
  </si>
  <si>
    <t>Franchise</t>
  </si>
  <si>
    <t>Allocation</t>
  </si>
  <si>
    <t>%</t>
  </si>
  <si>
    <t>Amount</t>
  </si>
  <si>
    <t xml:space="preserve">Bridgeport </t>
  </si>
  <si>
    <t>Pateros</t>
  </si>
  <si>
    <t>Summary of Route Hours, Miles, and Man Hours</t>
  </si>
  <si>
    <t>Truck Hours:</t>
  </si>
  <si>
    <t>Bridgeport</t>
  </si>
  <si>
    <t xml:space="preserve">Total </t>
  </si>
  <si>
    <t>Employee Hours:</t>
  </si>
  <si>
    <t>Truck Miles:</t>
  </si>
  <si>
    <t>City of Bridgeport</t>
  </si>
  <si>
    <t>City of Pateros</t>
  </si>
  <si>
    <t>Totals</t>
  </si>
  <si>
    <t>YD-1</t>
  </si>
  <si>
    <t>YD-2</t>
  </si>
  <si>
    <t>YD-1.5</t>
  </si>
  <si>
    <t>YD-3</t>
  </si>
  <si>
    <t>YD-4</t>
  </si>
  <si>
    <t>YD-6</t>
  </si>
  <si>
    <t>YD-8</t>
  </si>
  <si>
    <t>NEW IMPROVED LURITO - GALLAGHER FORMULA</t>
  </si>
  <si>
    <t>!??!</t>
  </si>
  <si>
    <t>OP/RATIO</t>
  </si>
  <si>
    <t xml:space="preserve">      curve</t>
  </si>
  <si>
    <t>FORMULAS</t>
  </si>
  <si>
    <t>1st Revenue</t>
  </si>
  <si>
    <t>1st Turnover</t>
  </si>
  <si>
    <t>M</t>
  </si>
  <si>
    <t>ROR</t>
  </si>
  <si>
    <t>ROE</t>
  </si>
  <si>
    <t>Adj ROE</t>
  </si>
  <si>
    <t>Pre Tax ROE</t>
  </si>
  <si>
    <t>Adj M</t>
  </si>
  <si>
    <t>Revenues</t>
  </si>
  <si>
    <t>Decision</t>
  </si>
  <si>
    <t xml:space="preserve">     lookup table</t>
  </si>
  <si>
    <t>!!!</t>
  </si>
  <si>
    <t>Revenue Requirement</t>
  </si>
  <si>
    <t>!!!&lt;--</t>
  </si>
  <si>
    <t xml:space="preserve"> 1. less than 50</t>
  </si>
  <si>
    <t>@EXP(5.72260-(.68367*@LN(T)))</t>
  </si>
  <si>
    <t>Revenue Deficiency</t>
  </si>
  <si>
    <t xml:space="preserve"> 2. Between 50 and 125</t>
  </si>
  <si>
    <t>@EXP(5.70827-(.68367*@LN(T)))</t>
  </si>
  <si>
    <t>*</t>
  </si>
  <si>
    <t>Revenue</t>
  </si>
  <si>
    <t>-</t>
  </si>
  <si>
    <t>* p/f before rates</t>
  </si>
  <si>
    <t xml:space="preserve"> 3. Between 125 and 140</t>
  </si>
  <si>
    <t>@EXP(5.69850-(.68367*@LN(T)))</t>
  </si>
  <si>
    <t>Expenses</t>
  </si>
  <si>
    <t xml:space="preserve"> 4. greater than 400</t>
  </si>
  <si>
    <t>@EXP(5.69220-(.68367*@LN(T)))</t>
  </si>
  <si>
    <t>Avg. Investment  -</t>
  </si>
  <si>
    <t>curve turnover</t>
  </si>
  <si>
    <t>(calculated)</t>
  </si>
  <si>
    <t>2nd Turnover</t>
  </si>
  <si>
    <t xml:space="preserve">     lookup tables</t>
  </si>
  <si>
    <t>final turnover</t>
  </si>
  <si>
    <t>curve No. used</t>
  </si>
  <si>
    <t xml:space="preserve">Company actual </t>
  </si>
  <si>
    <t>capital structure:</t>
  </si>
  <si>
    <t>OPERATING RATIO -&gt;</t>
  </si>
  <si>
    <t>=</t>
  </si>
  <si>
    <t>3rd Turnover</t>
  </si>
  <si>
    <t xml:space="preserve">Actual Debt Ratio </t>
  </si>
  <si>
    <t xml:space="preserve"> Conversion factor data:</t>
  </si>
  <si>
    <t>Actual Equity Ratio</t>
  </si>
  <si>
    <t xml:space="preserve"> B &amp; O Tax</t>
  </si>
  <si>
    <t>Actual Cost of Debt</t>
  </si>
  <si>
    <t xml:space="preserve"> WUTC Fee</t>
  </si>
  <si>
    <t xml:space="preserve"> City Tax</t>
  </si>
  <si>
    <t>Tax Rate</t>
  </si>
  <si>
    <t xml:space="preserve"> Bad Debts</t>
  </si>
  <si>
    <t>4th Turnover</t>
  </si>
  <si>
    <t>Revenue Sensitive</t>
  </si>
  <si>
    <t>Conversion Factor</t>
  </si>
  <si>
    <t>yes</t>
  </si>
  <si>
    <t>5th Turnover</t>
  </si>
  <si>
    <t>6th Turnover</t>
  </si>
  <si>
    <t>7th turnover</t>
  </si>
  <si>
    <t>8th turnover</t>
  </si>
  <si>
    <t>9th turnover</t>
  </si>
  <si>
    <t>Depreciation Allocation</t>
  </si>
  <si>
    <t>Collection</t>
  </si>
  <si>
    <t>Equipment</t>
  </si>
  <si>
    <t>Containers</t>
  </si>
  <si>
    <t>Shop</t>
  </si>
  <si>
    <t>Office</t>
  </si>
  <si>
    <t>Allocation Base</t>
  </si>
  <si>
    <t>Truck</t>
  </si>
  <si>
    <t>Hours</t>
  </si>
  <si>
    <t>Counts</t>
  </si>
  <si>
    <t>Restating Adjustments</t>
  </si>
  <si>
    <t>(1)</t>
  </si>
  <si>
    <t>Remove Federal Depreciation Expense</t>
  </si>
  <si>
    <t>Actual - WUTC</t>
  </si>
  <si>
    <t>(2)</t>
  </si>
  <si>
    <t>Adjust (gain)loss on sale of equipment from Federal to WUTC</t>
  </si>
  <si>
    <t>ZIPPY DISPOSAL SERVICE, INC</t>
  </si>
  <si>
    <t>BALANCE SHEET - WUTC</t>
  </si>
  <si>
    <t>ASSETS</t>
  </si>
  <si>
    <t>CURRENT ASSETS:</t>
  </si>
  <si>
    <t>Cash on hand</t>
  </si>
  <si>
    <t>NCNB-MMF savings</t>
  </si>
  <si>
    <t>Edward D. Jones MMF</t>
  </si>
  <si>
    <t>Edward D. Jones Brokerage</t>
  </si>
  <si>
    <t>Accounts receivable</t>
  </si>
  <si>
    <t>Accounts rec.-Other</t>
  </si>
  <si>
    <t>Accounts rec.-Towns</t>
  </si>
  <si>
    <t>Prepaid insurance</t>
  </si>
  <si>
    <t>Total current assets</t>
  </si>
  <si>
    <t>PROPERTY &amp; EQUIPMENT:</t>
  </si>
  <si>
    <t>Garbage collection equip.</t>
  </si>
  <si>
    <t>Containers &amp; Toters</t>
  </si>
  <si>
    <t>Service cars &amp; equipment</t>
  </si>
  <si>
    <t>Shop &amp; garage equipment</t>
  </si>
  <si>
    <t>Office furniture &amp; equip</t>
  </si>
  <si>
    <t>Less accumulated depr</t>
  </si>
  <si>
    <t>Property &amp; equipment-net</t>
  </si>
  <si>
    <t>OTHER ASSETS:</t>
  </si>
  <si>
    <t>Loan rec.-stockholder</t>
  </si>
  <si>
    <t>Total other assets</t>
  </si>
  <si>
    <t>Total assets</t>
  </si>
  <si>
    <t>ZIPPY DISPOSAL SERVICE, INC.</t>
  </si>
  <si>
    <t>LIABILITIES AND</t>
  </si>
  <si>
    <t>STOCKHOLDERS' EQUITY</t>
  </si>
  <si>
    <t>CURRENT LIABILITIES:</t>
  </si>
  <si>
    <t>Accounts payable</t>
  </si>
  <si>
    <t>State unemployment pay</t>
  </si>
  <si>
    <t>FUTA payable</t>
  </si>
  <si>
    <t>State industrial payable</t>
  </si>
  <si>
    <t>Refuse &amp; B&amp;O tax payable</t>
  </si>
  <si>
    <t>City excise tax payable</t>
  </si>
  <si>
    <t>Current portion LTD</t>
  </si>
  <si>
    <t>Total current liabilities</t>
  </si>
  <si>
    <t>LONG TERM DEBT:</t>
  </si>
  <si>
    <t>Less current portion</t>
  </si>
  <si>
    <t>Total long term debt</t>
  </si>
  <si>
    <t>STOCKHOLDERS' EQUITY:</t>
  </si>
  <si>
    <t>Common stock</t>
  </si>
  <si>
    <t>Retained Earnings</t>
  </si>
  <si>
    <t>Total stockholder equity</t>
  </si>
  <si>
    <t>Total Liab. &amp; Equity</t>
  </si>
  <si>
    <t>Diff</t>
  </si>
  <si>
    <t>Current Earnings</t>
  </si>
  <si>
    <t>Pension plan payable</t>
  </si>
  <si>
    <t>Results of Operations</t>
  </si>
  <si>
    <t>Proforma Adjustments</t>
  </si>
  <si>
    <t>(3)</t>
  </si>
  <si>
    <t>(4)</t>
  </si>
  <si>
    <t>Adjust Pass through disposal fees</t>
  </si>
  <si>
    <t xml:space="preserve">Pass through </t>
  </si>
  <si>
    <t>Difference</t>
  </si>
  <si>
    <t>Wage Adjustment</t>
  </si>
  <si>
    <t>Drivers</t>
  </si>
  <si>
    <t>Rolloff</t>
  </si>
  <si>
    <t>Labor and Industries Adjustment</t>
  </si>
  <si>
    <t>Health Insurance Adjustment</t>
  </si>
  <si>
    <t>WRRA Dues &amp; Adjustment to 80%</t>
  </si>
  <si>
    <t>Less test year total</t>
  </si>
  <si>
    <t>(5)</t>
  </si>
  <si>
    <t>Advertising Adjustment</t>
  </si>
  <si>
    <t>Remove Event Sponsorships</t>
  </si>
  <si>
    <t>(6)</t>
  </si>
  <si>
    <t>Adjust for City Contract Increases During Test Year</t>
  </si>
  <si>
    <t>(7)</t>
  </si>
  <si>
    <t>B&amp;O Tax on Increased Revenue</t>
  </si>
  <si>
    <t>Lurito - Total Franchise</t>
  </si>
  <si>
    <t>WF Cash savings</t>
  </si>
  <si>
    <t>WF Cash checking</t>
  </si>
  <si>
    <t>Wages - R/O Truck maintenance</t>
  </si>
  <si>
    <t>Wages - R/O Container maint.</t>
  </si>
  <si>
    <t>Repairs - R/O Trucks</t>
  </si>
  <si>
    <t>Repairs - R/O Containers</t>
  </si>
  <si>
    <t>Tires and tubes R/O</t>
  </si>
  <si>
    <t>Fuel &amp; oil R/O</t>
  </si>
  <si>
    <t xml:space="preserve">Drivers wages - delivery </t>
  </si>
  <si>
    <t>Drivers wages - delivery</t>
  </si>
  <si>
    <t xml:space="preserve">Wages - R/O Truck maintenance </t>
  </si>
  <si>
    <t>(8)</t>
  </si>
  <si>
    <t>Reclass Fuel &amp; Oil expense to Rolloff Fuel</t>
  </si>
  <si>
    <t>Federal W/H &amp; Fica</t>
  </si>
  <si>
    <t>Tires and tubes-R/O</t>
  </si>
  <si>
    <t>Wages - Truck maintenance - R/O</t>
  </si>
  <si>
    <t>Repairs - Trucks R/O</t>
  </si>
  <si>
    <t>Repairs - Containers R/O</t>
  </si>
  <si>
    <t>Wages - Container maint. R/O</t>
  </si>
  <si>
    <t>65 Toter</t>
  </si>
  <si>
    <t>95 Toter</t>
  </si>
  <si>
    <t>Officers</t>
  </si>
  <si>
    <t>From Chelan County.xls Results of Operations</t>
  </si>
  <si>
    <t>Notes payable-Wells Fargo</t>
  </si>
  <si>
    <t>(9)</t>
  </si>
  <si>
    <t>Adjust for Affects of Prior Rate Increases</t>
  </si>
  <si>
    <t>Chelan County</t>
  </si>
  <si>
    <t>Residential Revenue</t>
  </si>
  <si>
    <t>Douglas County</t>
  </si>
  <si>
    <t>Okanogan County</t>
  </si>
  <si>
    <t>Drop Box Revenue</t>
  </si>
  <si>
    <t>(10)</t>
  </si>
  <si>
    <t>Fuel Adjustment</t>
  </si>
  <si>
    <t>Regular Fuel Adjustment</t>
  </si>
  <si>
    <t>Rolloff Fuel Adjustment</t>
  </si>
  <si>
    <t>Drop Box</t>
  </si>
  <si>
    <t>(11)</t>
  </si>
  <si>
    <t>Container &amp; Toter Counts</t>
  </si>
  <si>
    <t>Toters:</t>
  </si>
  <si>
    <t>Containers:</t>
  </si>
  <si>
    <t>Toters</t>
  </si>
  <si>
    <t>Employment Security Adjustment</t>
  </si>
  <si>
    <t>CVB Cash savings</t>
  </si>
  <si>
    <t>`</t>
  </si>
  <si>
    <t>Beg retained earnings</t>
  </si>
  <si>
    <t>Less distributions</t>
  </si>
  <si>
    <t>Less prior period AJE</t>
  </si>
  <si>
    <t xml:space="preserve">                                                                                                                                                                                                                      </t>
  </si>
  <si>
    <t>45 Toter</t>
  </si>
  <si>
    <t>Recycling equipment</t>
  </si>
  <si>
    <t>Notes payable-Wells Fargo Isuzu</t>
  </si>
  <si>
    <t xml:space="preserve"> </t>
  </si>
  <si>
    <t>Commingled Recycling</t>
  </si>
  <si>
    <t>Cardboard Recycling</t>
  </si>
  <si>
    <t>Wages - Recycle truck maint.</t>
  </si>
  <si>
    <t>Repairs - Recycle</t>
  </si>
  <si>
    <t xml:space="preserve">Drivers wages - Recycle </t>
  </si>
  <si>
    <t xml:space="preserve">Fuel &amp; oil - Recycle </t>
  </si>
  <si>
    <t>Fuel &amp; oil - Rolloff</t>
  </si>
  <si>
    <t>Other collection exp - Recycle</t>
  </si>
  <si>
    <t>Processing fees - Recycling</t>
  </si>
  <si>
    <t>95 Recycle</t>
  </si>
  <si>
    <t>Commercial</t>
  </si>
  <si>
    <t>Recycling</t>
  </si>
  <si>
    <t>Commingled</t>
  </si>
  <si>
    <t>Recycle</t>
  </si>
  <si>
    <t xml:space="preserve">Recycle </t>
  </si>
  <si>
    <t>Recycling &amp;</t>
  </si>
  <si>
    <t>Revenue and Cost Allocations - Contracts</t>
  </si>
  <si>
    <t>Net</t>
  </si>
  <si>
    <t>Franchise Allocation</t>
  </si>
  <si>
    <t>Net of Contracts</t>
  </si>
  <si>
    <t xml:space="preserve">Commingled </t>
  </si>
  <si>
    <t>Fuel allocation</t>
  </si>
  <si>
    <t>Drivers &amp; Helpers Wage Allocation</t>
  </si>
  <si>
    <t>Drivers Wages - Delivery  Allocation</t>
  </si>
  <si>
    <t>Commingled wages tracked seperately</t>
  </si>
  <si>
    <t>Delivery not involved in Commercial Recycling</t>
  </si>
  <si>
    <t>Commingled fuel tracked seperately</t>
  </si>
  <si>
    <t>Disposal Fee Increase - Chelan</t>
  </si>
  <si>
    <t xml:space="preserve">Disposal Fee Increase - Bridgeport </t>
  </si>
  <si>
    <t>Commingled Recycle Truck:</t>
  </si>
  <si>
    <t xml:space="preserve">1999 Isuzu </t>
  </si>
  <si>
    <t>Commercial Recycle Truck:</t>
  </si>
  <si>
    <t>Depreciation:</t>
  </si>
  <si>
    <t>Commercial Recycling</t>
  </si>
  <si>
    <t>Total Franchise</t>
  </si>
  <si>
    <t>Total Miles</t>
  </si>
  <si>
    <t>Recycle Miles</t>
  </si>
  <si>
    <t>Actual</t>
  </si>
  <si>
    <t>Total Wages</t>
  </si>
  <si>
    <t>Revenue and Cost Allocations - Recycling</t>
  </si>
  <si>
    <t>Revenue and Cost Allocations - Rolloff</t>
  </si>
  <si>
    <t>Net of Contracts/Recycle</t>
  </si>
  <si>
    <t>Rent Expense Adjustment</t>
  </si>
  <si>
    <t>Rent for land &amp; buildings-Recycle</t>
  </si>
  <si>
    <t>Refuse operations</t>
  </si>
  <si>
    <t>Recycle operations</t>
  </si>
  <si>
    <t>Rent for land &amp; buildings-recycle</t>
  </si>
  <si>
    <t>Revenue %</t>
  </si>
  <si>
    <t>Rolloff Employee Hours (not included in above numbers)</t>
  </si>
  <si>
    <t>Rolloff Miles (not included in above numbers)</t>
  </si>
  <si>
    <t>As a percentage of Total Truck Hours</t>
  </si>
  <si>
    <t>As a percentage of Total Driving Hours</t>
  </si>
  <si>
    <t>As a percentage of Total Truck Miles</t>
  </si>
  <si>
    <t>Rolloff Revenue as a percentage of total revenue (excluding pass through)</t>
  </si>
  <si>
    <t>Regulatory expense %</t>
  </si>
  <si>
    <t>Franchise fees based on weight:</t>
  </si>
  <si>
    <t xml:space="preserve">  Total weight hauled per computation</t>
  </si>
  <si>
    <t xml:space="preserve">  Total weight due to rolloffs</t>
  </si>
  <si>
    <t>Depreciation</t>
  </si>
  <si>
    <t>Total driving hours</t>
  </si>
  <si>
    <t>Actual rolloff hours</t>
  </si>
  <si>
    <t>Revenue increase</t>
  </si>
  <si>
    <t>Extra Man</t>
  </si>
  <si>
    <t>Truck &amp; Driver</t>
  </si>
  <si>
    <t>Time Units:</t>
  </si>
  <si>
    <t>Other Garbage Revenue:</t>
  </si>
  <si>
    <t>30 Yard Haul-Compact</t>
  </si>
  <si>
    <t>20 Yard Haul-Compact</t>
  </si>
  <si>
    <t>Compactor Turn around</t>
  </si>
  <si>
    <t>Extra Mileage</t>
  </si>
  <si>
    <t>40 Yd Delivery</t>
  </si>
  <si>
    <t>30 Yd Delivery</t>
  </si>
  <si>
    <t>20 Yd Delivery</t>
  </si>
  <si>
    <t>10 Yd Delivery</t>
  </si>
  <si>
    <t>40 Yd Daily Rent</t>
  </si>
  <si>
    <t>30 Yd Daily Rent</t>
  </si>
  <si>
    <t>20 Yd Daily Rent</t>
  </si>
  <si>
    <t>10 Yd Daily Rent</t>
  </si>
  <si>
    <t>40 Yard Haul</t>
  </si>
  <si>
    <t>30 Yard Haul</t>
  </si>
  <si>
    <t>20 Yard Haul</t>
  </si>
  <si>
    <t>10 Yard Haul</t>
  </si>
  <si>
    <t>Drop Boxes: All are temporary</t>
  </si>
  <si>
    <t>Locking</t>
  </si>
  <si>
    <t>Rollout</t>
  </si>
  <si>
    <t>6 Yard Delivery</t>
  </si>
  <si>
    <t>4 Yard Delivery</t>
  </si>
  <si>
    <t>3 Yard Delivery</t>
  </si>
  <si>
    <t>2 Yard Delivery</t>
  </si>
  <si>
    <t>1.5 Yard Delivery</t>
  </si>
  <si>
    <t>1 Yard Delivery</t>
  </si>
  <si>
    <t>8 Yard</t>
  </si>
  <si>
    <t>6 Yard</t>
  </si>
  <si>
    <t>4 Yard</t>
  </si>
  <si>
    <t>3 Yard</t>
  </si>
  <si>
    <t>2 Yard</t>
  </si>
  <si>
    <t>1.5 Yard</t>
  </si>
  <si>
    <t>1 Yard</t>
  </si>
  <si>
    <t>Commercial:</t>
  </si>
  <si>
    <t xml:space="preserve">Drums </t>
  </si>
  <si>
    <t>Loose Yd</t>
  </si>
  <si>
    <t>Drive In</t>
  </si>
  <si>
    <t>Carry Out-Additional ft</t>
  </si>
  <si>
    <t>Carry Out-Base</t>
  </si>
  <si>
    <t>Extras</t>
  </si>
  <si>
    <t>2-95 gal Toter</t>
  </si>
  <si>
    <t>1-95 gal Toter</t>
  </si>
  <si>
    <t>2-65 gal Toter</t>
  </si>
  <si>
    <t>1-65 gal Toter</t>
  </si>
  <si>
    <t xml:space="preserve">1-65 gal Toter Monthly </t>
  </si>
  <si>
    <t>2-45 gal Toter</t>
  </si>
  <si>
    <t>1-45 gal Toter</t>
  </si>
  <si>
    <t xml:space="preserve">1-45 gal Toter Monthly </t>
  </si>
  <si>
    <t>6 Can Weekly</t>
  </si>
  <si>
    <t>5 Can Weekly</t>
  </si>
  <si>
    <t>4 Can Weekly</t>
  </si>
  <si>
    <t>3 Can Weekly</t>
  </si>
  <si>
    <t>2 Can Weekly</t>
  </si>
  <si>
    <t>1 Can Weekly</t>
  </si>
  <si>
    <t>3 Can Monthly</t>
  </si>
  <si>
    <t>2 Can Monthly</t>
  </si>
  <si>
    <t>1 Can Monthly</t>
  </si>
  <si>
    <t>Mini Can</t>
  </si>
  <si>
    <t>Residential:</t>
  </si>
  <si>
    <t>Increase</t>
  </si>
  <si>
    <t>Rate</t>
  </si>
  <si>
    <t>Service</t>
  </si>
  <si>
    <t>Percent</t>
  </si>
  <si>
    <t>Per Year</t>
  </si>
  <si>
    <t xml:space="preserve">Proposed </t>
  </si>
  <si>
    <t>Calculated</t>
  </si>
  <si>
    <t>Current</t>
  </si>
  <si>
    <t xml:space="preserve">Annual </t>
  </si>
  <si>
    <t xml:space="preserve">            Chelan County </t>
  </si>
  <si>
    <t>INCREASE (GENERAL)</t>
  </si>
  <si>
    <t>INCREASE (DISPOSAL ONLY)</t>
  </si>
  <si>
    <t xml:space="preserve">Customer Price-Out, Regulated - Chelan County </t>
  </si>
  <si>
    <t>Proposed Rate Increase</t>
  </si>
  <si>
    <t>Lurito Calculated Rate Increase</t>
  </si>
  <si>
    <t>Carry Out-Additional</t>
  </si>
  <si>
    <t xml:space="preserve">            Douglas County </t>
  </si>
  <si>
    <t>Customer Price-Out, Regulated - Douglas County</t>
  </si>
  <si>
    <t xml:space="preserve">            Okanogan County </t>
  </si>
  <si>
    <t>Customer Price-Out, Regulated - Okanogan County</t>
  </si>
  <si>
    <t>Lurito - Chelan County</t>
  </si>
  <si>
    <t>Lurito - Douglas County</t>
  </si>
  <si>
    <t>Lurito - Okanogan County</t>
  </si>
  <si>
    <t>Okanogan</t>
  </si>
  <si>
    <t>Douglas</t>
  </si>
  <si>
    <t>Chelan</t>
  </si>
  <si>
    <t>Results of Operations by County</t>
  </si>
  <si>
    <t>Revenue and Cost Allocations</t>
  </si>
  <si>
    <t xml:space="preserve">Chelan </t>
  </si>
  <si>
    <t>(12/30 Count)</t>
  </si>
  <si>
    <t># of Customers By County:</t>
  </si>
  <si>
    <t xml:space="preserve"> After Proforma Adjustment (9) For Previous Rate Increases:</t>
  </si>
  <si>
    <t>Revenue Break Down by County Excluding Drop Box  (From Counts):</t>
  </si>
  <si>
    <t>Revenue Break Down by County Excluding Drop Box</t>
  </si>
  <si>
    <t>Revenue Break Down by County (From Counts):</t>
  </si>
  <si>
    <t>Average % Allocation</t>
  </si>
  <si>
    <t>Truck Miles</t>
  </si>
  <si>
    <t>Employee Hours</t>
  </si>
  <si>
    <t>Truck Hours</t>
  </si>
  <si>
    <t xml:space="preserve"># of Customers </t>
  </si>
  <si>
    <t xml:space="preserve">Service Count Break Down </t>
  </si>
  <si>
    <t>Revenue Break Down (No drop box)</t>
  </si>
  <si>
    <t>Revenue Break Down</t>
  </si>
  <si>
    <t>County</t>
  </si>
  <si>
    <t>Average of Percentages:</t>
  </si>
  <si>
    <t>County Overhead Allocation</t>
  </si>
  <si>
    <t>Container Counts by County</t>
  </si>
  <si>
    <t>Total Pass Through from Service Counts:</t>
  </si>
  <si>
    <t>Bridgeport Transfer Station from Service Counts:</t>
  </si>
  <si>
    <t>Chelan Transfer Station from Service Counts:</t>
  </si>
  <si>
    <t>Pass Through Disposal Fees by County:</t>
  </si>
  <si>
    <t xml:space="preserve"> Adjustment (9) For Previous Rate Increases:</t>
  </si>
  <si>
    <t>Drop Box Revenue by County from Service Counts:</t>
  </si>
  <si>
    <t>Drop Box Revenue by County After Profroma</t>
  </si>
  <si>
    <t>Drop Box Allocations</t>
  </si>
  <si>
    <t>By County</t>
  </si>
  <si>
    <t>December</t>
  </si>
  <si>
    <t>November</t>
  </si>
  <si>
    <t>October</t>
  </si>
  <si>
    <t>September</t>
  </si>
  <si>
    <t>August</t>
  </si>
  <si>
    <t>July</t>
  </si>
  <si>
    <t>June</t>
  </si>
  <si>
    <t>May</t>
  </si>
  <si>
    <t>April</t>
  </si>
  <si>
    <t>March</t>
  </si>
  <si>
    <t>February</t>
  </si>
  <si>
    <t>January</t>
  </si>
  <si>
    <t>Chelan Disposal Fees:</t>
  </si>
  <si>
    <t>Chelan Yardage:</t>
  </si>
  <si>
    <t>Bridgeport Disposal Fees:</t>
  </si>
  <si>
    <t>Bridgeport Yardage:</t>
  </si>
  <si>
    <t>Disposal Fees and Yardage - From Yardage Allocation Report</t>
  </si>
  <si>
    <t>Disposal Fee Breakdown</t>
  </si>
  <si>
    <t>Total revenue per counts</t>
  </si>
  <si>
    <t>Tons</t>
  </si>
  <si>
    <t>Loose Yards</t>
  </si>
  <si>
    <t>Compacted Yards</t>
  </si>
  <si>
    <t>Pass Through Disposal Fees:</t>
  </si>
  <si>
    <t>Add Fuel Surcharge</t>
  </si>
  <si>
    <t>Less bad debts</t>
  </si>
  <si>
    <t>Add finance charges</t>
  </si>
  <si>
    <t>Carry Out-Additional feet</t>
  </si>
  <si>
    <t>Anuual</t>
  </si>
  <si>
    <t xml:space="preserve">          Full Year</t>
  </si>
  <si>
    <t xml:space="preserve">     Okanogan County </t>
  </si>
  <si>
    <t xml:space="preserve">          Okanogan County </t>
  </si>
  <si>
    <t xml:space="preserve">       Douglas County </t>
  </si>
  <si>
    <t xml:space="preserve">       Chelan County </t>
  </si>
  <si>
    <t>rates in effect during different periods</t>
  </si>
  <si>
    <t xml:space="preserve">!!! Note: Cell references will change from year to year depending on </t>
  </si>
  <si>
    <t>Service Counts - By County</t>
  </si>
  <si>
    <t>Items in Yellow need to be updated</t>
  </si>
  <si>
    <t>Wage Increases:</t>
  </si>
  <si>
    <t xml:space="preserve">New </t>
  </si>
  <si>
    <t>Old</t>
  </si>
  <si>
    <t>Next</t>
  </si>
  <si>
    <t>c</t>
  </si>
  <si>
    <t>Hour</t>
  </si>
  <si>
    <t>Terry Verellen</t>
  </si>
  <si>
    <t>a</t>
  </si>
  <si>
    <t>Julie Cooper</t>
  </si>
  <si>
    <t>Allen Tilbury</t>
  </si>
  <si>
    <t>Caitylyn Rinehart</t>
  </si>
  <si>
    <t>Douglas Ramsey</t>
  </si>
  <si>
    <t>Month</t>
  </si>
  <si>
    <t>Polly Miller</t>
  </si>
  <si>
    <t>Leo Miller</t>
  </si>
  <si>
    <t>Jerry Mckinney</t>
  </si>
  <si>
    <t>Roberto Anaya Luna</t>
  </si>
  <si>
    <t>Mario Loera</t>
  </si>
  <si>
    <t>Paul Hunter</t>
  </si>
  <si>
    <t>Jackson Engstrom</t>
  </si>
  <si>
    <t>Felipe De La Mora</t>
  </si>
  <si>
    <t>Narciso Cortes</t>
  </si>
  <si>
    <t>Glen Austin</t>
  </si>
  <si>
    <t>Effect</t>
  </si>
  <si>
    <t>Raise</t>
  </si>
  <si>
    <t xml:space="preserve">Hours </t>
  </si>
  <si>
    <t>Period</t>
  </si>
  <si>
    <t>Name</t>
  </si>
  <si>
    <t xml:space="preserve">     Total Test Period</t>
  </si>
  <si>
    <t xml:space="preserve">Pay </t>
  </si>
  <si>
    <t xml:space="preserve">Last </t>
  </si>
  <si>
    <t xml:space="preserve"> Month</t>
  </si>
  <si>
    <t>Wage Summary</t>
  </si>
  <si>
    <t>Proforma adjustment</t>
  </si>
  <si>
    <t>Less test years total</t>
  </si>
  <si>
    <t>Less current w/h x total hours</t>
  </si>
  <si>
    <t>Current price x total hours</t>
  </si>
  <si>
    <t>Current employee w/h rate</t>
  </si>
  <si>
    <t>Current price per hour</t>
  </si>
  <si>
    <t>Average price per hour</t>
  </si>
  <si>
    <t>Less amount withheld from employees</t>
  </si>
  <si>
    <t>Cost</t>
  </si>
  <si>
    <t>Ended</t>
  </si>
  <si>
    <t>Admin</t>
  </si>
  <si>
    <t>Quarter</t>
  </si>
  <si>
    <t>Narciso Cortez</t>
  </si>
  <si>
    <t>Per Month</t>
  </si>
  <si>
    <t>Employee</t>
  </si>
  <si>
    <t>Premium</t>
  </si>
  <si>
    <t>Proforma Adjustment</t>
  </si>
  <si>
    <t>Less Per Books</t>
  </si>
  <si>
    <t>Proforma Revenue</t>
  </si>
  <si>
    <t>Date</t>
  </si>
  <si>
    <t>Proforma Adjustments for Rate Increases</t>
  </si>
  <si>
    <t xml:space="preserve">        City of Pateros</t>
  </si>
  <si>
    <t xml:space="preserve">       City of Bridgeport</t>
  </si>
  <si>
    <t xml:space="preserve">City Contract Summary </t>
  </si>
  <si>
    <t xml:space="preserve">Proforma Adjustment </t>
  </si>
  <si>
    <t>Per Ton</t>
  </si>
  <si>
    <t>Fees</t>
  </si>
  <si>
    <t>New Rate</t>
  </si>
  <si>
    <t>Old Rate</t>
  </si>
  <si>
    <t xml:space="preserve">Disposal </t>
  </si>
  <si>
    <t>Yard</t>
  </si>
  <si>
    <t>Yards</t>
  </si>
  <si>
    <t>Per</t>
  </si>
  <si>
    <t xml:space="preserve">Rate </t>
  </si>
  <si>
    <t>Disposal Fees</t>
  </si>
  <si>
    <t>1-65 gal Toter Monthly</t>
  </si>
  <si>
    <t>Prior</t>
  </si>
  <si>
    <t xml:space="preserve">Proforma </t>
  </si>
  <si>
    <t xml:space="preserve">              Chelan County </t>
  </si>
  <si>
    <t xml:space="preserve">             Chelan County </t>
  </si>
  <si>
    <t>Revenue at Current Rates</t>
  </si>
  <si>
    <t>Revenue at Prior Rates</t>
  </si>
  <si>
    <t>on rates in effect during different periods</t>
  </si>
  <si>
    <t xml:space="preserve">!!! Note: Cell references will change from year to year depending </t>
  </si>
  <si>
    <t>Proforma Effects of Prior Rate Increases - By County</t>
  </si>
  <si>
    <t>Test Period Totals</t>
  </si>
  <si>
    <t>Restating adjustment</t>
  </si>
  <si>
    <t>December 31</t>
  </si>
  <si>
    <t>December 15</t>
  </si>
  <si>
    <t>November 30</t>
  </si>
  <si>
    <t>November 15</t>
  </si>
  <si>
    <t>October 31</t>
  </si>
  <si>
    <t>October 15</t>
  </si>
  <si>
    <t>September 30</t>
  </si>
  <si>
    <t>September 15</t>
  </si>
  <si>
    <t>Employee reimbursement</t>
  </si>
  <si>
    <t>August 31</t>
  </si>
  <si>
    <t>Certified Laboratories</t>
  </si>
  <si>
    <t>August 15</t>
  </si>
  <si>
    <t>July 31</t>
  </si>
  <si>
    <t>AMEX- Gas</t>
  </si>
  <si>
    <t>July 15</t>
  </si>
  <si>
    <t>Green Petroleum-oil</t>
  </si>
  <si>
    <t>June 30</t>
  </si>
  <si>
    <t>June 15</t>
  </si>
  <si>
    <t>May 31</t>
  </si>
  <si>
    <t>Test Year Total from above</t>
  </si>
  <si>
    <t>May 15</t>
  </si>
  <si>
    <t>April 30</t>
  </si>
  <si>
    <t>April 15</t>
  </si>
  <si>
    <t>Fuel &amp; Oil</t>
  </si>
  <si>
    <t>March 31</t>
  </si>
  <si>
    <t>March 15</t>
  </si>
  <si>
    <t>February 28</t>
  </si>
  <si>
    <t>February 15</t>
  </si>
  <si>
    <t>January 31</t>
  </si>
  <si>
    <t>January 15</t>
  </si>
  <si>
    <t>Price</t>
  </si>
  <si>
    <t>Gallons</t>
  </si>
  <si>
    <t>Average</t>
  </si>
  <si>
    <t>Rolloffs</t>
  </si>
  <si>
    <t>Refuse Collection</t>
  </si>
  <si>
    <t>Green Petroleum</t>
  </si>
  <si>
    <t>Oil</t>
  </si>
  <si>
    <t>Misc</t>
  </si>
  <si>
    <t>Chelan Chevron</t>
  </si>
  <si>
    <t>Green Petroleum - Gasoline Only</t>
  </si>
  <si>
    <t>Coleman Oil</t>
  </si>
  <si>
    <t>Fuel Summary</t>
  </si>
  <si>
    <t>Times test period gallons</t>
  </si>
  <si>
    <t>Price Differential</t>
  </si>
  <si>
    <t>Last 12 month Totals</t>
  </si>
  <si>
    <t>Last 12 Months</t>
  </si>
  <si>
    <t>April  30</t>
  </si>
  <si>
    <t>Rolloff:</t>
  </si>
  <si>
    <t>Regular:</t>
  </si>
  <si>
    <t>Proforma Adjustments:</t>
  </si>
  <si>
    <t>Fleet Fueling/Conoco Phillips</t>
  </si>
  <si>
    <t xml:space="preserve">Fuel Proforma </t>
  </si>
  <si>
    <t xml:space="preserve">Less per books </t>
  </si>
  <si>
    <t>Base</t>
  </si>
  <si>
    <t>Wage</t>
  </si>
  <si>
    <t xml:space="preserve">Per Books </t>
  </si>
  <si>
    <t>64 Chelan Falls Rd</t>
  </si>
  <si>
    <t>Recycle Operations:</t>
  </si>
  <si>
    <t>63 Chelan Falls Rd</t>
  </si>
  <si>
    <t>62 Chelan Falls Rd</t>
  </si>
  <si>
    <t>61 Chelan Falls Rd</t>
  </si>
  <si>
    <t>60 Chelan Falls Rd</t>
  </si>
  <si>
    <t>Refuse Operations:</t>
  </si>
  <si>
    <t>Proforma Adj</t>
  </si>
  <si>
    <t>Rent Expense:</t>
  </si>
  <si>
    <t>Rent Expense</t>
  </si>
  <si>
    <t>A</t>
  </si>
  <si>
    <t>B&amp;O reports</t>
  </si>
  <si>
    <t>Quarterly reports</t>
  </si>
  <si>
    <t>Employment Security rate notice</t>
  </si>
  <si>
    <t>L&amp;I rate notice</t>
  </si>
  <si>
    <t>Loan documents</t>
  </si>
  <si>
    <t>Equipment receipts</t>
  </si>
  <si>
    <t>(These can be sent later directly to staff)</t>
  </si>
  <si>
    <t>Supporting Documents for Staff:</t>
  </si>
  <si>
    <t>Building &amp; Property Rent</t>
  </si>
  <si>
    <t>Landfill rate ordinances</t>
  </si>
  <si>
    <t>C</t>
  </si>
  <si>
    <t>Copies: (Put in Back Tab of Notebook)</t>
  </si>
  <si>
    <t>Service Counts</t>
  </si>
  <si>
    <t>Drop Box Allocation</t>
  </si>
  <si>
    <t>Container Count</t>
  </si>
  <si>
    <t>Hours and Miles</t>
  </si>
  <si>
    <t>Depr Allocation</t>
  </si>
  <si>
    <t>Overhead Allocations</t>
  </si>
  <si>
    <t>Cost Allocations</t>
  </si>
  <si>
    <t>Lurito - Okanogan</t>
  </si>
  <si>
    <t>Lurito - Douglas</t>
  </si>
  <si>
    <t>Lurito- Chelan</t>
  </si>
  <si>
    <t>Priceout - Okanogan</t>
  </si>
  <si>
    <t>Priceout - Douglas</t>
  </si>
  <si>
    <t>Priceout - Chelan</t>
  </si>
  <si>
    <t>Employment Security</t>
  </si>
  <si>
    <t>Fuel Proforma</t>
  </si>
  <si>
    <t>Previous Rate Increases</t>
  </si>
  <si>
    <t>City Contracts</t>
  </si>
  <si>
    <t>Health Insurance</t>
  </si>
  <si>
    <t>L&amp;I</t>
  </si>
  <si>
    <t>Monthly income statements</t>
  </si>
  <si>
    <t>Wutc Balance Sheet</t>
  </si>
  <si>
    <t>Lurito</t>
  </si>
  <si>
    <t>Total Operations</t>
  </si>
  <si>
    <t>Bridgeport Service Counts</t>
  </si>
  <si>
    <t>Pateros Service Counts</t>
  </si>
  <si>
    <t>Service Count Data</t>
  </si>
  <si>
    <t>Monthly Data-Disposal fees</t>
  </si>
  <si>
    <t>Monthly Data-Container counts</t>
  </si>
  <si>
    <t>Monthly Data-Hours &amp; Miles</t>
  </si>
  <si>
    <t>General Data:</t>
  </si>
  <si>
    <t>Annual Report Data Template</t>
  </si>
  <si>
    <t>Completed</t>
  </si>
  <si>
    <t>C =</t>
  </si>
  <si>
    <t>Partially Completed</t>
  </si>
  <si>
    <t xml:space="preserve">P = </t>
  </si>
  <si>
    <t>Awaiting Data</t>
  </si>
  <si>
    <t xml:space="preserve">A = </t>
  </si>
  <si>
    <t>Rate Case Checklist</t>
  </si>
  <si>
    <t>Residential</t>
  </si>
  <si>
    <t>(12/31 Count)</t>
  </si>
  <si>
    <t>Number of Customers by Customer Class:</t>
  </si>
  <si>
    <t>Number of Customers By County:</t>
  </si>
  <si>
    <t>Total Net Average Investment</t>
  </si>
  <si>
    <t>(Recheck cell references after updating Depr schedule)</t>
  </si>
  <si>
    <t>Depreciation Expense</t>
  </si>
  <si>
    <t>Operating</t>
  </si>
  <si>
    <t>Non</t>
  </si>
  <si>
    <t xml:space="preserve">Recycling </t>
  </si>
  <si>
    <t>Info from WUTC Depreciation Schedule:</t>
  </si>
  <si>
    <t>State Refuse Collection tax</t>
  </si>
  <si>
    <t>State B&amp;O tax - Retailing</t>
  </si>
  <si>
    <t>State B&amp;O tax - Services</t>
  </si>
  <si>
    <t>Tax Rates:</t>
  </si>
  <si>
    <t>General Data</t>
  </si>
  <si>
    <t>Rolloff Miles</t>
  </si>
  <si>
    <t>Rolloff Employee Hours</t>
  </si>
  <si>
    <t>Net Chelan</t>
  </si>
  <si>
    <t>Cardboard</t>
  </si>
  <si>
    <t xml:space="preserve">October </t>
  </si>
  <si>
    <t>Yards per County</t>
  </si>
  <si>
    <t>From Monthly Reports</t>
  </si>
  <si>
    <t>YD8</t>
  </si>
  <si>
    <t>YD6</t>
  </si>
  <si>
    <t>YD4</t>
  </si>
  <si>
    <t>YD3</t>
  </si>
  <si>
    <t>YD2</t>
  </si>
  <si>
    <t>YD1.5</t>
  </si>
  <si>
    <t>YD1</t>
  </si>
  <si>
    <t>RO30</t>
  </si>
  <si>
    <t>RO20</t>
  </si>
  <si>
    <t>RO10</t>
  </si>
  <si>
    <t>Container Count - July 31</t>
  </si>
  <si>
    <t>Chelan Commercial Recycling Processing Fees:</t>
  </si>
  <si>
    <t>Chelan Commercial Recycling Yardage:</t>
  </si>
  <si>
    <t>Chelan Commingled Recycling Processing Fees:</t>
  </si>
  <si>
    <t>Chelan Commingled Recycling Yardage:</t>
  </si>
  <si>
    <t>OKA</t>
  </si>
  <si>
    <t>DOU</t>
  </si>
  <si>
    <t>CHE</t>
  </si>
  <si>
    <t>YDM1</t>
  </si>
  <si>
    <t>YDE02</t>
  </si>
  <si>
    <t>YDE01</t>
  </si>
  <si>
    <t>ROTON</t>
  </si>
  <si>
    <t>ROLY</t>
  </si>
  <si>
    <t>ROLL</t>
  </si>
  <si>
    <t>ROCY</t>
  </si>
  <si>
    <t>RO40R</t>
  </si>
  <si>
    <t>RO40</t>
  </si>
  <si>
    <t>RO30R</t>
  </si>
  <si>
    <t>RO20R</t>
  </si>
  <si>
    <t>RO10R</t>
  </si>
  <si>
    <t>RCTURN</t>
  </si>
  <si>
    <t>RC30</t>
  </si>
  <si>
    <t>RC20</t>
  </si>
  <si>
    <t>R8YD</t>
  </si>
  <si>
    <t>R6YD</t>
  </si>
  <si>
    <t>R4YD</t>
  </si>
  <si>
    <t>R3YD</t>
  </si>
  <si>
    <t>R2YD</t>
  </si>
  <si>
    <t>R1.5YD</t>
  </si>
  <si>
    <t>R1YD</t>
  </si>
  <si>
    <t>MISC</t>
  </si>
  <si>
    <t>MILES</t>
  </si>
  <si>
    <t>LOOSE</t>
  </si>
  <si>
    <t>LOCK</t>
  </si>
  <si>
    <t>HOURX</t>
  </si>
  <si>
    <t>HOURT</t>
  </si>
  <si>
    <t>HOURC</t>
  </si>
  <si>
    <t>FC</t>
  </si>
  <si>
    <t>DRUMS</t>
  </si>
  <si>
    <t>DI</t>
  </si>
  <si>
    <t>DE40Y</t>
  </si>
  <si>
    <t>DE30Y</t>
  </si>
  <si>
    <t>DE20Y</t>
  </si>
  <si>
    <t>DE10Y</t>
  </si>
  <si>
    <t>D8YD</t>
  </si>
  <si>
    <t>D6YD</t>
  </si>
  <si>
    <t>D4YD</t>
  </si>
  <si>
    <t>D3YD</t>
  </si>
  <si>
    <t>D2YD</t>
  </si>
  <si>
    <t>D1.5YD</t>
  </si>
  <si>
    <t>D1YD</t>
  </si>
  <si>
    <t>CR50*</t>
  </si>
  <si>
    <t>CR25*</t>
  </si>
  <si>
    <t>CQ50</t>
  </si>
  <si>
    <t>CQ25</t>
  </si>
  <si>
    <t>CP50*</t>
  </si>
  <si>
    <t>CP25</t>
  </si>
  <si>
    <t>CP100*</t>
  </si>
  <si>
    <t>CO50*</t>
  </si>
  <si>
    <t>CO25</t>
  </si>
  <si>
    <t>CO125</t>
  </si>
  <si>
    <t>CO100</t>
  </si>
  <si>
    <t>CANX</t>
  </si>
  <si>
    <t>CANU6</t>
  </si>
  <si>
    <t>CANU5</t>
  </si>
  <si>
    <t>CANU4</t>
  </si>
  <si>
    <t>CANU3</t>
  </si>
  <si>
    <t>CANU2</t>
  </si>
  <si>
    <t>CANU1</t>
  </si>
  <si>
    <t>CANM3</t>
  </si>
  <si>
    <t>CANM2</t>
  </si>
  <si>
    <t>CANM1</t>
  </si>
  <si>
    <t>CANM</t>
  </si>
  <si>
    <t>CAN96</t>
  </si>
  <si>
    <t>CAN95</t>
  </si>
  <si>
    <t>CAN66</t>
  </si>
  <si>
    <t>CAN65</t>
  </si>
  <si>
    <t>CAN61</t>
  </si>
  <si>
    <t>CAN46</t>
  </si>
  <si>
    <t>CAN45</t>
  </si>
  <si>
    <t>CAN41</t>
  </si>
  <si>
    <t>CAN6</t>
  </si>
  <si>
    <t>CAN5</t>
  </si>
  <si>
    <t>CAN4</t>
  </si>
  <si>
    <t xml:space="preserve">CAN3 </t>
  </si>
  <si>
    <t>CAN2</t>
  </si>
  <si>
    <t xml:space="preserve">  </t>
  </si>
  <si>
    <t>CAN1</t>
  </si>
  <si>
    <t xml:space="preserve">January </t>
  </si>
  <si>
    <t>Adjusted</t>
  </si>
  <si>
    <t>Split Year Totals</t>
  </si>
  <si>
    <t xml:space="preserve">INPUT FROM MONTHLY REVENUE REPORT PER SERVICE PER COUNTY PER DAY/ROUTE </t>
  </si>
  <si>
    <t>Total Per Books</t>
  </si>
  <si>
    <t>Loose</t>
  </si>
  <si>
    <t>6 Yard 2x</t>
  </si>
  <si>
    <t>4 Yard 2x</t>
  </si>
  <si>
    <t>2 Yard 2x</t>
  </si>
  <si>
    <t>1 Yard 2x</t>
  </si>
  <si>
    <t>6 Yard Rental</t>
  </si>
  <si>
    <t>4 Yard Rental</t>
  </si>
  <si>
    <t>2 Yard Rental</t>
  </si>
  <si>
    <t>1 Yard Rental</t>
  </si>
  <si>
    <t>95 gal tote</t>
  </si>
  <si>
    <t>65 gal tote</t>
  </si>
  <si>
    <t>Extra Cans</t>
  </si>
  <si>
    <t>2-95 gal tote</t>
  </si>
  <si>
    <t>1 Can</t>
  </si>
  <si>
    <t>Service:</t>
  </si>
  <si>
    <t>City of Pateros Service Counts</t>
  </si>
  <si>
    <t>Pickups:</t>
  </si>
  <si>
    <t>96-gal tote</t>
  </si>
  <si>
    <t>64-gal tote</t>
  </si>
  <si>
    <t>96 gal tote</t>
  </si>
  <si>
    <t>64 gal tote</t>
  </si>
  <si>
    <t>Senior 64 gal tote</t>
  </si>
  <si>
    <t>City of Bridgeport Service Counts</t>
  </si>
  <si>
    <t>next year</t>
  </si>
  <si>
    <t>XXXX</t>
  </si>
  <si>
    <t>test period year</t>
  </si>
  <si>
    <t>0 months in second year</t>
  </si>
  <si>
    <t>12 months in first year</t>
  </si>
  <si>
    <t xml:space="preserve"> Set up for calendar year test period</t>
  </si>
  <si>
    <t>NOTE:</t>
  </si>
  <si>
    <t>Average Investment</t>
  </si>
  <si>
    <t>boy</t>
  </si>
  <si>
    <t>eoy</t>
  </si>
  <si>
    <t>TOTAL EQUIPMENT</t>
  </si>
  <si>
    <t>Beg of yr.</t>
  </si>
  <si>
    <t>TOTAL OFFICE EQUIPMENT</t>
  </si>
  <si>
    <t>SL</t>
  </si>
  <si>
    <t>DELL XPS COMPUTER</t>
  </si>
  <si>
    <t>LEXMARK XS652 COPIER</t>
  </si>
  <si>
    <t>DELL OPTIPLEX 330</t>
  </si>
  <si>
    <t xml:space="preserve">HP FAX MACHINE </t>
  </si>
  <si>
    <t>HP 4300DTNS PRINTER</t>
  </si>
  <si>
    <t>OKIDATA 395 PRINTER</t>
  </si>
  <si>
    <t>DELL INSPIRON 6400</t>
  </si>
  <si>
    <t>HP 4250 PRINTER</t>
  </si>
  <si>
    <t xml:space="preserve">DELL DIMENSION 9150 </t>
  </si>
  <si>
    <t xml:space="preserve">DELL DIMENSION 3000 </t>
  </si>
  <si>
    <t>OFFICE DESK</t>
  </si>
  <si>
    <t>OFFICE CABINETS</t>
  </si>
  <si>
    <t>NEC PHONE SYSTEM</t>
  </si>
  <si>
    <t>SECURITY SYSTEM</t>
  </si>
  <si>
    <t>OKIDATA 396 PRINTER</t>
  </si>
  <si>
    <t>RICOH COPIER</t>
  </si>
  <si>
    <t>HP 4000 PRINTER</t>
  </si>
  <si>
    <t xml:space="preserve">SHARP CALCULATOR </t>
  </si>
  <si>
    <t xml:space="preserve">OFFICE DESK &amp; CREDENZA   </t>
  </si>
  <si>
    <t>OFFICE EQUIP./FURNITURE:</t>
  </si>
  <si>
    <t>TOTAL OTHER EQUIP.</t>
  </si>
  <si>
    <t>1946 CHEVY PANEL TRUCK</t>
  </si>
  <si>
    <t>STORAGE CONTAINER LID</t>
  </si>
  <si>
    <t xml:space="preserve">WATER TANK       </t>
  </si>
  <si>
    <t xml:space="preserve">WATER TANK      </t>
  </si>
  <si>
    <t>TOTAL SHOP EQUIP.</t>
  </si>
  <si>
    <t>JOHN DEERE MOWER</t>
  </si>
  <si>
    <t>BENDPAK LIFT</t>
  </si>
  <si>
    <t>BOBCAT CT225 W/BOX BLADE</t>
  </si>
  <si>
    <t>AIR COMPRESSOR</t>
  </si>
  <si>
    <t>FLAMMABLE STORAGE CABINET</t>
  </si>
  <si>
    <t>PRESSURE WASHER</t>
  </si>
  <si>
    <t>PORTABLE WELDER</t>
  </si>
  <si>
    <t>PLASMA CUTTER</t>
  </si>
  <si>
    <t>LINCOLN WIRE FEED WELDER</t>
  </si>
  <si>
    <t>KUBOTA TRACTOR L4400DT</t>
  </si>
  <si>
    <t>DEWALT METAL CHOP SAW</t>
  </si>
  <si>
    <t>AIR IMPACT GUN 1"</t>
  </si>
  <si>
    <t>SHOP BENCHES</t>
  </si>
  <si>
    <t>FORKLIFT</t>
  </si>
  <si>
    <t xml:space="preserve">WIRE FEED WELDER        </t>
  </si>
  <si>
    <t>SHOP EQUIPMENT:</t>
  </si>
  <si>
    <t>TOTAL RECYCLING EQUIP.</t>
  </si>
  <si>
    <t xml:space="preserve">MOVING USED BAILER </t>
  </si>
  <si>
    <t>RECYCLING EQUIPMENT:</t>
  </si>
  <si>
    <t xml:space="preserve">TOTERS 300-95 GAL RECYCLE </t>
  </si>
  <si>
    <t xml:space="preserve">TOTERS 200-95 GAL RECYCLE </t>
  </si>
  <si>
    <t>RECYCLING TOTERS:</t>
  </si>
  <si>
    <t xml:space="preserve">TOTAL ROLLOFF CONTAINERS </t>
  </si>
  <si>
    <t>CONTAINERS 2-30YD</t>
  </si>
  <si>
    <t>CONTAINERS 1-30YD</t>
  </si>
  <si>
    <t>CONTAINERS 2-20YD</t>
  </si>
  <si>
    <t>CONTAINERS 1-20YD</t>
  </si>
  <si>
    <t>CONTAINERS 2-10YD</t>
  </si>
  <si>
    <t xml:space="preserve">CONTAINERS 1-20YD </t>
  </si>
  <si>
    <t>CONTAINERS 2-10YD USED</t>
  </si>
  <si>
    <t xml:space="preserve">CONTAINERS 1 20CYD kit     </t>
  </si>
  <si>
    <t xml:space="preserve">CONTAINERS 1 30CYD     </t>
  </si>
  <si>
    <t xml:space="preserve">CONTAINERS 1 20CYD     </t>
  </si>
  <si>
    <t xml:space="preserve">CONTAINERS 2 30CYD     </t>
  </si>
  <si>
    <t xml:space="preserve">CONTAINERS 5 40CYD     </t>
  </si>
  <si>
    <t xml:space="preserve">CONTAINERS 1 11CYD     </t>
  </si>
  <si>
    <t xml:space="preserve">CONTAINERS 2 30CYD        </t>
  </si>
  <si>
    <t>ROLLOFF CONTAINERS:</t>
  </si>
  <si>
    <t>TOTAL TOTERS</t>
  </si>
  <si>
    <t>TOTERS 192-95 GAL</t>
  </si>
  <si>
    <t>TOTERS 96-65 GAL</t>
  </si>
  <si>
    <t>TOTERS 200-95 GAL</t>
  </si>
  <si>
    <t>TOTERS 100-65 GAL</t>
  </si>
  <si>
    <t>TOTERS 100-45 GAL</t>
  </si>
  <si>
    <t>TOTERS 120-95 GAL</t>
  </si>
  <si>
    <t>TOTERS 100-95 GAL</t>
  </si>
  <si>
    <t>TOTERS 20-300 GAL</t>
  </si>
  <si>
    <t>TOTERS 200-64 GAL</t>
  </si>
  <si>
    <t>TOTERS 100-96 GAL</t>
  </si>
  <si>
    <t>TOTERS 564-48 GAL</t>
  </si>
  <si>
    <t>TOTERS 50-300 GAL</t>
  </si>
  <si>
    <t>TOTERS 100-64 GAL</t>
  </si>
  <si>
    <t>TOTERS 1176-64 GAL</t>
  </si>
  <si>
    <t xml:space="preserve">TOTERS 348-96 GAL  </t>
  </si>
  <si>
    <t xml:space="preserve">TOTERS 100-65 GAL  </t>
  </si>
  <si>
    <t>TOTERS:</t>
  </si>
  <si>
    <t xml:space="preserve">TOTAL BINS &amp; CONTAINERS </t>
  </si>
  <si>
    <t xml:space="preserve">CONTAINERS 4-6YD </t>
  </si>
  <si>
    <t xml:space="preserve">CONTAINERS 12-2YD </t>
  </si>
  <si>
    <t xml:space="preserve">CONTAINERS 10-2YD </t>
  </si>
  <si>
    <t xml:space="preserve">CONTAINERS 2-6YD </t>
  </si>
  <si>
    <t xml:space="preserve">CONTAINERS 12-1YD </t>
  </si>
  <si>
    <t>CONTAINERS 9-6YD USED</t>
  </si>
  <si>
    <t>CONTAINERS 3-4YD USED</t>
  </si>
  <si>
    <t>CONTAINERS 4-4YD</t>
  </si>
  <si>
    <t>CONTAINERS 10-4YD  USED</t>
  </si>
  <si>
    <t>CONTAINERS 10-6YD  USED</t>
  </si>
  <si>
    <t>CONTAINERS 4-6YD</t>
  </si>
  <si>
    <t>CONTAINERS 12-1YD</t>
  </si>
  <si>
    <t>CONTAINERS 2-4YD</t>
  </si>
  <si>
    <t>CONTAINERS 1-1YD</t>
  </si>
  <si>
    <t>CONTAINERS 2-6YD</t>
  </si>
  <si>
    <t xml:space="preserve">CONTAINERS 15-2YD </t>
  </si>
  <si>
    <t xml:space="preserve">CONTAINERS 20-1YD </t>
  </si>
  <si>
    <t>CONTAINERS 5-6YD USED</t>
  </si>
  <si>
    <t>CONTAINERS 15-2YD</t>
  </si>
  <si>
    <t>CONTAINERS 15-1YD</t>
  </si>
  <si>
    <t>CONTAINERS 10-1YD</t>
  </si>
  <si>
    <t xml:space="preserve">CONTAINERS 2-6CYD  HEAVY DUTY   </t>
  </si>
  <si>
    <t xml:space="preserve">CONTAINERS 1-6CYD     </t>
  </si>
  <si>
    <t xml:space="preserve">CONTAINERS 2-4CYD     </t>
  </si>
  <si>
    <t xml:space="preserve">CONTAINERS 15-2CYD     </t>
  </si>
  <si>
    <t xml:space="preserve">CONTAINERS 10-1CYD     </t>
  </si>
  <si>
    <t xml:space="preserve">CONTAINERS 2-6CYD     </t>
  </si>
  <si>
    <t xml:space="preserve">CONTAINERS 2 4CYD     </t>
  </si>
  <si>
    <t xml:space="preserve">CONTAINERS 15 2CYD     </t>
  </si>
  <si>
    <t xml:space="preserve">CONTAINERS 15 1CYD     </t>
  </si>
  <si>
    <t xml:space="preserve">CONTAINERS 4 4CYD     </t>
  </si>
  <si>
    <t xml:space="preserve">CONTAINERS 20 2CYD     </t>
  </si>
  <si>
    <t xml:space="preserve">CONTAINERS 20 1CYD     </t>
  </si>
  <si>
    <t xml:space="preserve">CONTAINERS 10 2CYD     </t>
  </si>
  <si>
    <t xml:space="preserve">CONTAINERS 10 1CYD    </t>
  </si>
  <si>
    <t xml:space="preserve">CONTAINERS 10 6CYD     </t>
  </si>
  <si>
    <t xml:space="preserve">CONTAINERS 1 4CYD     </t>
  </si>
  <si>
    <t xml:space="preserve">CONTAINERS 2 6CYD     </t>
  </si>
  <si>
    <t xml:space="preserve">CONTAINERS 10 1CYD     </t>
  </si>
  <si>
    <t xml:space="preserve">CONTAINERS 12 1CYD     </t>
  </si>
  <si>
    <t xml:space="preserve">CONTAINERS 8 2CYD     </t>
  </si>
  <si>
    <t xml:space="preserve">CONTAINERS 5 1CYD     </t>
  </si>
  <si>
    <t xml:space="preserve">CONTAINERS 5 2CYD     </t>
  </si>
  <si>
    <t xml:space="preserve">CONTAINERS 5 3CYD     </t>
  </si>
  <si>
    <t xml:space="preserve">CONTAINERS 2 1CYD     </t>
  </si>
  <si>
    <t xml:space="preserve">CONTAINERS 2 3CYD     </t>
  </si>
  <si>
    <t xml:space="preserve">CONTAINERS 12 2CYD  </t>
  </si>
  <si>
    <t xml:space="preserve">CONTAINERS 1 2CYD     </t>
  </si>
  <si>
    <t xml:space="preserve">CONTAINERS 5 1CYD      </t>
  </si>
  <si>
    <t xml:space="preserve">CONTAINERS 9 2CYD     </t>
  </si>
  <si>
    <t xml:space="preserve">CONTAINERS 3 BOTTOMS   </t>
  </si>
  <si>
    <t xml:space="preserve">CONTAINERS 5 6CYD     </t>
  </si>
  <si>
    <t xml:space="preserve">CONTAINERS 4 2CYD     </t>
  </si>
  <si>
    <t xml:space="preserve">CONTAINERS 8 1CYD     </t>
  </si>
  <si>
    <t xml:space="preserve">CONTAINERS 2 2CYD     </t>
  </si>
  <si>
    <t xml:space="preserve">CONTAINERS 1 1CYD        </t>
  </si>
  <si>
    <t xml:space="preserve">CONTAINERS 7 2CYD        </t>
  </si>
  <si>
    <t xml:space="preserve">CONTAINERS 4 1CYD        </t>
  </si>
  <si>
    <t xml:space="preserve">CONTAINERS 3 1.5CYD      </t>
  </si>
  <si>
    <t>BINS 5 2CYD  4 1CYD</t>
  </si>
  <si>
    <t>BINS 7 1CYD</t>
  </si>
  <si>
    <t>BINS 14  2CYD</t>
  </si>
  <si>
    <t>BINS 2 8CYD</t>
  </si>
  <si>
    <t>CONTAINERS</t>
  </si>
  <si>
    <t>BINS</t>
  </si>
  <si>
    <t xml:space="preserve">BINS </t>
  </si>
  <si>
    <t>BINS 20</t>
  </si>
  <si>
    <t>BINS &amp; CONTAINERS:</t>
  </si>
  <si>
    <t>TOTAL ROLLOFF EQUIPMENT</t>
  </si>
  <si>
    <t>2013 FREIGHTLINER ROLLOFF</t>
  </si>
  <si>
    <t>1994 CHEVY 3500 HOOKLIFT</t>
  </si>
  <si>
    <t>ROLLOFF EQUIPMENT:</t>
  </si>
  <si>
    <t>2018 FREIGHTLINER W/20YD COBRA</t>
  </si>
  <si>
    <t>2018 PETERBILT SL W/29YD LABRIE</t>
  </si>
  <si>
    <t>2003 PETERBILT SL REBUILD</t>
  </si>
  <si>
    <t>2017 ISUZU WAYNE TOMCAT</t>
  </si>
  <si>
    <t>2017 GMC TRUCK</t>
  </si>
  <si>
    <t>2016 FREIGHTLINER W/20YD COBRA</t>
  </si>
  <si>
    <t>2015 FREIGHTLINER W/20YD COBRA</t>
  </si>
  <si>
    <t>SOFT TOUCH GRABBERS/HEIL</t>
  </si>
  <si>
    <t>2013 PETERBILT SL W/20YD COBRA</t>
  </si>
  <si>
    <t>2003 PETERBILT 320/HEIL SL</t>
  </si>
  <si>
    <t>2013 FREIGHTLINER W/20YD COBRA</t>
  </si>
  <si>
    <t>ENGINE FOR ISUZU 6YD</t>
  </si>
  <si>
    <t>TRAILER</t>
  </si>
  <si>
    <t>TOTE LIFT - 2005 STERLING</t>
  </si>
  <si>
    <t>SNOW PLOW</t>
  </si>
  <si>
    <t>FORD F250 PICKUP</t>
  </si>
  <si>
    <t>2001 FORD F45O FLATBED</t>
  </si>
  <si>
    <t>1999 ISUZU W/6YD TOMCAT</t>
  </si>
  <si>
    <t>TRAILERS</t>
  </si>
  <si>
    <t>E.</t>
  </si>
  <si>
    <t>D.</t>
  </si>
  <si>
    <t>C.</t>
  </si>
  <si>
    <t>B</t>
  </si>
  <si>
    <t>A.</t>
  </si>
  <si>
    <t>Investment</t>
  </si>
  <si>
    <t>Depr.</t>
  </si>
  <si>
    <t>Allo.</t>
  </si>
  <si>
    <t>Depn.</t>
  </si>
  <si>
    <t>Depn</t>
  </si>
  <si>
    <t>Disposal</t>
  </si>
  <si>
    <t xml:space="preserve"> Mo.</t>
  </si>
  <si>
    <t xml:space="preserve">  Yr.</t>
  </si>
  <si>
    <t>Mo</t>
  </si>
  <si>
    <t>Yr</t>
  </si>
  <si>
    <t>DESCRIPTION</t>
  </si>
  <si>
    <t>(loss)</t>
  </si>
  <si>
    <t>Depr</t>
  </si>
  <si>
    <t>Test year</t>
  </si>
  <si>
    <t>Test yr.</t>
  </si>
  <si>
    <t>Year</t>
  </si>
  <si>
    <t>Monthly</t>
  </si>
  <si>
    <t>Depreciable</t>
  </si>
  <si>
    <t>Asset</t>
  </si>
  <si>
    <t>Fully</t>
  </si>
  <si>
    <t>Life</t>
  </si>
  <si>
    <t>Method</t>
  </si>
  <si>
    <t>Value</t>
  </si>
  <si>
    <t xml:space="preserve">   Service</t>
  </si>
  <si>
    <t>Gain</t>
  </si>
  <si>
    <t>Accum</t>
  </si>
  <si>
    <t>Sales</t>
  </si>
  <si>
    <t>Accum.</t>
  </si>
  <si>
    <t>Branch</t>
  </si>
  <si>
    <t>Accumulated</t>
  </si>
  <si>
    <t>Allocated</t>
  </si>
  <si>
    <t xml:space="preserve">  Asset  </t>
  </si>
  <si>
    <t>Salvage</t>
  </si>
  <si>
    <t xml:space="preserve">   Date in</t>
  </si>
  <si>
    <t>Disposition Date</t>
  </si>
  <si>
    <t>Beginning</t>
  </si>
  <si>
    <t>Beg of Test Period</t>
  </si>
  <si>
    <t>Highlighted vehicles subject to personal use adjustment</t>
  </si>
  <si>
    <t>Date fully Depr</t>
  </si>
  <si>
    <t>Second year</t>
  </si>
  <si>
    <t>End of Test Period</t>
  </si>
  <si>
    <t>B.</t>
  </si>
  <si>
    <t>First year</t>
  </si>
  <si>
    <t>Purchase date</t>
  </si>
  <si>
    <t>Months in second year</t>
  </si>
  <si>
    <t>Months in first year</t>
  </si>
  <si>
    <t>Depreciation Schedule</t>
  </si>
  <si>
    <t>Zippy Disposal</t>
  </si>
  <si>
    <t/>
  </si>
  <si>
    <t>Per Priceout</t>
  </si>
  <si>
    <t>Regulated</t>
  </si>
  <si>
    <t>Less: Non-Regulated and Res. Recy.</t>
  </si>
  <si>
    <t>Allocation %</t>
  </si>
  <si>
    <t>Allocator</t>
  </si>
  <si>
    <t>Direct</t>
  </si>
  <si>
    <t>Comm. Container Count</t>
  </si>
  <si>
    <t>Direct (Disp. Cost)</t>
  </si>
  <si>
    <t>Avg. of all Allocators</t>
  </si>
  <si>
    <t>Percentage of Depreciation Exp.</t>
  </si>
  <si>
    <t>Allocation by County</t>
  </si>
  <si>
    <t>Chelan Regulated</t>
  </si>
  <si>
    <t>Adj. #</t>
  </si>
  <si>
    <t>Ties to GL</t>
  </si>
  <si>
    <t>Douglas Regulated</t>
  </si>
  <si>
    <t>Okanogan Regulated</t>
  </si>
  <si>
    <t>check</t>
  </si>
  <si>
    <t>Trailers - Salvage Recovery</t>
  </si>
  <si>
    <t>Trailer - Salvage Recovery</t>
  </si>
  <si>
    <t>1999 ISUZU W/6YD TOMCAT - Salvage Recovery</t>
  </si>
  <si>
    <t>2001 FORD F45O FLATBED - Salvage Recovery</t>
  </si>
  <si>
    <t>FORD F250 PICKUP - Salvage Recovery</t>
  </si>
  <si>
    <t>SNOW PLOW - Salvage Recovery</t>
  </si>
  <si>
    <t>TOTE LIFT - 2005 STERLING - Salvage Recovery</t>
  </si>
  <si>
    <t>ENGINE FOR ISUZU 6YD - Salvage Recovery</t>
  </si>
  <si>
    <t xml:space="preserve">Staff </t>
  </si>
  <si>
    <t>EOP Investment</t>
  </si>
  <si>
    <t>2013 FREIGHTLINER W/20YD COBRA - Salvage Recovery</t>
  </si>
  <si>
    <t>New assets since last GRC</t>
  </si>
  <si>
    <t>1994 CHEVY 3500 HOOKLIFT - Salvage Recovery</t>
  </si>
  <si>
    <t>KUBOTA TRACTOR L4400DT - Salvage Recovery</t>
  </si>
  <si>
    <t>LINCOLN WIRE FEED WELDER - Salvage Recovery</t>
  </si>
  <si>
    <t>PLASMA CUTTER - Salvage Recovery</t>
  </si>
  <si>
    <t>PORTABLE WELDER - Salvage Recovery</t>
  </si>
  <si>
    <t>PRESSURE WASHER - Salvage Recovery</t>
  </si>
  <si>
    <t>Investment Allocation</t>
  </si>
  <si>
    <t>Remove - Recycle</t>
  </si>
  <si>
    <t>Staff Agrees with Allocation Method</t>
  </si>
  <si>
    <t xml:space="preserve">Total WRRA </t>
  </si>
  <si>
    <t>Less: Sponsor Annual Meeting</t>
  </si>
  <si>
    <t>Regulated/Non-Regulated Alloc.</t>
  </si>
  <si>
    <t>Service Count Break Down (Residential and Commercial Only)</t>
  </si>
  <si>
    <t>Monthly Subscribers</t>
  </si>
  <si>
    <t>Staff LG % Increase</t>
  </si>
  <si>
    <t>Staff Calculated</t>
  </si>
  <si>
    <t>Staff</t>
  </si>
  <si>
    <t>Revenue Incr.</t>
  </si>
  <si>
    <t>LG Rev. Requirement</t>
  </si>
  <si>
    <t>Variance</t>
  </si>
  <si>
    <t>Regulated Total</t>
  </si>
  <si>
    <t>2007 Sterling w/ McNeilus 20 YD RL</t>
  </si>
  <si>
    <t>2007 Sterling w/ 20 Yd Cobra</t>
  </si>
  <si>
    <t>2005 Sterling w/ McNeilus 20 YD RL and 2004 Freightliner w/ RO Heist</t>
  </si>
  <si>
    <t>Staff Changed Allocation Method</t>
  </si>
  <si>
    <t>Amortize over 3 years</t>
  </si>
  <si>
    <t>Final turnover</t>
  </si>
  <si>
    <t>Profit Margin</t>
  </si>
  <si>
    <t>Operating Ratio</t>
  </si>
  <si>
    <t>Return on Equity</t>
  </si>
  <si>
    <t>Return on Investment</t>
  </si>
  <si>
    <t>After Tax</t>
  </si>
  <si>
    <t>Pre-tax</t>
  </si>
  <si>
    <t>Operating Statistics</t>
  </si>
  <si>
    <t>Slope</t>
  </si>
  <si>
    <t>Equity</t>
  </si>
  <si>
    <t>Pfd.</t>
  </si>
  <si>
    <t>Y intercept (4)</t>
  </si>
  <si>
    <t>Y intercept (2)</t>
  </si>
  <si>
    <t>Debt</t>
  </si>
  <si>
    <t>Y intercept (3)</t>
  </si>
  <si>
    <t>Y intercept (1)</t>
  </si>
  <si>
    <t>Weighted</t>
  </si>
  <si>
    <t>Regression Results</t>
  </si>
  <si>
    <t>Base Utility from LG Sample Study</t>
  </si>
  <si>
    <t>Curve No. used</t>
  </si>
  <si>
    <t>Curve turnover</t>
  </si>
  <si>
    <t>Percent Chg</t>
  </si>
  <si>
    <t>Lookup Table</t>
  </si>
  <si>
    <t>Taxes</t>
  </si>
  <si>
    <t>Curve</t>
  </si>
  <si>
    <t>Revenue Sensitive Taxes Charges</t>
  </si>
  <si>
    <t>7th Iteration</t>
  </si>
  <si>
    <t>Income Tax</t>
  </si>
  <si>
    <t>6th Iteration</t>
  </si>
  <si>
    <t>After</t>
  </si>
  <si>
    <t>Before</t>
  </si>
  <si>
    <t>5th Iteration</t>
  </si>
  <si>
    <t>Cost of Capital</t>
  </si>
  <si>
    <t>Type</t>
  </si>
  <si>
    <t>● Corrects interest rate transposition in LG.</t>
  </si>
  <si>
    <t>Financing Cost</t>
  </si>
  <si>
    <t>Captial Structure Financing Investment</t>
  </si>
  <si>
    <t xml:space="preserve">   resulting revenue requirment,</t>
  </si>
  <si>
    <t>● Minimizes impact of changes in test-year revenue from</t>
  </si>
  <si>
    <t>● Allows Income Tax Rate Changes,</t>
  </si>
  <si>
    <t>Rate Increase</t>
  </si>
  <si>
    <t>2018 Version Update Changes</t>
  </si>
  <si>
    <t>4th Iteration</t>
  </si>
  <si>
    <t>Rev Sensitive Taxes</t>
  </si>
  <si>
    <t>Revenue Increase before taxes</t>
  </si>
  <si>
    <t>Historical Revenue</t>
  </si>
  <si>
    <t>For Intial input: Uncheck Checkbox Until Completed</t>
  </si>
  <si>
    <t>No</t>
  </si>
  <si>
    <t xml:space="preserve">Operating Ratio </t>
  </si>
  <si>
    <t>Check when input is complete</t>
  </si>
  <si>
    <t>3rd Iteration</t>
  </si>
  <si>
    <t>Net Income</t>
  </si>
  <si>
    <t>Bad Debts</t>
  </si>
  <si>
    <t>City Tax</t>
  </si>
  <si>
    <t>Income Tax Expense</t>
  </si>
  <si>
    <t>WUTC Fee</t>
  </si>
  <si>
    <t>Interest Expense</t>
  </si>
  <si>
    <t>B&amp;O Tax Rate</t>
  </si>
  <si>
    <t>2nd Iteration</t>
  </si>
  <si>
    <t>Federal Income Tax Rate</t>
  </si>
  <si>
    <t>Operating Income</t>
  </si>
  <si>
    <t>Capital Structure - Debt Cost</t>
  </si>
  <si>
    <t>Operating Expenses</t>
  </si>
  <si>
    <t>Capital Structure - Debt %</t>
  </si>
  <si>
    <t>Operating Revenue</t>
  </si>
  <si>
    <t>Requirment</t>
  </si>
  <si>
    <t xml:space="preserve"> Sensitive Taxes</t>
  </si>
  <si>
    <t>Change</t>
  </si>
  <si>
    <t>No.</t>
  </si>
  <si>
    <t>Revenue Req</t>
  </si>
  <si>
    <t>RevS Taxes</t>
  </si>
  <si>
    <t>Profit Ratio</t>
  </si>
  <si>
    <t>BTROR</t>
  </si>
  <si>
    <t>Equity BFT</t>
  </si>
  <si>
    <t>BTROE</t>
  </si>
  <si>
    <t>WCDebt</t>
  </si>
  <si>
    <t>BTROI</t>
  </si>
  <si>
    <t>Add: Revenue</t>
  </si>
  <si>
    <t>Historical</t>
  </si>
  <si>
    <t>Line</t>
  </si>
  <si>
    <t xml:space="preserve">RevS </t>
  </si>
  <si>
    <t>Increase After</t>
  </si>
  <si>
    <t xml:space="preserve"> Increase Before</t>
  </si>
  <si>
    <t>Before RevS</t>
  </si>
  <si>
    <t>Before Tax</t>
  </si>
  <si>
    <t>Weighted Cost</t>
  </si>
  <si>
    <t>Less</t>
  </si>
  <si>
    <t>(f)</t>
  </si>
  <si>
    <t>(e)</t>
  </si>
  <si>
    <t>(d)</t>
  </si>
  <si>
    <t>(c)</t>
  </si>
  <si>
    <t>(b)</t>
  </si>
  <si>
    <t>(a)</t>
  </si>
  <si>
    <t>INPUTS - Test Year</t>
  </si>
  <si>
    <t xml:space="preserve">Revenue </t>
  </si>
  <si>
    <t>Hauler</t>
  </si>
  <si>
    <t>Regession</t>
  </si>
  <si>
    <t>(d) + (e)</t>
  </si>
  <si>
    <t>(b) + (c)</t>
  </si>
  <si>
    <t>Revenue Senstive Taxes (RevS)</t>
  </si>
  <si>
    <t>CALCULATION TABLES</t>
  </si>
  <si>
    <t>nonpubco</t>
  </si>
  <si>
    <r>
      <t xml:space="preserve">LURITO - GALLAGHER FORMULA  MODEL 2018  </t>
    </r>
    <r>
      <rPr>
        <sz val="8"/>
        <color indexed="9"/>
        <rFont val="Calibri"/>
        <family val="2"/>
      </rPr>
      <t>V5.0a</t>
    </r>
  </si>
  <si>
    <t>Non-Public Companies</t>
  </si>
  <si>
    <t>Total WRRA Dues</t>
  </si>
  <si>
    <t>Staff Adjustment Summary</t>
  </si>
  <si>
    <t>Staff Proposed</t>
  </si>
  <si>
    <t>Result</t>
  </si>
  <si>
    <t>Changed tax rate in LG to 21%. As a policy, we do not allow changes to the tax rate and use the current corporate tax rate of 21%</t>
  </si>
  <si>
    <t>Adjusted Gain on Sale. Removed proposed gain on sale and associated asset from the depreciation exp./ Investment calculation. This asset never hit the UTC books and was disposed of prior to inclusion in rates. Added gains resulting from trade-ins to purchase new trucks. Gain amount is equal to the trade-in value in excess of salvage value on the books (these amounts were taken from the last rate case). Staff is proposing to amortize these gains over 3 years, similar to how the salvage value recovery is treated.</t>
  </si>
  <si>
    <t>Adjustments to Allocations - See "Cost Allocations- Contracts" worksheet. Staff created a "Average of Percentages" allocator similar to the one proposed for split between the counties. This was used for allocating certain G&amp;A expenses between regulated and non-regulated operations. See Overhead allocation worksheet for calculations.  Staff also changed G&amp;A allocations on Cost Allocations - Recycle worksheet. This was being allocated using a 98% hardcoded figure, changed to Employee Hours as that seemed to be the most appropriate allocator available.</t>
  </si>
  <si>
    <t>See Cost Allocations- Contracts and Cost Allocations - Recycle Worksheets</t>
  </si>
  <si>
    <t>Staff removed WRRA event sponsorship and applied the 80% adjustment to WRRA dues to reflect the removal of lobbying costs</t>
  </si>
  <si>
    <t>Removed Pro forma Wage Increase for employee no longer working at the company</t>
  </si>
  <si>
    <t xml:space="preserve">Changed Depreciation/Average Investment Methodology. Changed to end of period Investment (Net Book Value), gave full year of depreciation expense for assets added during the test year and full value (less one year of Accum. Depr) for Investment on new assets added in test year. To removed salvage values off the books, added "Salvage Recovery Assets" to depreciate the remaining salvage values over 3 years. For assets added since the last rate case, changed all salvage values to 0% to depreciate the total cost of the assets. </t>
  </si>
  <si>
    <t>Removed advertising expenses. These costs are only allowable if being used to broadcast schedule changes (e.g. Holiday hours). If any of those costs are contained in this account they can be added back in</t>
  </si>
  <si>
    <t>Tires and tubes Recycle</t>
  </si>
  <si>
    <t xml:space="preserve">Tires and tubes Recycle </t>
  </si>
  <si>
    <t>(12)</t>
  </si>
  <si>
    <t>Commingled Processing Costs</t>
  </si>
  <si>
    <t>Average Bale weight (pounds)</t>
  </si>
  <si>
    <t xml:space="preserve">  Total weight in pounds</t>
  </si>
  <si>
    <t>Convert to tons</t>
  </si>
  <si>
    <t xml:space="preserve">  Total weight in tons</t>
  </si>
  <si>
    <t>Quoted processing rate including shipping</t>
  </si>
  <si>
    <t xml:space="preserve">  Total estimated processing cost</t>
  </si>
  <si>
    <t>1994 Chevy Rolloff</t>
  </si>
  <si>
    <t>2013 Freighliner Rolloff</t>
  </si>
  <si>
    <t>CANR95</t>
  </si>
  <si>
    <t>R45,65,95</t>
  </si>
  <si>
    <t xml:space="preserve">Toter Removal </t>
  </si>
  <si>
    <t>1-95 gal Recycle Tote</t>
  </si>
  <si>
    <t>October 2018</t>
  </si>
  <si>
    <t>November 2018</t>
  </si>
  <si>
    <t>December 2018</t>
  </si>
  <si>
    <t>Rate per yard beginning 3/1/2019</t>
  </si>
  <si>
    <t>Roberto Vejar</t>
  </si>
  <si>
    <t>Carrie Austin</t>
  </si>
  <si>
    <t>New Rate for 2019</t>
  </si>
  <si>
    <t>2019 proforma amount</t>
  </si>
  <si>
    <t>This difference is due to the new Family Leave premiums that I havent broke out into a new expense account</t>
  </si>
  <si>
    <t>Break out Family leave next time</t>
  </si>
  <si>
    <t xml:space="preserve">Note:  The recycle building was not completed until the end of March 2019. Rent payments began in April. </t>
  </si>
  <si>
    <t xml:space="preserve">CONTAINERS 2-4YD </t>
  </si>
  <si>
    <t xml:space="preserve">CONTAINERS 24-2YD </t>
  </si>
  <si>
    <t>2013 PETERBILT SL REBUILD PACKER AND ARM</t>
  </si>
  <si>
    <t xml:space="preserve">2013 PETERBILT SL NEW ARM ASSEMBLY </t>
  </si>
  <si>
    <t>2017 FREIGHTLINER W/20YD COBRA</t>
  </si>
  <si>
    <t xml:space="preserve">FLOOR SCALE </t>
  </si>
  <si>
    <t>TRUCK STEP LADDER</t>
  </si>
  <si>
    <t>BOBCAT CT225 W/BACKHOE</t>
  </si>
  <si>
    <t>2019 FORD TRUCK</t>
  </si>
  <si>
    <t>LIFT GATE FOR 2001 FORD FLATBED</t>
  </si>
  <si>
    <t>(13)</t>
  </si>
  <si>
    <t>Amortize gain over 3 years from last rate case</t>
  </si>
  <si>
    <t>Employee Truck Hours:</t>
  </si>
  <si>
    <t>Employee Truck Hours</t>
  </si>
  <si>
    <t>12 Months Ended September 30, 2019</t>
  </si>
  <si>
    <t>1-45 gal Toter Monthly</t>
  </si>
  <si>
    <t>Toter removal</t>
  </si>
  <si>
    <t>Postage-Statements</t>
  </si>
  <si>
    <t>REBUILT CONTAINERS</t>
  </si>
  <si>
    <t>AS OF 12/31/19</t>
  </si>
  <si>
    <t>State family leave</t>
  </si>
  <si>
    <t>Chelan County Waste Fee</t>
  </si>
  <si>
    <t>Postage-statements</t>
  </si>
  <si>
    <t>Tires and tubes-Recycle</t>
  </si>
  <si>
    <t xml:space="preserve">From  </t>
  </si>
  <si>
    <t xml:space="preserve">Company </t>
  </si>
  <si>
    <t>F/S</t>
  </si>
  <si>
    <t>2012 Freightliner</t>
  </si>
  <si>
    <t>2019 Bridgeport Transfer Station Tonnage:</t>
  </si>
  <si>
    <t>Rate per yard beginning 3/1/2020</t>
  </si>
  <si>
    <t>From Payroll Reports</t>
  </si>
  <si>
    <t>1/1 - 5/31</t>
  </si>
  <si>
    <t>5 months</t>
  </si>
  <si>
    <t>6/1 - 12/31</t>
  </si>
  <si>
    <t>7 Months</t>
  </si>
  <si>
    <t>1/1/20 - 12/31/20</t>
  </si>
  <si>
    <t>1/1/20 -</t>
  </si>
  <si>
    <t>zippy/wutc/ratecases/2021/</t>
  </si>
  <si>
    <t>1/1/2020 - 12/31/2020</t>
  </si>
  <si>
    <t>1/01/2020 - 12/31/2020</t>
  </si>
  <si>
    <t>1/1/20 -12/31/20</t>
  </si>
  <si>
    <t>12/31/20</t>
  </si>
  <si>
    <t>2020 FREIGHTLINER W/20YD COBRA</t>
  </si>
  <si>
    <t xml:space="preserve">Gain to </t>
  </si>
  <si>
    <t>Recognize</t>
  </si>
  <si>
    <t xml:space="preserve">Sale </t>
  </si>
  <si>
    <t xml:space="preserve">Monthly </t>
  </si>
  <si>
    <t xml:space="preserve">Recognize </t>
  </si>
  <si>
    <t>this year</t>
  </si>
  <si>
    <t xml:space="preserve">Deferred </t>
  </si>
  <si>
    <t xml:space="preserve">Gain </t>
  </si>
  <si>
    <t>CONTAINERS 6-6YD</t>
  </si>
  <si>
    <t>LIFT GATE INSTALL</t>
  </si>
  <si>
    <t>DUMP TRAILER 4000#</t>
  </si>
  <si>
    <t>POLARIS 4 SEATER</t>
  </si>
  <si>
    <t>For The Twelve Months Ending December 31, 2020</t>
  </si>
  <si>
    <t>12 Months Ended December 31,2020</t>
  </si>
  <si>
    <t xml:space="preserve"> 1/1/20 thru 3/31/20</t>
  </si>
  <si>
    <t>4/1/20 thru 6/30/20</t>
  </si>
  <si>
    <t xml:space="preserve"> 7/1/20 thru 9/30/20</t>
  </si>
  <si>
    <t xml:space="preserve"> 10/1/20 thru 12/31/20</t>
  </si>
  <si>
    <t>Jack Austin</t>
  </si>
  <si>
    <t>Randy Lloyd</t>
  </si>
  <si>
    <t>Ryan Sargent</t>
  </si>
  <si>
    <t>3/4/2021</t>
  </si>
  <si>
    <t>Limit</t>
  </si>
  <si>
    <t>12 Months Ended December 31, 2020</t>
  </si>
  <si>
    <t xml:space="preserve"> January 1 - December 31, 2019</t>
  </si>
  <si>
    <t xml:space="preserve">  January 1 - December 31, 2020</t>
  </si>
  <si>
    <t xml:space="preserve">  January 1 - December 31, 2019</t>
  </si>
  <si>
    <t xml:space="preserve"> January 1 - December 31, 2020</t>
  </si>
  <si>
    <t>January 1 - December 31, 2019</t>
  </si>
  <si>
    <t>REBUILT 30YD</t>
  </si>
  <si>
    <t>Loose Yards-Brush</t>
  </si>
  <si>
    <t>ROBR</t>
  </si>
  <si>
    <t>Rent</t>
  </si>
  <si>
    <t>2020</t>
  </si>
  <si>
    <t>Proforma adjustment December 31, 2020</t>
  </si>
  <si>
    <t>2020 Chelan Transfer Station Yardage:</t>
  </si>
  <si>
    <t>2020 disposal fees</t>
  </si>
  <si>
    <t>2021 Proforma disposal fees</t>
  </si>
  <si>
    <t>Note:  Only mid year rate change was Chelan Transfer Station raised tipping fees to $36.76 on March 1, 2020</t>
  </si>
  <si>
    <t>Service Count Break Down by County: ( Should exclude drop box container rents and mileage-fix next time)</t>
  </si>
  <si>
    <t>STATUS</t>
  </si>
  <si>
    <t>December 31, 2020</t>
  </si>
  <si>
    <t>For The Twelve Months Ending December 31,2020</t>
  </si>
  <si>
    <t xml:space="preserve">For The Twelve Months Ending December 31,2020 </t>
  </si>
  <si>
    <t xml:space="preserve">Commingled Recycling processing costs from material collected and </t>
  </si>
  <si>
    <t>shipped in 2019 but not invoiced until May 2020.</t>
  </si>
  <si>
    <t>Commingled Bales on hand at 12/31/20</t>
  </si>
  <si>
    <t>12/31/2020.</t>
  </si>
  <si>
    <t xml:space="preserve">STATUS </t>
  </si>
  <si>
    <t>Current Monthly Dues 12x $445</t>
  </si>
  <si>
    <t>Amortize gain on equipment traded in:</t>
  </si>
  <si>
    <t xml:space="preserve">Depr Life of </t>
  </si>
  <si>
    <t>New Asset</t>
  </si>
  <si>
    <t>Trade in</t>
  </si>
  <si>
    <t>Date of</t>
  </si>
  <si>
    <t>Gain to Recognize:</t>
  </si>
  <si>
    <t>2013 Freightliner traded in on 2020 Freightliner</t>
  </si>
  <si>
    <t>Pro Forma</t>
  </si>
  <si>
    <t>Cost Allocations - Contracts</t>
  </si>
  <si>
    <t>Cost Allocations - Recycle</t>
  </si>
  <si>
    <t>Cost Allocations - Rolloff</t>
  </si>
  <si>
    <t>Results of Operations - Staff</t>
  </si>
  <si>
    <t>Results of Operations - Regulated</t>
  </si>
  <si>
    <t>Staff Pro Forma</t>
  </si>
  <si>
    <t>July 31, 2020</t>
  </si>
  <si>
    <t>Goes to Hours &amp; Miles</t>
  </si>
  <si>
    <t>Replace Julie</t>
  </si>
  <si>
    <t xml:space="preserve">Douglas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</si>
</sst>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_);\(0.00\)"/>
    <numFmt numFmtId="166" formatCode="#,##0.0000_);\(#,##0.0000\)"/>
    <numFmt numFmtId="167" formatCode="0_)"/>
    <numFmt numFmtId="168" formatCode="#,##0.000_);\(#,##0.000\)"/>
    <numFmt numFmtId="169" formatCode="0.0000%"/>
    <numFmt numFmtId="170" formatCode="#,##0.000000_);\(#,##0.000000\)"/>
    <numFmt numFmtId="171" formatCode="&quot;$&quot;#,##0.00"/>
    <numFmt numFmtId="172" formatCode="0.0"/>
    <numFmt numFmtId="173" formatCode="0.00000"/>
    <numFmt numFmtId="174" formatCode="0.0000"/>
    <numFmt numFmtId="175" formatCode="0.000"/>
    <numFmt numFmtId="176" formatCode="_(* #,##0.00_);_(* \(#,##0.00\);_(* &quot;-&quot;_);_(@_)"/>
    <numFmt numFmtId="177" formatCode="0.000%"/>
    <numFmt numFmtId="178" formatCode="_(* #,##0_);_(* \(#,##0\);_(* &quot;-&quot;??_);_(@_)"/>
    <numFmt numFmtId="179" formatCode="_(* #,##0.000_);_(* \(#,##0.000\);_(* &quot;-&quot;??_);_(@_)"/>
    <numFmt numFmtId="180" formatCode="_(&quot;$&quot;* #,##0_);_(&quot;$&quot;* \(#,##0\);_(&quot;$&quot;* &quot;-&quot;??_);_(@_)"/>
    <numFmt numFmtId="181" formatCode="0.00000%"/>
    <numFmt numFmtId="182" formatCode="#,##0.00;[Red]#,##0.00"/>
    <numFmt numFmtId="183" formatCode="0.00_);[Red]\(0.00\)"/>
    <numFmt numFmtId="184" formatCode="#,##0.0_);\(#,##0.0\)"/>
    <numFmt numFmtId="185" formatCode="&quot;$&quot;#,##0"/>
    <numFmt numFmtId="186" formatCode="#,##0.00000_);\(#,##0.00000\)"/>
  </numFmts>
  <fonts count="62">
    <font>
      <sz val="10"/>
      <name val="Arial"/>
    </font>
    <font>
      <sz val="10"/>
      <name val="Arial"/>
      <family val="2"/>
    </font>
    <font>
      <sz val="10"/>
      <color indexed="10"/>
      <name val="Arial"/>
      <family val="2"/>
    </font>
    <font>
      <sz val="10"/>
      <name val="Arial"/>
      <family val="2"/>
    </font>
    <font>
      <sz val="10"/>
      <color indexed="8"/>
      <name val="Arial"/>
      <family val="2"/>
    </font>
    <font>
      <sz val="10"/>
      <color indexed="10"/>
      <name val="Arial"/>
      <family val="2"/>
    </font>
    <font>
      <sz val="10"/>
      <color indexed="16"/>
      <name val="Arial"/>
      <family val="2"/>
    </font>
    <font>
      <sz val="10"/>
      <color indexed="11"/>
      <name val="Arial"/>
      <family val="2"/>
    </font>
    <font>
      <sz val="10"/>
      <name val="Times New Roman"/>
      <family val="1"/>
    </font>
    <font>
      <sz val="12"/>
      <name val="SWISS"/>
    </font>
    <font>
      <sz val="10"/>
      <name val="Arial"/>
      <family val="2"/>
    </font>
    <font>
      <b/>
      <sz val="10"/>
      <name val="Arial"/>
      <family val="2"/>
    </font>
    <font>
      <sz val="10"/>
      <color indexed="53"/>
      <name val="Arial"/>
      <family val="2"/>
    </font>
    <font>
      <b/>
      <sz val="10"/>
      <color indexed="10"/>
      <name val="Arial"/>
      <family val="2"/>
    </font>
    <font>
      <sz val="10"/>
      <color indexed="12"/>
      <name val="Arial"/>
      <family val="2"/>
    </font>
    <font>
      <sz val="10"/>
      <color indexed="17"/>
      <name val="Arial"/>
      <family val="2"/>
    </font>
    <font>
      <sz val="10"/>
      <color indexed="52"/>
      <name val="Arial"/>
      <family val="2"/>
    </font>
    <font>
      <b/>
      <sz val="10"/>
      <color indexed="17"/>
      <name val="Arial"/>
      <family val="2"/>
    </font>
    <font>
      <sz val="14"/>
      <name val="Arial"/>
      <family val="2"/>
    </font>
    <font>
      <sz val="12"/>
      <name val="Helv"/>
    </font>
    <font>
      <sz val="12"/>
      <color indexed="10"/>
      <name val="Helv"/>
    </font>
    <font>
      <sz val="14"/>
      <color indexed="10"/>
      <name val="Helv"/>
    </font>
    <font>
      <sz val="12"/>
      <name val="Arial"/>
      <family val="2"/>
    </font>
    <font>
      <b/>
      <sz val="12"/>
      <name val="Arial"/>
      <family val="2"/>
    </font>
    <font>
      <b/>
      <sz val="12"/>
      <name val="Helv"/>
    </font>
    <font>
      <sz val="9"/>
      <color indexed="81"/>
      <name val="Tahoma"/>
      <family val="2"/>
    </font>
    <font>
      <b/>
      <sz val="9"/>
      <color indexed="81"/>
      <name val="Tahoma"/>
      <family val="2"/>
    </font>
    <font>
      <sz val="10"/>
      <color rgb="FFFF0000"/>
      <name val="Arial"/>
      <family val="2"/>
    </font>
    <font>
      <sz val="10"/>
      <color theme="5" tint="-0.249977111117893"/>
      <name val="Arial"/>
      <family val="2"/>
    </font>
    <font>
      <b/>
      <sz val="10"/>
      <color theme="9" tint="-0.499984740745262"/>
      <name val="Arial"/>
      <family val="2"/>
    </font>
    <font>
      <sz val="11"/>
      <color theme="0"/>
      <name val="Calibri"/>
      <family val="2"/>
      <scheme val="minor"/>
    </font>
    <font>
      <sz val="11"/>
      <name val="Times New Roman"/>
      <family val="1"/>
    </font>
    <font>
      <sz val="10"/>
      <color indexed="18"/>
      <name val="Times New Roman"/>
      <family val="1"/>
    </font>
    <font>
      <sz val="10"/>
      <color indexed="39"/>
      <name val="Times New Roman"/>
      <family val="1"/>
    </font>
    <font>
      <sz val="12"/>
      <color indexed="18"/>
      <name val="SWISS"/>
    </font>
    <font>
      <sz val="12"/>
      <color indexed="56"/>
      <name val="SWISS"/>
    </font>
    <font>
      <i/>
      <sz val="12"/>
      <name val="SWISS"/>
    </font>
    <font>
      <b/>
      <sz val="10"/>
      <name val="SWISS"/>
    </font>
    <font>
      <b/>
      <sz val="12"/>
      <name val="SWISS"/>
    </font>
    <font>
      <sz val="12"/>
      <color indexed="32"/>
      <name val="SWISS"/>
    </font>
    <font>
      <sz val="12"/>
      <name val="Times New Roman"/>
      <family val="1"/>
    </font>
    <font>
      <sz val="12"/>
      <color indexed="39"/>
      <name val="Times New Roman"/>
      <family val="1"/>
    </font>
    <font>
      <sz val="12"/>
      <color indexed="18"/>
      <name val="Times New Roman"/>
      <family val="1"/>
    </font>
    <font>
      <sz val="12"/>
      <color indexed="8"/>
      <name val="Times New Roman"/>
      <family val="1"/>
    </font>
    <font>
      <b/>
      <sz val="12"/>
      <color indexed="39"/>
      <name val="Times New Roman"/>
      <family val="1"/>
    </font>
    <font>
      <u/>
      <sz val="12"/>
      <color indexed="8"/>
      <name val="Times New Roman"/>
      <family val="1"/>
    </font>
    <font>
      <b/>
      <u/>
      <sz val="12"/>
      <color indexed="39"/>
      <name val="Times New Roman"/>
      <family val="1"/>
    </font>
    <font>
      <sz val="12"/>
      <color indexed="10"/>
      <name val="SWISS"/>
    </font>
    <font>
      <sz val="12"/>
      <color indexed="8"/>
      <name val="SWISS"/>
    </font>
    <font>
      <u/>
      <sz val="12"/>
      <color indexed="12"/>
      <name val="Times New Roman"/>
      <family val="1"/>
    </font>
    <font>
      <b/>
      <sz val="12"/>
      <color indexed="12"/>
      <name val="Times New Roman"/>
      <family val="1"/>
    </font>
    <font>
      <sz val="9"/>
      <color indexed="39"/>
      <name val="Times New Roman"/>
      <family val="1"/>
    </font>
    <font>
      <sz val="12"/>
      <color indexed="39"/>
      <name val="SWISS"/>
    </font>
    <font>
      <sz val="14"/>
      <color indexed="9"/>
      <name val="Calibri"/>
      <family val="2"/>
    </font>
    <font>
      <sz val="9"/>
      <color rgb="FF0070C0"/>
      <name val="SWISS"/>
    </font>
    <font>
      <b/>
      <sz val="14"/>
      <name val="SWISS"/>
    </font>
    <font>
      <sz val="8"/>
      <color indexed="9"/>
      <name val="Calibri"/>
      <family val="2"/>
    </font>
    <font>
      <sz val="12"/>
      <color indexed="12"/>
      <name val="SWISS"/>
    </font>
    <font>
      <b/>
      <sz val="14"/>
      <name val="Arial"/>
      <family val="2"/>
    </font>
    <font>
      <sz val="10"/>
      <color theme="9" tint="-0.499984740745262"/>
      <name val="Arial"/>
      <family val="2"/>
    </font>
    <font>
      <sz val="12"/>
      <color rgb="FFFF0000"/>
      <name val="Helv"/>
    </font>
    <font>
      <b/>
      <sz val="10"/>
      <color rgb="FFFF0000"/>
      <name val="Arial"/>
      <family val="2"/>
    </font>
  </fonts>
  <fills count="1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patternFill>
    </fill>
    <fill>
      <patternFill patternType="solid">
        <fgColor indexed="15"/>
        <bgColor indexed="64"/>
      </patternFill>
    </fill>
    <fill>
      <patternFill patternType="solid">
        <fgColor indexed="9"/>
        <bgColor indexed="8"/>
      </patternFill>
    </fill>
  </fills>
  <borders count="47">
    <border>
      <left/>
      <right/>
      <top/>
      <bottom/>
      <diagonal/>
    </border>
    <border>
      <left/>
      <right/>
      <top/>
      <bottom style="thick">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ck">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ck">
        <color indexed="64"/>
      </top>
      <bottom/>
      <diagonal/>
    </border>
    <border>
      <left style="thin">
        <color indexed="64"/>
      </left>
      <right/>
      <top style="thick">
        <color indexed="64"/>
      </top>
      <bottom/>
      <diagonal/>
    </border>
    <border>
      <left/>
      <right/>
      <top style="medium">
        <color indexed="64"/>
      </top>
      <bottom style="medium">
        <color indexed="64"/>
      </bottom>
      <diagonal/>
    </border>
    <border>
      <left/>
      <right/>
      <top style="thin">
        <color indexed="64"/>
      </top>
      <bottom/>
      <diagonal/>
    </border>
    <border>
      <left style="medium">
        <color indexed="64"/>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theme="4" tint="-0.24994659260841701"/>
      </top>
      <bottom style="double">
        <color theme="4" tint="-0.24994659260841701"/>
      </bottom>
      <diagonal/>
    </border>
    <border>
      <left/>
      <right style="thin">
        <color indexed="64"/>
      </right>
      <top style="thin">
        <color indexed="64"/>
      </top>
      <bottom style="double">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1" fontId="8" fillId="3" borderId="0">
      <alignment horizontal="left"/>
    </xf>
    <xf numFmtId="43"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9" fillId="2" borderId="0"/>
    <xf numFmtId="0" fontId="19" fillId="0" borderId="0"/>
    <xf numFmtId="9" fontId="1" fillId="0" borderId="0" applyFont="0" applyFill="0" applyBorder="0" applyAlignment="0" applyProtection="0"/>
    <xf numFmtId="9" fontId="10" fillId="0" borderId="0" applyFont="0" applyFill="0" applyBorder="0" applyAlignment="0" applyProtection="0"/>
    <xf numFmtId="0" fontId="30" fillId="13" borderId="0" applyNumberFormat="0" applyBorder="0" applyAlignment="0" applyProtection="0"/>
    <xf numFmtId="10" fontId="8" fillId="3" borderId="0"/>
  </cellStyleXfs>
  <cellXfs count="747">
    <xf numFmtId="0" fontId="0" fillId="0" borderId="0" xfId="0"/>
    <xf numFmtId="0" fontId="0" fillId="0" borderId="0" xfId="0" quotePrefix="1"/>
    <xf numFmtId="0" fontId="0" fillId="0" borderId="0" xfId="0"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0" fillId="0" borderId="2" xfId="0" applyBorder="1"/>
    <xf numFmtId="39" fontId="0" fillId="0" borderId="0" xfId="0" applyNumberFormat="1"/>
    <xf numFmtId="39" fontId="0" fillId="0" borderId="2" xfId="0" applyNumberFormat="1" applyBorder="1"/>
    <xf numFmtId="39" fontId="0" fillId="0" borderId="3" xfId="0" applyNumberFormat="1" applyBorder="1"/>
    <xf numFmtId="0" fontId="0" fillId="0" borderId="1" xfId="0" applyBorder="1"/>
    <xf numFmtId="10" fontId="0" fillId="0" borderId="0" xfId="0" applyNumberFormat="1"/>
    <xf numFmtId="164" fontId="0" fillId="0" borderId="0" xfId="0" applyNumberFormat="1"/>
    <xf numFmtId="164" fontId="0" fillId="0" borderId="2" xfId="0" applyNumberFormat="1" applyBorder="1"/>
    <xf numFmtId="0" fontId="0" fillId="0" borderId="3" xfId="0" applyBorder="1"/>
    <xf numFmtId="164" fontId="0" fillId="0" borderId="3" xfId="0" applyNumberFormat="1" applyBorder="1"/>
    <xf numFmtId="164" fontId="2" fillId="0" borderId="0" xfId="0" applyNumberFormat="1" applyFont="1"/>
    <xf numFmtId="0" fontId="0" fillId="0" borderId="0" xfId="0" applyAlignment="1">
      <alignment horizontal="left"/>
    </xf>
    <xf numFmtId="40" fontId="0" fillId="0" borderId="0" xfId="0" applyNumberFormat="1"/>
    <xf numFmtId="0" fontId="0" fillId="0" borderId="0" xfId="0" applyBorder="1"/>
    <xf numFmtId="40" fontId="0" fillId="0" borderId="4" xfId="0" applyNumberFormat="1" applyBorder="1"/>
    <xf numFmtId="0" fontId="0" fillId="0" borderId="2" xfId="0" applyBorder="1" applyAlignment="1">
      <alignment horizontal="center"/>
    </xf>
    <xf numFmtId="40" fontId="0" fillId="0" borderId="3" xfId="0" applyNumberFormat="1" applyBorder="1"/>
    <xf numFmtId="38" fontId="0" fillId="0" borderId="0" xfId="0" applyNumberFormat="1"/>
    <xf numFmtId="38" fontId="0" fillId="0" borderId="4" xfId="0" applyNumberFormat="1" applyBorder="1"/>
    <xf numFmtId="38" fontId="0" fillId="0" borderId="3" xfId="0" applyNumberFormat="1" applyBorder="1"/>
    <xf numFmtId="164" fontId="2" fillId="0" borderId="2" xfId="0" applyNumberFormat="1" applyFont="1" applyBorder="1"/>
    <xf numFmtId="164" fontId="3" fillId="0" borderId="0" xfId="0" applyNumberFormat="1" applyFont="1"/>
    <xf numFmtId="164" fontId="4" fillId="0" borderId="0" xfId="0" applyNumberFormat="1" applyFont="1"/>
    <xf numFmtId="5" fontId="0" fillId="0" borderId="0" xfId="0" applyNumberFormat="1" applyProtection="1"/>
    <xf numFmtId="10" fontId="0" fillId="0" borderId="0" xfId="0" applyNumberFormat="1" applyProtection="1"/>
    <xf numFmtId="37" fontId="0" fillId="0" borderId="0" xfId="0" applyNumberFormat="1" applyProtection="1"/>
    <xf numFmtId="39" fontId="0" fillId="0" borderId="0" xfId="0" applyNumberFormat="1" applyProtection="1"/>
    <xf numFmtId="166" fontId="0" fillId="0" borderId="0" xfId="0" applyNumberFormat="1" applyProtection="1"/>
    <xf numFmtId="167" fontId="0" fillId="0" borderId="0" xfId="0" applyNumberFormat="1" applyAlignment="1" applyProtection="1">
      <alignment horizontal="left"/>
    </xf>
    <xf numFmtId="0" fontId="0" fillId="0" borderId="0" xfId="0" applyAlignment="1">
      <alignment horizontal="right"/>
    </xf>
    <xf numFmtId="168" fontId="0" fillId="0" borderId="0" xfId="0" applyNumberFormat="1" applyProtection="1"/>
    <xf numFmtId="169" fontId="0" fillId="0" borderId="0" xfId="0" applyNumberFormat="1" applyProtection="1"/>
    <xf numFmtId="0" fontId="0" fillId="0" borderId="0" xfId="0" applyAlignment="1">
      <alignment horizontal="fill"/>
    </xf>
    <xf numFmtId="170" fontId="0" fillId="0" borderId="0" xfId="0" applyNumberFormat="1" applyProtection="1"/>
    <xf numFmtId="9" fontId="0" fillId="0" borderId="0" xfId="0" applyNumberFormat="1" applyProtection="1"/>
    <xf numFmtId="9" fontId="2" fillId="0" borderId="0" xfId="0" applyNumberFormat="1" applyFont="1" applyProtection="1"/>
    <xf numFmtId="10" fontId="2" fillId="0" borderId="0" xfId="0" applyNumberFormat="1" applyFont="1" applyProtection="1"/>
    <xf numFmtId="10" fontId="0" fillId="0" borderId="4" xfId="0" applyNumberFormat="1" applyBorder="1"/>
    <xf numFmtId="39" fontId="0" fillId="0" borderId="4" xfId="0" applyNumberFormat="1" applyBorder="1"/>
    <xf numFmtId="39" fontId="2" fillId="0" borderId="4" xfId="0" applyNumberFormat="1" applyFont="1" applyBorder="1"/>
    <xf numFmtId="39" fontId="0" fillId="0" borderId="5" xfId="0" applyNumberFormat="1" applyBorder="1"/>
    <xf numFmtId="168" fontId="2" fillId="0" borderId="0" xfId="0" applyNumberFormat="1" applyFont="1" applyProtection="1"/>
    <xf numFmtId="43" fontId="0" fillId="0" borderId="0" xfId="0" applyNumberFormat="1"/>
    <xf numFmtId="39" fontId="2" fillId="0" borderId="2" xfId="0" applyNumberFormat="1" applyFont="1" applyBorder="1"/>
    <xf numFmtId="39" fontId="4" fillId="0" borderId="3" xfId="0" applyNumberFormat="1" applyFont="1" applyBorder="1"/>
    <xf numFmtId="39" fontId="4" fillId="0" borderId="0" xfId="0" applyNumberFormat="1" applyFont="1"/>
    <xf numFmtId="10" fontId="4" fillId="0" borderId="0" xfId="0" applyNumberFormat="1" applyFont="1"/>
    <xf numFmtId="8" fontId="0" fillId="0" borderId="0" xfId="0" applyNumberFormat="1"/>
    <xf numFmtId="4" fontId="0" fillId="0" borderId="0" xfId="0" applyNumberFormat="1"/>
    <xf numFmtId="14" fontId="0" fillId="0" borderId="0" xfId="0" applyNumberFormat="1" applyAlignment="1">
      <alignment horizontal="center"/>
    </xf>
    <xf numFmtId="14" fontId="0" fillId="0" borderId="0" xfId="0" quotePrefix="1" applyNumberFormat="1"/>
    <xf numFmtId="7" fontId="0" fillId="0" borderId="0" xfId="0" applyNumberFormat="1"/>
    <xf numFmtId="4" fontId="0" fillId="0" borderId="4" xfId="0" applyNumberFormat="1" applyBorder="1"/>
    <xf numFmtId="9" fontId="0" fillId="0" borderId="0" xfId="8" applyFont="1"/>
    <xf numFmtId="8" fontId="0" fillId="0" borderId="3" xfId="0" applyNumberFormat="1" applyBorder="1"/>
    <xf numFmtId="44" fontId="0" fillId="0" borderId="0" xfId="4" applyNumberFormat="1" applyFont="1" applyAlignment="1"/>
    <xf numFmtId="43" fontId="0" fillId="0" borderId="0" xfId="0" applyNumberFormat="1" applyAlignment="1"/>
    <xf numFmtId="43" fontId="0" fillId="0" borderId="4" xfId="0" applyNumberFormat="1" applyBorder="1"/>
    <xf numFmtId="171" fontId="0" fillId="0" borderId="0" xfId="0" applyNumberFormat="1"/>
    <xf numFmtId="171" fontId="0" fillId="0" borderId="5" xfId="0" applyNumberFormat="1" applyBorder="1"/>
    <xf numFmtId="0" fontId="5" fillId="0" borderId="0" xfId="0" applyFont="1"/>
    <xf numFmtId="4" fontId="5" fillId="0" borderId="0" xfId="0" applyNumberFormat="1" applyFont="1"/>
    <xf numFmtId="7" fontId="5" fillId="0" borderId="0" xfId="0" applyNumberFormat="1" applyFont="1"/>
    <xf numFmtId="0" fontId="0" fillId="0" borderId="0" xfId="0" applyFill="1" applyBorder="1" applyAlignment="1">
      <alignment horizontal="left"/>
    </xf>
    <xf numFmtId="7" fontId="0" fillId="0" borderId="2" xfId="0" applyNumberFormat="1" applyBorder="1"/>
    <xf numFmtId="0" fontId="6" fillId="0" borderId="0" xfId="0" applyFont="1"/>
    <xf numFmtId="0" fontId="7" fillId="0" borderId="0" xfId="0" applyFont="1"/>
    <xf numFmtId="44" fontId="0" fillId="0" borderId="0" xfId="4" applyFont="1"/>
    <xf numFmtId="44" fontId="0" fillId="0" borderId="0" xfId="0" applyNumberFormat="1"/>
    <xf numFmtId="10" fontId="0" fillId="0" borderId="4" xfId="0" applyNumberFormat="1" applyFill="1" applyBorder="1"/>
    <xf numFmtId="171" fontId="0" fillId="0" borderId="0" xfId="4" applyNumberFormat="1" applyFont="1" applyAlignment="1">
      <alignment horizontal="right"/>
    </xf>
    <xf numFmtId="0" fontId="0" fillId="0" borderId="4" xfId="0" applyBorder="1"/>
    <xf numFmtId="170" fontId="2" fillId="0" borderId="0" xfId="0" applyNumberFormat="1" applyFont="1" applyProtection="1"/>
    <xf numFmtId="44" fontId="5" fillId="0" borderId="0" xfId="0" applyNumberFormat="1" applyFont="1"/>
    <xf numFmtId="43" fontId="0" fillId="0" borderId="0" xfId="1" applyFont="1"/>
    <xf numFmtId="43" fontId="0" fillId="0" borderId="4" xfId="1" applyFont="1" applyBorder="1"/>
    <xf numFmtId="8" fontId="5" fillId="0" borderId="0" xfId="0" applyNumberFormat="1" applyFont="1"/>
    <xf numFmtId="39" fontId="0" fillId="0" borderId="0" xfId="0" applyNumberFormat="1" applyBorder="1"/>
    <xf numFmtId="0" fontId="3" fillId="0" borderId="0" xfId="0" applyFont="1"/>
    <xf numFmtId="2" fontId="0" fillId="0" borderId="0" xfId="0" applyNumberFormat="1"/>
    <xf numFmtId="2" fontId="0" fillId="0" borderId="4" xfId="0" applyNumberFormat="1" applyBorder="1"/>
    <xf numFmtId="38" fontId="0" fillId="0" borderId="0" xfId="0" applyNumberFormat="1" applyBorder="1"/>
    <xf numFmtId="39" fontId="3" fillId="0" borderId="0" xfId="0" applyNumberFormat="1" applyFont="1"/>
    <xf numFmtId="164" fontId="27" fillId="0" borderId="0" xfId="0" applyNumberFormat="1" applyFont="1"/>
    <xf numFmtId="0" fontId="0"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164" fontId="0" fillId="0" borderId="0" xfId="8" applyNumberFormat="1" applyFont="1"/>
    <xf numFmtId="164" fontId="3" fillId="0" borderId="0" xfId="8" applyNumberFormat="1" applyFont="1"/>
    <xf numFmtId="164" fontId="0" fillId="0" borderId="0" xfId="0" applyNumberFormat="1" applyBorder="1"/>
    <xf numFmtId="164" fontId="3" fillId="0" borderId="0" xfId="0" applyNumberFormat="1" applyFont="1" applyBorder="1"/>
    <xf numFmtId="171" fontId="0" fillId="0" borderId="0" xfId="1" applyNumberFormat="1" applyFont="1"/>
    <xf numFmtId="41" fontId="0" fillId="0" borderId="0" xfId="0" applyNumberFormat="1"/>
    <xf numFmtId="176" fontId="0" fillId="0" borderId="0" xfId="0" applyNumberFormat="1"/>
    <xf numFmtId="10" fontId="0" fillId="0" borderId="0" xfId="8" applyNumberFormat="1" applyFont="1"/>
    <xf numFmtId="43" fontId="3" fillId="0" borderId="0" xfId="0" applyNumberFormat="1" applyFont="1"/>
    <xf numFmtId="44" fontId="0" fillId="0" borderId="2" xfId="0" applyNumberFormat="1" applyBorder="1"/>
    <xf numFmtId="164" fontId="27" fillId="0" borderId="2" xfId="0" applyNumberFormat="1" applyFont="1" applyBorder="1"/>
    <xf numFmtId="164" fontId="3" fillId="0" borderId="2" xfId="0" applyNumberFormat="1" applyFont="1" applyBorder="1"/>
    <xf numFmtId="164" fontId="0" fillId="6" borderId="0" xfId="0" applyNumberFormat="1" applyFill="1"/>
    <xf numFmtId="178" fontId="0" fillId="0" borderId="0" xfId="1" applyNumberFormat="1" applyFont="1"/>
    <xf numFmtId="164" fontId="3" fillId="6" borderId="0" xfId="0" applyNumberFormat="1" applyFont="1" applyFill="1"/>
    <xf numFmtId="0" fontId="3" fillId="0" borderId="0" xfId="0" quotePrefix="1" applyFont="1"/>
    <xf numFmtId="39" fontId="3" fillId="6" borderId="0" xfId="0" applyNumberFormat="1" applyFont="1" applyFill="1"/>
    <xf numFmtId="0" fontId="3" fillId="6" borderId="0" xfId="0" applyFont="1" applyFill="1"/>
    <xf numFmtId="180" fontId="0" fillId="0" borderId="0" xfId="4" applyNumberFormat="1" applyFont="1"/>
    <xf numFmtId="180" fontId="0" fillId="0" borderId="2" xfId="4" applyNumberFormat="1" applyFont="1" applyBorder="1"/>
    <xf numFmtId="180" fontId="4" fillId="0" borderId="0" xfId="4" applyNumberFormat="1" applyFont="1"/>
    <xf numFmtId="0" fontId="0" fillId="0" borderId="6" xfId="0"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0" fontId="0" fillId="0" borderId="6" xfId="0" applyBorder="1"/>
    <xf numFmtId="180" fontId="0" fillId="0" borderId="6" xfId="4" applyNumberFormat="1" applyFont="1" applyBorder="1"/>
    <xf numFmtId="180" fontId="0" fillId="0" borderId="8" xfId="4" applyNumberFormat="1" applyFont="1" applyBorder="1"/>
    <xf numFmtId="39" fontId="0" fillId="0" borderId="6" xfId="0" applyNumberFormat="1" applyBorder="1"/>
    <xf numFmtId="37" fontId="0" fillId="0" borderId="0" xfId="0" applyNumberFormat="1"/>
    <xf numFmtId="172" fontId="0" fillId="0" borderId="0" xfId="0" applyNumberFormat="1"/>
    <xf numFmtId="177" fontId="11" fillId="0" borderId="0" xfId="9" applyNumberFormat="1" applyFont="1"/>
    <xf numFmtId="10" fontId="11" fillId="0" borderId="0" xfId="0" applyNumberFormat="1" applyFont="1"/>
    <xf numFmtId="44" fontId="11" fillId="0" borderId="0" xfId="5" applyFont="1"/>
    <xf numFmtId="0" fontId="11" fillId="0" borderId="0" xfId="0" applyFont="1"/>
    <xf numFmtId="0" fontId="0" fillId="0" borderId="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2" xfId="0" quotePrefix="1" applyBorder="1"/>
    <xf numFmtId="10" fontId="2" fillId="0" borderId="0" xfId="9" applyNumberFormat="1" applyFont="1"/>
    <xf numFmtId="10" fontId="0" fillId="0" borderId="0" xfId="9" applyNumberFormat="1" applyFont="1"/>
    <xf numFmtId="171" fontId="0" fillId="0" borderId="16" xfId="0" applyNumberFormat="1" applyFill="1" applyBorder="1"/>
    <xf numFmtId="5" fontId="0" fillId="0" borderId="0" xfId="0" applyNumberFormat="1"/>
    <xf numFmtId="169" fontId="0" fillId="0" borderId="0" xfId="0" applyNumberFormat="1"/>
    <xf numFmtId="181" fontId="11" fillId="0" borderId="0" xfId="9" applyNumberFormat="1" applyFont="1"/>
    <xf numFmtId="171" fontId="11" fillId="0" borderId="0" xfId="0" applyNumberFormat="1" applyFont="1"/>
    <xf numFmtId="0" fontId="0" fillId="0" borderId="17" xfId="0" applyBorder="1"/>
    <xf numFmtId="10" fontId="0" fillId="0" borderId="6" xfId="0" applyNumberFormat="1" applyBorder="1"/>
    <xf numFmtId="39" fontId="0" fillId="0" borderId="17" xfId="0" applyNumberFormat="1" applyBorder="1"/>
    <xf numFmtId="4" fontId="0" fillId="0" borderId="6" xfId="0" applyNumberFormat="1" applyBorder="1"/>
    <xf numFmtId="10" fontId="0" fillId="0" borderId="17" xfId="0" applyNumberFormat="1" applyBorder="1"/>
    <xf numFmtId="39" fontId="0" fillId="0" borderId="18" xfId="0" applyNumberFormat="1" applyBorder="1"/>
    <xf numFmtId="39" fontId="0" fillId="0" borderId="8" xfId="0" applyNumberFormat="1" applyBorder="1"/>
    <xf numFmtId="39" fontId="0" fillId="7" borderId="2" xfId="0" applyNumberFormat="1" applyFill="1" applyBorder="1"/>
    <xf numFmtId="0" fontId="0" fillId="0" borderId="19" xfId="0" applyBorder="1"/>
    <xf numFmtId="0" fontId="0" fillId="0" borderId="20" xfId="0" applyBorder="1"/>
    <xf numFmtId="181" fontId="2" fillId="0" borderId="0" xfId="0" applyNumberFormat="1" applyFont="1"/>
    <xf numFmtId="174" fontId="2" fillId="0" borderId="0" xfId="9" applyNumberFormat="1" applyFont="1"/>
    <xf numFmtId="174" fontId="2" fillId="0" borderId="0" xfId="0" applyNumberFormat="1" applyFont="1"/>
    <xf numFmtId="0" fontId="27" fillId="0" borderId="0" xfId="0" applyFont="1"/>
    <xf numFmtId="39" fontId="27" fillId="0" borderId="0" xfId="0" applyNumberFormat="1" applyFont="1"/>
    <xf numFmtId="0" fontId="3" fillId="0" borderId="0" xfId="0" applyFont="1" applyAlignment="1">
      <alignment horizontal="left"/>
    </xf>
    <xf numFmtId="43" fontId="0" fillId="0" borderId="3" xfId="0" applyNumberFormat="1" applyBorder="1"/>
    <xf numFmtId="164" fontId="0" fillId="0" borderId="4" xfId="0" applyNumberFormat="1" applyBorder="1"/>
    <xf numFmtId="41" fontId="0" fillId="0" borderId="3" xfId="0" applyNumberFormat="1" applyBorder="1"/>
    <xf numFmtId="41" fontId="3" fillId="0" borderId="4" xfId="0" applyNumberFormat="1" applyFont="1" applyBorder="1"/>
    <xf numFmtId="41" fontId="3" fillId="0" borderId="0" xfId="0" applyNumberFormat="1" applyFont="1"/>
    <xf numFmtId="37" fontId="0" fillId="0" borderId="3" xfId="0" applyNumberFormat="1" applyBorder="1"/>
    <xf numFmtId="37" fontId="0" fillId="0" borderId="4" xfId="0" applyNumberFormat="1" applyBorder="1"/>
    <xf numFmtId="10" fontId="0" fillId="0" borderId="21" xfId="0" applyNumberFormat="1" applyBorder="1"/>
    <xf numFmtId="164" fontId="0" fillId="0" borderId="21" xfId="0" applyNumberFormat="1" applyBorder="1"/>
    <xf numFmtId="10" fontId="0" fillId="0" borderId="22" xfId="0" applyNumberFormat="1" applyBorder="1"/>
    <xf numFmtId="10" fontId="0" fillId="0" borderId="0" xfId="0" applyNumberFormat="1" applyBorder="1"/>
    <xf numFmtId="164" fontId="0" fillId="0" borderId="4" xfId="0" applyNumberFormat="1" applyFill="1" applyBorder="1"/>
    <xf numFmtId="14" fontId="0" fillId="0" borderId="0" xfId="0" applyNumberFormat="1"/>
    <xf numFmtId="39" fontId="3" fillId="0" borderId="2" xfId="0" applyNumberFormat="1" applyFont="1" applyBorder="1"/>
    <xf numFmtId="37" fontId="0" fillId="0" borderId="2" xfId="0" applyNumberFormat="1" applyBorder="1"/>
    <xf numFmtId="37" fontId="3" fillId="0" borderId="2" xfId="0" applyNumberFormat="1" applyFont="1" applyBorder="1"/>
    <xf numFmtId="37" fontId="3" fillId="0" borderId="0" xfId="0" applyNumberFormat="1" applyFont="1"/>
    <xf numFmtId="7" fontId="0" fillId="0" borderId="3" xfId="0" applyNumberFormat="1" applyBorder="1"/>
    <xf numFmtId="7" fontId="0" fillId="0" borderId="11" xfId="0" applyNumberFormat="1" applyBorder="1"/>
    <xf numFmtId="39" fontId="0" fillId="0" borderId="12" xfId="0" applyNumberFormat="1" applyBorder="1"/>
    <xf numFmtId="0" fontId="0" fillId="0" borderId="11" xfId="0" applyBorder="1"/>
    <xf numFmtId="0" fontId="0" fillId="0" borderId="12" xfId="0" applyBorder="1"/>
    <xf numFmtId="39" fontId="0" fillId="0" borderId="9" xfId="0" applyNumberFormat="1" applyBorder="1"/>
    <xf numFmtId="37" fontId="0" fillId="0" borderId="10" xfId="0" applyNumberFormat="1" applyBorder="1"/>
    <xf numFmtId="7" fontId="2" fillId="0" borderId="0" xfId="0" applyNumberFormat="1" applyFont="1"/>
    <xf numFmtId="39" fontId="0" fillId="0" borderId="11" xfId="0" applyNumberFormat="1" applyBorder="1"/>
    <xf numFmtId="37" fontId="0" fillId="0" borderId="12" xfId="0" applyNumberFormat="1" applyBorder="1"/>
    <xf numFmtId="10" fontId="0" fillId="0" borderId="11" xfId="0" applyNumberFormat="1" applyBorder="1"/>
    <xf numFmtId="7" fontId="0" fillId="0" borderId="4" xfId="0" applyNumberFormat="1" applyBorder="1"/>
    <xf numFmtId="171" fontId="0" fillId="0" borderId="11" xfId="0" applyNumberFormat="1" applyBorder="1"/>
    <xf numFmtId="37" fontId="0" fillId="0" borderId="15" xfId="0" applyNumberFormat="1" applyBorder="1"/>
    <xf numFmtId="0" fontId="0" fillId="0" borderId="2" xfId="0"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2" fontId="3" fillId="6" borderId="0" xfId="0" applyNumberFormat="1" applyFont="1" applyFill="1"/>
    <xf numFmtId="0" fontId="0" fillId="6" borderId="0" xfId="0" applyFill="1"/>
    <xf numFmtId="4" fontId="0" fillId="6" borderId="0" xfId="0" applyNumberFormat="1" applyFill="1"/>
    <xf numFmtId="4" fontId="0" fillId="6" borderId="0" xfId="0" applyNumberFormat="1" applyFill="1" applyBorder="1"/>
    <xf numFmtId="4" fontId="0" fillId="6" borderId="4" xfId="0" applyNumberFormat="1" applyFill="1" applyBorder="1"/>
    <xf numFmtId="3" fontId="0" fillId="0" borderId="0" xfId="0" applyNumberFormat="1"/>
    <xf numFmtId="0" fontId="0" fillId="6" borderId="4" xfId="0" applyFill="1" applyBorder="1"/>
    <xf numFmtId="2" fontId="0" fillId="6" borderId="0" xfId="0" applyNumberFormat="1" applyFill="1"/>
    <xf numFmtId="3" fontId="0" fillId="0" borderId="4" xfId="0" applyNumberFormat="1" applyBorder="1"/>
    <xf numFmtId="3" fontId="0" fillId="6" borderId="0" xfId="0" applyNumberFormat="1" applyFill="1"/>
    <xf numFmtId="14" fontId="12" fillId="6" borderId="0" xfId="0" quotePrefix="1" applyNumberFormat="1" applyFont="1" applyFill="1" applyAlignment="1">
      <alignment horizontal="right"/>
    </xf>
    <xf numFmtId="0" fontId="12" fillId="6" borderId="0" xfId="0" applyFont="1" applyFill="1" applyAlignment="1">
      <alignment horizontal="right"/>
    </xf>
    <xf numFmtId="0" fontId="0" fillId="6" borderId="4" xfId="0" applyFill="1" applyBorder="1" applyAlignment="1">
      <alignment horizontal="center"/>
    </xf>
    <xf numFmtId="0" fontId="0" fillId="6" borderId="0" xfId="0" applyFill="1" applyBorder="1" applyAlignment="1">
      <alignment horizontal="center"/>
    </xf>
    <xf numFmtId="14" fontId="0" fillId="6" borderId="0" xfId="0" quotePrefix="1" applyNumberFormat="1" applyFill="1" applyAlignment="1">
      <alignment horizontal="center"/>
    </xf>
    <xf numFmtId="0" fontId="0" fillId="6" borderId="0" xfId="0" applyFill="1" applyAlignment="1">
      <alignment horizontal="center"/>
    </xf>
    <xf numFmtId="7" fontId="4" fillId="0" borderId="3" xfId="0" applyNumberFormat="1" applyFont="1" applyBorder="1"/>
    <xf numFmtId="0" fontId="4" fillId="0" borderId="0" xfId="0" applyFont="1"/>
    <xf numFmtId="182" fontId="0" fillId="0" borderId="0" xfId="0" applyNumberFormat="1"/>
    <xf numFmtId="39" fontId="4" fillId="0" borderId="2" xfId="0" applyNumberFormat="1" applyFont="1" applyBorder="1"/>
    <xf numFmtId="182" fontId="4" fillId="0" borderId="0" xfId="0" applyNumberFormat="1" applyFont="1"/>
    <xf numFmtId="173" fontId="2" fillId="0" borderId="0" xfId="0" applyNumberFormat="1" applyFont="1"/>
    <xf numFmtId="173" fontId="0" fillId="0" borderId="0" xfId="0" applyNumberFormat="1"/>
    <xf numFmtId="182" fontId="0" fillId="0" borderId="3" xfId="0" applyNumberFormat="1" applyBorder="1"/>
    <xf numFmtId="183" fontId="10" fillId="0" borderId="0" xfId="0" applyNumberFormat="1" applyFont="1"/>
    <xf numFmtId="4" fontId="2" fillId="0" borderId="0" xfId="0" applyNumberFormat="1" applyFont="1"/>
    <xf numFmtId="3" fontId="2" fillId="0" borderId="0" xfId="0" applyNumberFormat="1" applyFont="1"/>
    <xf numFmtId="14" fontId="3" fillId="0" borderId="0" xfId="0" applyNumberFormat="1" applyFont="1"/>
    <xf numFmtId="0" fontId="0" fillId="0" borderId="0" xfId="0" quotePrefix="1" applyAlignment="1">
      <alignment horizontal="left"/>
    </xf>
    <xf numFmtId="171" fontId="0" fillId="0" borderId="3" xfId="0" applyNumberFormat="1" applyBorder="1"/>
    <xf numFmtId="4" fontId="0" fillId="0" borderId="2" xfId="0" applyNumberFormat="1" applyBorder="1"/>
    <xf numFmtId="4" fontId="2" fillId="0" borderId="2" xfId="0" applyNumberFormat="1" applyFont="1" applyBorder="1"/>
    <xf numFmtId="171" fontId="0" fillId="0" borderId="0" xfId="0" applyNumberFormat="1" applyBorder="1"/>
    <xf numFmtId="171" fontId="0" fillId="0" borderId="4" xfId="0" applyNumberFormat="1" applyBorder="1"/>
    <xf numFmtId="171" fontId="2" fillId="0" borderId="4" xfId="0" applyNumberFormat="1" applyFont="1" applyBorder="1"/>
    <xf numFmtId="44" fontId="0" fillId="0" borderId="0" xfId="5" applyFont="1" applyBorder="1"/>
    <xf numFmtId="37" fontId="0" fillId="0" borderId="0" xfId="0" applyNumberFormat="1" applyBorder="1"/>
    <xf numFmtId="44" fontId="2" fillId="0" borderId="0" xfId="5" applyFont="1" applyBorder="1"/>
    <xf numFmtId="43" fontId="0" fillId="0" borderId="0" xfId="3" applyFont="1"/>
    <xf numFmtId="39" fontId="3" fillId="0" borderId="4" xfId="0" applyNumberFormat="1" applyFont="1" applyBorder="1"/>
    <xf numFmtId="0" fontId="3" fillId="0" borderId="2" xfId="0" applyFont="1" applyBorder="1"/>
    <xf numFmtId="0" fontId="11" fillId="0" borderId="0" xfId="0" applyFont="1" applyBorder="1"/>
    <xf numFmtId="37" fontId="2" fillId="0" borderId="0" xfId="0" applyNumberFormat="1" applyFont="1" applyBorder="1"/>
    <xf numFmtId="43" fontId="0" fillId="0" borderId="2" xfId="0" applyNumberFormat="1" applyBorder="1"/>
    <xf numFmtId="37" fontId="3" fillId="0" borderId="4" xfId="0" applyNumberFormat="1" applyFont="1" applyBorder="1"/>
    <xf numFmtId="37" fontId="3" fillId="0" borderId="0" xfId="0" applyNumberFormat="1" applyFont="1" applyBorder="1"/>
    <xf numFmtId="7" fontId="0" fillId="0" borderId="0" xfId="0" applyNumberFormat="1" applyBorder="1"/>
    <xf numFmtId="7" fontId="13" fillId="0" borderId="2" xfId="5" applyNumberFormat="1" applyFont="1" applyBorder="1"/>
    <xf numFmtId="7" fontId="13" fillId="0" borderId="0" xfId="5" applyNumberFormat="1" applyFont="1"/>
    <xf numFmtId="44" fontId="13" fillId="0" borderId="0" xfId="5" applyFont="1"/>
    <xf numFmtId="184" fontId="0" fillId="0" borderId="2" xfId="0" applyNumberFormat="1" applyBorder="1"/>
    <xf numFmtId="184" fontId="0" fillId="0" borderId="0" xfId="0" applyNumberFormat="1"/>
    <xf numFmtId="0" fontId="2" fillId="0" borderId="0" xfId="0" applyFont="1"/>
    <xf numFmtId="0" fontId="13" fillId="0" borderId="0" xfId="0" applyFont="1"/>
    <xf numFmtId="0" fontId="11" fillId="0" borderId="2" xfId="0" applyFont="1" applyFill="1" applyBorder="1" applyAlignment="1">
      <alignment horizontal="center"/>
    </xf>
    <xf numFmtId="0" fontId="11" fillId="0" borderId="9" xfId="0" applyFont="1" applyBorder="1" applyAlignment="1">
      <alignment horizontal="center"/>
    </xf>
    <xf numFmtId="0" fontId="11" fillId="0" borderId="0" xfId="0" applyFont="1" applyFill="1" applyBorder="1" applyAlignment="1">
      <alignment horizontal="center"/>
    </xf>
    <xf numFmtId="0" fontId="11" fillId="0" borderId="11"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0" fillId="0" borderId="0" xfId="0" quotePrefix="1" applyBorder="1"/>
    <xf numFmtId="3" fontId="0" fillId="0" borderId="0" xfId="0" applyNumberFormat="1" applyBorder="1"/>
    <xf numFmtId="0" fontId="0" fillId="0" borderId="0" xfId="0" applyBorder="1" applyAlignment="1">
      <alignment horizontal="right"/>
    </xf>
    <xf numFmtId="4" fontId="0" fillId="0" borderId="0" xfId="0" applyNumberFormat="1" applyBorder="1"/>
    <xf numFmtId="4" fontId="0" fillId="6" borderId="2" xfId="0" applyNumberFormat="1" applyFill="1" applyBorder="1"/>
    <xf numFmtId="3" fontId="0" fillId="6" borderId="2" xfId="0" applyNumberFormat="1" applyFill="1" applyBorder="1"/>
    <xf numFmtId="4" fontId="0" fillId="0" borderId="3" xfId="0" applyNumberFormat="1" applyBorder="1"/>
    <xf numFmtId="16" fontId="0" fillId="0" borderId="0" xfId="0" quotePrefix="1" applyNumberFormat="1"/>
    <xf numFmtId="0" fontId="0" fillId="0" borderId="2" xfId="0" applyBorder="1" applyAlignment="1">
      <alignment horizontal="left"/>
    </xf>
    <xf numFmtId="0" fontId="0" fillId="0" borderId="0" xfId="0" applyAlignment="1">
      <alignment horizontal="centerContinuous"/>
    </xf>
    <xf numFmtId="3" fontId="0" fillId="0" borderId="2" xfId="0" applyNumberFormat="1" applyBorder="1"/>
    <xf numFmtId="3" fontId="0" fillId="0" borderId="3" xfId="0" applyNumberFormat="1" applyBorder="1"/>
    <xf numFmtId="171" fontId="0" fillId="0" borderId="2" xfId="0" applyNumberFormat="1" applyBorder="1"/>
    <xf numFmtId="16" fontId="0" fillId="0" borderId="2" xfId="0" quotePrefix="1" applyNumberFormat="1" applyBorder="1"/>
    <xf numFmtId="16" fontId="0" fillId="0" borderId="0" xfId="0" quotePrefix="1" applyNumberFormat="1" applyBorder="1"/>
    <xf numFmtId="0" fontId="3" fillId="0" borderId="0" xfId="0" applyFont="1" applyAlignment="1">
      <alignment horizontal="centerContinuous"/>
    </xf>
    <xf numFmtId="7" fontId="0" fillId="0" borderId="4" xfId="5" applyNumberFormat="1" applyFont="1" applyBorder="1"/>
    <xf numFmtId="7" fontId="0" fillId="0" borderId="0" xfId="5" applyNumberFormat="1" applyFont="1"/>
    <xf numFmtId="179" fontId="0" fillId="0" borderId="3" xfId="3" applyNumberFormat="1" applyFont="1" applyBorder="1"/>
    <xf numFmtId="43" fontId="0" fillId="0" borderId="4" xfId="3" applyFont="1" applyBorder="1"/>
    <xf numFmtId="0" fontId="14" fillId="0" borderId="0" xfId="0" applyFont="1"/>
    <xf numFmtId="0" fontId="15" fillId="0" borderId="0" xfId="0" applyFont="1"/>
    <xf numFmtId="0" fontId="16" fillId="0" borderId="0" xfId="0" applyFont="1"/>
    <xf numFmtId="41" fontId="0" fillId="0" borderId="0" xfId="0" applyNumberFormat="1" applyBorder="1"/>
    <xf numFmtId="41" fontId="2" fillId="0" borderId="0" xfId="0" applyNumberFormat="1" applyFont="1" applyBorder="1"/>
    <xf numFmtId="41" fontId="2" fillId="0" borderId="4" xfId="0" applyNumberFormat="1" applyFont="1" applyBorder="1"/>
    <xf numFmtId="41" fontId="2" fillId="0" borderId="0" xfId="0" applyNumberFormat="1" applyFont="1"/>
    <xf numFmtId="185" fontId="0" fillId="0" borderId="0" xfId="0" applyNumberFormat="1"/>
    <xf numFmtId="0" fontId="28" fillId="0" borderId="0" xfId="0" applyFont="1"/>
    <xf numFmtId="4" fontId="13" fillId="0" borderId="0" xfId="0" applyNumberFormat="1" applyFont="1"/>
    <xf numFmtId="37" fontId="3" fillId="0" borderId="3" xfId="0" applyNumberFormat="1" applyFont="1" applyBorder="1"/>
    <xf numFmtId="0" fontId="17" fillId="0" borderId="0" xfId="0" applyFont="1"/>
    <xf numFmtId="0" fontId="29" fillId="0" borderId="2" xfId="0" applyFont="1" applyBorder="1" applyAlignment="1">
      <alignment horizontal="center"/>
    </xf>
    <xf numFmtId="0" fontId="29" fillId="0" borderId="0" xfId="0" applyFont="1" applyAlignment="1">
      <alignment horizontal="center"/>
    </xf>
    <xf numFmtId="10" fontId="2" fillId="0" borderId="0" xfId="0" applyNumberFormat="1" applyFont="1"/>
    <xf numFmtId="40" fontId="0" fillId="0" borderId="0" xfId="0" applyNumberFormat="1" applyAlignment="1">
      <alignment horizontal="right"/>
    </xf>
    <xf numFmtId="40" fontId="0" fillId="0" borderId="0" xfId="0" applyNumberFormat="1" applyBorder="1" applyAlignment="1">
      <alignment horizontal="right"/>
    </xf>
    <xf numFmtId="178" fontId="0" fillId="0" borderId="0" xfId="3" applyNumberFormat="1" applyFont="1"/>
    <xf numFmtId="10" fontId="0" fillId="0" borderId="2" xfId="9" applyNumberFormat="1" applyFont="1" applyBorder="1" applyAlignment="1">
      <alignment horizontal="right"/>
    </xf>
    <xf numFmtId="40" fontId="0" fillId="0" borderId="2" xfId="0" applyNumberFormat="1" applyBorder="1" applyAlignment="1">
      <alignment horizontal="right"/>
    </xf>
    <xf numFmtId="10" fontId="0" fillId="0" borderId="0" xfId="9" applyNumberFormat="1" applyFont="1" applyAlignment="1">
      <alignment horizontal="right"/>
    </xf>
    <xf numFmtId="2" fontId="27" fillId="0" borderId="2" xfId="0" applyNumberFormat="1" applyFont="1" applyBorder="1" applyAlignment="1">
      <alignment horizontal="right"/>
    </xf>
    <xf numFmtId="2" fontId="27" fillId="0" borderId="0" xfId="0" applyNumberFormat="1" applyFont="1" applyAlignment="1">
      <alignment horizontal="right"/>
    </xf>
    <xf numFmtId="10" fontId="0" fillId="0" borderId="2" xfId="0" applyNumberFormat="1" applyBorder="1" applyAlignment="1">
      <alignment horizontal="right"/>
    </xf>
    <xf numFmtId="40" fontId="2" fillId="0" borderId="2" xfId="0" applyNumberFormat="1" applyFont="1" applyBorder="1" applyAlignment="1">
      <alignment horizontal="right"/>
    </xf>
    <xf numFmtId="10" fontId="0" fillId="0" borderId="0" xfId="0" applyNumberFormat="1" applyAlignment="1">
      <alignment horizontal="right"/>
    </xf>
    <xf numFmtId="40" fontId="2" fillId="0" borderId="0" xfId="0" applyNumberFormat="1" applyFont="1" applyAlignment="1">
      <alignment horizontal="right"/>
    </xf>
    <xf numFmtId="38" fontId="0" fillId="0" borderId="2" xfId="0" applyNumberFormat="1" applyBorder="1" applyAlignment="1">
      <alignment horizontal="right"/>
    </xf>
    <xf numFmtId="0" fontId="27" fillId="0" borderId="2" xfId="0" applyFont="1" applyBorder="1" applyAlignment="1">
      <alignment horizontal="right"/>
    </xf>
    <xf numFmtId="38" fontId="0" fillId="0" borderId="0" xfId="0" applyNumberFormat="1" applyAlignment="1">
      <alignment horizontal="right"/>
    </xf>
    <xf numFmtId="0" fontId="27" fillId="0" borderId="0" xfId="0" applyFont="1" applyAlignment="1">
      <alignment horizontal="right"/>
    </xf>
    <xf numFmtId="38" fontId="2" fillId="0" borderId="2" xfId="0" applyNumberFormat="1" applyFont="1" applyBorder="1" applyAlignment="1">
      <alignment horizontal="right"/>
    </xf>
    <xf numFmtId="38" fontId="2" fillId="0" borderId="0" xfId="0" applyNumberFormat="1" applyFont="1" applyAlignment="1">
      <alignment horizontal="right"/>
    </xf>
    <xf numFmtId="10" fontId="0" fillId="0" borderId="14" xfId="9" applyNumberFormat="1" applyFont="1" applyBorder="1" applyAlignment="1">
      <alignment horizontal="right"/>
    </xf>
    <xf numFmtId="0" fontId="0" fillId="0" borderId="14" xfId="0" applyBorder="1" applyAlignment="1">
      <alignment horizontal="right"/>
    </xf>
    <xf numFmtId="10" fontId="0" fillId="0" borderId="3" xfId="0" applyNumberFormat="1" applyBorder="1" applyAlignment="1">
      <alignment horizontal="right"/>
    </xf>
    <xf numFmtId="38" fontId="0" fillId="0" borderId="3" xfId="0" applyNumberFormat="1" applyBorder="1" applyAlignment="1">
      <alignment horizontal="right"/>
    </xf>
    <xf numFmtId="38" fontId="0" fillId="0" borderId="23" xfId="0" applyNumberFormat="1" applyBorder="1" applyAlignment="1">
      <alignment horizontal="right"/>
    </xf>
    <xf numFmtId="40" fontId="0" fillId="0" borderId="12" xfId="0" applyNumberFormat="1" applyBorder="1" applyAlignment="1">
      <alignment horizontal="right"/>
    </xf>
    <xf numFmtId="38" fontId="2" fillId="0" borderId="10" xfId="0" applyNumberFormat="1" applyFont="1" applyBorder="1" applyAlignment="1">
      <alignment horizontal="right"/>
    </xf>
    <xf numFmtId="38" fontId="0" fillId="0" borderId="10" xfId="0" applyNumberFormat="1" applyBorder="1" applyAlignment="1">
      <alignment horizontal="right"/>
    </xf>
    <xf numFmtId="38" fontId="2" fillId="0" borderId="12" xfId="0" applyNumberFormat="1" applyFont="1" applyBorder="1" applyAlignment="1">
      <alignment horizontal="right"/>
    </xf>
    <xf numFmtId="10" fontId="0" fillId="0" borderId="0" xfId="0" applyNumberFormat="1" applyBorder="1" applyAlignment="1">
      <alignment horizontal="right"/>
    </xf>
    <xf numFmtId="38" fontId="0" fillId="0" borderId="12" xfId="0" applyNumberFormat="1" applyBorder="1" applyAlignment="1">
      <alignment horizontal="right"/>
    </xf>
    <xf numFmtId="38" fontId="27" fillId="0" borderId="12" xfId="0" applyNumberFormat="1" applyFont="1" applyBorder="1" applyAlignment="1">
      <alignment horizontal="right"/>
    </xf>
    <xf numFmtId="0" fontId="3" fillId="0" borderId="10" xfId="0" applyFont="1" applyBorder="1" applyAlignment="1">
      <alignment horizontal="center"/>
    </xf>
    <xf numFmtId="37" fontId="2" fillId="0" borderId="2" xfId="0" applyNumberFormat="1" applyFont="1" applyBorder="1"/>
    <xf numFmtId="39" fontId="2" fillId="0" borderId="0" xfId="0" applyNumberFormat="1" applyFont="1"/>
    <xf numFmtId="37" fontId="2" fillId="0" borderId="0" xfId="0" applyNumberFormat="1" applyFont="1"/>
    <xf numFmtId="39" fontId="2" fillId="0" borderId="0" xfId="0" applyNumberFormat="1" applyFont="1" applyBorder="1"/>
    <xf numFmtId="165" fontId="0" fillId="0" borderId="0" xfId="0" applyNumberFormat="1"/>
    <xf numFmtId="0" fontId="18" fillId="0" borderId="0" xfId="0" applyFont="1"/>
    <xf numFmtId="1" fontId="0" fillId="0" borderId="0" xfId="0" applyNumberFormat="1"/>
    <xf numFmtId="14" fontId="0" fillId="0" borderId="0" xfId="0" quotePrefix="1" applyNumberFormat="1" applyAlignment="1">
      <alignment horizontal="center"/>
    </xf>
    <xf numFmtId="0" fontId="19" fillId="0" borderId="0" xfId="7"/>
    <xf numFmtId="0" fontId="20" fillId="0" borderId="0" xfId="7" applyFont="1"/>
    <xf numFmtId="0" fontId="21" fillId="0" borderId="0" xfId="7" applyFont="1"/>
    <xf numFmtId="41" fontId="19" fillId="0" borderId="0" xfId="7" applyNumberFormat="1"/>
    <xf numFmtId="41" fontId="19" fillId="0" borderId="0" xfId="7" applyNumberFormat="1" applyAlignment="1">
      <alignment horizontal="fill"/>
    </xf>
    <xf numFmtId="0" fontId="19" fillId="0" borderId="0" xfId="7" applyAlignment="1">
      <alignment horizontal="left"/>
    </xf>
    <xf numFmtId="4" fontId="22" fillId="0" borderId="0" xfId="7" applyNumberFormat="1" applyFont="1"/>
    <xf numFmtId="4" fontId="23" fillId="0" borderId="5" xfId="7" applyNumberFormat="1" applyFont="1" applyBorder="1"/>
    <xf numFmtId="0" fontId="22" fillId="0" borderId="0" xfId="7" applyFont="1"/>
    <xf numFmtId="41" fontId="20" fillId="0" borderId="0" xfId="7" applyNumberFormat="1" applyFont="1"/>
    <xf numFmtId="41" fontId="24" fillId="0" borderId="5" xfId="7" applyNumberFormat="1" applyFont="1" applyBorder="1" applyAlignment="1">
      <alignment horizontal="fill"/>
    </xf>
    <xf numFmtId="41" fontId="19" fillId="0" borderId="0" xfId="7" applyNumberFormat="1" applyFont="1"/>
    <xf numFmtId="0" fontId="19" fillId="0" borderId="0" xfId="7" applyBorder="1"/>
    <xf numFmtId="175" fontId="19" fillId="0" borderId="0" xfId="7" applyNumberFormat="1"/>
    <xf numFmtId="1" fontId="19" fillId="0" borderId="0" xfId="7" applyNumberFormat="1"/>
    <xf numFmtId="10" fontId="19" fillId="0" borderId="0" xfId="7" applyNumberFormat="1"/>
    <xf numFmtId="1" fontId="22" fillId="0" borderId="0" xfId="7" applyNumberFormat="1" applyFont="1"/>
    <xf numFmtId="9" fontId="22" fillId="0" borderId="0" xfId="7" applyNumberFormat="1" applyFont="1"/>
    <xf numFmtId="41" fontId="24" fillId="0" borderId="0" xfId="7" applyNumberFormat="1" applyFont="1" applyBorder="1" applyAlignment="1">
      <alignment horizontal="fill"/>
    </xf>
    <xf numFmtId="0" fontId="19" fillId="0" borderId="22" xfId="7" applyBorder="1"/>
    <xf numFmtId="175" fontId="19" fillId="0" borderId="22" xfId="7" applyNumberFormat="1" applyBorder="1"/>
    <xf numFmtId="1" fontId="19" fillId="0" borderId="22" xfId="7" applyNumberFormat="1" applyBorder="1"/>
    <xf numFmtId="41" fontId="19" fillId="0" borderId="22" xfId="7" applyNumberFormat="1" applyBorder="1"/>
    <xf numFmtId="10" fontId="19" fillId="0" borderId="22" xfId="7" applyNumberFormat="1" applyBorder="1"/>
    <xf numFmtId="0" fontId="22" fillId="0" borderId="22" xfId="7" applyFont="1" applyBorder="1"/>
    <xf numFmtId="9" fontId="22" fillId="0" borderId="22" xfId="7" applyNumberFormat="1" applyFont="1" applyBorder="1"/>
    <xf numFmtId="0" fontId="19" fillId="0" borderId="0" xfId="7" applyAlignment="1">
      <alignment horizontal="center"/>
    </xf>
    <xf numFmtId="41" fontId="19" fillId="0" borderId="4" xfId="7" applyNumberFormat="1" applyBorder="1"/>
    <xf numFmtId="0" fontId="19" fillId="0" borderId="4" xfId="7" applyBorder="1"/>
    <xf numFmtId="41" fontId="24" fillId="0" borderId="5" xfId="7" applyNumberFormat="1" applyFont="1" applyBorder="1"/>
    <xf numFmtId="41" fontId="19" fillId="0" borderId="4" xfId="7" applyNumberFormat="1" applyBorder="1" applyAlignment="1">
      <alignment horizontal="fill"/>
    </xf>
    <xf numFmtId="0" fontId="19" fillId="0" borderId="4" xfId="7" applyBorder="1" applyAlignment="1">
      <alignment horizontal="fill"/>
    </xf>
    <xf numFmtId="43" fontId="19" fillId="0" borderId="0" xfId="7" applyNumberFormat="1"/>
    <xf numFmtId="0" fontId="22" fillId="0" borderId="0" xfId="7" applyFont="1" applyFill="1"/>
    <xf numFmtId="0" fontId="22" fillId="5" borderId="0" xfId="7" applyFont="1" applyFill="1"/>
    <xf numFmtId="14" fontId="19" fillId="0" borderId="0" xfId="7" applyNumberFormat="1"/>
    <xf numFmtId="0" fontId="19" fillId="0" borderId="0" xfId="7" applyAlignment="1">
      <alignment horizontal="fill"/>
    </xf>
    <xf numFmtId="0" fontId="19" fillId="0" borderId="4" xfId="7" applyBorder="1" applyAlignment="1">
      <alignment horizontal="center"/>
    </xf>
    <xf numFmtId="14" fontId="24" fillId="0" borderId="4" xfId="7" applyNumberFormat="1" applyFont="1" applyBorder="1" applyAlignment="1">
      <alignment horizontal="center"/>
    </xf>
    <xf numFmtId="14" fontId="19" fillId="0" borderId="4" xfId="7" applyNumberFormat="1" applyBorder="1" applyAlignment="1">
      <alignment horizontal="center"/>
    </xf>
    <xf numFmtId="14" fontId="19" fillId="0" borderId="4" xfId="7" applyNumberFormat="1" applyFont="1" applyBorder="1" applyAlignment="1">
      <alignment horizontal="center"/>
    </xf>
    <xf numFmtId="0" fontId="24" fillId="0" borderId="4" xfId="7" applyFont="1" applyBorder="1" applyAlignment="1">
      <alignment horizontal="center"/>
    </xf>
    <xf numFmtId="0" fontId="19" fillId="0" borderId="4" xfId="7" applyBorder="1" applyAlignment="1">
      <alignment horizontal="left"/>
    </xf>
    <xf numFmtId="0" fontId="24" fillId="0" borderId="0" xfId="7" applyFont="1" applyAlignment="1">
      <alignment horizontal="center"/>
    </xf>
    <xf numFmtId="0" fontId="19" fillId="0" borderId="0" xfId="7" applyFont="1" applyAlignment="1">
      <alignment horizontal="center"/>
    </xf>
    <xf numFmtId="0" fontId="19" fillId="0" borderId="0" xfId="7" applyFill="1"/>
    <xf numFmtId="41" fontId="19" fillId="0" borderId="0" xfId="7" applyNumberFormat="1" applyFill="1"/>
    <xf numFmtId="0" fontId="19" fillId="4" borderId="0" xfId="7" applyFill="1"/>
    <xf numFmtId="14" fontId="19" fillId="0" borderId="0" xfId="7" quotePrefix="1" applyNumberFormat="1" applyAlignment="1">
      <alignment horizontal="left"/>
    </xf>
    <xf numFmtId="0" fontId="24" fillId="0" borderId="0" xfId="7" applyFont="1" applyAlignment="1">
      <alignment horizontal="left"/>
    </xf>
    <xf numFmtId="39" fontId="3" fillId="0" borderId="3" xfId="0" applyNumberFormat="1" applyFont="1" applyFill="1" applyBorder="1"/>
    <xf numFmtId="164" fontId="10" fillId="7" borderId="0" xfId="8" applyNumberFormat="1" applyFont="1" applyFill="1"/>
    <xf numFmtId="180" fontId="10" fillId="5" borderId="0" xfId="4" applyNumberFormat="1" applyFont="1" applyFill="1"/>
    <xf numFmtId="180" fontId="0" fillId="0" borderId="6" xfId="4" applyNumberFormat="1" applyFont="1" applyBorder="1" applyAlignment="1">
      <alignment horizontal="center"/>
    </xf>
    <xf numFmtId="180" fontId="0" fillId="0" borderId="8" xfId="4" applyNumberFormat="1" applyFont="1" applyBorder="1" applyAlignment="1">
      <alignment horizontal="center"/>
    </xf>
    <xf numFmtId="0" fontId="0" fillId="0" borderId="8" xfId="0" applyBorder="1" applyAlignment="1">
      <alignment horizontal="center"/>
    </xf>
    <xf numFmtId="0" fontId="0" fillId="0" borderId="8" xfId="0" applyBorder="1"/>
    <xf numFmtId="180" fontId="0" fillId="0" borderId="6" xfId="0" applyNumberFormat="1" applyBorder="1"/>
    <xf numFmtId="0" fontId="11" fillId="0" borderId="0" xfId="0" applyFont="1" applyAlignment="1"/>
    <xf numFmtId="0" fontId="11" fillId="0" borderId="6" xfId="0" applyFont="1" applyBorder="1" applyAlignment="1">
      <alignment horizontal="center"/>
    </xf>
    <xf numFmtId="0" fontId="11" fillId="0" borderId="6" xfId="0" applyFont="1" applyBorder="1"/>
    <xf numFmtId="14" fontId="11" fillId="0" borderId="1" xfId="0" applyNumberFormat="1" applyFont="1" applyBorder="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xf numFmtId="0" fontId="11" fillId="0" borderId="1" xfId="0" applyFont="1" applyBorder="1"/>
    <xf numFmtId="180" fontId="0" fillId="0" borderId="0" xfId="0" applyNumberFormat="1" applyBorder="1"/>
    <xf numFmtId="180" fontId="0" fillId="0" borderId="0" xfId="4" applyNumberFormat="1" applyFont="1" applyBorder="1"/>
    <xf numFmtId="164" fontId="0" fillId="0" borderId="2" xfId="8" applyNumberFormat="1" applyFont="1" applyBorder="1"/>
    <xf numFmtId="0" fontId="0" fillId="0" borderId="6" xfId="1" applyNumberFormat="1" applyFont="1" applyBorder="1" applyAlignment="1">
      <alignment horizontal="center"/>
    </xf>
    <xf numFmtId="180" fontId="0" fillId="0" borderId="2" xfId="0" applyNumberFormat="1" applyBorder="1"/>
    <xf numFmtId="180" fontId="10" fillId="8" borderId="0" xfId="4" applyNumberFormat="1" applyFont="1" applyFill="1"/>
    <xf numFmtId="180" fontId="10" fillId="8" borderId="2" xfId="4" applyNumberFormat="1" applyFont="1" applyFill="1" applyBorder="1"/>
    <xf numFmtId="0" fontId="0" fillId="8" borderId="0" xfId="0" applyFill="1"/>
    <xf numFmtId="0" fontId="0" fillId="5" borderId="0" xfId="0" applyFill="1"/>
    <xf numFmtId="41" fontId="19" fillId="0" borderId="0" xfId="7" applyNumberFormat="1" applyBorder="1" applyAlignment="1">
      <alignment horizontal="fill"/>
    </xf>
    <xf numFmtId="164" fontId="27" fillId="0" borderId="0" xfId="0" applyNumberFormat="1" applyFont="1" applyFill="1"/>
    <xf numFmtId="164" fontId="0" fillId="0" borderId="0" xfId="8" applyNumberFormat="1" applyFont="1" applyFill="1"/>
    <xf numFmtId="180" fontId="0" fillId="0" borderId="0" xfId="4" applyNumberFormat="1" applyFont="1" applyFill="1"/>
    <xf numFmtId="180" fontId="0" fillId="0" borderId="0" xfId="0" applyNumberFormat="1"/>
    <xf numFmtId="180" fontId="0" fillId="0" borderId="0" xfId="0" applyNumberFormat="1" applyFill="1"/>
    <xf numFmtId="3" fontId="22" fillId="0" borderId="0" xfId="7" applyNumberFormat="1" applyFont="1"/>
    <xf numFmtId="3" fontId="19" fillId="0" borderId="4" xfId="7" applyNumberFormat="1" applyBorder="1" applyAlignment="1">
      <alignment horizontal="fill"/>
    </xf>
    <xf numFmtId="3" fontId="19" fillId="0" borderId="0" xfId="7" applyNumberFormat="1" applyFont="1"/>
    <xf numFmtId="3" fontId="20" fillId="0" borderId="0" xfId="7" applyNumberFormat="1" applyFont="1"/>
    <xf numFmtId="0" fontId="22" fillId="10" borderId="0" xfId="7" applyFont="1" applyFill="1"/>
    <xf numFmtId="0" fontId="19" fillId="10" borderId="0" xfId="7" applyFill="1" applyAlignment="1">
      <alignment horizontal="center"/>
    </xf>
    <xf numFmtId="0" fontId="19" fillId="10" borderId="4" xfId="7" applyFill="1" applyBorder="1" applyAlignment="1">
      <alignment horizontal="center"/>
    </xf>
    <xf numFmtId="0" fontId="22" fillId="0" borderId="0" xfId="7" applyFont="1" applyFill="1" applyBorder="1"/>
    <xf numFmtId="0" fontId="22" fillId="10" borderId="0" xfId="7" applyFont="1" applyFill="1" applyBorder="1"/>
    <xf numFmtId="0" fontId="19" fillId="11" borderId="0" xfId="7" applyFill="1"/>
    <xf numFmtId="41" fontId="19" fillId="10" borderId="0" xfId="7" applyNumberFormat="1" applyFill="1"/>
    <xf numFmtId="0" fontId="19" fillId="10" borderId="0" xfId="7" applyFill="1"/>
    <xf numFmtId="0" fontId="22" fillId="0" borderId="0" xfId="7" applyFont="1" applyBorder="1"/>
    <xf numFmtId="9" fontId="22" fillId="0" borderId="0" xfId="7" applyNumberFormat="1" applyFont="1" applyBorder="1"/>
    <xf numFmtId="41" fontId="19" fillId="0" borderId="4" xfId="7" applyNumberFormat="1" applyFill="1" applyBorder="1"/>
    <xf numFmtId="0" fontId="19" fillId="11" borderId="22" xfId="7" applyFill="1" applyBorder="1"/>
    <xf numFmtId="0" fontId="19" fillId="11" borderId="0" xfId="7" applyFill="1" applyBorder="1"/>
    <xf numFmtId="9" fontId="22" fillId="10" borderId="0" xfId="7" applyNumberFormat="1" applyFont="1" applyFill="1"/>
    <xf numFmtId="10" fontId="19" fillId="10" borderId="0" xfId="7" applyNumberFormat="1" applyFill="1"/>
    <xf numFmtId="185" fontId="3" fillId="10" borderId="0" xfId="5" applyNumberFormat="1" applyFont="1" applyFill="1"/>
    <xf numFmtId="180" fontId="10" fillId="0" borderId="0" xfId="4" applyNumberFormat="1" applyFont="1" applyFill="1"/>
    <xf numFmtId="0" fontId="19" fillId="9" borderId="0" xfId="7" applyFill="1"/>
    <xf numFmtId="0" fontId="22" fillId="9" borderId="0" xfId="7" applyFont="1" applyFill="1"/>
    <xf numFmtId="164" fontId="3" fillId="8" borderId="0" xfId="0" applyNumberFormat="1" applyFont="1" applyFill="1"/>
    <xf numFmtId="164" fontId="2" fillId="8" borderId="0" xfId="0" applyNumberFormat="1" applyFont="1" applyFill="1"/>
    <xf numFmtId="164" fontId="27" fillId="8" borderId="0" xfId="0" applyNumberFormat="1" applyFont="1" applyFill="1"/>
    <xf numFmtId="164" fontId="0" fillId="8" borderId="0" xfId="0" applyNumberFormat="1" applyFill="1"/>
    <xf numFmtId="164" fontId="0" fillId="12" borderId="0" xfId="0" applyNumberFormat="1" applyFill="1"/>
    <xf numFmtId="164" fontId="27" fillId="8" borderId="2" xfId="0" applyNumberFormat="1" applyFont="1" applyFill="1" applyBorder="1"/>
    <xf numFmtId="9" fontId="0" fillId="0" borderId="6" xfId="8" applyFont="1" applyBorder="1"/>
    <xf numFmtId="164" fontId="27" fillId="10" borderId="0" xfId="0" applyNumberFormat="1" applyFont="1" applyFill="1"/>
    <xf numFmtId="43" fontId="0" fillId="0" borderId="12" xfId="0" applyNumberFormat="1" applyBorder="1"/>
    <xf numFmtId="0" fontId="0" fillId="0" borderId="0" xfId="0" applyFill="1" applyBorder="1"/>
    <xf numFmtId="0" fontId="0" fillId="12" borderId="0" xfId="0" applyFill="1"/>
    <xf numFmtId="164" fontId="2" fillId="12" borderId="0" xfId="0" applyNumberFormat="1" applyFont="1" applyFill="1"/>
    <xf numFmtId="10" fontId="0" fillId="5" borderId="0" xfId="0" applyNumberFormat="1" applyFill="1"/>
    <xf numFmtId="0" fontId="0" fillId="12" borderId="0" xfId="0" applyFill="1" applyAlignment="1">
      <alignment horizontal="center"/>
    </xf>
    <xf numFmtId="44" fontId="0" fillId="12" borderId="0" xfId="0" applyNumberFormat="1" applyFill="1"/>
    <xf numFmtId="164" fontId="0" fillId="12" borderId="0" xfId="8" applyNumberFormat="1" applyFont="1" applyFill="1"/>
    <xf numFmtId="3" fontId="22" fillId="0" borderId="0" xfId="7" applyNumberFormat="1" applyFont="1" applyFill="1"/>
    <xf numFmtId="3" fontId="22" fillId="8" borderId="0" xfId="7" applyNumberFormat="1" applyFont="1" applyFill="1"/>
    <xf numFmtId="4" fontId="22" fillId="8" borderId="0" xfId="7" applyNumberFormat="1" applyFont="1" applyFill="1"/>
    <xf numFmtId="4" fontId="22" fillId="5" borderId="0" xfId="7" applyNumberFormat="1" applyFont="1" applyFill="1"/>
    <xf numFmtId="4" fontId="22" fillId="5" borderId="22" xfId="7" applyNumberFormat="1" applyFont="1" applyFill="1" applyBorder="1"/>
    <xf numFmtId="180" fontId="0" fillId="0" borderId="0" xfId="0" applyNumberFormat="1" applyFill="1" applyBorder="1"/>
    <xf numFmtId="180" fontId="19" fillId="0" borderId="0" xfId="4" applyNumberFormat="1" applyFont="1"/>
    <xf numFmtId="164" fontId="0" fillId="0" borderId="0" xfId="0" applyNumberFormat="1" applyFill="1"/>
    <xf numFmtId="180" fontId="0" fillId="12" borderId="0" xfId="4" applyNumberFormat="1" applyFont="1" applyFill="1"/>
    <xf numFmtId="164" fontId="3" fillId="12" borderId="0" xfId="0" applyNumberFormat="1" applyFont="1" applyFill="1"/>
    <xf numFmtId="180" fontId="19" fillId="0" borderId="0" xfId="7" applyNumberFormat="1"/>
    <xf numFmtId="180" fontId="19" fillId="0" borderId="2" xfId="4" applyNumberFormat="1" applyFont="1" applyBorder="1"/>
    <xf numFmtId="44" fontId="19" fillId="0" borderId="0" xfId="7" applyNumberFormat="1"/>
    <xf numFmtId="0" fontId="9" fillId="2" borderId="0" xfId="6" applyNumberFormat="1"/>
    <xf numFmtId="0" fontId="9" fillId="2" borderId="0" xfId="6" applyNumberFormat="1" applyAlignment="1">
      <alignment horizontal="center"/>
    </xf>
    <xf numFmtId="0" fontId="9" fillId="2" borderId="6" xfId="6" applyNumberFormat="1" applyBorder="1"/>
    <xf numFmtId="0" fontId="9" fillId="3" borderId="0" xfId="6" applyNumberFormat="1" applyFill="1"/>
    <xf numFmtId="166" fontId="9" fillId="2" borderId="0" xfId="6" applyNumberFormat="1"/>
    <xf numFmtId="39" fontId="9" fillId="2" borderId="0" xfId="6" applyNumberFormat="1"/>
    <xf numFmtId="168" fontId="9" fillId="2" borderId="0" xfId="6" applyNumberFormat="1"/>
    <xf numFmtId="37" fontId="9" fillId="2" borderId="0" xfId="6" applyNumberFormat="1"/>
    <xf numFmtId="166" fontId="9" fillId="2" borderId="24" xfId="6" applyNumberFormat="1" applyBorder="1"/>
    <xf numFmtId="168" fontId="9" fillId="2" borderId="4" xfId="6" applyNumberFormat="1" applyBorder="1"/>
    <xf numFmtId="39" fontId="9" fillId="2" borderId="4" xfId="6" applyNumberFormat="1" applyBorder="1"/>
    <xf numFmtId="0" fontId="9" fillId="2" borderId="25" xfId="6" applyNumberFormat="1" applyBorder="1"/>
    <xf numFmtId="10" fontId="31" fillId="3" borderId="17" xfId="11" applyFont="1" applyBorder="1"/>
    <xf numFmtId="10" fontId="31" fillId="3" borderId="0" xfId="11" applyFont="1" applyBorder="1"/>
    <xf numFmtId="0" fontId="9" fillId="2" borderId="0" xfId="6" applyNumberFormat="1" applyBorder="1"/>
    <xf numFmtId="10" fontId="9" fillId="2" borderId="17" xfId="6" applyNumberFormat="1" applyBorder="1"/>
    <xf numFmtId="0" fontId="8" fillId="2" borderId="0" xfId="6" applyNumberFormat="1" applyFont="1" applyBorder="1"/>
    <xf numFmtId="0" fontId="32" fillId="2" borderId="0" xfId="6" applyNumberFormat="1" applyFont="1" applyBorder="1"/>
    <xf numFmtId="0" fontId="33" fillId="2" borderId="0" xfId="6" applyNumberFormat="1" applyFont="1" applyBorder="1"/>
    <xf numFmtId="0" fontId="9" fillId="14" borderId="0" xfId="6" applyNumberFormat="1" applyFill="1"/>
    <xf numFmtId="0" fontId="33" fillId="2" borderId="17" xfId="6" applyNumberFormat="1" applyFont="1" applyBorder="1"/>
    <xf numFmtId="0" fontId="33" fillId="2" borderId="6" xfId="6" applyNumberFormat="1" applyFont="1" applyBorder="1"/>
    <xf numFmtId="0" fontId="34" fillId="14" borderId="0" xfId="6" applyNumberFormat="1" applyFont="1" applyFill="1"/>
    <xf numFmtId="0" fontId="9" fillId="2" borderId="26" xfId="6" applyNumberFormat="1" applyBorder="1"/>
    <xf numFmtId="0" fontId="9" fillId="2" borderId="22" xfId="6" applyNumberFormat="1" applyBorder="1"/>
    <xf numFmtId="0" fontId="33" fillId="2" borderId="22" xfId="6" applyNumberFormat="1" applyFont="1" applyBorder="1"/>
    <xf numFmtId="0" fontId="9" fillId="2" borderId="27" xfId="6" applyNumberFormat="1" applyBorder="1"/>
    <xf numFmtId="173" fontId="9" fillId="2" borderId="0" xfId="6" applyNumberFormat="1"/>
    <xf numFmtId="10" fontId="31" fillId="3" borderId="24" xfId="11" applyFont="1" applyBorder="1"/>
    <xf numFmtId="10" fontId="31" fillId="3" borderId="4" xfId="11" applyFont="1" applyBorder="1"/>
    <xf numFmtId="10" fontId="9" fillId="2" borderId="4" xfId="6" applyNumberFormat="1" applyBorder="1"/>
    <xf numFmtId="173" fontId="9" fillId="2" borderId="24" xfId="6" applyNumberFormat="1" applyBorder="1" applyAlignment="1">
      <alignment horizontal="center"/>
    </xf>
    <xf numFmtId="173" fontId="35" fillId="2" borderId="4" xfId="6" applyNumberFormat="1" applyFont="1" applyBorder="1" applyAlignment="1">
      <alignment horizontal="left"/>
    </xf>
    <xf numFmtId="0" fontId="9" fillId="2" borderId="4" xfId="6" applyNumberFormat="1" applyBorder="1" applyAlignment="1">
      <alignment horizontal="right"/>
    </xf>
    <xf numFmtId="177" fontId="31" fillId="3" borderId="17" xfId="11" applyNumberFormat="1" applyFont="1" applyBorder="1"/>
    <xf numFmtId="0" fontId="9" fillId="14" borderId="0" xfId="6" applyNumberFormat="1" applyFill="1" applyAlignment="1">
      <alignment horizontal="right"/>
    </xf>
    <xf numFmtId="0" fontId="34" fillId="14" borderId="0" xfId="6" applyNumberFormat="1" applyFont="1" applyFill="1" applyAlignment="1">
      <alignment horizontal="fill"/>
    </xf>
    <xf numFmtId="173" fontId="9" fillId="2" borderId="17" xfId="6" applyNumberFormat="1" applyBorder="1" applyAlignment="1">
      <alignment horizontal="center"/>
    </xf>
    <xf numFmtId="0" fontId="36" fillId="2" borderId="0" xfId="6" applyNumberFormat="1" applyFont="1" applyBorder="1" applyAlignment="1">
      <alignment horizontal="centerContinuous"/>
    </xf>
    <xf numFmtId="10" fontId="9" fillId="2" borderId="0" xfId="6" applyNumberFormat="1" applyBorder="1"/>
    <xf numFmtId="173" fontId="35" fillId="2" borderId="17" xfId="6" applyNumberFormat="1" applyFont="1" applyBorder="1" applyAlignment="1">
      <alignment horizontal="center"/>
    </xf>
    <xf numFmtId="0" fontId="9" fillId="2" borderId="0" xfId="6" applyNumberFormat="1" applyBorder="1" applyAlignment="1">
      <alignment horizontal="left"/>
    </xf>
    <xf numFmtId="173" fontId="35" fillId="2" borderId="0" xfId="6" applyNumberFormat="1" applyFont="1" applyBorder="1" applyAlignment="1">
      <alignment horizontal="center"/>
    </xf>
    <xf numFmtId="0" fontId="9" fillId="2" borderId="6" xfId="6" applyNumberFormat="1" applyBorder="1" applyAlignment="1">
      <alignment horizontal="left"/>
    </xf>
    <xf numFmtId="173" fontId="35" fillId="2" borderId="26" xfId="6" applyNumberFormat="1" applyFont="1" applyBorder="1" applyAlignment="1">
      <alignment horizontal="center"/>
    </xf>
    <xf numFmtId="0" fontId="9" fillId="2" borderId="22" xfId="6" applyNumberFormat="1" applyBorder="1" applyAlignment="1">
      <alignment horizontal="left"/>
    </xf>
    <xf numFmtId="173" fontId="35" fillId="2" borderId="22" xfId="6" applyNumberFormat="1" applyFont="1" applyBorder="1" applyAlignment="1">
      <alignment horizontal="center"/>
    </xf>
    <xf numFmtId="0" fontId="9" fillId="2" borderId="27" xfId="6" applyNumberFormat="1" applyBorder="1" applyAlignment="1">
      <alignment horizontal="left"/>
    </xf>
    <xf numFmtId="0" fontId="37" fillId="2" borderId="26" xfId="6" applyNumberFormat="1" applyFont="1" applyBorder="1" applyAlignment="1">
      <alignment horizontal="center"/>
    </xf>
    <xf numFmtId="0" fontId="37" fillId="2" borderId="22" xfId="6" applyNumberFormat="1" applyFont="1" applyBorder="1" applyAlignment="1">
      <alignment horizontal="center"/>
    </xf>
    <xf numFmtId="0" fontId="9" fillId="2" borderId="0" xfId="6" applyNumberFormat="1" applyAlignment="1">
      <alignment horizontal="centerContinuous"/>
    </xf>
    <xf numFmtId="0" fontId="38" fillId="2" borderId="0" xfId="6" applyNumberFormat="1" applyFont="1" applyBorder="1" applyAlignment="1">
      <alignment horizontal="centerContinuous"/>
    </xf>
    <xf numFmtId="186" fontId="9" fillId="2" borderId="0" xfId="6" applyNumberFormat="1"/>
    <xf numFmtId="0" fontId="34" fillId="2" borderId="24" xfId="6" applyNumberFormat="1" applyFont="1" applyBorder="1"/>
    <xf numFmtId="0" fontId="9" fillId="2" borderId="4" xfId="6" applyNumberFormat="1" applyFont="1" applyBorder="1"/>
    <xf numFmtId="10" fontId="9" fillId="2" borderId="25" xfId="6" applyNumberFormat="1" applyFont="1" applyBorder="1" applyAlignment="1">
      <alignment horizontal="center"/>
    </xf>
    <xf numFmtId="2" fontId="39" fillId="14" borderId="0" xfId="6" applyNumberFormat="1" applyFont="1" applyFill="1"/>
    <xf numFmtId="0" fontId="39" fillId="14" borderId="0" xfId="6" applyNumberFormat="1" applyFont="1" applyFill="1"/>
    <xf numFmtId="0" fontId="9" fillId="2" borderId="17" xfId="6" applyNumberFormat="1" applyBorder="1"/>
    <xf numFmtId="0" fontId="9" fillId="2" borderId="0" xfId="6" applyNumberFormat="1" applyFont="1" applyBorder="1"/>
    <xf numFmtId="0" fontId="9" fillId="2" borderId="6" xfId="6" applyNumberFormat="1" applyFont="1" applyBorder="1" applyAlignment="1">
      <alignment horizontal="center"/>
    </xf>
    <xf numFmtId="0" fontId="9" fillId="2" borderId="0" xfId="6" quotePrefix="1" applyNumberFormat="1" applyFont="1" applyBorder="1" applyAlignment="1">
      <alignment horizontal="left"/>
    </xf>
    <xf numFmtId="0" fontId="40" fillId="2" borderId="0" xfId="6" applyNumberFormat="1" applyFont="1" applyBorder="1"/>
    <xf numFmtId="10" fontId="41" fillId="2" borderId="0" xfId="6" applyNumberFormat="1" applyFont="1" applyBorder="1"/>
    <xf numFmtId="0" fontId="41" fillId="2" borderId="0" xfId="6" applyNumberFormat="1" applyFont="1" applyBorder="1"/>
    <xf numFmtId="0" fontId="40" fillId="2" borderId="6" xfId="6" applyNumberFormat="1" applyFont="1" applyBorder="1"/>
    <xf numFmtId="0" fontId="41" fillId="2" borderId="28" xfId="6" applyNumberFormat="1" applyFont="1" applyBorder="1" applyAlignment="1">
      <alignment horizontal="center"/>
    </xf>
    <xf numFmtId="0" fontId="9" fillId="2" borderId="22" xfId="6" quotePrefix="1" applyNumberFormat="1" applyFont="1" applyBorder="1" applyAlignment="1">
      <alignment horizontal="left"/>
    </xf>
    <xf numFmtId="39" fontId="9" fillId="2" borderId="27" xfId="6" applyNumberFormat="1" applyFont="1" applyBorder="1" applyAlignment="1">
      <alignment horizontal="center"/>
    </xf>
    <xf numFmtId="0" fontId="40" fillId="2" borderId="0" xfId="6" applyNumberFormat="1" applyFont="1"/>
    <xf numFmtId="41" fontId="41" fillId="2" borderId="0" xfId="6" applyNumberFormat="1" applyFont="1" applyBorder="1"/>
    <xf numFmtId="177" fontId="41" fillId="2" borderId="0" xfId="6" applyNumberFormat="1" applyFont="1" applyBorder="1"/>
    <xf numFmtId="0" fontId="42" fillId="2" borderId="0" xfId="6" applyNumberFormat="1" applyFont="1"/>
    <xf numFmtId="0" fontId="41" fillId="2" borderId="0" xfId="6" applyNumberFormat="1" applyFont="1"/>
    <xf numFmtId="0" fontId="9" fillId="2" borderId="0" xfId="6" applyNumberFormat="1" applyBorder="1" applyAlignment="1">
      <alignment horizontal="center"/>
    </xf>
    <xf numFmtId="0" fontId="9" fillId="2" borderId="6" xfId="6" applyNumberFormat="1" applyBorder="1" applyAlignment="1">
      <alignment horizontal="center"/>
    </xf>
    <xf numFmtId="41" fontId="41" fillId="2" borderId="29" xfId="6" applyNumberFormat="1" applyFont="1" applyBorder="1"/>
    <xf numFmtId="177" fontId="41" fillId="2" borderId="29" xfId="6" applyNumberFormat="1" applyFont="1" applyBorder="1"/>
    <xf numFmtId="0" fontId="9" fillId="2" borderId="24" xfId="6" applyNumberFormat="1" applyBorder="1"/>
    <xf numFmtId="0" fontId="9" fillId="2" borderId="4" xfId="6" applyNumberFormat="1" applyBorder="1"/>
    <xf numFmtId="0" fontId="9" fillId="2" borderId="24" xfId="6" applyNumberFormat="1" applyBorder="1" applyAlignment="1">
      <alignment horizontal="center"/>
    </xf>
    <xf numFmtId="0" fontId="9" fillId="2" borderId="25" xfId="6" applyNumberFormat="1" applyBorder="1" applyAlignment="1">
      <alignment horizontal="center"/>
    </xf>
    <xf numFmtId="178" fontId="41" fillId="2" borderId="0" xfId="6" applyNumberFormat="1" applyFont="1" applyBorder="1" applyProtection="1">
      <protection locked="0"/>
    </xf>
    <xf numFmtId="177" fontId="41" fillId="2" borderId="0" xfId="6" applyNumberFormat="1" applyFont="1"/>
    <xf numFmtId="0" fontId="43" fillId="2" borderId="0" xfId="6" applyNumberFormat="1" applyFont="1"/>
    <xf numFmtId="10" fontId="9" fillId="2" borderId="0" xfId="6" applyNumberFormat="1" applyAlignment="1">
      <alignment horizontal="center"/>
    </xf>
    <xf numFmtId="41" fontId="9" fillId="2" borderId="0" xfId="6" applyNumberFormat="1"/>
    <xf numFmtId="10" fontId="9" fillId="2" borderId="17" xfId="6" applyNumberFormat="1" applyBorder="1" applyAlignment="1">
      <alignment horizontal="right"/>
    </xf>
    <xf numFmtId="0" fontId="9" fillId="2" borderId="17" xfId="6" applyNumberFormat="1" applyBorder="1" applyAlignment="1">
      <alignment horizontal="center"/>
    </xf>
    <xf numFmtId="0" fontId="9" fillId="2" borderId="0" xfId="6" quotePrefix="1" applyNumberFormat="1" applyBorder="1" applyAlignment="1">
      <alignment horizontal="right"/>
    </xf>
    <xf numFmtId="0" fontId="9" fillId="2" borderId="17" xfId="6" applyNumberFormat="1" applyBorder="1" applyAlignment="1">
      <alignment horizontal="centerContinuous"/>
    </xf>
    <xf numFmtId="0" fontId="9" fillId="2" borderId="6" xfId="6" applyNumberFormat="1" applyBorder="1" applyAlignment="1">
      <alignment horizontal="centerContinuous"/>
    </xf>
    <xf numFmtId="0" fontId="44" fillId="2" borderId="4" xfId="6" applyNumberFormat="1" applyFont="1" applyBorder="1" applyAlignment="1">
      <alignment horizontal="center"/>
    </xf>
    <xf numFmtId="0" fontId="44" fillId="2" borderId="4" xfId="6" applyNumberFormat="1" applyFont="1" applyBorder="1" applyAlignment="1">
      <alignment horizontal="right"/>
    </xf>
    <xf numFmtId="10" fontId="8" fillId="3" borderId="0" xfId="11"/>
    <xf numFmtId="0" fontId="9" fillId="2" borderId="26" xfId="6" applyNumberFormat="1" applyBorder="1" applyAlignment="1">
      <alignment horizontal="centerContinuous"/>
    </xf>
    <xf numFmtId="0" fontId="9" fillId="2" borderId="27" xfId="6" applyNumberFormat="1" applyBorder="1" applyAlignment="1">
      <alignment horizontal="centerContinuous"/>
    </xf>
    <xf numFmtId="0" fontId="45" fillId="2" borderId="0" xfId="6" applyNumberFormat="1" applyFont="1"/>
    <xf numFmtId="0" fontId="46" fillId="2" borderId="0" xfId="6" applyNumberFormat="1" applyFont="1"/>
    <xf numFmtId="41" fontId="9" fillId="2" borderId="17" xfId="6" applyNumberFormat="1" applyBorder="1"/>
    <xf numFmtId="41" fontId="9" fillId="2" borderId="0" xfId="6" applyNumberFormat="1" applyBorder="1"/>
    <xf numFmtId="41" fontId="9" fillId="2" borderId="6" xfId="6" applyNumberFormat="1" applyBorder="1"/>
    <xf numFmtId="10" fontId="47" fillId="2" borderId="0" xfId="6" applyNumberFormat="1" applyFont="1" applyBorder="1"/>
    <xf numFmtId="166" fontId="9" fillId="2" borderId="4" xfId="6" applyNumberFormat="1" applyBorder="1"/>
    <xf numFmtId="2" fontId="9" fillId="2" borderId="6" xfId="6" applyNumberFormat="1" applyBorder="1" applyAlignment="1">
      <alignment horizontal="center"/>
    </xf>
    <xf numFmtId="166" fontId="9" fillId="2" borderId="0" xfId="6" applyNumberFormat="1" applyBorder="1"/>
    <xf numFmtId="0" fontId="9" fillId="2" borderId="28" xfId="6" applyNumberFormat="1" applyBorder="1"/>
    <xf numFmtId="10" fontId="41" fillId="2" borderId="0" xfId="6" applyNumberFormat="1" applyFont="1"/>
    <xf numFmtId="166" fontId="48" fillId="2" borderId="0" xfId="6" applyNumberFormat="1" applyFont="1" applyBorder="1"/>
    <xf numFmtId="0" fontId="48" fillId="2" borderId="6" xfId="6" applyNumberFormat="1" applyFont="1" applyBorder="1" applyAlignment="1">
      <alignment horizontal="center"/>
    </xf>
    <xf numFmtId="39" fontId="41" fillId="2" borderId="0" xfId="6" applyNumberFormat="1" applyFont="1"/>
    <xf numFmtId="41" fontId="9" fillId="2" borderId="26" xfId="6" applyNumberFormat="1" applyBorder="1"/>
    <xf numFmtId="41" fontId="9" fillId="2" borderId="22" xfId="6" applyNumberFormat="1" applyBorder="1"/>
    <xf numFmtId="41" fontId="9" fillId="2" borderId="27" xfId="6" applyNumberFormat="1" applyBorder="1"/>
    <xf numFmtId="10" fontId="47" fillId="2" borderId="22" xfId="6" applyNumberFormat="1" applyFont="1" applyBorder="1"/>
    <xf numFmtId="166" fontId="9" fillId="2" borderId="22" xfId="6" applyNumberFormat="1" applyBorder="1"/>
    <xf numFmtId="2" fontId="9" fillId="2" borderId="27" xfId="6" applyNumberFormat="1" applyBorder="1" applyAlignment="1">
      <alignment horizontal="center"/>
    </xf>
    <xf numFmtId="0" fontId="9" fillId="2" borderId="27" xfId="6" applyNumberFormat="1" applyBorder="1" applyAlignment="1">
      <alignment horizontal="center"/>
    </xf>
    <xf numFmtId="0" fontId="41" fillId="2" borderId="0" xfId="6" quotePrefix="1" applyNumberFormat="1" applyFont="1" applyAlignment="1">
      <alignment horizontal="left"/>
    </xf>
    <xf numFmtId="10" fontId="9" fillId="14" borderId="0" xfId="6" applyNumberFormat="1" applyFill="1"/>
    <xf numFmtId="0" fontId="46" fillId="2" borderId="0" xfId="6" applyNumberFormat="1" applyFont="1" applyAlignment="1">
      <alignment horizontal="right"/>
    </xf>
    <xf numFmtId="0" fontId="44" fillId="2" borderId="0" xfId="6" applyNumberFormat="1" applyFont="1"/>
    <xf numFmtId="0" fontId="44" fillId="2" borderId="0" xfId="6" applyNumberFormat="1" applyFont="1" applyAlignment="1">
      <alignment horizontal="center"/>
    </xf>
    <xf numFmtId="10" fontId="41" fillId="2" borderId="29" xfId="6" applyNumberFormat="1" applyFont="1" applyBorder="1" applyAlignment="1">
      <alignment horizontal="center"/>
    </xf>
    <xf numFmtId="0" fontId="40" fillId="2" borderId="0" xfId="6" applyNumberFormat="1" applyFont="1" applyAlignment="1">
      <alignment horizontal="right"/>
    </xf>
    <xf numFmtId="9" fontId="41" fillId="2" borderId="0" xfId="6" applyNumberFormat="1" applyFont="1" applyAlignment="1">
      <alignment horizontal="center"/>
    </xf>
    <xf numFmtId="0" fontId="41" fillId="2" borderId="0" xfId="6" applyNumberFormat="1" applyFont="1" applyAlignment="1">
      <alignment horizontal="right"/>
    </xf>
    <xf numFmtId="10" fontId="41" fillId="2" borderId="0" xfId="6" applyNumberFormat="1" applyFont="1" applyAlignment="1">
      <alignment horizontal="center"/>
    </xf>
    <xf numFmtId="10" fontId="41" fillId="2" borderId="0" xfId="6" applyNumberFormat="1" applyFont="1" applyAlignment="1">
      <alignment horizontal="right"/>
    </xf>
    <xf numFmtId="41" fontId="41" fillId="2" borderId="4" xfId="6" applyNumberFormat="1" applyFont="1" applyBorder="1" applyProtection="1">
      <protection locked="0"/>
    </xf>
    <xf numFmtId="41" fontId="41" fillId="2" borderId="0" xfId="6" applyNumberFormat="1" applyFont="1"/>
    <xf numFmtId="41" fontId="41" fillId="2" borderId="0" xfId="6" applyNumberFormat="1" applyFont="1" applyBorder="1" applyProtection="1">
      <protection locked="0"/>
    </xf>
    <xf numFmtId="0" fontId="49" fillId="2" borderId="0" xfId="6" applyNumberFormat="1" applyFont="1" applyAlignment="1">
      <alignment horizontal="center"/>
    </xf>
    <xf numFmtId="0" fontId="49" fillId="2" borderId="0" xfId="6" applyNumberFormat="1" applyFont="1" applyAlignment="1">
      <alignment horizontal="right"/>
    </xf>
    <xf numFmtId="41" fontId="49" fillId="2" borderId="0" xfId="6" applyNumberFormat="1" applyFont="1" applyAlignment="1">
      <alignment horizontal="center"/>
    </xf>
    <xf numFmtId="0" fontId="50" fillId="3" borderId="0" xfId="6" applyNumberFormat="1" applyFont="1" applyFill="1" applyBorder="1" applyAlignment="1">
      <alignment horizontal="centerContinuous"/>
    </xf>
    <xf numFmtId="0" fontId="50" fillId="15" borderId="0" xfId="6" applyNumberFormat="1" applyFont="1" applyFill="1" applyBorder="1" applyAlignment="1">
      <alignment horizontal="right"/>
    </xf>
    <xf numFmtId="10" fontId="8" fillId="3" borderId="0" xfId="11" applyNumberFormat="1"/>
    <xf numFmtId="41" fontId="44" fillId="2" borderId="30" xfId="6" applyNumberFormat="1" applyFont="1" applyBorder="1"/>
    <xf numFmtId="0" fontId="44" fillId="2" borderId="0" xfId="6" applyNumberFormat="1" applyFont="1" applyBorder="1" applyAlignment="1">
      <alignment horizontal="right"/>
    </xf>
    <xf numFmtId="41" fontId="44" fillId="2" borderId="5" xfId="6" applyNumberFormat="1" applyFont="1" applyBorder="1"/>
    <xf numFmtId="0" fontId="38" fillId="14" borderId="0" xfId="6" applyNumberFormat="1" applyFont="1" applyFill="1"/>
    <xf numFmtId="41" fontId="41" fillId="2" borderId="17" xfId="6" applyNumberFormat="1" applyFont="1" applyBorder="1"/>
    <xf numFmtId="0" fontId="41" fillId="2" borderId="0" xfId="6" applyNumberFormat="1" applyFont="1" applyBorder="1" applyAlignment="1">
      <alignment horizontal="right"/>
    </xf>
    <xf numFmtId="0" fontId="51" fillId="2" borderId="0" xfId="6" applyNumberFormat="1" applyFont="1" applyBorder="1" applyAlignment="1">
      <alignment horizontal="left"/>
    </xf>
    <xf numFmtId="0" fontId="50" fillId="15" borderId="27" xfId="6" applyNumberFormat="1" applyFont="1" applyFill="1" applyBorder="1" applyAlignment="1">
      <alignment horizontal="left"/>
    </xf>
    <xf numFmtId="41" fontId="9" fillId="14" borderId="0" xfId="6" applyNumberFormat="1" applyFill="1"/>
    <xf numFmtId="0" fontId="9" fillId="2" borderId="0" xfId="6" applyNumberFormat="1" applyAlignment="1">
      <alignment horizontal="right"/>
    </xf>
    <xf numFmtId="41" fontId="40" fillId="3" borderId="0" xfId="2" applyFont="1" applyAlignment="1">
      <alignment horizontal="right"/>
    </xf>
    <xf numFmtId="0" fontId="41" fillId="2" borderId="32" xfId="6" applyNumberFormat="1" applyFont="1" applyBorder="1" applyAlignment="1">
      <alignment horizontal="right"/>
    </xf>
    <xf numFmtId="41" fontId="40" fillId="2" borderId="0" xfId="6" applyNumberFormat="1" applyFont="1"/>
    <xf numFmtId="41" fontId="41" fillId="2" borderId="33" xfId="6" applyNumberFormat="1" applyFont="1" applyBorder="1"/>
    <xf numFmtId="0" fontId="9" fillId="5" borderId="0" xfId="6" applyNumberFormat="1" applyFill="1" applyBorder="1"/>
    <xf numFmtId="177" fontId="40" fillId="0" borderId="34" xfId="11" applyNumberFormat="1" applyFont="1" applyFill="1" applyBorder="1"/>
    <xf numFmtId="0" fontId="41" fillId="2" borderId="35" xfId="6" applyNumberFormat="1" applyFont="1" applyBorder="1" applyAlignment="1">
      <alignment horizontal="right"/>
    </xf>
    <xf numFmtId="0" fontId="41" fillId="2" borderId="28" xfId="6" applyNumberFormat="1" applyFont="1" applyBorder="1" applyAlignment="1">
      <alignment horizontal="right"/>
    </xf>
    <xf numFmtId="41" fontId="9" fillId="2" borderId="36" xfId="6" applyNumberFormat="1" applyBorder="1"/>
    <xf numFmtId="41" fontId="9" fillId="2" borderId="37" xfId="6" applyNumberFormat="1" applyBorder="1"/>
    <xf numFmtId="41" fontId="9" fillId="2" borderId="38" xfId="6" applyNumberFormat="1" applyBorder="1"/>
    <xf numFmtId="10" fontId="47" fillId="2" borderId="37" xfId="6" applyNumberFormat="1" applyFont="1" applyBorder="1"/>
    <xf numFmtId="166" fontId="9" fillId="2" borderId="37" xfId="6" applyNumberFormat="1" applyBorder="1"/>
    <xf numFmtId="2" fontId="9" fillId="2" borderId="38" xfId="6" applyNumberFormat="1" applyBorder="1" applyAlignment="1">
      <alignment horizontal="center"/>
    </xf>
    <xf numFmtId="0" fontId="9" fillId="2" borderId="38" xfId="6" applyNumberFormat="1" applyBorder="1" applyAlignment="1">
      <alignment horizontal="center"/>
    </xf>
    <xf numFmtId="0" fontId="44" fillId="2" borderId="28" xfId="6" applyNumberFormat="1" applyFont="1" applyBorder="1" applyAlignment="1">
      <alignment horizontal="right"/>
    </xf>
    <xf numFmtId="5" fontId="41" fillId="2" borderId="39" xfId="6" applyNumberFormat="1" applyFont="1" applyBorder="1"/>
    <xf numFmtId="41" fontId="41" fillId="2" borderId="39" xfId="6" applyNumberFormat="1" applyFont="1" applyBorder="1"/>
    <xf numFmtId="10" fontId="40" fillId="0" borderId="34" xfId="11" applyFont="1" applyFill="1" applyBorder="1"/>
    <xf numFmtId="0" fontId="41" fillId="2" borderId="40" xfId="6" applyNumberFormat="1" applyFont="1" applyBorder="1" applyAlignment="1">
      <alignment horizontal="center"/>
    </xf>
    <xf numFmtId="5" fontId="40" fillId="0" borderId="34" xfId="2" applyNumberFormat="1" applyFont="1" applyFill="1" applyBorder="1" applyAlignment="1">
      <alignment horizontal="right"/>
    </xf>
    <xf numFmtId="0" fontId="44" fillId="15" borderId="4" xfId="6" applyNumberFormat="1" applyFont="1" applyFill="1" applyBorder="1" applyAlignment="1">
      <alignment horizontal="center"/>
    </xf>
    <xf numFmtId="0" fontId="44" fillId="15" borderId="4" xfId="6" applyNumberFormat="1" applyFont="1" applyFill="1" applyBorder="1"/>
    <xf numFmtId="0" fontId="50" fillId="15" borderId="4" xfId="6" applyNumberFormat="1" applyFont="1" applyFill="1" applyBorder="1"/>
    <xf numFmtId="0" fontId="41" fillId="2" borderId="25" xfId="6" applyNumberFormat="1" applyFont="1" applyBorder="1"/>
    <xf numFmtId="0" fontId="8" fillId="2" borderId="0" xfId="6" applyNumberFormat="1" applyFont="1"/>
    <xf numFmtId="0" fontId="44" fillId="15" borderId="0" xfId="6" applyNumberFormat="1" applyFont="1" applyFill="1" applyAlignment="1">
      <alignment horizontal="center"/>
    </xf>
    <xf numFmtId="0" fontId="50" fillId="15" borderId="0" xfId="6" applyNumberFormat="1" applyFont="1" applyFill="1" applyAlignment="1">
      <alignment horizontal="center"/>
    </xf>
    <xf numFmtId="0" fontId="41" fillId="2" borderId="6" xfId="6" applyNumberFormat="1" applyFont="1" applyBorder="1"/>
    <xf numFmtId="5" fontId="40" fillId="0" borderId="24" xfId="2" applyNumberFormat="1" applyFont="1" applyFill="1" applyBorder="1" applyAlignment="1">
      <alignment horizontal="right"/>
    </xf>
    <xf numFmtId="0" fontId="52" fillId="14" borderId="0" xfId="6" applyNumberFormat="1" applyFont="1" applyFill="1"/>
    <xf numFmtId="0" fontId="53" fillId="13" borderId="41" xfId="10" applyNumberFormat="1" applyFont="1" applyBorder="1" applyAlignment="1">
      <alignment horizontal="left"/>
    </xf>
    <xf numFmtId="0" fontId="53" fillId="13" borderId="42" xfId="10" applyNumberFormat="1" applyFont="1" applyBorder="1" applyAlignment="1">
      <alignment horizontal="left"/>
    </xf>
    <xf numFmtId="0" fontId="54" fillId="2" borderId="0" xfId="6" applyNumberFormat="1" applyFont="1" applyAlignment="1">
      <alignment horizontal="center"/>
    </xf>
    <xf numFmtId="0" fontId="40" fillId="2" borderId="43" xfId="6" applyNumberFormat="1" applyFont="1" applyBorder="1"/>
    <xf numFmtId="0" fontId="9" fillId="2" borderId="46" xfId="6" applyNumberFormat="1" applyBorder="1" applyAlignment="1">
      <alignment horizontal="centerContinuous"/>
    </xf>
    <xf numFmtId="0" fontId="55" fillId="2" borderId="46" xfId="6" applyNumberFormat="1" applyFont="1" applyBorder="1" applyAlignment="1">
      <alignment horizontal="centerContinuous"/>
    </xf>
    <xf numFmtId="0" fontId="55" fillId="2" borderId="41" xfId="6" applyNumberFormat="1" applyFont="1" applyBorder="1" applyAlignment="1">
      <alignment horizontal="centerContinuous"/>
    </xf>
    <xf numFmtId="0" fontId="56" fillId="13" borderId="44" xfId="10" applyNumberFormat="1" applyFont="1" applyBorder="1" applyAlignment="1">
      <alignment horizontal="centerContinuous"/>
    </xf>
    <xf numFmtId="0" fontId="53" fillId="13" borderId="21" xfId="10" applyNumberFormat="1" applyFont="1" applyBorder="1" applyAlignment="1">
      <alignment horizontal="centerContinuous"/>
    </xf>
    <xf numFmtId="0" fontId="53" fillId="13" borderId="21" xfId="10" applyNumberFormat="1" applyFont="1" applyBorder="1" applyAlignment="1">
      <alignment horizontal="left"/>
    </xf>
    <xf numFmtId="0" fontId="57" fillId="0" borderId="0" xfId="6" applyNumberFormat="1" applyFont="1" applyFill="1"/>
    <xf numFmtId="0" fontId="57" fillId="0" borderId="0" xfId="6" applyNumberFormat="1" applyFont="1" applyFill="1" applyAlignment="1">
      <alignment horizontal="center"/>
    </xf>
    <xf numFmtId="0" fontId="57" fillId="0" borderId="6" xfId="6" applyNumberFormat="1" applyFont="1" applyFill="1" applyBorder="1"/>
    <xf numFmtId="0" fontId="57" fillId="14" borderId="0" xfId="6" applyNumberFormat="1" applyFont="1" applyFill="1"/>
    <xf numFmtId="0" fontId="57" fillId="14" borderId="2" xfId="6" applyNumberFormat="1" applyFont="1" applyFill="1" applyBorder="1"/>
    <xf numFmtId="44" fontId="40" fillId="0" borderId="34" xfId="2" applyNumberFormat="1" applyFont="1" applyFill="1" applyBorder="1" applyAlignment="1">
      <alignment horizontal="right"/>
    </xf>
    <xf numFmtId="39" fontId="4" fillId="10" borderId="4" xfId="0" applyNumberFormat="1" applyFont="1" applyFill="1" applyBorder="1"/>
    <xf numFmtId="44" fontId="0" fillId="10" borderId="0" xfId="4" applyFont="1" applyFill="1"/>
    <xf numFmtId="0" fontId="0" fillId="10" borderId="0" xfId="0" applyFill="1"/>
    <xf numFmtId="44" fontId="0" fillId="10" borderId="4" xfId="4" applyFont="1" applyFill="1" applyBorder="1"/>
    <xf numFmtId="44" fontId="0" fillId="10" borderId="0" xfId="0" applyNumberFormat="1" applyFill="1"/>
    <xf numFmtId="44" fontId="0" fillId="10" borderId="4" xfId="0" applyNumberFormat="1" applyFill="1" applyBorder="1"/>
    <xf numFmtId="9" fontId="0" fillId="10" borderId="0" xfId="0" applyNumberFormat="1" applyFill="1"/>
    <xf numFmtId="10" fontId="19" fillId="0" borderId="0" xfId="7" applyNumberFormat="1" applyFill="1"/>
    <xf numFmtId="4" fontId="22" fillId="8" borderId="4" xfId="7" applyNumberFormat="1" applyFont="1" applyFill="1" applyBorder="1"/>
    <xf numFmtId="0" fontId="0" fillId="0" borderId="0" xfId="0" applyAlignment="1">
      <alignment wrapText="1"/>
    </xf>
    <xf numFmtId="0" fontId="11" fillId="0" borderId="4" xfId="0" applyFont="1" applyBorder="1" applyAlignment="1">
      <alignment horizontal="center"/>
    </xf>
    <xf numFmtId="180" fontId="0" fillId="0" borderId="0" xfId="4" applyNumberFormat="1" applyFont="1" applyAlignment="1">
      <alignment vertical="center"/>
    </xf>
    <xf numFmtId="9" fontId="0" fillId="0" borderId="0" xfId="8" applyFont="1" applyAlignment="1">
      <alignment vertical="center"/>
    </xf>
    <xf numFmtId="0" fontId="0" fillId="0" borderId="0" xfId="0" applyAlignment="1">
      <alignment vertical="center"/>
    </xf>
    <xf numFmtId="164" fontId="3" fillId="0" borderId="0" xfId="0" applyNumberFormat="1" applyFont="1" applyFill="1"/>
    <xf numFmtId="164" fontId="2" fillId="0" borderId="0" xfId="0" applyNumberFormat="1" applyFont="1" applyFill="1"/>
    <xf numFmtId="180" fontId="10" fillId="12" borderId="0" xfId="4" applyNumberFormat="1" applyFont="1" applyFill="1"/>
    <xf numFmtId="0" fontId="0" fillId="0" borderId="0" xfId="0" applyAlignment="1">
      <alignment vertical="center" wrapText="1"/>
    </xf>
    <xf numFmtId="0" fontId="58" fillId="0" borderId="0" xfId="0" applyFont="1"/>
    <xf numFmtId="0" fontId="0" fillId="0" borderId="0" xfId="0" applyAlignment="1">
      <alignment horizontal="center"/>
    </xf>
    <xf numFmtId="0" fontId="3" fillId="0" borderId="0" xfId="0" applyFont="1" applyAlignment="1">
      <alignment horizontal="center"/>
    </xf>
    <xf numFmtId="3" fontId="0" fillId="6" borderId="0" xfId="0" applyNumberFormat="1" applyFill="1" applyBorder="1"/>
    <xf numFmtId="43" fontId="0" fillId="0" borderId="0" xfId="1" applyNumberFormat="1" applyFont="1"/>
    <xf numFmtId="178" fontId="0" fillId="0" borderId="4" xfId="1" applyNumberFormat="1" applyFont="1" applyBorder="1"/>
    <xf numFmtId="44" fontId="0" fillId="0" borderId="4" xfId="4" applyFont="1" applyBorder="1"/>
    <xf numFmtId="44" fontId="0" fillId="0" borderId="3" xfId="0" applyNumberFormat="1" applyBorder="1"/>
    <xf numFmtId="39" fontId="27" fillId="0" borderId="2" xfId="0" applyNumberFormat="1" applyFont="1" applyBorder="1"/>
    <xf numFmtId="0" fontId="27" fillId="0" borderId="2" xfId="0" applyFont="1" applyBorder="1"/>
    <xf numFmtId="178" fontId="27" fillId="0" borderId="0" xfId="3" applyNumberFormat="1" applyFont="1"/>
    <xf numFmtId="17" fontId="3" fillId="0" borderId="0" xfId="0" applyNumberFormat="1" applyFont="1" applyAlignment="1">
      <alignment horizontal="center"/>
    </xf>
    <xf numFmtId="38" fontId="27" fillId="0" borderId="0" xfId="0" applyNumberFormat="1" applyFont="1" applyAlignment="1">
      <alignment horizontal="right"/>
    </xf>
    <xf numFmtId="17" fontId="3" fillId="0" borderId="0" xfId="0" quotePrefix="1" applyNumberFormat="1" applyFont="1"/>
    <xf numFmtId="2" fontId="12" fillId="6" borderId="0" xfId="0" applyNumberFormat="1" applyFont="1" applyFill="1"/>
    <xf numFmtId="2" fontId="27" fillId="6" borderId="0" xfId="0" applyNumberFormat="1" applyFont="1" applyFill="1"/>
    <xf numFmtId="14" fontId="3" fillId="0" borderId="0" xfId="0" applyNumberFormat="1" applyFont="1" applyAlignment="1">
      <alignment horizontal="left"/>
    </xf>
    <xf numFmtId="43" fontId="0" fillId="0" borderId="3" xfId="3" applyNumberFormat="1" applyFont="1" applyBorder="1"/>
    <xf numFmtId="0" fontId="1" fillId="0" borderId="0" xfId="0" applyFont="1" applyAlignment="1">
      <alignment horizontal="left"/>
    </xf>
    <xf numFmtId="0" fontId="1" fillId="0" borderId="0" xfId="0" applyFont="1"/>
    <xf numFmtId="0" fontId="1" fillId="0" borderId="0" xfId="0" quotePrefix="1" applyFont="1" applyAlignment="1">
      <alignment horizontal="left"/>
    </xf>
    <xf numFmtId="0" fontId="0" fillId="0" borderId="0" xfId="0" applyAlignment="1">
      <alignment horizontal="center"/>
    </xf>
    <xf numFmtId="0" fontId="3" fillId="0" borderId="0" xfId="0" applyFont="1" applyAlignment="1">
      <alignment horizontal="center"/>
    </xf>
    <xf numFmtId="4" fontId="22" fillId="6" borderId="0" xfId="7" applyNumberFormat="1" applyFont="1" applyFill="1"/>
    <xf numFmtId="0" fontId="1" fillId="0" borderId="0" xfId="0" applyFont="1" applyAlignment="1">
      <alignment horizontal="center"/>
    </xf>
    <xf numFmtId="39" fontId="0" fillId="5" borderId="0" xfId="0" applyNumberFormat="1" applyFill="1"/>
    <xf numFmtId="0" fontId="1" fillId="0" borderId="0" xfId="0" applyFont="1" applyFill="1"/>
    <xf numFmtId="38" fontId="27" fillId="0" borderId="0" xfId="0" applyNumberFormat="1" applyFont="1"/>
    <xf numFmtId="0" fontId="1" fillId="0" borderId="0" xfId="0" quotePrefix="1" applyFont="1"/>
    <xf numFmtId="49" fontId="1" fillId="0" borderId="0" xfId="0" applyNumberFormat="1" applyFont="1"/>
    <xf numFmtId="0" fontId="1" fillId="0" borderId="2" xfId="0" quotePrefix="1" applyFont="1" applyBorder="1"/>
    <xf numFmtId="14" fontId="1" fillId="0" borderId="0" xfId="0" quotePrefix="1" applyNumberFormat="1" applyFont="1" applyAlignment="1">
      <alignment horizontal="center"/>
    </xf>
    <xf numFmtId="14" fontId="1" fillId="0" borderId="0" xfId="0" applyNumberFormat="1" applyFont="1" applyAlignment="1">
      <alignment horizontal="center"/>
    </xf>
    <xf numFmtId="0" fontId="1" fillId="5" borderId="0" xfId="0" applyFont="1" applyFill="1"/>
    <xf numFmtId="0" fontId="1" fillId="6" borderId="0" xfId="0" applyFont="1" applyFill="1"/>
    <xf numFmtId="16" fontId="1" fillId="0" borderId="0" xfId="0" quotePrefix="1" applyNumberFormat="1" applyFont="1" applyAlignment="1">
      <alignment horizontal="center"/>
    </xf>
    <xf numFmtId="7" fontId="27" fillId="0" borderId="0" xfId="0" applyNumberFormat="1" applyFont="1"/>
    <xf numFmtId="44" fontId="27" fillId="0" borderId="0" xfId="5" applyFont="1"/>
    <xf numFmtId="171" fontId="27" fillId="0" borderId="0" xfId="0" applyNumberFormat="1" applyFont="1"/>
    <xf numFmtId="0" fontId="19" fillId="6" borderId="0" xfId="7" applyFill="1"/>
    <xf numFmtId="178" fontId="19" fillId="0" borderId="0" xfId="1" applyNumberFormat="1" applyFont="1"/>
    <xf numFmtId="0" fontId="60" fillId="0" borderId="0" xfId="7" applyFont="1"/>
    <xf numFmtId="41" fontId="60" fillId="0" borderId="0" xfId="7" applyNumberFormat="1" applyFont="1"/>
    <xf numFmtId="0" fontId="29" fillId="6" borderId="0" xfId="0" applyFont="1" applyFill="1"/>
    <xf numFmtId="0" fontId="59" fillId="6" borderId="0" xfId="0" applyFont="1" applyFill="1"/>
    <xf numFmtId="44" fontId="27" fillId="0" borderId="0" xfId="4" applyFont="1"/>
    <xf numFmtId="7" fontId="0" fillId="0" borderId="0" xfId="5" applyNumberFormat="1" applyFont="1" applyBorder="1"/>
    <xf numFmtId="180" fontId="60" fillId="0" borderId="0" xfId="7" applyNumberFormat="1" applyFont="1"/>
    <xf numFmtId="14" fontId="1" fillId="0" borderId="0" xfId="0" quotePrefix="1" applyNumberFormat="1" applyFont="1"/>
    <xf numFmtId="14" fontId="1" fillId="0" borderId="1" xfId="0" applyNumberFormat="1" applyFont="1" applyBorder="1" applyAlignment="1">
      <alignment horizontal="center"/>
    </xf>
    <xf numFmtId="49" fontId="1" fillId="0" borderId="0" xfId="0" quotePrefix="1" applyNumberFormat="1" applyFont="1"/>
    <xf numFmtId="166" fontId="2" fillId="0" borderId="0" xfId="0" applyNumberFormat="1" applyFont="1" applyProtection="1"/>
    <xf numFmtId="173" fontId="0" fillId="0" borderId="4" xfId="0" applyNumberFormat="1" applyBorder="1"/>
    <xf numFmtId="0" fontId="1" fillId="0" borderId="4" xfId="0" applyFont="1" applyBorder="1" applyAlignment="1">
      <alignment horizontal="center"/>
    </xf>
    <xf numFmtId="14" fontId="3" fillId="0" borderId="0" xfId="0" quotePrefix="1" applyNumberFormat="1" applyFont="1"/>
    <xf numFmtId="15" fontId="1" fillId="0" borderId="0" xfId="0" quotePrefix="1" applyNumberFormat="1" applyFont="1" applyAlignment="1">
      <alignment horizontal="left"/>
    </xf>
    <xf numFmtId="4" fontId="27" fillId="6" borderId="0" xfId="0" applyNumberFormat="1" applyFont="1" applyFill="1"/>
    <xf numFmtId="0" fontId="0" fillId="0" borderId="0" xfId="0" applyAlignment="1">
      <alignment horizontal="center"/>
    </xf>
    <xf numFmtId="0" fontId="61" fillId="6" borderId="0" xfId="0" applyFont="1" applyFill="1"/>
    <xf numFmtId="180" fontId="0" fillId="0" borderId="0" xfId="4" applyNumberFormat="1" applyFont="1" applyAlignment="1">
      <alignment horizontal="center" vertical="center" wrapText="1"/>
    </xf>
    <xf numFmtId="0" fontId="9" fillId="2" borderId="45" xfId="6" applyNumberFormat="1" applyBorder="1" applyAlignment="1">
      <alignment horizontal="center"/>
    </xf>
    <xf numFmtId="0" fontId="9" fillId="2" borderId="21" xfId="6" applyNumberFormat="1" applyBorder="1" applyAlignment="1">
      <alignment horizontal="center"/>
    </xf>
    <xf numFmtId="0" fontId="9" fillId="2" borderId="44" xfId="6" applyNumberFormat="1" applyBorder="1" applyAlignment="1">
      <alignment horizontal="center"/>
    </xf>
    <xf numFmtId="0" fontId="38" fillId="14" borderId="0" xfId="6" applyNumberFormat="1" applyFont="1" applyFill="1" applyAlignment="1">
      <alignment horizontal="center"/>
    </xf>
    <xf numFmtId="0" fontId="40" fillId="14" borderId="22" xfId="6" applyNumberFormat="1" applyFont="1" applyFill="1" applyBorder="1" applyAlignment="1">
      <alignment horizontal="center"/>
    </xf>
    <xf numFmtId="0" fontId="40" fillId="14" borderId="0" xfId="6" applyNumberFormat="1" applyFont="1" applyFill="1" applyBorder="1" applyAlignment="1">
      <alignment horizontal="center"/>
    </xf>
    <xf numFmtId="0" fontId="40" fillId="14" borderId="31" xfId="6" applyNumberFormat="1" applyFont="1" applyFill="1" applyBorder="1" applyAlignment="1">
      <alignment horizontal="center"/>
    </xf>
    <xf numFmtId="0" fontId="40" fillId="14" borderId="0" xfId="6" applyNumberFormat="1" applyFont="1" applyFill="1" applyAlignment="1">
      <alignment horizontal="center"/>
    </xf>
    <xf numFmtId="0" fontId="11" fillId="0" borderId="2" xfId="0" applyFont="1" applyBorder="1" applyAlignment="1">
      <alignment horizontal="center"/>
    </xf>
    <xf numFmtId="0" fontId="11"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39" fontId="2" fillId="0" borderId="0" xfId="0" applyNumberFormat="1" applyFont="1" applyFill="1" applyBorder="1"/>
  </cellXfs>
  <cellStyles count="12">
    <cellStyle name="Accent5" xfId="10" builtinId="45"/>
    <cellStyle name="Comma" xfId="1" builtinId="3"/>
    <cellStyle name="Comma 2" xfId="2"/>
    <cellStyle name="Comma 3" xfId="3"/>
    <cellStyle name="Currency" xfId="4" builtinId="4"/>
    <cellStyle name="Currency 2" xfId="5"/>
    <cellStyle name="Normal" xfId="0" builtinId="0"/>
    <cellStyle name="Normal 2" xfId="6"/>
    <cellStyle name="Normal 3" xfId="7"/>
    <cellStyle name="Percent" xfId="8" builtinId="5"/>
    <cellStyle name="Percent 2" xfId="9"/>
    <cellStyle name="Percent 3" xfId="11"/>
  </cellStyles>
  <dxfs count="15">
    <dxf>
      <font>
        <condense val="0"/>
        <extend val="0"/>
        <color indexed="17"/>
      </font>
    </dxf>
    <dxf>
      <font>
        <condense val="0"/>
        <extend val="0"/>
        <color indexed="53"/>
      </font>
    </dxf>
    <dxf>
      <font>
        <condense val="0"/>
        <extend val="0"/>
        <color indexed="10"/>
      </font>
    </dxf>
    <dxf>
      <font>
        <condense val="0"/>
        <extend val="0"/>
        <color indexed="17"/>
      </font>
    </dxf>
    <dxf>
      <font>
        <condense val="0"/>
        <extend val="0"/>
        <color indexed="53"/>
      </font>
    </dxf>
    <dxf>
      <font>
        <condense val="0"/>
        <extend val="0"/>
        <color indexed="10"/>
      </font>
    </dxf>
    <dxf>
      <font>
        <condense val="0"/>
        <extend val="0"/>
        <color indexed="17"/>
      </font>
    </dxf>
    <dxf>
      <font>
        <condense val="0"/>
        <extend val="0"/>
        <color indexed="53"/>
      </font>
    </dxf>
    <dxf>
      <font>
        <condense val="0"/>
        <extend val="0"/>
        <color indexed="10"/>
      </font>
    </dxf>
    <dxf>
      <font>
        <condense val="0"/>
        <extend val="0"/>
        <color indexed="17"/>
      </font>
    </dxf>
    <dxf>
      <font>
        <condense val="0"/>
        <extend val="0"/>
        <color indexed="53"/>
      </font>
    </dxf>
    <dxf>
      <font>
        <condense val="0"/>
        <extend val="0"/>
        <color indexed="10"/>
      </font>
    </dxf>
    <dxf>
      <font>
        <condense val="0"/>
        <extend val="0"/>
        <color indexed="17"/>
      </font>
    </dxf>
    <dxf>
      <font>
        <condense val="0"/>
        <extend val="0"/>
        <color indexed="53"/>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8" Type="http://schemas.openxmlformats.org/officeDocument/2006/relationships/customXml" Target="../customXml/item5.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14</xdr:row>
          <xdr:rowOff>171450</xdr:rowOff>
        </xdr:from>
        <xdr:to>
          <xdr:col>2</xdr:col>
          <xdr:colOff>352425</xdr:colOff>
          <xdr:row>16</xdr:row>
          <xdr:rowOff>9525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6"/>
  <sheetViews>
    <sheetView workbookViewId="0">
      <selection activeCell="E4" sqref="E4"/>
    </sheetView>
  </sheetViews>
  <sheetFormatPr defaultRowHeight="12.75"/>
  <cols>
    <col min="1" max="1" width="9.42578125" bestFit="1" customWidth="1"/>
    <col min="3" max="3" width="9.28515625" customWidth="1"/>
    <col min="4" max="4" width="12.7109375" customWidth="1"/>
    <col min="5" max="5" width="12.140625" customWidth="1"/>
    <col min="20" max="20" width="11.28515625" customWidth="1"/>
    <col min="29" max="29" width="11" customWidth="1"/>
  </cols>
  <sheetData>
    <row r="1" spans="1:35">
      <c r="A1" t="s">
        <v>0</v>
      </c>
    </row>
    <row r="3" spans="1:35">
      <c r="A3" t="s">
        <v>275</v>
      </c>
      <c r="E3" s="693" t="s">
        <v>1414</v>
      </c>
      <c r="F3" s="693" t="s">
        <v>702</v>
      </c>
    </row>
    <row r="5" spans="1:35">
      <c r="A5" s="703" t="s">
        <v>1415</v>
      </c>
    </row>
    <row r="7" spans="1:35">
      <c r="B7" s="16" t="s">
        <v>127</v>
      </c>
      <c r="AD7" s="2" t="s">
        <v>128</v>
      </c>
      <c r="AE7" s="2" t="s">
        <v>129</v>
      </c>
      <c r="AH7" s="16" t="s">
        <v>130</v>
      </c>
    </row>
    <row r="8" spans="1:35">
      <c r="E8" s="28"/>
      <c r="M8" s="16" t="s">
        <v>131</v>
      </c>
      <c r="T8" s="2" t="s">
        <v>132</v>
      </c>
      <c r="U8" s="2" t="s">
        <v>133</v>
      </c>
      <c r="V8" s="2" t="s">
        <v>134</v>
      </c>
      <c r="W8" s="2" t="s">
        <v>135</v>
      </c>
      <c r="X8" s="2" t="s">
        <v>136</v>
      </c>
      <c r="Z8" s="2" t="s">
        <v>137</v>
      </c>
      <c r="AA8" s="16" t="s">
        <v>138</v>
      </c>
      <c r="AB8" s="2" t="s">
        <v>139</v>
      </c>
      <c r="AC8" s="2" t="s">
        <v>140</v>
      </c>
      <c r="AD8" s="2" t="s">
        <v>141</v>
      </c>
      <c r="AH8" s="16" t="s">
        <v>142</v>
      </c>
    </row>
    <row r="9" spans="1:35">
      <c r="B9" s="16" t="s">
        <v>143</v>
      </c>
      <c r="C9" s="16" t="s">
        <v>144</v>
      </c>
      <c r="E9" s="28">
        <f>E11+E10</f>
        <v>2424252.34060296</v>
      </c>
      <c r="F9" s="16" t="s">
        <v>145</v>
      </c>
      <c r="K9" s="29"/>
      <c r="M9" s="16" t="s">
        <v>146</v>
      </c>
      <c r="P9" s="16" t="s">
        <v>147</v>
      </c>
      <c r="T9" s="30">
        <f>$E$12*1.25</f>
        <v>2747971.2794970898</v>
      </c>
      <c r="U9" s="31">
        <f>100*(+T9/$E$13)</f>
        <v>303.57222618576253</v>
      </c>
      <c r="V9" s="32">
        <f>EXP(5.7226-(0.68367*LN(+U9)))</f>
        <v>6.1410907661772418</v>
      </c>
      <c r="W9" s="32">
        <f>(+V9*U9)/100</f>
        <v>18.642645950972554</v>
      </c>
      <c r="X9" s="31">
        <f>100*((((W9/100)-((W9/100)-0.03574)*$E$25)-0.03574-0.00619)/0.344)</f>
        <v>32.805902038570693</v>
      </c>
      <c r="Y9">
        <v>0</v>
      </c>
      <c r="Z9" s="31">
        <f>X9+Y9</f>
        <v>32.805902038570693</v>
      </c>
      <c r="AA9" s="31">
        <f>100*($E$21*$E$23+($E$22*(Z9/100))/(1-$E$25))</f>
        <v>27.015874966003061</v>
      </c>
      <c r="AB9" s="32">
        <f>AA9/U9</f>
        <v>8.8993236652260319E-2</v>
      </c>
      <c r="AC9" s="30">
        <f>$E$12/(1-AB9)</f>
        <v>2413129.2017187043</v>
      </c>
      <c r="AD9" t="str">
        <f>IF(AC9=$T$9,"yes","not yet")</f>
        <v>not yet</v>
      </c>
      <c r="AE9" s="31">
        <f>100*(1-AB9)</f>
        <v>91.100676334773965</v>
      </c>
      <c r="AH9">
        <v>0</v>
      </c>
      <c r="AI9">
        <v>1</v>
      </c>
    </row>
    <row r="10" spans="1:35">
      <c r="B10" s="16" t="s">
        <v>143</v>
      </c>
      <c r="C10" s="16" t="s">
        <v>148</v>
      </c>
      <c r="E10" s="28">
        <f>(+E12-((H19/100)*E11))/H29</f>
        <v>-13509.289397040009</v>
      </c>
      <c r="F10" s="33" t="s">
        <v>145</v>
      </c>
      <c r="K10" s="29"/>
      <c r="M10" s="16" t="s">
        <v>149</v>
      </c>
      <c r="P10" s="16" t="s">
        <v>150</v>
      </c>
      <c r="T10" s="30">
        <f>$E$12*1.25</f>
        <v>2747971.2794970898</v>
      </c>
      <c r="U10" s="31">
        <f>100*(+T10/$E$13)</f>
        <v>303.57222618576253</v>
      </c>
      <c r="V10" s="32">
        <f>EXP(5.70827-(0.68367*LN(+U10)))</f>
        <v>6.0537164675273063</v>
      </c>
      <c r="W10" s="32">
        <f>(+V10*U10)/100</f>
        <v>18.377401847446748</v>
      </c>
      <c r="X10" s="31">
        <f>100*((((W10/100)-((W10/100)-0.03574)*$E$25)-0.03574-0.00619)/0.344)</f>
        <v>32.196765870589914</v>
      </c>
      <c r="Y10">
        <v>0</v>
      </c>
      <c r="Z10" s="31">
        <f>X10+Y10</f>
        <v>32.196765870589914</v>
      </c>
      <c r="AA10" s="31">
        <f>100*($E$21*$E$23+($E$22*(Z10/100))/(1-$E$25))</f>
        <v>26.553239901713859</v>
      </c>
      <c r="AB10" s="32">
        <f>AA10/U10</f>
        <v>8.7469266326970718E-2</v>
      </c>
      <c r="AC10" s="30">
        <f>$E$12/(1-AB10)</f>
        <v>2409099.1595964991</v>
      </c>
      <c r="AD10" t="str">
        <f>IF(AC10=$T$10,"yes","not yet")</f>
        <v>not yet</v>
      </c>
      <c r="AE10" s="31">
        <f>100*(1-AB10)</f>
        <v>91.253073367302932</v>
      </c>
      <c r="AH10">
        <v>50</v>
      </c>
      <c r="AI10">
        <v>2</v>
      </c>
    </row>
    <row r="11" spans="1:35">
      <c r="B11" s="34" t="s">
        <v>151</v>
      </c>
      <c r="C11" s="16" t="s">
        <v>152</v>
      </c>
      <c r="D11" s="34" t="s">
        <v>153</v>
      </c>
      <c r="E11" s="28">
        <f>+'Results of Operations Staff '!N21</f>
        <v>2437761.63</v>
      </c>
      <c r="F11" s="16" t="s">
        <v>154</v>
      </c>
      <c r="K11" s="29"/>
      <c r="M11" s="16" t="s">
        <v>155</v>
      </c>
      <c r="P11" s="16" t="s">
        <v>156</v>
      </c>
      <c r="T11" s="30">
        <f>$E$12*1.25</f>
        <v>2747971.2794970898</v>
      </c>
      <c r="U11" s="31">
        <f>100*(+T11/$E$13)</f>
        <v>303.57222618576253</v>
      </c>
      <c r="V11" s="32">
        <f>EXP(5.6985-(0.68367*LN(U11)))</f>
        <v>5.9948596414056547</v>
      </c>
      <c r="W11" s="32">
        <f>(+V11*U11)/100</f>
        <v>18.198728870126967</v>
      </c>
      <c r="X11" s="31">
        <f>100*((((W11/100)-((W11/100)-0.03574)*$E$25)-0.03574-0.00619)/0.344)</f>
        <v>31.786441300582286</v>
      </c>
      <c r="Y11">
        <v>0</v>
      </c>
      <c r="Z11" s="31">
        <f>X11+Y11</f>
        <v>31.786441300582286</v>
      </c>
      <c r="AA11" s="31">
        <f>100*($E$21*$E$23+($E$22*(Z11/100))/(1-$E$25))</f>
        <v>26.241600987784015</v>
      </c>
      <c r="AB11" s="32">
        <f>AA11/U11</f>
        <v>8.6442693778337285E-2</v>
      </c>
      <c r="AC11" s="30">
        <f>$E$12/(1-AB11)</f>
        <v>2406392.0332374466</v>
      </c>
      <c r="AD11" t="str">
        <f>IF(AC11=$T$11,"yes","not yet")</f>
        <v>not yet</v>
      </c>
      <c r="AE11" s="31">
        <f>100*(1-AB11)</f>
        <v>91.355730622166277</v>
      </c>
      <c r="AH11">
        <v>125</v>
      </c>
      <c r="AI11">
        <v>3</v>
      </c>
    </row>
    <row r="12" spans="1:35">
      <c r="B12" s="34" t="s">
        <v>151</v>
      </c>
      <c r="C12" s="16" t="s">
        <v>157</v>
      </c>
      <c r="D12" s="34" t="s">
        <v>153</v>
      </c>
      <c r="E12" s="28">
        <f>+'Results of Operations Staff '!N101</f>
        <v>2198377.0235976717</v>
      </c>
      <c r="F12" s="16" t="s">
        <v>154</v>
      </c>
      <c r="K12" s="29"/>
      <c r="M12" s="16" t="s">
        <v>158</v>
      </c>
      <c r="P12" s="16" t="s">
        <v>159</v>
      </c>
      <c r="T12" s="30">
        <f>$E$12*1.25</f>
        <v>2747971.2794970898</v>
      </c>
      <c r="U12" s="31">
        <f>100*(+T12/$E$13)</f>
        <v>303.57222618576253</v>
      </c>
      <c r="V12" s="32">
        <f>EXP(5.6922-(0.68367*LN(U12)))</f>
        <v>5.9572107442145938</v>
      </c>
      <c r="W12" s="32">
        <f>(+V12*U12)/100</f>
        <v>18.084437274789675</v>
      </c>
      <c r="X12" s="31">
        <f>100*((((W12/100)-((W12/100)-0.03574)*$E$25)-0.03574-0.00619)/0.344)</f>
        <v>31.523969322918155</v>
      </c>
      <c r="Y12">
        <v>0</v>
      </c>
      <c r="Z12" s="31">
        <f>X12+Y12</f>
        <v>31.523969322918155</v>
      </c>
      <c r="AA12" s="31">
        <f>100*($E$21*$E$23+($E$22*(Z12/100))/(1-$E$25))</f>
        <v>26.042255181963153</v>
      </c>
      <c r="AB12" s="32">
        <f>AA12/U12</f>
        <v>8.5786026966865284E-2</v>
      </c>
      <c r="AC12" s="30">
        <f>$E$12/(1-AB12)</f>
        <v>2404663.5562832225</v>
      </c>
      <c r="AD12" t="str">
        <f>IF(AC12=$T$12,"yes","not yet")</f>
        <v>not yet</v>
      </c>
      <c r="AE12" s="31">
        <f>100*(1-AB12)</f>
        <v>91.421397303313469</v>
      </c>
      <c r="AH12">
        <v>401</v>
      </c>
      <c r="AI12">
        <v>4</v>
      </c>
    </row>
    <row r="13" spans="1:35">
      <c r="B13" s="34" t="s">
        <v>151</v>
      </c>
      <c r="C13" s="16" t="s">
        <v>160</v>
      </c>
      <c r="E13" s="28">
        <f>+'Results of Operations Staff '!N107</f>
        <v>905211.69015493058</v>
      </c>
      <c r="F13" s="16" t="s">
        <v>154</v>
      </c>
      <c r="K13" s="29"/>
      <c r="Z13" s="31"/>
    </row>
    <row r="14" spans="1:35">
      <c r="C14" s="16" t="s">
        <v>161</v>
      </c>
      <c r="E14" s="31">
        <f>U9</f>
        <v>303.57222618576253</v>
      </c>
      <c r="F14" s="16" t="s">
        <v>162</v>
      </c>
      <c r="H14" s="31"/>
      <c r="U14" s="2" t="s">
        <v>163</v>
      </c>
      <c r="V14" s="2" t="s">
        <v>134</v>
      </c>
      <c r="W14" s="2" t="s">
        <v>135</v>
      </c>
      <c r="X14" s="2" t="s">
        <v>136</v>
      </c>
      <c r="Z14" s="31"/>
      <c r="AH14" s="16" t="s">
        <v>164</v>
      </c>
    </row>
    <row r="15" spans="1:35">
      <c r="C15" s="16" t="s">
        <v>165</v>
      </c>
      <c r="E15" s="31">
        <f>HLOOKUP($AI$38,$AI$32:$AQ$36,$E$16+1)</f>
        <v>267.86804629754755</v>
      </c>
      <c r="F15" s="16" t="s">
        <v>162</v>
      </c>
      <c r="U15" s="31">
        <f>100*(+AC9/$E$13)</f>
        <v>266.58175407629653</v>
      </c>
      <c r="V15" s="35">
        <f>EXP(5.7226-(0.68367*LN(+U15)))</f>
        <v>6.7116008140331882</v>
      </c>
      <c r="W15" s="32">
        <f>(+V15*U15)/100</f>
        <v>17.891903176648672</v>
      </c>
      <c r="X15" s="31">
        <f>100*((((W15/100)-((W15/100)-0.03574)*$E$25)-0.03574-0.00619)/0.344)</f>
        <v>31.081812527768754</v>
      </c>
      <c r="Y15">
        <v>0</v>
      </c>
      <c r="Z15" s="31">
        <f>X15+Y15</f>
        <v>31.081812527768754</v>
      </c>
      <c r="AA15" s="31">
        <f>100*($E$21*$E$23+($E$22*(Z15/100))/(1-$E$25))</f>
        <v>25.706439894507916</v>
      </c>
      <c r="AB15" s="32">
        <f>AA15/U15</f>
        <v>9.642985501232261E-2</v>
      </c>
      <c r="AC15" s="30">
        <f>$E$12/(1-AB15)</f>
        <v>2432989.885503192</v>
      </c>
      <c r="AD15" t="str">
        <f>IF(OR(OR(AC15=AC9,AC15=(AC9+1)),AC15=(AC8193-1)),"yes","not yet")</f>
        <v>not yet</v>
      </c>
      <c r="AE15" s="31">
        <f>100*(1-AB15)</f>
        <v>90.357014498767739</v>
      </c>
    </row>
    <row r="16" spans="1:35">
      <c r="C16" s="16" t="s">
        <v>166</v>
      </c>
      <c r="E16">
        <f>VLOOKUP(E14,AH9:AI12,2)</f>
        <v>3</v>
      </c>
      <c r="F16" s="16" t="s">
        <v>162</v>
      </c>
      <c r="U16" s="31">
        <f>100*(+AC10/$E$13)</f>
        <v>266.1365496930527</v>
      </c>
      <c r="V16" s="35">
        <f>EXP(5.70827-(0.68367*LN(+U16)))</f>
        <v>6.6236740619400596</v>
      </c>
      <c r="W16" s="32">
        <f>(+V16*U16)/100</f>
        <v>17.628017611360949</v>
      </c>
      <c r="X16" s="31">
        <f>100*((((W16/100)-((W16/100)-0.03574)*$E$25)-0.03574-0.00619)/0.344)</f>
        <v>30.475796258648696</v>
      </c>
      <c r="Y16">
        <v>0</v>
      </c>
      <c r="Z16" s="31">
        <f>X16+Y16</f>
        <v>30.475796258648696</v>
      </c>
      <c r="AA16" s="31">
        <f>100*($E$21*$E$23+($E$22*(Z16/100))/(1-$E$25))</f>
        <v>25.246174373657237</v>
      </c>
      <c r="AB16" s="32">
        <f>AA16/U16</f>
        <v>9.4861733207162971E-2</v>
      </c>
      <c r="AC16" s="30">
        <f>$E$12/(1-AB16)</f>
        <v>2428774.8118164842</v>
      </c>
      <c r="AD16" t="str">
        <f>IF(OR(OR(AC16=AC10,AC16=(AC10+1)),AC16=(AC10-1)),"yes","not yet")</f>
        <v>not yet</v>
      </c>
      <c r="AE16" s="31">
        <f>100*(1-AB16)</f>
        <v>90.51382667928371</v>
      </c>
    </row>
    <row r="17" spans="2:42">
      <c r="U17" s="31">
        <f>100*(+AC11/$E$13)</f>
        <v>265.83748966228916</v>
      </c>
      <c r="V17" s="35">
        <f>EXP(5.6985-(0.68367*LN(U17)))</f>
        <v>6.5643197737309986</v>
      </c>
      <c r="W17" s="32">
        <f>(+V17*U17)/100</f>
        <v>17.450422899891745</v>
      </c>
      <c r="X17" s="31">
        <f>100*((((W17/100)-((W17/100)-0.03574)*$E$25)-0.03574-0.00619)/0.344)</f>
        <v>30.067947938704879</v>
      </c>
      <c r="Y17">
        <v>0</v>
      </c>
      <c r="Z17" s="31">
        <f>X17+Y17</f>
        <v>30.067947938704879</v>
      </c>
      <c r="AA17" s="31">
        <f>100*($E$21*$E$23+($E$22*(Z17/100))/(1-$E$25))</f>
        <v>24.936416155978389</v>
      </c>
      <c r="AB17" s="32">
        <f>AA17/U17</f>
        <v>9.3803233650967585E-2</v>
      </c>
      <c r="AC17" s="30">
        <f>$E$12/(1-AB17)</f>
        <v>2425937.8373801662</v>
      </c>
      <c r="AD17" t="str">
        <f>IF(OR(OR(AC17=AC11,AC17=(AC11+1)),AC17=(AC11-1)),"yes","not yet")</f>
        <v>not yet</v>
      </c>
      <c r="AE17" s="31">
        <f>100*(1-AB17)</f>
        <v>90.619676634903243</v>
      </c>
      <c r="AI17">
        <v>1</v>
      </c>
      <c r="AJ17">
        <v>2</v>
      </c>
      <c r="AK17">
        <v>3</v>
      </c>
      <c r="AL17">
        <v>4</v>
      </c>
      <c r="AM17">
        <v>5</v>
      </c>
      <c r="AN17">
        <v>7</v>
      </c>
      <c r="AO17">
        <v>8</v>
      </c>
      <c r="AP17">
        <v>9</v>
      </c>
    </row>
    <row r="18" spans="2:42">
      <c r="C18" s="16" t="s">
        <v>167</v>
      </c>
      <c r="U18" s="31">
        <f>100*(+AC12/$E$13)</f>
        <v>265.64654239845873</v>
      </c>
      <c r="V18" s="35">
        <f>EXP(5.6922-(0.68367*LN(U18)))</f>
        <v>6.526299791649957</v>
      </c>
      <c r="W18" s="32">
        <f>(+V18*U18)/100</f>
        <v>17.336889743075925</v>
      </c>
      <c r="X18" s="31">
        <f>100*((((W18/100)-((W18/100)-0.03574)*$E$25)-0.03574-0.00619)/0.344)</f>
        <v>29.807217723924367</v>
      </c>
      <c r="Y18">
        <v>0</v>
      </c>
      <c r="Z18" s="31">
        <f>X18+Y18</f>
        <v>29.807217723924367</v>
      </c>
      <c r="AA18" s="31">
        <f>100*($E$21*$E$23+($E$22*(Z18/100))/(1-$E$25))</f>
        <v>24.738393208043821</v>
      </c>
      <c r="AB18" s="32">
        <f>AA18/U18</f>
        <v>9.312522190082663E-2</v>
      </c>
      <c r="AC18" s="30">
        <f>$E$12/(1-AB18)</f>
        <v>2424124.1202071044</v>
      </c>
      <c r="AD18" t="str">
        <f>IF(OR(OR(AC18=AC12,AC18=(AC12+1)),AC18=(AC12-1)),"yes","not yet")</f>
        <v>not yet</v>
      </c>
      <c r="AE18" s="31">
        <f>100*(1-AB18)</f>
        <v>90.68747780991734</v>
      </c>
      <c r="AI18" t="str">
        <f>AD9</f>
        <v>not yet</v>
      </c>
      <c r="AJ18" t="str">
        <f>AD15</f>
        <v>not yet</v>
      </c>
      <c r="AK18" t="str">
        <f>AD21</f>
        <v>not yet</v>
      </c>
      <c r="AL18" t="str">
        <f>AD27</f>
        <v>not yet</v>
      </c>
      <c r="AM18" t="str">
        <f>AD33</f>
        <v>not yet</v>
      </c>
      <c r="AN18">
        <f>AC45</f>
        <v>2431763</v>
      </c>
      <c r="AO18">
        <f>AC51</f>
        <v>2431763</v>
      </c>
      <c r="AP18">
        <f>AC57</f>
        <v>2431763</v>
      </c>
    </row>
    <row r="19" spans="2:42">
      <c r="C19" s="16" t="s">
        <v>168</v>
      </c>
      <c r="E19" s="34" t="s">
        <v>143</v>
      </c>
      <c r="F19" s="16" t="s">
        <v>169</v>
      </c>
      <c r="H19" s="31">
        <f>HLOOKUP($AI$29,$AI$23:$AQ$27,$E$16+1)</f>
        <v>90.66340023158935</v>
      </c>
      <c r="I19" s="16" t="s">
        <v>145</v>
      </c>
      <c r="J19" s="36"/>
      <c r="Z19" s="31"/>
      <c r="AI19" t="str">
        <f>AD10</f>
        <v>not yet</v>
      </c>
      <c r="AJ19" t="str">
        <f>AD16</f>
        <v>not yet</v>
      </c>
      <c r="AK19" t="str">
        <f>AD22</f>
        <v>not yet</v>
      </c>
      <c r="AL19" t="str">
        <f>AD28</f>
        <v>not yet</v>
      </c>
      <c r="AM19" t="str">
        <f>AD34</f>
        <v>not yet</v>
      </c>
      <c r="AN19">
        <f>AC46</f>
        <v>2427582</v>
      </c>
      <c r="AO19">
        <f>AC52</f>
        <v>2427582</v>
      </c>
      <c r="AP19">
        <f>AC58</f>
        <v>2427582</v>
      </c>
    </row>
    <row r="20" spans="2:42">
      <c r="C20" s="37" t="s">
        <v>153</v>
      </c>
      <c r="D20" s="37" t="s">
        <v>153</v>
      </c>
      <c r="E20" s="38"/>
      <c r="H20" s="37" t="s">
        <v>170</v>
      </c>
      <c r="U20" s="16" t="s">
        <v>171</v>
      </c>
      <c r="V20" s="2" t="s">
        <v>134</v>
      </c>
      <c r="W20" s="2" t="s">
        <v>135</v>
      </c>
      <c r="X20" s="2" t="s">
        <v>136</v>
      </c>
      <c r="Z20" s="31"/>
      <c r="AI20" t="str">
        <f>AD11</f>
        <v>not yet</v>
      </c>
      <c r="AJ20" t="str">
        <f>AD17</f>
        <v>not yet</v>
      </c>
      <c r="AK20" t="str">
        <f>AD23</f>
        <v>not yet</v>
      </c>
      <c r="AL20" t="str">
        <f>AD29</f>
        <v>not yet</v>
      </c>
      <c r="AM20" t="str">
        <f>AD35</f>
        <v>not yet</v>
      </c>
      <c r="AN20">
        <f>AC47</f>
        <v>2424768</v>
      </c>
      <c r="AO20">
        <f>AC53</f>
        <v>2424768</v>
      </c>
      <c r="AP20">
        <f>AC59</f>
        <v>2424768</v>
      </c>
    </row>
    <row r="21" spans="2:42">
      <c r="B21" s="34" t="s">
        <v>151</v>
      </c>
      <c r="C21" s="16" t="s">
        <v>172</v>
      </c>
      <c r="E21" s="40">
        <v>0.4</v>
      </c>
      <c r="F21" s="16" t="s">
        <v>173</v>
      </c>
      <c r="U21" s="31">
        <f>100*(+AC15/$E$13)</f>
        <v>268.77579155951645</v>
      </c>
      <c r="V21" s="35">
        <f>EXP(5.7226-(0.68367*LN(+U21)))</f>
        <v>6.6740958363483385</v>
      </c>
      <c r="W21" s="32">
        <f>(+V21*U21)/100</f>
        <v>17.938353913585978</v>
      </c>
      <c r="X21" s="31">
        <f>100*((((W21/100)-((W21/100)-0.03574)*$E$25)-0.03574-0.00619)/0.344)</f>
        <v>31.188487185270127</v>
      </c>
      <c r="Y21">
        <v>0</v>
      </c>
      <c r="Z21" s="31">
        <f>X21+Y21</f>
        <v>31.188487185270127</v>
      </c>
      <c r="AA21" s="31">
        <f>100*($E$21*$E$23+($E$22*(Z21/100))/(1-$E$25))</f>
        <v>25.787458621724145</v>
      </c>
      <c r="AB21" s="32">
        <f>AA21/U21</f>
        <v>9.5944126783508665E-2</v>
      </c>
      <c r="AC21" s="30">
        <f>$E$12/(1-AB21)</f>
        <v>2431682.6965308962</v>
      </c>
      <c r="AD21" t="str">
        <f>IF(OR(OR(AC21=AC15,AC21=(AC15+1)),AC21=(AC7-1)),"yes","not yet")</f>
        <v>not yet</v>
      </c>
      <c r="AE21" s="31">
        <f>100*(1-AB21)</f>
        <v>90.405587321649136</v>
      </c>
      <c r="AI21" t="str">
        <f>AD12</f>
        <v>not yet</v>
      </c>
      <c r="AJ21" t="str">
        <f>AD18</f>
        <v>not yet</v>
      </c>
      <c r="AK21" t="str">
        <f>AD24</f>
        <v>not yet</v>
      </c>
      <c r="AL21" t="str">
        <f>AD30</f>
        <v>not yet</v>
      </c>
      <c r="AM21" t="str">
        <f>AD36</f>
        <v>not yet</v>
      </c>
      <c r="AN21">
        <f>AC48</f>
        <v>2422969</v>
      </c>
      <c r="AO21">
        <f>AC54</f>
        <v>2422969</v>
      </c>
      <c r="AP21">
        <f>AC60</f>
        <v>2422969</v>
      </c>
    </row>
    <row r="22" spans="2:42">
      <c r="B22" s="34" t="s">
        <v>151</v>
      </c>
      <c r="C22" s="16" t="s">
        <v>174</v>
      </c>
      <c r="E22" s="40">
        <v>0.6</v>
      </c>
      <c r="F22" s="16" t="s">
        <v>175</v>
      </c>
      <c r="H22" s="725">
        <v>1.7500000000000002E-2</v>
      </c>
      <c r="I22" s="16" t="s">
        <v>151</v>
      </c>
      <c r="U22" s="31">
        <f>100*(+AC16/$E$13)</f>
        <v>268.3101464808513</v>
      </c>
      <c r="V22" s="35">
        <f>EXP(5.70827-(0.68367*LN(+U22)))</f>
        <v>6.5869419874967852</v>
      </c>
      <c r="W22" s="32">
        <f>(+V22*U22)/100</f>
        <v>17.673433695261323</v>
      </c>
      <c r="X22" s="31">
        <f>100*((((W22/100)-((W22/100)-0.03574)*$E$25)-0.03574-0.00619)/0.344)</f>
        <v>30.580094823419902</v>
      </c>
      <c r="Y22">
        <v>0</v>
      </c>
      <c r="Z22" s="31">
        <f>X22+Y22</f>
        <v>30.580094823419902</v>
      </c>
      <c r="AA22" s="31">
        <f>100*($E$21*$E$23+($E$22*(Z22/100))/(1-$E$25))</f>
        <v>25.325388473483468</v>
      </c>
      <c r="AB22" s="32">
        <f>AA22/U22</f>
        <v>9.4388485883409867E-2</v>
      </c>
      <c r="AC22" s="30">
        <f>$E$12/(1-AB22)</f>
        <v>2427505.601827682</v>
      </c>
      <c r="AD22" t="str">
        <f>IF(OR(OR(AC22=AC16,AC22=(AC16+1)),AC22=(AC16-1)),"yes","not yet")</f>
        <v>not yet</v>
      </c>
      <c r="AE22" s="31">
        <f>100*(1-AB22)</f>
        <v>90.561151411659012</v>
      </c>
    </row>
    <row r="23" spans="2:42">
      <c r="B23" s="34" t="s">
        <v>151</v>
      </c>
      <c r="C23" s="16" t="s">
        <v>176</v>
      </c>
      <c r="E23" s="41">
        <v>5.2499999999999998E-2</v>
      </c>
      <c r="F23" s="16" t="s">
        <v>177</v>
      </c>
      <c r="H23" s="77">
        <v>5.1000000000000004E-3</v>
      </c>
      <c r="I23" s="16" t="s">
        <v>151</v>
      </c>
      <c r="U23" s="31">
        <f>100*(+AC17/$E$13)</f>
        <v>267.99674195159338</v>
      </c>
      <c r="V23" s="35">
        <f>EXP(5.6985-(0.68367*LN(U23)))</f>
        <v>6.528115055242572</v>
      </c>
      <c r="W23" s="32">
        <f>(+V23*U23)/100</f>
        <v>17.495135658901553</v>
      </c>
      <c r="X23" s="31">
        <f>100*((((W23/100)-((W23/100)-0.03574)*$E$25)-0.03574-0.00619)/0.344)</f>
        <v>30.170631309686712</v>
      </c>
      <c r="Y23">
        <v>0</v>
      </c>
      <c r="Z23" s="31">
        <f>X23+Y23</f>
        <v>30.170631309686712</v>
      </c>
      <c r="AA23" s="31">
        <f>100*($E$21*$E$23+($E$22*(Z23/100))/(1-$E$25))</f>
        <v>25.014403526344335</v>
      </c>
      <c r="AB23" s="32">
        <f>AA23/U23</f>
        <v>9.333846129690089E-2</v>
      </c>
      <c r="AC23" s="30">
        <f>$E$12/(1-AB23)</f>
        <v>2424694.2544207401</v>
      </c>
      <c r="AD23" t="str">
        <f>IF(OR(OR(AC23=AC17,AC23=(AC17+1)),AC23=(AC17-1)),"yes","not yet")</f>
        <v>not yet</v>
      </c>
      <c r="AE23" s="31">
        <f>100*(1-AB23)</f>
        <v>90.666153870309913</v>
      </c>
      <c r="AI23" t="str">
        <f>HLOOKUP(1,$AI$17:$AQ$21,$E$16+1)</f>
        <v>not yet</v>
      </c>
      <c r="AJ23" t="str">
        <f>HLOOKUP(2,$AI$17:$AQ$21,$E$16+1)</f>
        <v>not yet</v>
      </c>
      <c r="AK23" t="str">
        <f>HLOOKUP(3,$AI$17:$AQ$21,$E$16+1)</f>
        <v>not yet</v>
      </c>
      <c r="AL23" t="str">
        <f>HLOOKUP(4,$AI$17:$AQ$21,$E$16+1)</f>
        <v>not yet</v>
      </c>
      <c r="AM23" t="str">
        <f>HLOOKUP(5,$AI$17:$AQ$21,$E$16+1)</f>
        <v>not yet</v>
      </c>
      <c r="AN23">
        <f>HLOOKUP(7,$AI$17:$AQ$21,$E$16+1)</f>
        <v>2424768</v>
      </c>
      <c r="AO23">
        <f>HLOOKUP(8,$AI$17:$AQ$21,$E$16+1)</f>
        <v>2424768</v>
      </c>
      <c r="AP23">
        <f>HLOOKUP(9,$AI$17:$AQ$21,$E$16+1)</f>
        <v>2424768</v>
      </c>
    </row>
    <row r="24" spans="2:42">
      <c r="E24" s="39"/>
      <c r="F24" s="16" t="s">
        <v>178</v>
      </c>
      <c r="H24" s="46">
        <v>0</v>
      </c>
      <c r="I24" s="16" t="s">
        <v>151</v>
      </c>
      <c r="U24" s="31">
        <f>100*(+AC18/$E$13)</f>
        <v>267.79637808170662</v>
      </c>
      <c r="V24" s="35">
        <f>EXP(5.6922-(0.68367*LN(U24)))</f>
        <v>6.4904350962830204</v>
      </c>
      <c r="W24" s="32">
        <f>(+V24*U24)/100</f>
        <v>17.381150109589857</v>
      </c>
      <c r="X24" s="31">
        <f>100*((((W24/100)-((W24/100)-0.03574)*$E$25)-0.03574-0.00619)/0.344)</f>
        <v>29.908862170279036</v>
      </c>
      <c r="Y24">
        <v>0</v>
      </c>
      <c r="Z24" s="31">
        <f>X24+Y24</f>
        <v>29.908862170279036</v>
      </c>
      <c r="AA24" s="31">
        <f>100*($E$21*$E$23+($E$22*(Z24/100))/(1-$E$25))</f>
        <v>24.815591521730912</v>
      </c>
      <c r="AB24" s="32">
        <f>AA24/U24</f>
        <v>9.2665896751447083E-2</v>
      </c>
      <c r="AC24" s="30">
        <f>$E$12/(1-AB24)</f>
        <v>2422896.9414097439</v>
      </c>
      <c r="AD24" t="str">
        <f>IF(OR(OR(AC24=AC18,AC24=(AC18+1)),AC24=(AC18-1)),"yes","not yet")</f>
        <v>not yet</v>
      </c>
      <c r="AE24" s="31">
        <f>100*(1-AB24)</f>
        <v>90.733410324855285</v>
      </c>
      <c r="AH24">
        <v>1</v>
      </c>
      <c r="AI24" s="31">
        <f>AE9</f>
        <v>91.100676334773965</v>
      </c>
      <c r="AJ24" s="31">
        <f>AE15</f>
        <v>90.357014498767739</v>
      </c>
      <c r="AK24" s="31">
        <f>AE21</f>
        <v>90.405587321649136</v>
      </c>
      <c r="AL24" s="31">
        <f>AE27</f>
        <v>90.402409566348425</v>
      </c>
      <c r="AM24" s="31">
        <f>AE33</f>
        <v>90.402617440800711</v>
      </c>
      <c r="AN24" s="31" t="str">
        <f>AD45</f>
        <v>yes</v>
      </c>
      <c r="AO24" s="31" t="str">
        <f>AD51</f>
        <v>yes</v>
      </c>
      <c r="AP24" s="31" t="str">
        <f>AD57</f>
        <v>yes</v>
      </c>
    </row>
    <row r="25" spans="2:42">
      <c r="B25" s="34" t="s">
        <v>151</v>
      </c>
      <c r="C25" s="16" t="s">
        <v>179</v>
      </c>
      <c r="E25" s="40">
        <v>0.21</v>
      </c>
      <c r="F25" s="16" t="s">
        <v>180</v>
      </c>
      <c r="H25" s="46">
        <v>1.2E-2</v>
      </c>
      <c r="I25" s="16" t="s">
        <v>151</v>
      </c>
      <c r="Z25" s="31"/>
      <c r="AH25">
        <v>2</v>
      </c>
      <c r="AI25" s="31">
        <f>AE10</f>
        <v>91.253073367302932</v>
      </c>
      <c r="AJ25" s="31">
        <f>AE16</f>
        <v>90.51382667928371</v>
      </c>
      <c r="AK25" s="31">
        <f>AE22</f>
        <v>90.561151411659012</v>
      </c>
      <c r="AL25" s="31">
        <f>AE28</f>
        <v>90.55811685362599</v>
      </c>
      <c r="AM25" s="31">
        <f>AE34</f>
        <v>90.558311415284109</v>
      </c>
      <c r="AN25" s="31" t="str">
        <f>AD46</f>
        <v>yes</v>
      </c>
      <c r="AO25" s="31" t="str">
        <f>AD52</f>
        <v>yes</v>
      </c>
      <c r="AP25" s="31" t="str">
        <f>AD58</f>
        <v>yes</v>
      </c>
    </row>
    <row r="26" spans="2:42">
      <c r="H26" s="37" t="s">
        <v>153</v>
      </c>
      <c r="U26" s="16" t="s">
        <v>181</v>
      </c>
      <c r="V26" s="2" t="s">
        <v>134</v>
      </c>
      <c r="W26" s="2" t="s">
        <v>135</v>
      </c>
      <c r="X26" s="2" t="s">
        <v>136</v>
      </c>
      <c r="Z26" s="31"/>
      <c r="AH26">
        <v>3</v>
      </c>
      <c r="AI26" s="31">
        <f>AE11</f>
        <v>91.355730622166277</v>
      </c>
      <c r="AJ26" s="31">
        <f>AE17</f>
        <v>90.619676634903243</v>
      </c>
      <c r="AK26" s="31">
        <f>AE23</f>
        <v>90.666153870309913</v>
      </c>
      <c r="AL26" s="31">
        <f>AE29</f>
        <v>90.663214334584652</v>
      </c>
      <c r="AM26" s="31">
        <f>AE35</f>
        <v>90.66340023158935</v>
      </c>
      <c r="AN26" s="31" t="str">
        <f>AD47</f>
        <v>yes</v>
      </c>
      <c r="AO26" s="31" t="str">
        <f>AD53</f>
        <v>yes</v>
      </c>
      <c r="AP26" s="31" t="str">
        <f>AD59</f>
        <v>yes</v>
      </c>
    </row>
    <row r="27" spans="2:42">
      <c r="F27" s="16" t="s">
        <v>182</v>
      </c>
      <c r="H27" s="29">
        <f>SUM(H22:H25)</f>
        <v>3.4600000000000006E-2</v>
      </c>
      <c r="U27" s="31">
        <f>100*(+AC21/$E$13)</f>
        <v>268.63138456759259</v>
      </c>
      <c r="V27" s="35">
        <f>EXP(5.7226-(0.68367*LN(+U27)))</f>
        <v>6.6765484746963537</v>
      </c>
      <c r="W27" s="32">
        <f>(+V27*U27)/100</f>
        <v>17.935304608903301</v>
      </c>
      <c r="X27" s="31">
        <f>100*((((W27/100)-((W27/100)-0.03574)*$E$25)-0.03574-0.00619)/0.344)</f>
        <v>31.181484421609333</v>
      </c>
      <c r="Y27">
        <v>0</v>
      </c>
      <c r="Z27" s="31">
        <f>X27+Y27</f>
        <v>31.181484421609333</v>
      </c>
      <c r="AA27" s="31">
        <f>100*($E$21*$E$23+($E$22*(Z27/100))/(1-$E$25))</f>
        <v>25.782140067045063</v>
      </c>
      <c r="AB27" s="32">
        <f>AA27/U27</f>
        <v>9.597590433651583E-2</v>
      </c>
      <c r="AC27" s="30">
        <f>$E$12/(1-AB27)</f>
        <v>2431768.1731527653</v>
      </c>
      <c r="AD27" t="str">
        <f>IF(OR(OR(AC27=AC21,AC27=(AC21+1)),AC27=(AC13-1)),"yes","not yet")</f>
        <v>not yet</v>
      </c>
      <c r="AE27" s="31">
        <f>100*(1-AB27)</f>
        <v>90.402409566348425</v>
      </c>
      <c r="AH27">
        <v>4</v>
      </c>
      <c r="AI27" s="31">
        <f>AE12</f>
        <v>91.421397303313469</v>
      </c>
      <c r="AJ27" s="31">
        <f>AE18</f>
        <v>90.68747780991734</v>
      </c>
      <c r="AK27" s="31">
        <f>AE24</f>
        <v>90.733410324855285</v>
      </c>
      <c r="AL27" s="31">
        <f>AE30</f>
        <v>90.730530942254674</v>
      </c>
      <c r="AM27" s="31">
        <f>AE36</f>
        <v>90.73071142436001</v>
      </c>
      <c r="AN27" s="31" t="str">
        <f>AD48</f>
        <v>yes</v>
      </c>
      <c r="AO27" s="31" t="str">
        <f>AD54</f>
        <v>yes</v>
      </c>
      <c r="AP27" s="31" t="str">
        <f>AD60</f>
        <v>yes</v>
      </c>
    </row>
    <row r="28" spans="2:42">
      <c r="U28" s="31">
        <f>100*(+AC22/$E$13)</f>
        <v>268.169935080291</v>
      </c>
      <c r="V28" s="35">
        <f>EXP(5.70827-(0.68367*LN(+U28)))</f>
        <v>6.589296319437663</v>
      </c>
      <c r="W28" s="32">
        <f>(+V28*U28)/100</f>
        <v>17.670511662083985</v>
      </c>
      <c r="X28" s="31">
        <f>100*((((W28/100)-((W28/100)-0.03574)*$E$25)-0.03574-0.00619)/0.344)</f>
        <v>30.573384340251014</v>
      </c>
      <c r="Y28">
        <v>0</v>
      </c>
      <c r="Z28" s="31">
        <f>X28+Y28</f>
        <v>30.573384340251014</v>
      </c>
      <c r="AA28" s="31">
        <f>100*($E$21*$E$23+($E$22*(Z28/100))/(1-$E$25))</f>
        <v>25.320291903988114</v>
      </c>
      <c r="AB28" s="32">
        <f>AA28/U28</f>
        <v>9.4418831463740083E-2</v>
      </c>
      <c r="AC28" s="30">
        <f>$E$12/(1-AB28)</f>
        <v>2427586.9463485288</v>
      </c>
      <c r="AD28" t="str">
        <f>IF(OR(OR(AC28=AC22,AC28=(AC22+1)),AC28=(AC22-1)),"yes","not yet")</f>
        <v>not yet</v>
      </c>
      <c r="AE28" s="31">
        <f>100*(1-AB28)</f>
        <v>90.55811685362599</v>
      </c>
    </row>
    <row r="29" spans="2:42">
      <c r="F29" s="16" t="s">
        <v>183</v>
      </c>
      <c r="H29" s="32">
        <f>((+H19/100)-H27)</f>
        <v>0.87203400231589356</v>
      </c>
      <c r="U29" s="31">
        <f>100*(+AC23/$E$13)</f>
        <v>267.85936160476939</v>
      </c>
      <c r="V29" s="35">
        <f>EXP(5.6985-(0.68367*LN(U29)))</f>
        <v>6.5304039028531751</v>
      </c>
      <c r="W29" s="32">
        <f>(+V29*U29)/100</f>
        <v>17.492298204395457</v>
      </c>
      <c r="X29" s="31">
        <f>100*((((W29/100)-((W29/100)-0.03574)*$E$25)-0.03574-0.00619)/0.344)</f>
        <v>30.1641150624198</v>
      </c>
      <c r="Y29">
        <v>0</v>
      </c>
      <c r="Z29" s="31">
        <f>X29+Y29</f>
        <v>30.1641150624198</v>
      </c>
      <c r="AA29" s="31">
        <f>100*($E$21*$E$23+($E$22*(Z29/100))/(1-$E$25))</f>
        <v>25.009454477787184</v>
      </c>
      <c r="AB29" s="32">
        <f>AA29/U29</f>
        <v>9.3367856654153522E-2</v>
      </c>
      <c r="AC29" s="30">
        <f>$E$12/(1-AB29)</f>
        <v>2424772.8692750223</v>
      </c>
      <c r="AD29" t="str">
        <f>IF(OR(OR(AC29=AC23,AC29=(AC23+1)),AC29=(AC23-1)),"yes","not yet")</f>
        <v>not yet</v>
      </c>
      <c r="AE29" s="31">
        <f>100*(1-AB29)</f>
        <v>90.663214334584652</v>
      </c>
      <c r="AI29" s="16" t="s">
        <v>184</v>
      </c>
    </row>
    <row r="30" spans="2:42">
      <c r="U30" s="31">
        <f>100*(+AC24/$E$13)</f>
        <v>267.66080992558273</v>
      </c>
      <c r="V30" s="35">
        <f>EXP(5.6922-(0.68367*LN(U30)))</f>
        <v>6.4926823828260831</v>
      </c>
      <c r="W30" s="32">
        <f>(+V30*U30)/100</f>
        <v>17.378366251767918</v>
      </c>
      <c r="X30" s="31">
        <f>100*((((W30/100)-((W30/100)-0.03574)*$E$25)-0.03574-0.00619)/0.344)</f>
        <v>29.902469008420514</v>
      </c>
      <c r="Y30">
        <v>0</v>
      </c>
      <c r="Z30" s="31">
        <f>X30+Y30</f>
        <v>29.902469008420514</v>
      </c>
      <c r="AA30" s="31">
        <f>100*($E$21*$E$23+($E$22*(Z30/100))/(1-$E$25))</f>
        <v>24.810735955762411</v>
      </c>
      <c r="AB30" s="32">
        <f>AA30/U30</f>
        <v>9.269469057745322E-2</v>
      </c>
      <c r="AC30" s="30">
        <f>$E$12/(1-AB30)</f>
        <v>2422973.8333580634</v>
      </c>
      <c r="AD30" t="str">
        <f>IF(OR(OR(AC30=AC24,AC30=(AC24+1)),AC30=(AC24-1)),"yes","not yet")</f>
        <v>not yet</v>
      </c>
      <c r="AE30" s="31">
        <f>100*(1-AB30)</f>
        <v>90.730530942254674</v>
      </c>
      <c r="AI30" s="31">
        <f>HLOOKUP($AI$29,$AI$23:$AQ$27,$E$16+1)</f>
        <v>90.66340023158935</v>
      </c>
    </row>
    <row r="31" spans="2:42">
      <c r="E31" s="30"/>
      <c r="Z31" s="31"/>
    </row>
    <row r="32" spans="2:42">
      <c r="U32" s="16" t="s">
        <v>185</v>
      </c>
      <c r="V32" s="2" t="s">
        <v>134</v>
      </c>
      <c r="W32" s="2" t="s">
        <v>135</v>
      </c>
      <c r="X32" s="2" t="s">
        <v>136</v>
      </c>
      <c r="Z32" s="31"/>
      <c r="AI32" t="str">
        <f>HLOOKUP(1,$AI$17:$AQ$21,$E$16+1)</f>
        <v>not yet</v>
      </c>
      <c r="AJ32" t="str">
        <f>HLOOKUP(2,$AI$17:$AQ$21,$E$16+1)</f>
        <v>not yet</v>
      </c>
      <c r="AK32" t="str">
        <f>HLOOKUP(3,$AI$17:$AQ$21,$E$16+1)</f>
        <v>not yet</v>
      </c>
      <c r="AL32" t="str">
        <f>HLOOKUP(4,$AI$17:$AQ$21,$E$16+1)</f>
        <v>not yet</v>
      </c>
      <c r="AM32" t="str">
        <f>HLOOKUP(5,$AI$17:$AQ$21,$E$16+1)</f>
        <v>not yet</v>
      </c>
      <c r="AN32">
        <f>HLOOKUP(7,$AI$17:$AQ$21,$E$16+1)</f>
        <v>2424768</v>
      </c>
      <c r="AO32">
        <f>HLOOKUP(8,$AI$17:$AQ$21,$E$16+1)</f>
        <v>2424768</v>
      </c>
      <c r="AP32">
        <f>HLOOKUP(9,$AI$17:$AQ$21,$E$16+1)</f>
        <v>2424768</v>
      </c>
    </row>
    <row r="33" spans="5:42">
      <c r="E33" s="30"/>
      <c r="U33" s="31">
        <f>100*(+AC27/$E$13)</f>
        <v>268.64082728942202</v>
      </c>
      <c r="V33" s="35">
        <f>EXP(5.7226-(0.68367*LN(+U33)))</f>
        <v>6.6763880297198348</v>
      </c>
      <c r="W33" s="32">
        <f>(+V33*U33)/100</f>
        <v>17.935504036091306</v>
      </c>
      <c r="X33" s="31">
        <f>100*((((W33/100)-((W33/100)-0.03574)*$E$25)-0.03574-0.00619)/0.344)</f>
        <v>31.181942408465506</v>
      </c>
      <c r="Y33">
        <v>0</v>
      </c>
      <c r="Z33" s="31">
        <f>X33+Y33</f>
        <v>31.181942408465506</v>
      </c>
      <c r="AA33" s="31">
        <f>100*($E$21*$E$23+($E$22*(Z33/100))/(1-$E$25))</f>
        <v>25.782487905163677</v>
      </c>
      <c r="AB33" s="32">
        <f>AA33/U33</f>
        <v>9.5973825591992912E-2</v>
      </c>
      <c r="AC33" s="30">
        <f>$E$12/(1-AB33)</f>
        <v>2431762.5814731061</v>
      </c>
      <c r="AD33" t="str">
        <f>IF(OR(OR(AC33=AC27,AC33=(AC27+1)),AC33=(AC19-1)),"yes","not yet")</f>
        <v>not yet</v>
      </c>
      <c r="AE33" s="31">
        <f>100*(1-AB33)</f>
        <v>90.402617440800711</v>
      </c>
      <c r="AH33">
        <v>1</v>
      </c>
      <c r="AI33" s="31">
        <f>U9</f>
        <v>303.57222618576253</v>
      </c>
      <c r="AJ33" s="31">
        <f>U15</f>
        <v>266.58175407629653</v>
      </c>
      <c r="AK33" s="31">
        <f>U21</f>
        <v>268.77579155951645</v>
      </c>
      <c r="AL33" s="31">
        <f>U27</f>
        <v>268.63138456759259</v>
      </c>
      <c r="AM33" s="31">
        <f>U33</f>
        <v>268.64082728942202</v>
      </c>
      <c r="AN33" s="31">
        <f>T45</f>
        <v>0</v>
      </c>
      <c r="AO33" s="31">
        <f>T51</f>
        <v>0</v>
      </c>
      <c r="AP33" s="31">
        <f>T57</f>
        <v>0</v>
      </c>
    </row>
    <row r="34" spans="5:42">
      <c r="E34" s="30"/>
      <c r="U34" s="31">
        <f>100*(+AC28/$E$13)</f>
        <v>268.17892132314796</v>
      </c>
      <c r="V34" s="35">
        <f>EXP(5.70827-(0.68367*LN(+U34)))</f>
        <v>6.5891453665675614</v>
      </c>
      <c r="W34" s="32">
        <f>(+V34*U34)/100</f>
        <v>17.670698968475069</v>
      </c>
      <c r="X34" s="31">
        <f>100*((((W34/100)-((W34/100)-0.03574)*$E$25)-0.03574-0.00619)/0.344)</f>
        <v>30.573814491556117</v>
      </c>
      <c r="Y34">
        <v>0</v>
      </c>
      <c r="Z34" s="31">
        <f>X34+Y34</f>
        <v>30.573814491556117</v>
      </c>
      <c r="AA34" s="31">
        <f>100*($E$21*$E$23+($E$22*(Z34/100))/(1-$E$25))</f>
        <v>25.320618601181859</v>
      </c>
      <c r="AB34" s="32">
        <f>AA34/U34</f>
        <v>9.4416885847158863E-2</v>
      </c>
      <c r="AC34" s="30">
        <f>$E$12/(1-AB34)</f>
        <v>2427581.7307550167</v>
      </c>
      <c r="AD34" t="str">
        <f>IF(OR(OR(AC34=AC28,AC34=(AC28+1)),AC34=(AC28-1)),"yes","not yet")</f>
        <v>not yet</v>
      </c>
      <c r="AE34" s="31">
        <f>100*(1-AB34)</f>
        <v>90.558311415284109</v>
      </c>
      <c r="AH34">
        <v>2</v>
      </c>
      <c r="AI34" s="31">
        <f>U10</f>
        <v>303.57222618576253</v>
      </c>
      <c r="AJ34" s="31">
        <f>U16</f>
        <v>266.1365496930527</v>
      </c>
      <c r="AK34" s="31">
        <f>U22</f>
        <v>268.3101464808513</v>
      </c>
      <c r="AL34" s="31">
        <f>U28</f>
        <v>268.169935080291</v>
      </c>
      <c r="AM34" s="31">
        <f>U34</f>
        <v>268.17892132314796</v>
      </c>
      <c r="AN34" s="31">
        <f>T46</f>
        <v>0</v>
      </c>
      <c r="AO34" s="31">
        <f>T52</f>
        <v>0</v>
      </c>
      <c r="AP34" s="31">
        <f>T58</f>
        <v>0</v>
      </c>
    </row>
    <row r="35" spans="5:42">
      <c r="E35" s="30"/>
      <c r="U35" s="31">
        <f>100*(+AC29/$E$13)</f>
        <v>267.86804629754755</v>
      </c>
      <c r="V35" s="35">
        <f>EXP(5.6985-(0.68367*LN(U35)))</f>
        <v>6.5302591515964563</v>
      </c>
      <c r="W35" s="32">
        <f>(+V35*U35)/100</f>
        <v>17.492477607548231</v>
      </c>
      <c r="X35" s="31">
        <f>100*((((W35/100)-((W35/100)-0.03574)*$E$25)-0.03574-0.00619)/0.344)</f>
        <v>30.164527063846236</v>
      </c>
      <c r="Y35">
        <v>0</v>
      </c>
      <c r="Z35" s="31">
        <f>X35+Y35</f>
        <v>30.164527063846236</v>
      </c>
      <c r="AA35" s="31">
        <f>100*($E$21*$E$23+($E$22*(Z35/100))/(1-$E$25))</f>
        <v>25.009767390262962</v>
      </c>
      <c r="AB35" s="32">
        <f>AA35/U35</f>
        <v>9.3365997684106514E-2</v>
      </c>
      <c r="AC35" s="30">
        <f>$E$12/(1-AB35)</f>
        <v>2424767.8975001681</v>
      </c>
      <c r="AD35" t="str">
        <f>IF(OR(OR(AC35=AC29,AC35=(AC29+1)),AC35=(AC29-1)),"yes","not yet")</f>
        <v>not yet</v>
      </c>
      <c r="AE35" s="31">
        <f>100*(1-AB35)</f>
        <v>90.66340023158935</v>
      </c>
      <c r="AH35">
        <v>3</v>
      </c>
      <c r="AI35" s="31">
        <f>U11</f>
        <v>303.57222618576253</v>
      </c>
      <c r="AJ35" s="31">
        <f>U17</f>
        <v>265.83748966228916</v>
      </c>
      <c r="AK35" s="31">
        <f>U23</f>
        <v>267.99674195159338</v>
      </c>
      <c r="AL35" s="31">
        <f>U29</f>
        <v>267.85936160476939</v>
      </c>
      <c r="AM35" s="31">
        <f>U35</f>
        <v>267.86804629754755</v>
      </c>
      <c r="AN35" s="31">
        <f>T47</f>
        <v>0</v>
      </c>
      <c r="AO35" s="31">
        <f>T53</f>
        <v>0</v>
      </c>
      <c r="AP35" s="31">
        <f>T59</f>
        <v>0</v>
      </c>
    </row>
    <row r="36" spans="5:42">
      <c r="E36" s="30"/>
      <c r="U36" s="31">
        <f>100*(+AC30/$E$13)</f>
        <v>267.66930428653234</v>
      </c>
      <c r="V36" s="35">
        <f>EXP(5.6922-(0.68367*LN(U36)))</f>
        <v>6.4925415172089149</v>
      </c>
      <c r="W36" s="32">
        <f>(+V36*U36)/100</f>
        <v>17.378540709627373</v>
      </c>
      <c r="X36" s="31">
        <f>100*((((W36/100)-((W36/100)-0.03574)*$E$25)-0.03574-0.00619)/0.344)</f>
        <v>29.902869652923332</v>
      </c>
      <c r="Y36">
        <v>0</v>
      </c>
      <c r="Z36" s="31">
        <f>X36+Y36</f>
        <v>29.902869652923332</v>
      </c>
      <c r="AA36" s="31">
        <f>100*($E$21*$E$23+($E$22*(Z36/100))/(1-$E$25))</f>
        <v>24.811040242726577</v>
      </c>
      <c r="AB36" s="32">
        <f>AA36/U36</f>
        <v>9.2692885756399876E-2</v>
      </c>
      <c r="AC36" s="30">
        <f>$E$12/(1-AB36)</f>
        <v>2422969.0135631803</v>
      </c>
      <c r="AD36" t="str">
        <f>IF(OR(OR(AC36=AC30,AC36=(AC30+1)),AC36=(AC30-1)),"yes","not yet")</f>
        <v>not yet</v>
      </c>
      <c r="AE36" s="31">
        <f>100*(1-AB36)</f>
        <v>90.73071142436001</v>
      </c>
      <c r="AH36">
        <v>4</v>
      </c>
      <c r="AI36" s="31">
        <f>U12</f>
        <v>303.57222618576253</v>
      </c>
      <c r="AJ36" s="31">
        <f>U18</f>
        <v>265.64654239845873</v>
      </c>
      <c r="AK36" s="31">
        <f>U24</f>
        <v>267.79637808170662</v>
      </c>
      <c r="AL36" s="31">
        <f>U30</f>
        <v>267.66080992558273</v>
      </c>
      <c r="AM36" s="31">
        <f>U36</f>
        <v>267.66930428653234</v>
      </c>
      <c r="AN36" s="31">
        <f>T48</f>
        <v>0</v>
      </c>
      <c r="AO36" s="31">
        <f>T54</f>
        <v>0</v>
      </c>
      <c r="AP36" s="31">
        <f>T60</f>
        <v>0</v>
      </c>
    </row>
    <row r="37" spans="5:42">
      <c r="E37" s="30"/>
      <c r="Z37" s="31"/>
    </row>
    <row r="38" spans="5:42">
      <c r="U38" s="16" t="s">
        <v>186</v>
      </c>
      <c r="V38" s="2" t="s">
        <v>134</v>
      </c>
      <c r="W38" s="2" t="s">
        <v>135</v>
      </c>
      <c r="X38" s="2" t="s">
        <v>136</v>
      </c>
      <c r="Z38" s="31"/>
      <c r="AI38" s="16" t="s">
        <v>184</v>
      </c>
    </row>
    <row r="39" spans="5:42">
      <c r="U39" s="31">
        <f>100*(+AC33/$E$13)</f>
        <v>268.64020956875845</v>
      </c>
      <c r="V39" s="35">
        <f>EXP(5.7226-(0.68367*LN(+U39)))</f>
        <v>6.6763985253627522</v>
      </c>
      <c r="W39" s="32">
        <f>(+V39*U39)/100</f>
        <v>17.935490990179996</v>
      </c>
      <c r="X39" s="31">
        <f>100*((((W39/100)-((W39/100)-0.03574)*$E$25)-0.03574-0.00619)/0.344)</f>
        <v>31.181912448378483</v>
      </c>
      <c r="Y39">
        <v>0</v>
      </c>
      <c r="Z39" s="31">
        <f>X39+Y39</f>
        <v>31.181912448378483</v>
      </c>
      <c r="AA39" s="31">
        <f>100*($E$21*$E$23+($E$22*(Z39/100))/(1-$E$25))</f>
        <v>25.7824651506672</v>
      </c>
      <c r="AB39" s="32">
        <f>AA39/U39</f>
        <v>9.5973961575056693E-2</v>
      </c>
      <c r="AC39" s="30">
        <f>ROUND($E$12/(1-AB39),0)</f>
        <v>2431763</v>
      </c>
      <c r="AD39" t="str">
        <f>IF(OR(OR(AC39=AC33,AC39=(AC33+1)),AC39=(AC25-1)),"yes","not yet")</f>
        <v>not yet</v>
      </c>
      <c r="AE39" s="31">
        <f>100*(1-AB39)</f>
        <v>90.402603842494329</v>
      </c>
      <c r="AI39" s="31">
        <f>HLOOKUP($AI$38,$AI$32:$AQ$36,$E$16+1)</f>
        <v>267.86804629754755</v>
      </c>
    </row>
    <row r="40" spans="5:42">
      <c r="U40" s="31">
        <f>100*(+AC34/$E$13)</f>
        <v>268.17834514924641</v>
      </c>
      <c r="V40" s="35">
        <f>EXP(5.70827-(0.68367*LN(+U40)))</f>
        <v>6.5891550450070779</v>
      </c>
      <c r="W40" s="32">
        <f>(+V40*U40)/100</f>
        <v>17.670686959018063</v>
      </c>
      <c r="X40" s="31">
        <f>100*((((W40/100)-((W40/100)-0.03574)*$E$25)-0.03574-0.00619)/0.344)</f>
        <v>30.57378691169847</v>
      </c>
      <c r="Y40">
        <v>0</v>
      </c>
      <c r="Z40" s="31">
        <f>X40+Y40</f>
        <v>30.57378691169847</v>
      </c>
      <c r="AA40" s="31">
        <f>100*($E$21*$E$23+($E$22*(Z40/100))/(1-$E$25))</f>
        <v>25.320597654454531</v>
      </c>
      <c r="AB40" s="32">
        <f>AA40/U40</f>
        <v>9.4417010591825112E-2</v>
      </c>
      <c r="AC40" s="30">
        <f>ROUND($E$12/(1-AB40),0)</f>
        <v>2427582</v>
      </c>
      <c r="AD40" t="str">
        <f>IF(OR(OR(AC40=AC34,AC40=(AC34+1)),AC40=(AC34-1)),"yes","not yet")</f>
        <v>not yet</v>
      </c>
      <c r="AE40" s="31">
        <f>100*(1-AB40)</f>
        <v>90.55829894081748</v>
      </c>
    </row>
    <row r="41" spans="5:42">
      <c r="U41" s="31">
        <f>100*(+AC35/$E$13)</f>
        <v>267.86749705863377</v>
      </c>
      <c r="V41" s="35">
        <f>EXP(5.6985-(0.68367*LN(U41)))</f>
        <v>6.5302683057476001</v>
      </c>
      <c r="W41" s="32">
        <f>(+V41*U41)/100</f>
        <v>17.492466261819345</v>
      </c>
      <c r="X41" s="31">
        <f>100*((((W41/100)-((W41/100)-0.03574)*$E$25)-0.03574-0.00619)/0.344)</f>
        <v>30.164501008247914</v>
      </c>
      <c r="Y41">
        <v>0</v>
      </c>
      <c r="Z41" s="31">
        <f>X41+Y41</f>
        <v>30.164501008247914</v>
      </c>
      <c r="AA41" s="31">
        <f>100*($E$21*$E$23+($E$22*(Z41/100))/(1-$E$25))</f>
        <v>25.009747601200942</v>
      </c>
      <c r="AB41" s="32">
        <f>AA41/U41</f>
        <v>9.3366115246623346E-2</v>
      </c>
      <c r="AC41" s="30">
        <f>ROUND($E$12/(1-AB41),0)</f>
        <v>2424768</v>
      </c>
      <c r="AD41" t="str">
        <f>IF(OR(OR(AC41=AC35,AC41=(AC35+1)),AC41=(AC35-1)),"yes","not yet")</f>
        <v>not yet</v>
      </c>
      <c r="AE41" s="31">
        <f>100*(1-AB41)</f>
        <v>90.663388475337669</v>
      </c>
      <c r="AI41" t="str">
        <f>HLOOKUP(1,$AI$17:$AQ$21,$E$16+1)</f>
        <v>not yet</v>
      </c>
      <c r="AJ41" t="str">
        <f>HLOOKUP(2,$AI$17:$AQ$21,$E$16+1)</f>
        <v>not yet</v>
      </c>
      <c r="AK41" t="str">
        <f>HLOOKUP(3,$AI$17:$AQ$21,$E$16+1)</f>
        <v>not yet</v>
      </c>
      <c r="AL41" t="str">
        <f>HLOOKUP(4,$AI$17:$AQ$21,$E$16+1)</f>
        <v>not yet</v>
      </c>
      <c r="AM41" t="str">
        <f>HLOOKUP(5,$AI$17:$AQ$21,$E$16+1)</f>
        <v>not yet</v>
      </c>
      <c r="AN41">
        <f>HLOOKUP(7,$AI$17:$AQ$21,$E$16+1)</f>
        <v>2424768</v>
      </c>
      <c r="AO41">
        <f>HLOOKUP(8,$AI$17:$AQ$21,$E$16+1)</f>
        <v>2424768</v>
      </c>
      <c r="AP41">
        <f>HLOOKUP(9,$AI$17:$AQ$21,$E$16+1)</f>
        <v>2424768</v>
      </c>
    </row>
    <row r="42" spans="5:42">
      <c r="U42" s="31">
        <f>100*(+AC36/$E$13)</f>
        <v>267.66877183705833</v>
      </c>
      <c r="V42" s="35">
        <f>EXP(5.6922-(0.68367*LN(U42)))</f>
        <v>6.492550346824947</v>
      </c>
      <c r="W42" s="32">
        <f>(+V42*U42)/100</f>
        <v>17.378529774249007</v>
      </c>
      <c r="X42" s="31">
        <f>100*((((W42/100)-((W42/100)-0.03574)*$E$25)-0.03574-0.00619)/0.344)</f>
        <v>29.902844539699764</v>
      </c>
      <c r="Y42">
        <v>0</v>
      </c>
      <c r="Z42" s="31">
        <f>X42+Y42</f>
        <v>29.902844539699764</v>
      </c>
      <c r="AA42" s="31">
        <f>100*($E$21*$E$23+($E$22*(Z42/100))/(1-$E$25))</f>
        <v>24.811021169392227</v>
      </c>
      <c r="AB42" s="32">
        <f>AA42/U42</f>
        <v>9.2692998884814914E-2</v>
      </c>
      <c r="AC42" s="30">
        <f>ROUND($E$12/(1-AB42),0)</f>
        <v>2422969</v>
      </c>
      <c r="AD42" t="str">
        <f>IF(OR(OR(AC42=AC36,AC42=(AC36+1)),AC42=(AC36-1)),"yes","not yet")</f>
        <v>not yet</v>
      </c>
      <c r="AE42" s="31">
        <f>100*(1-AB42)</f>
        <v>90.730700111518516</v>
      </c>
      <c r="AH42">
        <v>1</v>
      </c>
      <c r="AI42" s="30">
        <f>AC9</f>
        <v>2413129.2017187043</v>
      </c>
      <c r="AJ42" s="30">
        <f>AC15</f>
        <v>2432989.885503192</v>
      </c>
      <c r="AK42" s="30">
        <f>AC21</f>
        <v>2431682.6965308962</v>
      </c>
      <c r="AL42" s="30">
        <f>AC27</f>
        <v>2431768.1731527653</v>
      </c>
      <c r="AM42" s="30">
        <f>AC33</f>
        <v>2431762.5814731061</v>
      </c>
      <c r="AN42" s="30">
        <f>AB45</f>
        <v>9.5973951396958454E-2</v>
      </c>
      <c r="AO42" s="30">
        <f>AB51</f>
        <v>9.5973951396958454E-2</v>
      </c>
      <c r="AP42" s="30">
        <f>AB57</f>
        <v>9.5973951396958454E-2</v>
      </c>
    </row>
    <row r="43" spans="5:42">
      <c r="Z43" s="31"/>
      <c r="AH43">
        <v>2</v>
      </c>
      <c r="AI43" s="30">
        <f>AC10</f>
        <v>2409099.1595964991</v>
      </c>
      <c r="AJ43" s="30">
        <f>AC16</f>
        <v>2428774.8118164842</v>
      </c>
      <c r="AK43" s="30">
        <f>AC22</f>
        <v>2427505.601827682</v>
      </c>
      <c r="AL43" s="30">
        <f>AC28</f>
        <v>2427586.9463485288</v>
      </c>
      <c r="AM43" s="30">
        <f>AC34</f>
        <v>2427581.7307550167</v>
      </c>
      <c r="AN43" s="30">
        <f>AB46</f>
        <v>9.4417004152111378E-2</v>
      </c>
      <c r="AO43" s="30">
        <f>AB52</f>
        <v>9.4417004152111378E-2</v>
      </c>
      <c r="AP43" s="30">
        <f>AB58</f>
        <v>9.4417004152111378E-2</v>
      </c>
    </row>
    <row r="44" spans="5:42">
      <c r="U44" s="16" t="s">
        <v>187</v>
      </c>
      <c r="V44" s="2" t="s">
        <v>134</v>
      </c>
      <c r="W44" s="2" t="s">
        <v>135</v>
      </c>
      <c r="X44" s="2" t="s">
        <v>136</v>
      </c>
      <c r="Z44" s="31"/>
      <c r="AH44">
        <v>3</v>
      </c>
      <c r="AI44" s="30">
        <f>AC11</f>
        <v>2406392.0332374466</v>
      </c>
      <c r="AJ44" s="30">
        <f>AC17</f>
        <v>2425937.8373801662</v>
      </c>
      <c r="AK44" s="30">
        <f>AC23</f>
        <v>2424694.2544207401</v>
      </c>
      <c r="AL44" s="30">
        <f>AC29</f>
        <v>2424772.8692750223</v>
      </c>
      <c r="AM44" s="30">
        <f>AC35</f>
        <v>2424767.8975001681</v>
      </c>
      <c r="AN44" s="30">
        <f>AB47</f>
        <v>9.3366112822910019E-2</v>
      </c>
      <c r="AO44" s="30">
        <f>AB53</f>
        <v>9.3366112822910019E-2</v>
      </c>
      <c r="AP44" s="30">
        <f>AB59</f>
        <v>9.3366112822910019E-2</v>
      </c>
    </row>
    <row r="45" spans="5:42">
      <c r="U45" s="31">
        <f>100*(+AC39/$E$13)</f>
        <v>268.64025580400914</v>
      </c>
      <c r="V45" s="35">
        <f>EXP(5.7226-(0.68367*LN(+U45)))</f>
        <v>6.6763977397818577</v>
      </c>
      <c r="W45" s="32">
        <f>(+V45*U45)/100</f>
        <v>17.935491966643067</v>
      </c>
      <c r="X45" s="31">
        <f>100*((((W45/100)-((W45/100)-0.03574)*$E$25)-0.03574-0.00619)/0.344)</f>
        <v>31.181914690837274</v>
      </c>
      <c r="Y45">
        <v>0</v>
      </c>
      <c r="Z45" s="31">
        <f>X45+Y45</f>
        <v>31.181914690837274</v>
      </c>
      <c r="AA45" s="31">
        <f>100*($E$21*$E$23+($E$22*(Z45/100))/(1-$E$25))</f>
        <v>25.782466853800461</v>
      </c>
      <c r="AB45" s="32">
        <f>AA45/U45</f>
        <v>9.5973951396958454E-2</v>
      </c>
      <c r="AC45" s="30">
        <f>ROUND($E$12/(1-AB45),0)</f>
        <v>2431763</v>
      </c>
      <c r="AD45" t="str">
        <f>IF(OR(OR(AC45=AC39,AC45=(AC39+1)),AC45=(AC31-1)),"yes","not yet")</f>
        <v>yes</v>
      </c>
      <c r="AE45" s="31">
        <f>100*(1-AB45)</f>
        <v>90.402604860304166</v>
      </c>
      <c r="AH45">
        <v>4</v>
      </c>
      <c r="AI45" s="30">
        <f>AC12</f>
        <v>2404663.5562832225</v>
      </c>
      <c r="AJ45" s="30">
        <f>AC18</f>
        <v>2424124.1202071044</v>
      </c>
      <c r="AK45" s="30">
        <f>AC24</f>
        <v>2422896.9414097439</v>
      </c>
      <c r="AL45" s="30">
        <f>AC30</f>
        <v>2422973.8333580634</v>
      </c>
      <c r="AM45" s="30">
        <f>AC36</f>
        <v>2422969.0135631803</v>
      </c>
      <c r="AN45" s="30">
        <f>AB48</f>
        <v>9.2692999203165302E-2</v>
      </c>
      <c r="AO45" s="30">
        <f>AB54</f>
        <v>9.2692999203165302E-2</v>
      </c>
      <c r="AP45" s="30">
        <f>AB60</f>
        <v>9.2692999203165302E-2</v>
      </c>
    </row>
    <row r="46" spans="5:42">
      <c r="U46" s="31">
        <f>100*(+AC40/$E$13)</f>
        <v>268.17837489311586</v>
      </c>
      <c r="V46" s="35">
        <f>EXP(5.70827-(0.68367*LN(+U46)))</f>
        <v>6.589154545375397</v>
      </c>
      <c r="W46" s="32">
        <f>(+V46*U46)/100</f>
        <v>17.670687578983618</v>
      </c>
      <c r="X46" s="31">
        <f>100*((((W46/100)-((W46/100)-0.03574)*$E$25)-0.03574-0.00619)/0.344)</f>
        <v>30.57378833545657</v>
      </c>
      <c r="Y46">
        <v>0</v>
      </c>
      <c r="Z46" s="31">
        <f>X46+Y46</f>
        <v>30.57378833545657</v>
      </c>
      <c r="AA46" s="31">
        <f>100*($E$21*$E$23+($E$22*(Z46/100))/(1-$E$25))</f>
        <v>25.320598735789801</v>
      </c>
      <c r="AB46" s="32">
        <f>AA46/U46</f>
        <v>9.4417004152111378E-2</v>
      </c>
      <c r="AC46" s="30">
        <f>ROUND($E$12/(1-AB46),0)</f>
        <v>2427582</v>
      </c>
      <c r="AD46" t="str">
        <f>IF(OR(OR(AC46=AC40,AC46=(AC40+1)),AC46=(AC40-1)),"yes","not yet")</f>
        <v>yes</v>
      </c>
      <c r="AE46" s="31">
        <f>100*(1-AB46)</f>
        <v>90.558299584788855</v>
      </c>
    </row>
    <row r="47" spans="5:42">
      <c r="U47" s="31">
        <f>100*(+AC41/$E$13)</f>
        <v>267.86750838193342</v>
      </c>
      <c r="V47" s="35">
        <f>EXP(5.6985-(0.68367*LN(U47)))</f>
        <v>6.5302681170221311</v>
      </c>
      <c r="W47" s="32">
        <f>(+V47*U47)/100</f>
        <v>17.492466495726983</v>
      </c>
      <c r="X47" s="31">
        <f>100*((((W47/100)-((W47/100)-0.03574)*$E$25)-0.03574-0.00619)/0.344)</f>
        <v>30.16450154541953</v>
      </c>
      <c r="Y47">
        <v>0</v>
      </c>
      <c r="Z47" s="31">
        <f>X47+Y47</f>
        <v>30.16450154541953</v>
      </c>
      <c r="AA47" s="31">
        <f>100*($E$21*$E$23+($E$22*(Z47/100))/(1-$E$25))</f>
        <v>25.00974800917939</v>
      </c>
      <c r="AB47" s="32">
        <f>AA47/U47</f>
        <v>9.3366112822910019E-2</v>
      </c>
      <c r="AC47" s="30">
        <f>ROUND($E$12/(1-AB47),0)</f>
        <v>2424768</v>
      </c>
      <c r="AD47" t="str">
        <f>IF(OR(OR(AC47=AC41,AC47=(AC41+1)),AC47=(AC41-1)),"yes","not yet")</f>
        <v>yes</v>
      </c>
      <c r="AE47" s="31">
        <f>100*(1-AB47)</f>
        <v>90.663388717708997</v>
      </c>
      <c r="AI47" s="16" t="s">
        <v>184</v>
      </c>
    </row>
    <row r="48" spans="5:42">
      <c r="U48" s="31">
        <f>100*(+AC42/$E$13)</f>
        <v>267.66877033871481</v>
      </c>
      <c r="V48" s="35">
        <f>EXP(5.6922-(0.68367*LN(U48)))</f>
        <v>6.4925503716720385</v>
      </c>
      <c r="W48" s="32">
        <f>(+V48*U48)/100</f>
        <v>17.378529743476204</v>
      </c>
      <c r="X48" s="31">
        <f>100*((((W48/100)-((W48/100)-0.03574)*$E$25)-0.03574-0.00619)/0.344)</f>
        <v>29.90284446902966</v>
      </c>
      <c r="Y48">
        <v>0</v>
      </c>
      <c r="Z48" s="31">
        <f>X48+Y48</f>
        <v>29.90284446902966</v>
      </c>
      <c r="AA48" s="31">
        <f>100*($E$21*$E$23+($E$22*(Z48/100))/(1-$E$25))</f>
        <v>24.811021115718727</v>
      </c>
      <c r="AB48" s="32">
        <f>AA48/U48</f>
        <v>9.2692999203165302E-2</v>
      </c>
      <c r="AC48" s="30">
        <f>ROUND($E$12/(1-AB48),0)</f>
        <v>2422969</v>
      </c>
      <c r="AD48" t="str">
        <f>IF(OR(OR(AC48=AC42,AC48=(AC42+1)),AC48=(AC42-1)),"yes","not yet")</f>
        <v>yes</v>
      </c>
      <c r="AE48" s="31">
        <f>100*(1-AB48)</f>
        <v>90.730700079683473</v>
      </c>
      <c r="AI48" s="30">
        <f>HLOOKUP($AI$38,$AI$41:$AQ$45,$E$16+1)</f>
        <v>2424767.8975001681</v>
      </c>
    </row>
    <row r="49" spans="4:31">
      <c r="Z49" s="31"/>
    </row>
    <row r="50" spans="4:31">
      <c r="D50" s="30"/>
      <c r="E50" s="30"/>
      <c r="F50" s="30"/>
      <c r="U50" s="16" t="s">
        <v>188</v>
      </c>
      <c r="V50" s="2" t="s">
        <v>134</v>
      </c>
      <c r="W50" s="2" t="s">
        <v>135</v>
      </c>
      <c r="X50" s="2" t="s">
        <v>136</v>
      </c>
      <c r="Z50" s="31"/>
    </row>
    <row r="51" spans="4:31">
      <c r="D51" s="30"/>
      <c r="E51" s="30"/>
      <c r="F51" s="30"/>
      <c r="U51" s="31">
        <f>100*(+AC45/$E$13)</f>
        <v>268.64025580400914</v>
      </c>
      <c r="V51" s="35">
        <f>EXP(5.7226-(0.68367*LN(+U51)))</f>
        <v>6.6763977397818577</v>
      </c>
      <c r="W51" s="32">
        <f>(+V51*U51)/100</f>
        <v>17.935491966643067</v>
      </c>
      <c r="X51" s="31">
        <f>100*((((W51/100)-((W51/100)-0.03574)*$E$25)-0.03574-0.00619)/0.344)</f>
        <v>31.181914690837274</v>
      </c>
      <c r="Y51">
        <v>0</v>
      </c>
      <c r="Z51" s="31">
        <f>X51+Y51</f>
        <v>31.181914690837274</v>
      </c>
      <c r="AA51" s="31">
        <f>100*($E$21*$E$23+($E$22*(Z51/100))/(1-$E$25))</f>
        <v>25.782466853800461</v>
      </c>
      <c r="AB51" s="32">
        <f>AA51/U51</f>
        <v>9.5973951396958454E-2</v>
      </c>
      <c r="AC51" s="30">
        <f>ROUND($E$12/(1-AB51),0)</f>
        <v>2431763</v>
      </c>
      <c r="AD51" t="str">
        <f>IF(OR(OR(AC51=AC45,AC51=(AC45+1)),AC51=(AC37-1)),"yes","not yet")</f>
        <v>yes</v>
      </c>
      <c r="AE51" s="31">
        <f>100*(1-AB51)</f>
        <v>90.402604860304166</v>
      </c>
    </row>
    <row r="52" spans="4:31">
      <c r="U52" s="31">
        <f>100*(+AC46/$E$13)</f>
        <v>268.17837489311586</v>
      </c>
      <c r="V52" s="35">
        <f>EXP(5.70827-(0.68367*LN(+U52)))</f>
        <v>6.589154545375397</v>
      </c>
      <c r="W52" s="32">
        <f>(+V52*U52)/100</f>
        <v>17.670687578983618</v>
      </c>
      <c r="X52" s="31">
        <f>100*((((W52/100)-((W52/100)-0.03574)*$E$25)-0.03574-0.00619)/0.344)</f>
        <v>30.57378833545657</v>
      </c>
      <c r="Y52">
        <v>0</v>
      </c>
      <c r="Z52" s="31">
        <f>X52+Y52</f>
        <v>30.57378833545657</v>
      </c>
      <c r="AA52" s="31">
        <f>100*($E$21*$E$23+($E$22*(Z52/100))/(1-$E$25))</f>
        <v>25.320598735789801</v>
      </c>
      <c r="AB52" s="32">
        <f>AA52/U52</f>
        <v>9.4417004152111378E-2</v>
      </c>
      <c r="AC52" s="30">
        <f>ROUND($E$12/(1-AB52),0)</f>
        <v>2427582</v>
      </c>
      <c r="AD52" t="str">
        <f>IF(OR(OR(AC52=AC46,AC52=(AC46+1)),AC52=(AC46-1)),"yes","not yet")</f>
        <v>yes</v>
      </c>
      <c r="AE52" s="31">
        <f>100*(1-AB52)</f>
        <v>90.558299584788855</v>
      </c>
    </row>
    <row r="53" spans="4:31">
      <c r="U53" s="31">
        <f>100*(+AC47/$E$13)</f>
        <v>267.86750838193342</v>
      </c>
      <c r="V53" s="35">
        <f>EXP(5.6985-(0.68367*LN(U53)))</f>
        <v>6.5302681170221311</v>
      </c>
      <c r="W53" s="32">
        <f>(+V53*U53)/100</f>
        <v>17.492466495726983</v>
      </c>
      <c r="X53" s="31">
        <f>100*((((W53/100)-((W53/100)-0.03574)*$E$25)-0.03574-0.00619)/0.344)</f>
        <v>30.16450154541953</v>
      </c>
      <c r="Y53">
        <v>0</v>
      </c>
      <c r="Z53" s="31">
        <f>X53+Y53</f>
        <v>30.16450154541953</v>
      </c>
      <c r="AA53" s="31">
        <f>100*($E$21*$E$23+($E$22*(Z53/100))/(1-$E$25))</f>
        <v>25.00974800917939</v>
      </c>
      <c r="AB53" s="32">
        <f>AA53/U53</f>
        <v>9.3366112822910019E-2</v>
      </c>
      <c r="AC53" s="30">
        <f>ROUND($E$12/(1-AB53),0)</f>
        <v>2424768</v>
      </c>
      <c r="AD53" t="str">
        <f>IF(OR(OR(AC53=AC47,AC53=(AC47+1)),AC53=(AC47-1)),"yes","not yet")</f>
        <v>yes</v>
      </c>
      <c r="AE53" s="31">
        <f>100*(1-AB53)</f>
        <v>90.663388717708997</v>
      </c>
    </row>
    <row r="54" spans="4:31">
      <c r="U54" s="31">
        <f>100*(+AC48/$E$13)</f>
        <v>267.66877033871481</v>
      </c>
      <c r="V54" s="35">
        <f>EXP(5.6922-(0.68367*LN(U54)))</f>
        <v>6.4925503716720385</v>
      </c>
      <c r="W54" s="32">
        <f>(+V54*U54)/100</f>
        <v>17.378529743476204</v>
      </c>
      <c r="X54" s="31">
        <f>100*((((W54/100)-((W54/100)-0.03574)*$E$25)-0.03574-0.00619)/0.344)</f>
        <v>29.90284446902966</v>
      </c>
      <c r="Y54">
        <v>0</v>
      </c>
      <c r="Z54" s="31">
        <f>X54+Y54</f>
        <v>29.90284446902966</v>
      </c>
      <c r="AA54" s="31">
        <f>100*($E$21*$E$23+($E$22*(Z54/100))/(1-$E$25))</f>
        <v>24.811021115718727</v>
      </c>
      <c r="AB54" s="32">
        <f>AA54/U54</f>
        <v>9.2692999203165302E-2</v>
      </c>
      <c r="AC54" s="30">
        <f>ROUND($E$12/(1-AB54),0)</f>
        <v>2422969</v>
      </c>
      <c r="AD54" t="str">
        <f>IF(OR(OR(AC54=AC48,AC54=(AC48+1)),AC54=(AC48-1)),"yes","not yet")</f>
        <v>yes</v>
      </c>
      <c r="AE54" s="31">
        <f>100*(1-AB54)</f>
        <v>90.730700079683473</v>
      </c>
    </row>
    <row r="55" spans="4:31">
      <c r="Z55" s="31"/>
    </row>
    <row r="56" spans="4:31">
      <c r="U56" s="16" t="s">
        <v>189</v>
      </c>
      <c r="V56" s="2" t="s">
        <v>134</v>
      </c>
      <c r="W56" s="2" t="s">
        <v>135</v>
      </c>
      <c r="X56" s="2" t="s">
        <v>136</v>
      </c>
      <c r="Z56" s="31"/>
    </row>
    <row r="57" spans="4:31">
      <c r="U57" s="31">
        <f>100*(+AC51/$E$13)</f>
        <v>268.64025580400914</v>
      </c>
      <c r="V57" s="35">
        <f>EXP(5.7226-(0.68367*LN(+U57)))</f>
        <v>6.6763977397818577</v>
      </c>
      <c r="W57" s="32">
        <f>(+V57*U57)/100</f>
        <v>17.935491966643067</v>
      </c>
      <c r="X57" s="31">
        <f>100*((((W57/100)-((W57/100)-0.03574)*$E$25)-0.03574-0.00619)/0.344)</f>
        <v>31.181914690837274</v>
      </c>
      <c r="Y57">
        <v>0</v>
      </c>
      <c r="Z57" s="31">
        <f>X57+Y57</f>
        <v>31.181914690837274</v>
      </c>
      <c r="AA57" s="31">
        <f>100*($E$21*$E$23+($E$22*(Z57/100))/(1-$E$25))</f>
        <v>25.782466853800461</v>
      </c>
      <c r="AB57" s="32">
        <f>AA57/U57</f>
        <v>9.5973951396958454E-2</v>
      </c>
      <c r="AC57" s="30">
        <f>ROUND($E$12/(1-AB57),0)</f>
        <v>2431763</v>
      </c>
      <c r="AD57" t="str">
        <f>IF(OR(OR(AC57=AC51,AC57=(AC51+1)),AC57=(AC43-1)),"yes","not yet")</f>
        <v>yes</v>
      </c>
      <c r="AE57" s="31">
        <f>100*(1-AB57)</f>
        <v>90.402604860304166</v>
      </c>
    </row>
    <row r="58" spans="4:31">
      <c r="U58" s="31">
        <f>100*(+AC52/$E$13)</f>
        <v>268.17837489311586</v>
      </c>
      <c r="V58" s="35">
        <f>EXP(5.70827-(0.68367*LN(+U58)))</f>
        <v>6.589154545375397</v>
      </c>
      <c r="W58" s="32">
        <f>(+V58*U58)/100</f>
        <v>17.670687578983618</v>
      </c>
      <c r="X58" s="31">
        <f>100*((((W58/100)-((W58/100)-0.03574)*$E$25)-0.03574-0.00619)/0.344)</f>
        <v>30.57378833545657</v>
      </c>
      <c r="Y58">
        <v>0</v>
      </c>
      <c r="Z58" s="31">
        <f>X58+Y58</f>
        <v>30.57378833545657</v>
      </c>
      <c r="AA58" s="31">
        <f>100*($E$21*$E$23+($E$22*(Z58/100))/(1-$E$25))</f>
        <v>25.320598735789801</v>
      </c>
      <c r="AB58" s="32">
        <f>AA58/U58</f>
        <v>9.4417004152111378E-2</v>
      </c>
      <c r="AC58" s="30">
        <f>ROUND($E$12/(1-AB58),0)</f>
        <v>2427582</v>
      </c>
      <c r="AD58" t="str">
        <f>IF(OR(OR(AC58=AC52,AC58=(AC52+1)),AC58=(AC52-1)),"yes","not yet")</f>
        <v>yes</v>
      </c>
      <c r="AE58" s="31">
        <f>100*(1-AB58)</f>
        <v>90.558299584788855</v>
      </c>
    </row>
    <row r="59" spans="4:31">
      <c r="U59" s="31">
        <f>100*(+AC53/$E$13)</f>
        <v>267.86750838193342</v>
      </c>
      <c r="V59" s="35">
        <f>EXP(5.6985-(0.68367*LN(U59)))</f>
        <v>6.5302681170221311</v>
      </c>
      <c r="W59" s="32">
        <f>(+V59*U59)/100</f>
        <v>17.492466495726983</v>
      </c>
      <c r="X59" s="31">
        <f>100*((((W59/100)-((W59/100)-0.03574)*$E$25)-0.03574-0.00619)/0.344)</f>
        <v>30.16450154541953</v>
      </c>
      <c r="Y59">
        <v>0</v>
      </c>
      <c r="Z59" s="31">
        <f>X59+Y59</f>
        <v>30.16450154541953</v>
      </c>
      <c r="AA59" s="31">
        <f>100*($E$21*$E$23+($E$22*(Z59/100))/(1-$E$25))</f>
        <v>25.00974800917939</v>
      </c>
      <c r="AB59" s="32">
        <f>AA59/U59</f>
        <v>9.3366112822910019E-2</v>
      </c>
      <c r="AC59" s="30">
        <f>ROUND($E$12/(1-AB59),0)</f>
        <v>2424768</v>
      </c>
      <c r="AD59" t="str">
        <f>IF(OR(OR(AC59=AC53,AC59=(AC53+1)),AC59=(AC53-1)),"yes","not yet")</f>
        <v>yes</v>
      </c>
      <c r="AE59" s="31">
        <f>100*(1-AB59)</f>
        <v>90.663388717708997</v>
      </c>
    </row>
    <row r="60" spans="4:31">
      <c r="U60" s="31">
        <f>100*(+AC54/$E$13)</f>
        <v>267.66877033871481</v>
      </c>
      <c r="V60" s="35">
        <f>EXP(5.6922-(0.68367*LN(U60)))</f>
        <v>6.4925503716720385</v>
      </c>
      <c r="W60" s="32">
        <f>(+V60*U60)/100</f>
        <v>17.378529743476204</v>
      </c>
      <c r="X60" s="31">
        <f>100*((((W60/100)-((W60/100)-0.03574)*$E$25)-0.03574-0.00619)/0.344)</f>
        <v>29.90284446902966</v>
      </c>
      <c r="Y60">
        <v>0</v>
      </c>
      <c r="Z60" s="31">
        <f>X60+Y60</f>
        <v>29.90284446902966</v>
      </c>
      <c r="AA60" s="31">
        <f>100*($E$21*$E$23+($E$22*(Z60/100))/(1-$E$25))</f>
        <v>24.811021115718727</v>
      </c>
      <c r="AB60" s="32">
        <f>AA60/U60</f>
        <v>9.2692999203165302E-2</v>
      </c>
      <c r="AC60" s="30">
        <f>ROUND($E$12/(1-AB60),0)</f>
        <v>2422969</v>
      </c>
      <c r="AD60" t="str">
        <f>IF(OR(OR(AC60=AC54,AC60=(AC54+1)),AC60=(AC54-1)),"yes","not yet")</f>
        <v>yes</v>
      </c>
      <c r="AE60" s="31">
        <f>100*(1-AB60)</f>
        <v>90.730700079683473</v>
      </c>
    </row>
    <row r="61" spans="4:31">
      <c r="Z61" s="31"/>
    </row>
    <row r="63" spans="4:31">
      <c r="U63" s="31"/>
      <c r="V63" s="35"/>
      <c r="W63" s="32"/>
      <c r="X63" s="31"/>
      <c r="AA63" s="31"/>
      <c r="AB63" s="32"/>
      <c r="AC63" s="30"/>
    </row>
    <row r="64" spans="4:31">
      <c r="U64" s="31"/>
      <c r="V64" s="35"/>
      <c r="W64" s="32"/>
      <c r="X64" s="31"/>
      <c r="AA64" s="31"/>
      <c r="AB64" s="32"/>
      <c r="AC64" s="30"/>
    </row>
    <row r="65" spans="20:29">
      <c r="U65" s="31"/>
      <c r="V65" s="35"/>
      <c r="W65" s="32"/>
      <c r="X65" s="31"/>
      <c r="AA65" s="31"/>
      <c r="AB65" s="32"/>
      <c r="AC65" s="30"/>
    </row>
    <row r="66" spans="20:29">
      <c r="U66" s="31"/>
      <c r="V66" s="35"/>
      <c r="W66" s="32"/>
      <c r="X66" s="31"/>
      <c r="AA66" s="31"/>
      <c r="AB66" s="32"/>
      <c r="AC66" s="30"/>
    </row>
    <row r="69" spans="20:29">
      <c r="U69" s="31"/>
      <c r="V69" s="35"/>
      <c r="W69" s="32"/>
      <c r="X69" s="31"/>
      <c r="AA69" s="31"/>
      <c r="AB69" s="32"/>
      <c r="AC69" s="30"/>
    </row>
    <row r="70" spans="20:29">
      <c r="U70" s="31"/>
      <c r="V70" s="35"/>
      <c r="W70" s="32"/>
      <c r="X70" s="31"/>
      <c r="AA70" s="31"/>
      <c r="AB70" s="32"/>
      <c r="AC70" s="30"/>
    </row>
    <row r="71" spans="20:29">
      <c r="T71" s="31"/>
      <c r="U71" s="35"/>
      <c r="V71" s="32"/>
      <c r="W71" s="31"/>
      <c r="Z71" s="31"/>
      <c r="AA71" s="32"/>
      <c r="AB71" s="30"/>
    </row>
    <row r="72" spans="20:29">
      <c r="T72" s="31"/>
      <c r="U72" s="35"/>
      <c r="V72" s="32"/>
      <c r="W72" s="31"/>
      <c r="Z72" s="31"/>
      <c r="AA72" s="32"/>
      <c r="AB72" s="30"/>
    </row>
    <row r="75" spans="20:29">
      <c r="T75" s="31"/>
      <c r="U75" s="35"/>
      <c r="V75" s="32"/>
      <c r="W75" s="31"/>
      <c r="Z75" s="31"/>
      <c r="AA75" s="32"/>
      <c r="AB75" s="30"/>
    </row>
    <row r="76" spans="20:29">
      <c r="T76" s="31"/>
      <c r="U76" s="35"/>
      <c r="V76" s="32"/>
      <c r="W76" s="31"/>
      <c r="Z76" s="31"/>
      <c r="AA76" s="32"/>
      <c r="AB76" s="30"/>
    </row>
    <row r="77" spans="20:29">
      <c r="T77" s="31"/>
      <c r="U77" s="35"/>
      <c r="V77" s="32"/>
      <c r="W77" s="31"/>
      <c r="Z77" s="31"/>
      <c r="AA77" s="32"/>
      <c r="AB77" s="30"/>
    </row>
    <row r="78" spans="20:29">
      <c r="T78" s="31"/>
      <c r="U78" s="35"/>
      <c r="V78" s="32"/>
      <c r="W78" s="31"/>
      <c r="Z78" s="31"/>
      <c r="AA78" s="32"/>
      <c r="AB78" s="30"/>
    </row>
    <row r="81" spans="20:28">
      <c r="T81" s="31"/>
      <c r="U81" s="35"/>
      <c r="V81" s="32"/>
      <c r="W81" s="31"/>
      <c r="Z81" s="31"/>
      <c r="AA81" s="32"/>
      <c r="AB81" s="30"/>
    </row>
    <row r="82" spans="20:28">
      <c r="T82" s="31"/>
      <c r="U82" s="35"/>
      <c r="V82" s="32"/>
      <c r="W82" s="31"/>
      <c r="Z82" s="31"/>
      <c r="AA82" s="32"/>
      <c r="AB82" s="30"/>
    </row>
    <row r="83" spans="20:28">
      <c r="T83" s="31"/>
      <c r="U83" s="35"/>
      <c r="V83" s="32"/>
      <c r="W83" s="31"/>
      <c r="Z83" s="31"/>
      <c r="AA83" s="32"/>
      <c r="AB83" s="30"/>
    </row>
    <row r="84" spans="20:28">
      <c r="T84" s="31"/>
      <c r="U84" s="35"/>
      <c r="V84" s="32"/>
      <c r="W84" s="31"/>
      <c r="Z84" s="31"/>
      <c r="AA84" s="32"/>
      <c r="AB84" s="30"/>
    </row>
    <row r="87" spans="20:28">
      <c r="T87" s="31"/>
      <c r="U87" s="35"/>
      <c r="V87" s="32"/>
      <c r="W87" s="31"/>
      <c r="Z87" s="31"/>
      <c r="AA87" s="32"/>
      <c r="AB87" s="30"/>
    </row>
    <row r="88" spans="20:28">
      <c r="T88" s="31"/>
      <c r="U88" s="35"/>
      <c r="V88" s="32"/>
      <c r="W88" s="31"/>
      <c r="Z88" s="31"/>
      <c r="AA88" s="32"/>
      <c r="AB88" s="30"/>
    </row>
    <row r="89" spans="20:28">
      <c r="T89" s="31"/>
      <c r="U89" s="35"/>
      <c r="V89" s="32"/>
      <c r="W89" s="31"/>
      <c r="Z89" s="31"/>
      <c r="AA89" s="32"/>
      <c r="AB89" s="30"/>
    </row>
    <row r="90" spans="20:28">
      <c r="T90" s="31"/>
      <c r="U90" s="35"/>
      <c r="V90" s="32"/>
      <c r="W90" s="31"/>
      <c r="Z90" s="31"/>
      <c r="AA90" s="32"/>
      <c r="AB90" s="30"/>
    </row>
    <row r="93" spans="20:28">
      <c r="T93" s="31"/>
      <c r="U93" s="35"/>
      <c r="V93" s="32"/>
      <c r="W93" s="31"/>
      <c r="Z93" s="31"/>
      <c r="AA93" s="32"/>
      <c r="AB93" s="30"/>
    </row>
    <row r="94" spans="20:28">
      <c r="T94" s="31"/>
      <c r="U94" s="35"/>
      <c r="V94" s="32"/>
      <c r="W94" s="31"/>
      <c r="Z94" s="31"/>
      <c r="AA94" s="32"/>
      <c r="AB94" s="30"/>
    </row>
    <row r="95" spans="20:28">
      <c r="T95" s="31"/>
      <c r="U95" s="35"/>
      <c r="V95" s="32"/>
      <c r="W95" s="31"/>
      <c r="Z95" s="31"/>
      <c r="AA95" s="32"/>
      <c r="AB95" s="30"/>
    </row>
    <row r="96" spans="20:28">
      <c r="T96" s="31"/>
      <c r="U96" s="35"/>
      <c r="V96" s="32"/>
      <c r="W96" s="31"/>
      <c r="Z96" s="31"/>
      <c r="AA96" s="32"/>
      <c r="AB96" s="30"/>
    </row>
  </sheetData>
  <phoneticPr fontId="0" type="noConversion"/>
  <pageMargins left="0.75" right="0.75" top="0.54"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6"/>
  <sheetViews>
    <sheetView workbookViewId="0">
      <selection activeCell="G4" sqref="G4"/>
    </sheetView>
  </sheetViews>
  <sheetFormatPr defaultRowHeight="12.75"/>
  <cols>
    <col min="1" max="1" width="5.42578125" customWidth="1"/>
    <col min="2" max="2" width="26.7109375" customWidth="1"/>
    <col min="3" max="3" width="14.140625" customWidth="1"/>
    <col min="4" max="4" width="3.5703125" customWidth="1"/>
    <col min="5" max="5" width="7.42578125" customWidth="1"/>
    <col min="6" max="6" width="12" customWidth="1"/>
    <col min="7" max="7" width="3.28515625" customWidth="1"/>
    <col min="9" max="9" width="11.140625" customWidth="1"/>
    <col min="10" max="10" width="3.42578125" customWidth="1"/>
    <col min="12" max="12" width="11.140625" customWidth="1"/>
    <col min="13" max="13" width="4.28515625" customWidth="1"/>
    <col min="14" max="14" width="12.5703125" customWidth="1"/>
  </cols>
  <sheetData>
    <row r="1" spans="1:16">
      <c r="A1" t="s">
        <v>0</v>
      </c>
    </row>
    <row r="3" spans="1:16">
      <c r="A3" s="83" t="s">
        <v>344</v>
      </c>
      <c r="E3" s="693"/>
      <c r="F3" s="693" t="s">
        <v>1414</v>
      </c>
      <c r="G3" s="693" t="s">
        <v>702</v>
      </c>
    </row>
    <row r="5" spans="1:16">
      <c r="A5" s="693" t="s">
        <v>1416</v>
      </c>
    </row>
    <row r="6" spans="1:16">
      <c r="A6" s="83"/>
    </row>
    <row r="7" spans="1:16">
      <c r="A7" s="1"/>
      <c r="E7" s="744" t="s">
        <v>105</v>
      </c>
      <c r="F7" s="744"/>
      <c r="H7" s="744" t="s">
        <v>109</v>
      </c>
      <c r="I7" s="744"/>
      <c r="K7" s="744" t="s">
        <v>110</v>
      </c>
      <c r="L7" s="744"/>
    </row>
    <row r="8" spans="1:16">
      <c r="C8" s="2" t="s">
        <v>89</v>
      </c>
      <c r="E8" s="744" t="s">
        <v>106</v>
      </c>
      <c r="F8" s="744"/>
      <c r="H8" s="744" t="s">
        <v>106</v>
      </c>
      <c r="I8" s="744"/>
      <c r="K8" s="744" t="s">
        <v>106</v>
      </c>
      <c r="L8" s="744"/>
      <c r="N8" s="2" t="s">
        <v>2</v>
      </c>
      <c r="O8" s="2" t="s">
        <v>2</v>
      </c>
    </row>
    <row r="9" spans="1:16" ht="13.5" thickBot="1">
      <c r="C9" s="3" t="s">
        <v>94</v>
      </c>
      <c r="D9" s="3"/>
      <c r="E9" s="3" t="s">
        <v>107</v>
      </c>
      <c r="F9" s="3" t="s">
        <v>108</v>
      </c>
      <c r="G9" s="3"/>
      <c r="H9" s="3" t="s">
        <v>107</v>
      </c>
      <c r="I9" s="3" t="s">
        <v>108</v>
      </c>
      <c r="J9" s="3"/>
      <c r="K9" s="3" t="s">
        <v>107</v>
      </c>
      <c r="L9" s="3" t="s">
        <v>108</v>
      </c>
      <c r="M9" s="3"/>
      <c r="N9" s="3" t="s">
        <v>108</v>
      </c>
      <c r="O9" s="3" t="s">
        <v>107</v>
      </c>
    </row>
    <row r="10" spans="1:16" ht="13.5" thickTop="1"/>
    <row r="11" spans="1:16">
      <c r="A11" t="s">
        <v>3</v>
      </c>
    </row>
    <row r="12" spans="1:16">
      <c r="A12">
        <v>3100</v>
      </c>
      <c r="B12" t="s">
        <v>5</v>
      </c>
      <c r="C12" s="6">
        <f>'Staff Pro Forma'!I11</f>
        <v>1870785.01</v>
      </c>
      <c r="E12" s="15">
        <v>1</v>
      </c>
      <c r="F12" s="6">
        <f>+C12*E12</f>
        <v>1870785.01</v>
      </c>
      <c r="H12" s="11"/>
      <c r="I12" s="6">
        <f>+C12*H12</f>
        <v>0</v>
      </c>
      <c r="K12" s="11"/>
      <c r="L12" s="6">
        <f>+C12*K12</f>
        <v>0</v>
      </c>
      <c r="M12" s="6"/>
      <c r="N12" s="6">
        <f>+F12+I12+L12</f>
        <v>1870785.01</v>
      </c>
      <c r="O12" s="11">
        <f>+E12+H12+K12</f>
        <v>1</v>
      </c>
      <c r="P12" t="str">
        <f t="shared" ref="P12:P20" si="0">IF(O12&lt;&gt;1,"ERR"," ")</f>
        <v xml:space="preserve"> </v>
      </c>
    </row>
    <row r="13" spans="1:16">
      <c r="A13">
        <v>3112</v>
      </c>
      <c r="B13" t="s">
        <v>6</v>
      </c>
      <c r="C13" s="6">
        <f>'Staff Pro Forma'!I12</f>
        <v>238465.85</v>
      </c>
      <c r="E13" s="15"/>
      <c r="F13" s="6">
        <f t="shared" ref="F13:F20" si="1">+C13*E13</f>
        <v>0</v>
      </c>
      <c r="H13" s="15">
        <v>1</v>
      </c>
      <c r="I13" s="6">
        <f t="shared" ref="I13:I20" si="2">+C13*H13</f>
        <v>238465.85</v>
      </c>
      <c r="K13" s="11"/>
      <c r="L13" s="6">
        <f t="shared" ref="L13:L20" si="3">+C13*K13</f>
        <v>0</v>
      </c>
      <c r="M13" s="6"/>
      <c r="N13" s="6">
        <f t="shared" ref="N13:N20" si="4">+F13+I13+L13</f>
        <v>238465.85</v>
      </c>
      <c r="O13" s="11">
        <f t="shared" ref="O13:O20" si="5">+E13+H13+K13</f>
        <v>1</v>
      </c>
      <c r="P13" t="str">
        <f t="shared" si="0"/>
        <v xml:space="preserve"> </v>
      </c>
    </row>
    <row r="14" spans="1:16">
      <c r="A14">
        <v>3114</v>
      </c>
      <c r="B14" t="s">
        <v>7</v>
      </c>
      <c r="C14" s="6">
        <f>'Staff Pro Forma'!I13</f>
        <v>104963.68999999999</v>
      </c>
      <c r="E14" s="15"/>
      <c r="F14" s="6">
        <f t="shared" si="1"/>
        <v>0</v>
      </c>
      <c r="H14" s="11"/>
      <c r="I14" s="6">
        <f t="shared" si="2"/>
        <v>0</v>
      </c>
      <c r="K14" s="15">
        <v>1</v>
      </c>
      <c r="L14" s="6">
        <f t="shared" si="3"/>
        <v>104963.68999999999</v>
      </c>
      <c r="M14" s="6"/>
      <c r="N14" s="6">
        <f t="shared" si="4"/>
        <v>104963.68999999999</v>
      </c>
      <c r="O14" s="11">
        <f t="shared" si="5"/>
        <v>1</v>
      </c>
      <c r="P14" t="str">
        <f t="shared" si="0"/>
        <v xml:space="preserve"> </v>
      </c>
    </row>
    <row r="15" spans="1:16">
      <c r="A15">
        <v>3300</v>
      </c>
      <c r="B15" t="s">
        <v>8</v>
      </c>
      <c r="C15" s="6">
        <f>'Staff Pro Forma'!I14</f>
        <v>242661.77999999997</v>
      </c>
      <c r="E15" s="15">
        <v>1</v>
      </c>
      <c r="F15" s="6">
        <f t="shared" si="1"/>
        <v>242661.77999999997</v>
      </c>
      <c r="H15" s="11"/>
      <c r="I15" s="6">
        <f t="shared" si="2"/>
        <v>0</v>
      </c>
      <c r="K15" s="11"/>
      <c r="L15" s="6">
        <f t="shared" si="3"/>
        <v>0</v>
      </c>
      <c r="M15" s="6"/>
      <c r="N15" s="6">
        <f t="shared" si="4"/>
        <v>242661.77999999997</v>
      </c>
      <c r="O15" s="11">
        <f t="shared" si="5"/>
        <v>1</v>
      </c>
      <c r="P15" t="str">
        <f t="shared" si="0"/>
        <v xml:space="preserve"> </v>
      </c>
    </row>
    <row r="16" spans="1:16">
      <c r="A16">
        <v>3310</v>
      </c>
      <c r="B16" t="s">
        <v>9</v>
      </c>
      <c r="C16" s="6">
        <f>'Staff Pro Forma'!I15</f>
        <v>324314.84000000003</v>
      </c>
      <c r="E16" s="15">
        <v>1</v>
      </c>
      <c r="F16" s="6">
        <f t="shared" si="1"/>
        <v>324314.84000000003</v>
      </c>
      <c r="H16" s="11"/>
      <c r="I16" s="6">
        <f t="shared" si="2"/>
        <v>0</v>
      </c>
      <c r="K16" s="11"/>
      <c r="L16" s="6">
        <f t="shared" si="3"/>
        <v>0</v>
      </c>
      <c r="M16" s="6"/>
      <c r="N16" s="6">
        <f t="shared" si="4"/>
        <v>324314.84000000003</v>
      </c>
      <c r="O16" s="11">
        <f t="shared" si="5"/>
        <v>1</v>
      </c>
      <c r="P16" t="str">
        <f t="shared" si="0"/>
        <v xml:space="preserve"> </v>
      </c>
    </row>
    <row r="17" spans="1:18">
      <c r="A17">
        <v>3510</v>
      </c>
      <c r="B17" t="s">
        <v>328</v>
      </c>
      <c r="C17" s="6">
        <f>'Staff Pro Forma'!I16</f>
        <v>60443.009999999995</v>
      </c>
      <c r="E17" s="15">
        <v>1</v>
      </c>
      <c r="F17" s="6">
        <f t="shared" si="1"/>
        <v>60443.009999999995</v>
      </c>
      <c r="H17" s="11"/>
      <c r="I17" s="6">
        <f t="shared" si="2"/>
        <v>0</v>
      </c>
      <c r="K17" s="11"/>
      <c r="L17" s="6">
        <f t="shared" si="3"/>
        <v>0</v>
      </c>
      <c r="M17" s="6"/>
      <c r="N17" s="6">
        <f t="shared" si="4"/>
        <v>60443.009999999995</v>
      </c>
      <c r="O17" s="11">
        <f t="shared" si="5"/>
        <v>1</v>
      </c>
      <c r="P17" t="str">
        <f t="shared" si="0"/>
        <v xml:space="preserve"> </v>
      </c>
    </row>
    <row r="18" spans="1:18">
      <c r="A18">
        <v>3550</v>
      </c>
      <c r="B18" t="s">
        <v>329</v>
      </c>
      <c r="C18" s="6">
        <f>'Staff Pro Forma'!I17</f>
        <v>32792</v>
      </c>
      <c r="E18" s="15">
        <v>1</v>
      </c>
      <c r="F18" s="6">
        <f t="shared" si="1"/>
        <v>32792</v>
      </c>
      <c r="H18" s="11"/>
      <c r="I18" s="6">
        <f t="shared" si="2"/>
        <v>0</v>
      </c>
      <c r="K18" s="11"/>
      <c r="L18" s="6">
        <f t="shared" si="3"/>
        <v>0</v>
      </c>
      <c r="M18" s="6"/>
      <c r="N18" s="6">
        <f t="shared" si="4"/>
        <v>32792</v>
      </c>
      <c r="O18" s="11">
        <f t="shared" si="5"/>
        <v>1</v>
      </c>
      <c r="P18" t="str">
        <f t="shared" si="0"/>
        <v xml:space="preserve"> </v>
      </c>
    </row>
    <row r="19" spans="1:18">
      <c r="A19">
        <v>3400</v>
      </c>
      <c r="B19" t="s">
        <v>10</v>
      </c>
      <c r="C19" s="6">
        <f>'Staff Pro Forma'!I18</f>
        <v>0</v>
      </c>
      <c r="E19" s="15"/>
      <c r="F19" s="6">
        <f t="shared" si="1"/>
        <v>0</v>
      </c>
      <c r="H19" s="11"/>
      <c r="I19" s="6">
        <f t="shared" si="2"/>
        <v>0</v>
      </c>
      <c r="K19" s="11"/>
      <c r="L19" s="6">
        <f t="shared" si="3"/>
        <v>0</v>
      </c>
      <c r="M19" s="6"/>
      <c r="N19" s="6">
        <f t="shared" si="4"/>
        <v>0</v>
      </c>
      <c r="O19" s="11">
        <f t="shared" si="5"/>
        <v>0</v>
      </c>
      <c r="P19" t="str">
        <f t="shared" si="0"/>
        <v>ERR</v>
      </c>
    </row>
    <row r="20" spans="1:18" ht="13.5" thickBot="1">
      <c r="A20">
        <v>3500</v>
      </c>
      <c r="B20" t="s">
        <v>11</v>
      </c>
      <c r="C20" s="7">
        <f>'Staff Pro Forma'!I19</f>
        <v>0</v>
      </c>
      <c r="D20" s="5"/>
      <c r="E20" s="25">
        <v>1</v>
      </c>
      <c r="F20" s="7">
        <f t="shared" si="1"/>
        <v>0</v>
      </c>
      <c r="G20" s="5"/>
      <c r="H20" s="12"/>
      <c r="I20" s="7">
        <f t="shared" si="2"/>
        <v>0</v>
      </c>
      <c r="J20" s="5"/>
      <c r="K20" s="12"/>
      <c r="L20" s="7">
        <f t="shared" si="3"/>
        <v>0</v>
      </c>
      <c r="M20" s="7"/>
      <c r="N20" s="7">
        <f t="shared" si="4"/>
        <v>0</v>
      </c>
      <c r="O20" s="12">
        <f t="shared" si="5"/>
        <v>1</v>
      </c>
      <c r="P20" t="str">
        <f t="shared" si="0"/>
        <v xml:space="preserve"> </v>
      </c>
    </row>
    <row r="21" spans="1:18">
      <c r="C21" s="6"/>
      <c r="E21" s="11"/>
      <c r="H21" s="11"/>
      <c r="K21" s="11"/>
      <c r="O21" s="11"/>
    </row>
    <row r="22" spans="1:18" ht="13.5" thickBot="1">
      <c r="B22" t="s">
        <v>4</v>
      </c>
      <c r="C22" s="7">
        <f>SUM(C12:C20)</f>
        <v>2874426.1799999992</v>
      </c>
      <c r="D22" s="5"/>
      <c r="E22" s="12">
        <f>+F22/C22</f>
        <v>0.88052240047437935</v>
      </c>
      <c r="F22" s="7">
        <f>SUM(F12:F20)</f>
        <v>2530996.6399999997</v>
      </c>
      <c r="G22" s="5"/>
      <c r="H22" s="12">
        <f>+I22/C22</f>
        <v>8.2961201668431808E-2</v>
      </c>
      <c r="I22" s="7">
        <f>SUM(I12:I20)</f>
        <v>238465.85</v>
      </c>
      <c r="J22" s="5"/>
      <c r="K22" s="12">
        <f>+L22/C22</f>
        <v>3.651639785718902E-2</v>
      </c>
      <c r="L22" s="7">
        <f>SUM(L12:L20)</f>
        <v>104963.68999999999</v>
      </c>
      <c r="M22" s="5"/>
      <c r="N22" s="7">
        <f>SUM(N12:N20)</f>
        <v>2874426.1799999992</v>
      </c>
      <c r="O22" s="12">
        <f>+E22+H22+K22</f>
        <v>1.0000000000000002</v>
      </c>
    </row>
    <row r="23" spans="1:18">
      <c r="C23" s="6"/>
      <c r="E23" s="11"/>
      <c r="H23" s="11"/>
      <c r="K23" s="11"/>
      <c r="O23" s="11"/>
    </row>
    <row r="24" spans="1:18">
      <c r="A24" t="s">
        <v>12</v>
      </c>
      <c r="C24" s="6"/>
      <c r="E24" s="401" t="s">
        <v>1170</v>
      </c>
      <c r="F24" s="401"/>
      <c r="G24" s="401"/>
      <c r="H24" s="435"/>
      <c r="K24" s="11"/>
      <c r="O24" s="11"/>
    </row>
    <row r="25" spans="1:18">
      <c r="A25" t="s">
        <v>13</v>
      </c>
      <c r="C25" s="6"/>
      <c r="E25" s="436" t="s">
        <v>1186</v>
      </c>
      <c r="F25" s="442"/>
      <c r="G25" s="442"/>
      <c r="H25" s="436"/>
      <c r="K25" s="11"/>
      <c r="O25" s="11"/>
    </row>
    <row r="26" spans="1:18">
      <c r="A26">
        <v>4116</v>
      </c>
      <c r="B26" t="s">
        <v>29</v>
      </c>
      <c r="C26" s="6">
        <f>'Staff Pro Forma'!I25</f>
        <v>83193.929999999993</v>
      </c>
      <c r="E26" s="432">
        <f>+'Hours &amp; Miles'!D25</f>
        <v>0.86878758697956915</v>
      </c>
      <c r="F26" s="6">
        <f t="shared" ref="F26:F100" si="6">+C26*E26</f>
        <v>72277.853696047183</v>
      </c>
      <c r="H26" s="11">
        <f>+'Hours &amp; Miles'!E25</f>
        <v>8.8962217417673212E-2</v>
      </c>
      <c r="I26" s="6">
        <f>+C26*H26</f>
        <v>7401.1164884906857</v>
      </c>
      <c r="K26" s="11">
        <f>+'Hours &amp; Miles'!F25</f>
        <v>4.2250195602757411E-2</v>
      </c>
      <c r="L26" s="6">
        <f t="shared" ref="L26:L100" si="7">+C26*K26</f>
        <v>3514.9598154621076</v>
      </c>
      <c r="N26" s="6">
        <f t="shared" ref="N26:N100" si="8">+F26+I26+L26</f>
        <v>83193.929999999978</v>
      </c>
      <c r="O26" s="11">
        <f t="shared" ref="O26:O39" si="9">+E26+H26+K26</f>
        <v>0.99999999999999978</v>
      </c>
      <c r="P26" t="str">
        <f t="shared" ref="P26:P100" si="10">IF(O26&lt;&gt;1,"ERR"," ")</f>
        <v xml:space="preserve"> </v>
      </c>
    </row>
    <row r="27" spans="1:18">
      <c r="A27">
        <v>4117</v>
      </c>
      <c r="B27" t="s">
        <v>286</v>
      </c>
      <c r="C27" s="6">
        <f>'Staff Pro Forma'!I26</f>
        <v>2615</v>
      </c>
      <c r="E27" s="433">
        <v>1</v>
      </c>
      <c r="F27" s="6">
        <f>+C27*E27</f>
        <v>2615</v>
      </c>
      <c r="H27" s="15">
        <f>+'Hours &amp; Miles'!E26</f>
        <v>0</v>
      </c>
      <c r="I27" s="6">
        <f>+C27*H27</f>
        <v>0</v>
      </c>
      <c r="K27" s="15">
        <f>+'Hours &amp; Miles'!F26</f>
        <v>0</v>
      </c>
      <c r="L27" s="6">
        <f>+C27*K27</f>
        <v>0</v>
      </c>
      <c r="N27" s="6">
        <f>+F27+I27+L27</f>
        <v>2615</v>
      </c>
      <c r="O27" s="11">
        <f>+E27+H27+K27</f>
        <v>1</v>
      </c>
      <c r="P27" t="str">
        <f t="shared" si="10"/>
        <v xml:space="preserve"> </v>
      </c>
    </row>
    <row r="28" spans="1:18">
      <c r="A28">
        <v>4118</v>
      </c>
      <c r="B28" t="s">
        <v>30</v>
      </c>
      <c r="C28" s="6">
        <f>'Staff Pro Forma'!I27</f>
        <v>15025</v>
      </c>
      <c r="E28" s="432">
        <f>+'Container Count'!K27</f>
        <v>0.91404805914972276</v>
      </c>
      <c r="F28" s="6">
        <f t="shared" si="6"/>
        <v>13733.572088724584</v>
      </c>
      <c r="H28" s="26">
        <f>+'Container Count'!K23</f>
        <v>5.9149722735674676E-2</v>
      </c>
      <c r="I28" s="6">
        <f t="shared" ref="I28:I100" si="11">+C28*H28</f>
        <v>888.72458410351203</v>
      </c>
      <c r="K28" s="27">
        <f>+'Container Count'!K25</f>
        <v>2.6802218114602587E-2</v>
      </c>
      <c r="L28" s="6">
        <f t="shared" si="7"/>
        <v>402.70332717190388</v>
      </c>
      <c r="N28" s="6">
        <f t="shared" si="8"/>
        <v>15025.000000000002</v>
      </c>
      <c r="O28" s="11">
        <f t="shared" si="9"/>
        <v>1</v>
      </c>
      <c r="P28" t="str">
        <f t="shared" si="10"/>
        <v xml:space="preserve"> </v>
      </c>
    </row>
    <row r="29" spans="1:18">
      <c r="A29">
        <v>4120</v>
      </c>
      <c r="B29" t="s">
        <v>279</v>
      </c>
      <c r="C29" s="6">
        <f>'Staff Pro Forma'!I28</f>
        <v>338</v>
      </c>
      <c r="E29" s="432">
        <f>+E27</f>
        <v>1</v>
      </c>
      <c r="F29" s="6">
        <f>+C29*E29</f>
        <v>338</v>
      </c>
      <c r="H29" s="26">
        <f>+'Container Count'!K24</f>
        <v>0</v>
      </c>
      <c r="I29" s="6">
        <f>+C29*H29</f>
        <v>0</v>
      </c>
      <c r="K29" s="27">
        <f>+'Container Count'!K26</f>
        <v>0</v>
      </c>
      <c r="L29" s="6">
        <f>+C29*K29</f>
        <v>0</v>
      </c>
      <c r="N29" s="6">
        <f>+F29+I29+L29</f>
        <v>338</v>
      </c>
      <c r="O29" s="11">
        <f>+E29+H29+K29</f>
        <v>1</v>
      </c>
      <c r="P29" t="str">
        <f t="shared" si="10"/>
        <v xml:space="preserve"> </v>
      </c>
    </row>
    <row r="30" spans="1:18">
      <c r="A30">
        <v>4122</v>
      </c>
      <c r="B30" t="s">
        <v>330</v>
      </c>
      <c r="C30" s="6">
        <f>'Staff Pro Forma'!I29</f>
        <v>7783.5</v>
      </c>
      <c r="E30" s="434">
        <v>1</v>
      </c>
      <c r="F30" s="6">
        <f>+C30*E30</f>
        <v>7783.5</v>
      </c>
      <c r="H30" s="26">
        <v>0</v>
      </c>
      <c r="I30" s="6">
        <f>+C30*H30</f>
        <v>0</v>
      </c>
      <c r="K30" s="27">
        <v>0</v>
      </c>
      <c r="L30" s="6">
        <f>+C30*K30</f>
        <v>0</v>
      </c>
      <c r="N30" s="6">
        <f>+F30+I30+L30</f>
        <v>7783.5</v>
      </c>
      <c r="O30" s="11">
        <f>+E30+H30+K30</f>
        <v>1</v>
      </c>
      <c r="P30" t="str">
        <f>IF(O30&lt;&gt;1,"ERR"," ")</f>
        <v xml:space="preserve"> </v>
      </c>
    </row>
    <row r="31" spans="1:18">
      <c r="A31">
        <v>4132</v>
      </c>
      <c r="B31" t="s">
        <v>31</v>
      </c>
      <c r="C31" s="6">
        <f>'Staff Pro Forma'!I30</f>
        <v>40504.65</v>
      </c>
      <c r="E31" s="435">
        <f>+E26</f>
        <v>0.86878758697956915</v>
      </c>
      <c r="F31" s="6">
        <f>+C31*E31</f>
        <v>35189.937134952008</v>
      </c>
      <c r="H31" s="11">
        <f>+H26</f>
        <v>8.8962217417673212E-2</v>
      </c>
      <c r="I31" s="6">
        <f t="shared" si="11"/>
        <v>3603.3834797267573</v>
      </c>
      <c r="K31" s="11">
        <f>+K26</f>
        <v>4.2250195602757411E-2</v>
      </c>
      <c r="L31" s="6">
        <f t="shared" si="7"/>
        <v>1711.3293853212281</v>
      </c>
      <c r="N31" s="6">
        <f t="shared" si="8"/>
        <v>40504.649999999994</v>
      </c>
      <c r="O31" s="11">
        <f t="shared" si="9"/>
        <v>0.99999999999999978</v>
      </c>
      <c r="P31" t="str">
        <f t="shared" si="10"/>
        <v xml:space="preserve"> </v>
      </c>
      <c r="R31" s="83" t="s">
        <v>327</v>
      </c>
    </row>
    <row r="32" spans="1:18">
      <c r="A32">
        <v>4133</v>
      </c>
      <c r="B32" t="s">
        <v>280</v>
      </c>
      <c r="C32" s="6">
        <f>'Staff Pro Forma'!I31</f>
        <v>4755.2</v>
      </c>
      <c r="E32" s="435">
        <f>+E27</f>
        <v>1</v>
      </c>
      <c r="F32" s="6">
        <f>+C32*E32</f>
        <v>4755.2</v>
      </c>
      <c r="H32" s="11">
        <f>+H27</f>
        <v>0</v>
      </c>
      <c r="I32" s="6">
        <f>+C32*H32</f>
        <v>0</v>
      </c>
      <c r="K32" s="11">
        <f>+K27</f>
        <v>0</v>
      </c>
      <c r="L32" s="6">
        <f>+C32*K32</f>
        <v>0</v>
      </c>
      <c r="N32" s="6">
        <f>+F32+I32+L32</f>
        <v>4755.2</v>
      </c>
      <c r="O32" s="11">
        <f>+E32+H32+K32</f>
        <v>1</v>
      </c>
      <c r="P32" t="str">
        <f t="shared" si="10"/>
        <v xml:space="preserve"> </v>
      </c>
    </row>
    <row r="33" spans="1:16">
      <c r="A33">
        <v>4134</v>
      </c>
      <c r="B33" t="s">
        <v>32</v>
      </c>
      <c r="C33" s="6">
        <f>'Staff Pro Forma'!I32</f>
        <v>10268.18</v>
      </c>
      <c r="E33" s="435">
        <f>+E28</f>
        <v>0.91404805914972276</v>
      </c>
      <c r="F33" s="6">
        <f t="shared" si="6"/>
        <v>9385.61</v>
      </c>
      <c r="H33" s="11">
        <f>+H28</f>
        <v>5.9149722735674676E-2</v>
      </c>
      <c r="I33" s="6">
        <f t="shared" si="11"/>
        <v>607.36</v>
      </c>
      <c r="K33" s="11">
        <f>+K28</f>
        <v>2.6802218114602587E-2</v>
      </c>
      <c r="L33" s="6">
        <f t="shared" si="7"/>
        <v>275.20999999999998</v>
      </c>
      <c r="N33" s="6">
        <f t="shared" si="8"/>
        <v>10268.18</v>
      </c>
      <c r="O33" s="11">
        <f t="shared" si="9"/>
        <v>1</v>
      </c>
      <c r="P33" t="str">
        <f t="shared" si="10"/>
        <v xml:space="preserve"> </v>
      </c>
    </row>
    <row r="34" spans="1:16">
      <c r="A34">
        <v>4136</v>
      </c>
      <c r="B34" t="s">
        <v>281</v>
      </c>
      <c r="C34" s="6">
        <f>'Staff Pro Forma'!I33</f>
        <v>0</v>
      </c>
      <c r="E34" s="435">
        <f>+E27</f>
        <v>1</v>
      </c>
      <c r="F34" s="6">
        <f>+C34*E34</f>
        <v>0</v>
      </c>
      <c r="H34" s="11">
        <f>+H29</f>
        <v>0</v>
      </c>
      <c r="I34" s="6">
        <f>+C34*H34</f>
        <v>0</v>
      </c>
      <c r="K34" s="11">
        <f>+K29</f>
        <v>0</v>
      </c>
      <c r="L34" s="6">
        <f>+C34*K34</f>
        <v>0</v>
      </c>
      <c r="N34" s="6">
        <f>+F34+I34+L34</f>
        <v>0</v>
      </c>
      <c r="O34" s="11">
        <f>+E34+H34+K34</f>
        <v>1</v>
      </c>
      <c r="P34" t="str">
        <f t="shared" si="10"/>
        <v xml:space="preserve"> </v>
      </c>
    </row>
    <row r="35" spans="1:16">
      <c r="A35">
        <v>4138</v>
      </c>
      <c r="B35" t="s">
        <v>331</v>
      </c>
      <c r="C35" s="6">
        <f>'Staff Pro Forma'!I34</f>
        <v>588.45000000000005</v>
      </c>
      <c r="E35" s="435">
        <f>+E30</f>
        <v>1</v>
      </c>
      <c r="F35" s="6">
        <f>+C35*E35</f>
        <v>588.45000000000005</v>
      </c>
      <c r="H35" s="11">
        <f>+H30</f>
        <v>0</v>
      </c>
      <c r="I35" s="6">
        <f>+C35*H35</f>
        <v>0</v>
      </c>
      <c r="K35" s="11">
        <f>+K30</f>
        <v>0</v>
      </c>
      <c r="L35" s="6">
        <f>+C35*K35</f>
        <v>0</v>
      </c>
      <c r="N35" s="6">
        <f>+F35+I35+L35</f>
        <v>588.45000000000005</v>
      </c>
      <c r="O35" s="11">
        <f>+E35+H35+K35</f>
        <v>1</v>
      </c>
      <c r="P35" t="str">
        <f>IF(O35&lt;&gt;1,"ERR"," ")</f>
        <v xml:space="preserve"> </v>
      </c>
    </row>
    <row r="36" spans="1:16">
      <c r="A36">
        <v>4160</v>
      </c>
      <c r="B36" t="s">
        <v>33</v>
      </c>
      <c r="C36" s="6">
        <f>'Staff Pro Forma'!I35</f>
        <v>20948.329999999998</v>
      </c>
      <c r="E36" s="432">
        <f>+'Hours &amp; Miles'!D71</f>
        <v>0.87874590037769806</v>
      </c>
      <c r="F36" s="6">
        <f t="shared" si="6"/>
        <v>18408.259107259142</v>
      </c>
      <c r="H36" s="26">
        <f>+'Hours &amp; Miles'!E71</f>
        <v>8.0997880628470617E-2</v>
      </c>
      <c r="I36" s="6">
        <f t="shared" si="11"/>
        <v>1696.7703327058098</v>
      </c>
      <c r="K36" s="26">
        <f>+'Hours &amp; Miles'!F71</f>
        <v>4.0256218993831326E-2</v>
      </c>
      <c r="L36" s="6">
        <f t="shared" si="7"/>
        <v>843.30056003504649</v>
      </c>
      <c r="N36" s="6">
        <f t="shared" si="8"/>
        <v>20948.329999999998</v>
      </c>
      <c r="O36" s="11">
        <f t="shared" si="9"/>
        <v>1</v>
      </c>
      <c r="P36" t="str">
        <f t="shared" si="10"/>
        <v xml:space="preserve"> </v>
      </c>
    </row>
    <row r="37" spans="1:16">
      <c r="A37">
        <v>4161</v>
      </c>
      <c r="B37" t="s">
        <v>282</v>
      </c>
      <c r="C37" s="6">
        <f>'Staff Pro Forma'!I36</f>
        <v>3649.63</v>
      </c>
      <c r="E37" s="432">
        <f>+E27</f>
        <v>1</v>
      </c>
      <c r="F37" s="6">
        <f>+C37*E37</f>
        <v>3649.63</v>
      </c>
      <c r="H37" s="26">
        <f>+'Hours &amp; Miles'!E72</f>
        <v>0</v>
      </c>
      <c r="I37" s="6">
        <f>+C37*H37</f>
        <v>0</v>
      </c>
      <c r="K37" s="26">
        <f>+'Hours &amp; Miles'!F72</f>
        <v>0</v>
      </c>
      <c r="L37" s="6">
        <f>+C37*K37</f>
        <v>0</v>
      </c>
      <c r="N37" s="6">
        <f>+F37+I37+L37</f>
        <v>3649.63</v>
      </c>
      <c r="O37" s="11">
        <f>+E37+H37+K37</f>
        <v>1</v>
      </c>
      <c r="P37" t="str">
        <f t="shared" si="10"/>
        <v xml:space="preserve"> </v>
      </c>
    </row>
    <row r="38" spans="1:16">
      <c r="A38">
        <v>4162</v>
      </c>
      <c r="B38" t="s">
        <v>1304</v>
      </c>
      <c r="C38" s="6">
        <f>'Staff Pro Forma'!I37</f>
        <v>0</v>
      </c>
      <c r="E38" s="432">
        <v>1</v>
      </c>
      <c r="F38" s="6">
        <f>+C38*E38</f>
        <v>0</v>
      </c>
      <c r="H38" s="26">
        <f>+'Hours &amp; Miles'!E73</f>
        <v>0</v>
      </c>
      <c r="I38" s="6">
        <f>+C38*H38</f>
        <v>0</v>
      </c>
      <c r="K38" s="26">
        <f>+'Hours &amp; Miles'!F73</f>
        <v>0</v>
      </c>
      <c r="L38" s="6">
        <f>+C38*K38</f>
        <v>0</v>
      </c>
      <c r="N38" s="6">
        <f>+F38+I38+L38</f>
        <v>0</v>
      </c>
      <c r="O38" s="11">
        <f>+E38+H38+K38</f>
        <v>1</v>
      </c>
      <c r="P38" t="str">
        <f t="shared" ref="P38" si="12">IF(O38&lt;&gt;1,"ERR"," ")</f>
        <v xml:space="preserve"> </v>
      </c>
    </row>
    <row r="39" spans="1:16">
      <c r="A39">
        <v>4180</v>
      </c>
      <c r="B39" t="s">
        <v>34</v>
      </c>
      <c r="C39" s="6">
        <f>'Staff Pro Forma'!I38</f>
        <v>19397.82</v>
      </c>
      <c r="E39" s="435">
        <f>+E26</f>
        <v>0.86878758697956915</v>
      </c>
      <c r="F39" s="6">
        <f t="shared" si="6"/>
        <v>16852.585230464025</v>
      </c>
      <c r="H39" s="11">
        <f>+H26</f>
        <v>8.8962217417673212E-2</v>
      </c>
      <c r="I39" s="6">
        <f t="shared" si="11"/>
        <v>1725.6730802688899</v>
      </c>
      <c r="K39" s="11">
        <f>+K26</f>
        <v>4.2250195602757411E-2</v>
      </c>
      <c r="L39" s="6">
        <f t="shared" si="7"/>
        <v>819.56168926707971</v>
      </c>
      <c r="N39" s="6">
        <f t="shared" si="8"/>
        <v>19397.819999999996</v>
      </c>
      <c r="O39" s="11">
        <f t="shared" si="9"/>
        <v>0.99999999999999978</v>
      </c>
      <c r="P39" t="str">
        <f t="shared" si="10"/>
        <v xml:space="preserve"> </v>
      </c>
    </row>
    <row r="40" spans="1:16">
      <c r="A40" t="s">
        <v>16</v>
      </c>
      <c r="C40" s="6">
        <f>'Staff Pro Forma'!I39</f>
        <v>0</v>
      </c>
      <c r="E40" s="11"/>
      <c r="F40" s="6"/>
      <c r="H40" s="11"/>
      <c r="I40" s="6"/>
      <c r="K40" s="11"/>
      <c r="L40" s="6"/>
      <c r="N40" s="6"/>
      <c r="O40" s="11"/>
    </row>
    <row r="41" spans="1:16">
      <c r="A41">
        <v>4210</v>
      </c>
      <c r="B41" t="s">
        <v>35</v>
      </c>
      <c r="C41" s="6">
        <f>'Staff Pro Forma'!I40</f>
        <v>0</v>
      </c>
      <c r="E41" s="435">
        <f>+E26</f>
        <v>0.86878758697956915</v>
      </c>
      <c r="F41" s="6">
        <f t="shared" si="6"/>
        <v>0</v>
      </c>
      <c r="H41" s="11">
        <f>+H26</f>
        <v>8.8962217417673212E-2</v>
      </c>
      <c r="I41" s="6">
        <f t="shared" si="11"/>
        <v>0</v>
      </c>
      <c r="K41" s="11">
        <f>+K26</f>
        <v>4.2250195602757411E-2</v>
      </c>
      <c r="L41" s="6">
        <f t="shared" si="7"/>
        <v>0</v>
      </c>
      <c r="N41" s="6">
        <f t="shared" si="8"/>
        <v>0</v>
      </c>
      <c r="O41" s="11">
        <f t="shared" ref="O41:O49" si="13">+E41+H41+K41</f>
        <v>0.99999999999999978</v>
      </c>
      <c r="P41" t="str">
        <f t="shared" si="10"/>
        <v xml:space="preserve"> </v>
      </c>
    </row>
    <row r="42" spans="1:16">
      <c r="A42">
        <v>4213</v>
      </c>
      <c r="B42" t="s">
        <v>36</v>
      </c>
      <c r="C42" s="6">
        <f>'Staff Pro Forma'!I41</f>
        <v>315259.75999999995</v>
      </c>
      <c r="E42" s="435">
        <f>+E26</f>
        <v>0.86878758697956915</v>
      </c>
      <c r="F42" s="6">
        <f t="shared" si="6"/>
        <v>273893.76616215805</v>
      </c>
      <c r="H42" s="11">
        <f>+H26</f>
        <v>8.8962217417673212E-2</v>
      </c>
      <c r="I42" s="6">
        <f t="shared" si="11"/>
        <v>28046.207312163471</v>
      </c>
      <c r="K42" s="11">
        <f>+K26</f>
        <v>4.2250195602757411E-2</v>
      </c>
      <c r="L42" s="6">
        <f t="shared" si="7"/>
        <v>13319.786525678355</v>
      </c>
      <c r="N42" s="6">
        <f t="shared" si="8"/>
        <v>315259.75999999989</v>
      </c>
      <c r="O42" s="11">
        <f t="shared" si="13"/>
        <v>0.99999999999999978</v>
      </c>
      <c r="P42" t="str">
        <f t="shared" si="10"/>
        <v xml:space="preserve"> </v>
      </c>
    </row>
    <row r="43" spans="1:16">
      <c r="A43">
        <v>4215</v>
      </c>
      <c r="B43" t="s">
        <v>37</v>
      </c>
      <c r="C43" s="6">
        <f>'Staff Pro Forma'!I42</f>
        <v>31237.64</v>
      </c>
      <c r="E43" s="432">
        <f>+E27</f>
        <v>1</v>
      </c>
      <c r="F43" s="6">
        <f t="shared" si="6"/>
        <v>31237.64</v>
      </c>
      <c r="H43" s="26">
        <f>+H27</f>
        <v>0</v>
      </c>
      <c r="I43" s="6">
        <f t="shared" si="11"/>
        <v>0</v>
      </c>
      <c r="K43" s="26">
        <f>+K27</f>
        <v>0</v>
      </c>
      <c r="L43" s="6">
        <f t="shared" si="7"/>
        <v>0</v>
      </c>
      <c r="N43" s="6">
        <f t="shared" si="8"/>
        <v>31237.64</v>
      </c>
      <c r="O43" s="11">
        <f t="shared" si="13"/>
        <v>1</v>
      </c>
      <c r="P43" t="str">
        <f t="shared" si="10"/>
        <v xml:space="preserve"> </v>
      </c>
    </row>
    <row r="44" spans="1:16">
      <c r="A44">
        <v>4217</v>
      </c>
      <c r="B44" t="s">
        <v>285</v>
      </c>
      <c r="C44" s="6">
        <f>'Staff Pro Forma'!I43</f>
        <v>13967.380000000001</v>
      </c>
      <c r="E44" s="435">
        <f>+E26</f>
        <v>0.86878758697956915</v>
      </c>
      <c r="F44" s="6">
        <f>+C44*E44</f>
        <v>12134.686366626696</v>
      </c>
      <c r="H44" s="11">
        <f>+H41</f>
        <v>8.8962217417673212E-2</v>
      </c>
      <c r="I44" s="6">
        <f>+C44*H44</f>
        <v>1242.5690963152606</v>
      </c>
      <c r="K44" s="11">
        <f>+K42</f>
        <v>4.2250195602757411E-2</v>
      </c>
      <c r="L44" s="6">
        <f>+C44*K44</f>
        <v>590.12453705804182</v>
      </c>
      <c r="N44" s="6">
        <f>+F44+I44+L44</f>
        <v>13967.38</v>
      </c>
      <c r="O44" s="11">
        <f t="shared" si="13"/>
        <v>0.99999999999999978</v>
      </c>
      <c r="P44" t="str">
        <f t="shared" si="10"/>
        <v xml:space="preserve"> </v>
      </c>
    </row>
    <row r="45" spans="1:16">
      <c r="A45">
        <v>4222</v>
      </c>
      <c r="B45" t="s">
        <v>332</v>
      </c>
      <c r="C45" s="6">
        <f>'Staff Pro Forma'!I44</f>
        <v>7804.25</v>
      </c>
      <c r="E45" s="435">
        <f>E30</f>
        <v>1</v>
      </c>
      <c r="F45" s="6">
        <f>+C45*E45</f>
        <v>7804.25</v>
      </c>
      <c r="H45" s="11">
        <v>0</v>
      </c>
      <c r="I45" s="6">
        <f>+C45*H45</f>
        <v>0</v>
      </c>
      <c r="K45" s="11">
        <f>+K43</f>
        <v>0</v>
      </c>
      <c r="L45" s="6">
        <f>+C45*K45</f>
        <v>0</v>
      </c>
      <c r="N45" s="6">
        <f>+F45+I45+L45</f>
        <v>7804.25</v>
      </c>
      <c r="O45" s="11">
        <f>+E45+H45+K45</f>
        <v>1</v>
      </c>
      <c r="P45" t="str">
        <f>IF(O45&lt;&gt;1,"ERR"," ")</f>
        <v xml:space="preserve"> </v>
      </c>
    </row>
    <row r="46" spans="1:16">
      <c r="A46">
        <v>4240</v>
      </c>
      <c r="B46" t="s">
        <v>38</v>
      </c>
      <c r="C46" s="6">
        <f>'Staff Pro Forma'!I45</f>
        <v>58804.080000000009</v>
      </c>
      <c r="E46" s="435">
        <f>+E26</f>
        <v>0.86878758697956915</v>
      </c>
      <c r="F46" s="6">
        <f t="shared" si="6"/>
        <v>51088.254767753548</v>
      </c>
      <c r="H46" s="11">
        <f>+H26</f>
        <v>8.8962217417673212E-2</v>
      </c>
      <c r="I46" s="6">
        <f t="shared" si="11"/>
        <v>5231.3413500062497</v>
      </c>
      <c r="K46" s="11">
        <f>+K26</f>
        <v>4.2250195602757411E-2</v>
      </c>
      <c r="L46" s="6">
        <f t="shared" si="7"/>
        <v>2484.4838822401953</v>
      </c>
      <c r="N46" s="6">
        <f t="shared" si="8"/>
        <v>58804.079999999994</v>
      </c>
      <c r="O46" s="11">
        <f t="shared" si="13"/>
        <v>0.99999999999999978</v>
      </c>
      <c r="P46" t="str">
        <f t="shared" si="10"/>
        <v xml:space="preserve"> </v>
      </c>
    </row>
    <row r="47" spans="1:16">
      <c r="A47">
        <v>4241</v>
      </c>
      <c r="B47" t="s">
        <v>283</v>
      </c>
      <c r="C47" s="6">
        <f>'Staff Pro Forma'!I46</f>
        <v>13080.209660599165</v>
      </c>
      <c r="E47" s="435">
        <f>+E27</f>
        <v>1</v>
      </c>
      <c r="F47" s="6">
        <f>+C47*E47</f>
        <v>13080.209660599165</v>
      </c>
      <c r="H47" s="11">
        <f>+H27</f>
        <v>0</v>
      </c>
      <c r="I47" s="6">
        <f>+C47*H47</f>
        <v>0</v>
      </c>
      <c r="K47" s="11">
        <f>+K27</f>
        <v>0</v>
      </c>
      <c r="L47" s="6">
        <f>+C47*K47</f>
        <v>0</v>
      </c>
      <c r="N47" s="6">
        <f>+F47+I47+L47</f>
        <v>13080.209660599165</v>
      </c>
      <c r="O47" s="11">
        <f t="shared" si="13"/>
        <v>1</v>
      </c>
      <c r="P47" t="str">
        <f t="shared" si="10"/>
        <v xml:space="preserve"> </v>
      </c>
    </row>
    <row r="48" spans="1:16">
      <c r="A48">
        <v>4244</v>
      </c>
      <c r="B48" t="s">
        <v>333</v>
      </c>
      <c r="C48" s="6">
        <f>'Staff Pro Forma'!I47</f>
        <v>1737.8500000000004</v>
      </c>
      <c r="E48" s="435">
        <f>E45</f>
        <v>1</v>
      </c>
      <c r="F48" s="6">
        <f>+C48*E48</f>
        <v>1737.8500000000004</v>
      </c>
      <c r="H48" s="11">
        <v>0</v>
      </c>
      <c r="I48" s="6">
        <f>+C48*H48</f>
        <v>0</v>
      </c>
      <c r="K48" s="11">
        <v>0</v>
      </c>
      <c r="L48" s="6">
        <f>+C48*K48</f>
        <v>0</v>
      </c>
      <c r="N48" s="6">
        <f>+F48+I48+L48</f>
        <v>1737.8500000000004</v>
      </c>
      <c r="O48" s="11">
        <f>+E48+H48+K48</f>
        <v>1</v>
      </c>
      <c r="P48" t="str">
        <f>IF(O48&lt;&gt;1,"ERR"," ")</f>
        <v xml:space="preserve"> </v>
      </c>
    </row>
    <row r="49" spans="1:16">
      <c r="A49">
        <v>4280</v>
      </c>
      <c r="B49" t="s">
        <v>39</v>
      </c>
      <c r="C49" s="6">
        <f>'Staff Pro Forma'!I48</f>
        <v>7655.6</v>
      </c>
      <c r="E49" s="435">
        <f>+E26</f>
        <v>0.86878758697956915</v>
      </c>
      <c r="F49" s="6">
        <f t="shared" si="6"/>
        <v>6651.0902508807903</v>
      </c>
      <c r="H49" s="11">
        <f>+H26</f>
        <v>8.8962217417673212E-2</v>
      </c>
      <c r="I49" s="6">
        <f t="shared" si="11"/>
        <v>681.05915166273905</v>
      </c>
      <c r="K49" s="11">
        <f>+K26</f>
        <v>4.2250195602757411E-2</v>
      </c>
      <c r="L49" s="6">
        <f t="shared" si="7"/>
        <v>323.45059745646967</v>
      </c>
      <c r="N49" s="6">
        <f t="shared" si="8"/>
        <v>7655.5999999999995</v>
      </c>
      <c r="O49" s="11">
        <f t="shared" si="13"/>
        <v>0.99999999999999978</v>
      </c>
      <c r="P49" t="str">
        <f t="shared" si="10"/>
        <v xml:space="preserve"> </v>
      </c>
    </row>
    <row r="50" spans="1:16">
      <c r="A50">
        <v>4282</v>
      </c>
      <c r="B50" t="s">
        <v>335</v>
      </c>
      <c r="C50" s="6">
        <f>'Staff Pro Forma'!I49</f>
        <v>0</v>
      </c>
      <c r="E50" s="435">
        <f>E48</f>
        <v>1</v>
      </c>
      <c r="F50" s="6">
        <f>+C50*E50</f>
        <v>0</v>
      </c>
      <c r="H50" s="11">
        <f>+H27</f>
        <v>0</v>
      </c>
      <c r="I50" s="6">
        <f>+C50*H50</f>
        <v>0</v>
      </c>
      <c r="K50" s="11">
        <f>+K27</f>
        <v>0</v>
      </c>
      <c r="L50" s="6">
        <f>+C50*K50</f>
        <v>0</v>
      </c>
      <c r="N50" s="6">
        <f>+F50+I50+L50</f>
        <v>0</v>
      </c>
      <c r="O50" s="11">
        <f>+E50+H50+K50</f>
        <v>1</v>
      </c>
      <c r="P50" t="str">
        <f>IF(O50&lt;&gt;1,"ERR"," ")</f>
        <v xml:space="preserve"> </v>
      </c>
    </row>
    <row r="51" spans="1:16">
      <c r="A51" t="s">
        <v>17</v>
      </c>
      <c r="C51" s="6">
        <f>'Staff Pro Forma'!I50</f>
        <v>0</v>
      </c>
      <c r="E51" s="11"/>
      <c r="F51" s="6"/>
      <c r="H51" s="11"/>
      <c r="I51" s="6"/>
      <c r="K51" s="11"/>
      <c r="L51" s="6"/>
      <c r="N51" s="6"/>
      <c r="O51" s="11"/>
    </row>
    <row r="52" spans="1:16">
      <c r="A52">
        <v>4360</v>
      </c>
      <c r="B52" t="s">
        <v>40</v>
      </c>
      <c r="C52" s="6">
        <f>'Staff Pro Forma'!I51</f>
        <v>427114.44</v>
      </c>
      <c r="E52" s="432">
        <f>+'Monthly Data-Disposal Fees'!$L$50+'Monthly Data-Disposal Fees'!$M$50+'Monthly Data-Disposal Fees'!$N$50</f>
        <v>0.9976707787564375</v>
      </c>
      <c r="F52" s="6">
        <f t="shared" si="6"/>
        <v>426119.59597291972</v>
      </c>
      <c r="H52" s="26">
        <f>+'Monthly Data-Disposal Fees'!$P$50</f>
        <v>0</v>
      </c>
      <c r="I52" s="6">
        <f t="shared" si="11"/>
        <v>0</v>
      </c>
      <c r="K52" s="26">
        <f>+'Monthly Data-Disposal Fees'!$O$50</f>
        <v>2.3292212435622383E-3</v>
      </c>
      <c r="L52" s="6">
        <f t="shared" si="7"/>
        <v>994.84402708018899</v>
      </c>
      <c r="N52" s="6">
        <f t="shared" si="8"/>
        <v>427114.43999999989</v>
      </c>
      <c r="O52" s="11">
        <f>+E52+H52+K52</f>
        <v>0.99999999999999978</v>
      </c>
      <c r="P52" t="str">
        <f t="shared" si="10"/>
        <v xml:space="preserve"> </v>
      </c>
    </row>
    <row r="53" spans="1:16">
      <c r="A53">
        <v>4361</v>
      </c>
      <c r="B53" t="s">
        <v>41</v>
      </c>
      <c r="C53" s="6">
        <f>'Staff Pro Forma'!I52</f>
        <v>213487.51000000004</v>
      </c>
      <c r="E53" s="433">
        <v>1</v>
      </c>
      <c r="F53" s="6">
        <f t="shared" si="6"/>
        <v>213487.51000000004</v>
      </c>
      <c r="H53" s="15">
        <v>0</v>
      </c>
      <c r="I53" s="6">
        <f t="shared" si="11"/>
        <v>0</v>
      </c>
      <c r="K53" s="15">
        <v>0</v>
      </c>
      <c r="L53" s="6">
        <f t="shared" si="7"/>
        <v>0</v>
      </c>
      <c r="N53" s="6">
        <f t="shared" si="8"/>
        <v>213487.51000000004</v>
      </c>
      <c r="O53" s="11">
        <f>+E53+H53+K53</f>
        <v>1</v>
      </c>
      <c r="P53" t="str">
        <f t="shared" si="10"/>
        <v xml:space="preserve"> </v>
      </c>
    </row>
    <row r="54" spans="1:16">
      <c r="A54">
        <v>4362</v>
      </c>
      <c r="B54" t="s">
        <v>42</v>
      </c>
      <c r="C54" s="6">
        <f>'Staff Pro Forma'!I53</f>
        <v>235042.99</v>
      </c>
      <c r="E54" s="432">
        <f>+'Monthly Data-Disposal Fees'!$L$27+'Monthly Data-Disposal Fees'!$M$27+'Monthly Data-Disposal Fees'!$N$27</f>
        <v>0.47111963246761346</v>
      </c>
      <c r="F54" s="6">
        <f t="shared" si="6"/>
        <v>110733.36706288894</v>
      </c>
      <c r="H54" s="26">
        <f>+'Monthly Data-Disposal Fees'!$P$27</f>
        <v>0.38503416931044132</v>
      </c>
      <c r="I54" s="6">
        <f>+C54*H54</f>
        <v>90499.582406892368</v>
      </c>
      <c r="K54" s="26">
        <f>+'Monthly Data-Disposal Fees'!$O$27</f>
        <v>0.14384619822194533</v>
      </c>
      <c r="L54" s="6">
        <f t="shared" si="7"/>
        <v>33810.040530218714</v>
      </c>
      <c r="N54" s="6">
        <f t="shared" si="8"/>
        <v>235042.99000000002</v>
      </c>
      <c r="O54" s="11">
        <f>+E54+H54+K54</f>
        <v>1</v>
      </c>
      <c r="P54" t="str">
        <f t="shared" si="10"/>
        <v xml:space="preserve"> </v>
      </c>
    </row>
    <row r="55" spans="1:16">
      <c r="A55">
        <v>4363</v>
      </c>
      <c r="B55" t="s">
        <v>43</v>
      </c>
      <c r="C55" s="6">
        <f>'Staff Pro Forma'!I54</f>
        <v>110827.33</v>
      </c>
      <c r="E55" s="433">
        <v>1</v>
      </c>
      <c r="F55" s="6">
        <f t="shared" si="6"/>
        <v>110827.33</v>
      </c>
      <c r="H55" s="15">
        <v>0</v>
      </c>
      <c r="I55" s="6">
        <f t="shared" si="11"/>
        <v>0</v>
      </c>
      <c r="K55" s="15">
        <v>0</v>
      </c>
      <c r="L55" s="6">
        <f t="shared" si="7"/>
        <v>0</v>
      </c>
      <c r="N55" s="6">
        <f t="shared" si="8"/>
        <v>110827.33</v>
      </c>
      <c r="O55" s="11">
        <f>+E55+H55+K55</f>
        <v>1</v>
      </c>
      <c r="P55" t="str">
        <f t="shared" si="10"/>
        <v xml:space="preserve"> </v>
      </c>
    </row>
    <row r="56" spans="1:16">
      <c r="A56">
        <v>4380</v>
      </c>
      <c r="B56" t="s">
        <v>336</v>
      </c>
      <c r="C56" s="6">
        <f>'Staff Pro Forma'!I55</f>
        <v>5587.41</v>
      </c>
      <c r="E56" s="433">
        <v>1</v>
      </c>
      <c r="F56" s="6">
        <f>+C56*E56</f>
        <v>5587.41</v>
      </c>
      <c r="H56" s="15">
        <v>0</v>
      </c>
      <c r="I56" s="6">
        <f>+C56*H56</f>
        <v>0</v>
      </c>
      <c r="K56" s="15">
        <v>0</v>
      </c>
      <c r="L56" s="6">
        <f>+C56*K56</f>
        <v>0</v>
      </c>
      <c r="N56" s="6">
        <f>+F56+I56+L56</f>
        <v>5587.41</v>
      </c>
      <c r="O56" s="11">
        <f>+E56+H56+K56</f>
        <v>1</v>
      </c>
      <c r="P56" t="str">
        <f>IF(O56&lt;&gt;1,"ERR"," ")</f>
        <v xml:space="preserve"> </v>
      </c>
    </row>
    <row r="57" spans="1:16">
      <c r="A57" t="s">
        <v>14</v>
      </c>
      <c r="C57" s="6">
        <f>'Staff Pro Forma'!I56</f>
        <v>0</v>
      </c>
      <c r="E57" s="11"/>
      <c r="F57" s="6"/>
      <c r="H57" s="11"/>
      <c r="I57" s="6"/>
      <c r="K57" s="11"/>
      <c r="L57" s="6"/>
      <c r="N57" s="6"/>
      <c r="O57" s="11"/>
    </row>
    <row r="58" spans="1:16">
      <c r="A58">
        <v>4430</v>
      </c>
      <c r="B58" t="s">
        <v>44</v>
      </c>
      <c r="C58" s="6">
        <f>'Staff Pro Forma'!I57</f>
        <v>0</v>
      </c>
      <c r="E58" s="435">
        <v>1</v>
      </c>
      <c r="F58" s="6">
        <f t="shared" si="6"/>
        <v>0</v>
      </c>
      <c r="H58" s="11">
        <v>0</v>
      </c>
      <c r="I58" s="6">
        <f t="shared" si="11"/>
        <v>0</v>
      </c>
      <c r="K58" s="11">
        <v>0</v>
      </c>
      <c r="L58" s="6">
        <f t="shared" si="7"/>
        <v>0</v>
      </c>
      <c r="N58" s="6">
        <f t="shared" si="8"/>
        <v>0</v>
      </c>
      <c r="O58" s="11">
        <f>+E58+H58+K58</f>
        <v>1</v>
      </c>
      <c r="P58" t="str">
        <f t="shared" si="10"/>
        <v xml:space="preserve"> </v>
      </c>
    </row>
    <row r="59" spans="1:16">
      <c r="A59">
        <v>4450</v>
      </c>
      <c r="B59" t="s">
        <v>45</v>
      </c>
      <c r="C59" s="6">
        <f>'Staff Pro Forma'!I58</f>
        <v>1530</v>
      </c>
      <c r="E59" s="433">
        <v>1</v>
      </c>
      <c r="F59" s="6">
        <f t="shared" si="6"/>
        <v>1530</v>
      </c>
      <c r="H59" s="15">
        <v>0</v>
      </c>
      <c r="I59" s="6">
        <f t="shared" si="11"/>
        <v>0</v>
      </c>
      <c r="K59" s="15">
        <v>0</v>
      </c>
      <c r="L59" s="6">
        <f t="shared" si="7"/>
        <v>0</v>
      </c>
      <c r="N59" s="6">
        <f t="shared" si="8"/>
        <v>1530</v>
      </c>
      <c r="O59" s="11">
        <f>+E59+H59+K59</f>
        <v>1</v>
      </c>
      <c r="P59" t="str">
        <f t="shared" si="10"/>
        <v xml:space="preserve"> </v>
      </c>
    </row>
    <row r="60" spans="1:16">
      <c r="A60" t="s">
        <v>15</v>
      </c>
      <c r="C60" s="6">
        <f>'Staff Pro Forma'!I59</f>
        <v>0</v>
      </c>
      <c r="E60" s="11"/>
      <c r="F60" s="6"/>
      <c r="H60" s="11"/>
      <c r="I60" s="6"/>
      <c r="K60" s="11"/>
      <c r="L60" s="6"/>
      <c r="N60" s="6"/>
      <c r="O60" s="11"/>
    </row>
    <row r="61" spans="1:16">
      <c r="A61">
        <v>4530</v>
      </c>
      <c r="B61" t="s">
        <v>46</v>
      </c>
      <c r="C61" s="6">
        <f>'Staff Pro Forma'!I60</f>
        <v>66676.709999999992</v>
      </c>
      <c r="E61" s="435">
        <f>+E26</f>
        <v>0.86878758697956915</v>
      </c>
      <c r="F61" s="6">
        <f t="shared" si="6"/>
        <v>57927.897988636498</v>
      </c>
      <c r="H61" s="11">
        <f>+H26</f>
        <v>8.8962217417673212E-2</v>
      </c>
      <c r="I61" s="6">
        <f t="shared" si="11"/>
        <v>5931.7079717151446</v>
      </c>
      <c r="K61" s="11">
        <f>+K26</f>
        <v>4.2250195602757411E-2</v>
      </c>
      <c r="L61" s="6">
        <f t="shared" si="7"/>
        <v>2817.1040396483309</v>
      </c>
      <c r="N61" s="6">
        <f t="shared" si="8"/>
        <v>66676.709999999977</v>
      </c>
      <c r="O61" s="11">
        <f>+E61+H61+K61</f>
        <v>0.99999999999999978</v>
      </c>
      <c r="P61" t="str">
        <f t="shared" si="10"/>
        <v xml:space="preserve"> </v>
      </c>
    </row>
    <row r="62" spans="1:16">
      <c r="A62">
        <v>4540</v>
      </c>
      <c r="B62" t="s">
        <v>47</v>
      </c>
      <c r="C62" s="6">
        <f>'Staff Pro Forma'!I61</f>
        <v>22540.952799999995</v>
      </c>
      <c r="E62" s="435">
        <f>+E26</f>
        <v>0.86878758697956915</v>
      </c>
      <c r="F62" s="6">
        <f t="shared" si="6"/>
        <v>19583.299991332358</v>
      </c>
      <c r="H62" s="11">
        <f>+H26</f>
        <v>8.8962217417673212E-2</v>
      </c>
      <c r="I62" s="6">
        <f t="shared" si="11"/>
        <v>2005.2931437951092</v>
      </c>
      <c r="K62" s="11">
        <f>+K26</f>
        <v>4.2250195602757411E-2</v>
      </c>
      <c r="L62" s="6">
        <f t="shared" si="7"/>
        <v>952.3596648725221</v>
      </c>
      <c r="N62" s="6">
        <f t="shared" si="8"/>
        <v>22540.952799999988</v>
      </c>
      <c r="O62" s="11">
        <f>+E62+H62+K62</f>
        <v>0.99999999999999978</v>
      </c>
      <c r="P62" t="str">
        <f t="shared" si="10"/>
        <v xml:space="preserve"> </v>
      </c>
    </row>
    <row r="63" spans="1:16">
      <c r="A63">
        <v>4580</v>
      </c>
      <c r="B63" t="s">
        <v>48</v>
      </c>
      <c r="C63" s="6">
        <f>'Staff Pro Forma'!I62</f>
        <v>0</v>
      </c>
      <c r="E63" s="435">
        <f>+E26</f>
        <v>0.86878758697956915</v>
      </c>
      <c r="F63" s="6">
        <f t="shared" si="6"/>
        <v>0</v>
      </c>
      <c r="H63" s="11">
        <f>+H26</f>
        <v>8.8962217417673212E-2</v>
      </c>
      <c r="I63" s="6">
        <f t="shared" si="11"/>
        <v>0</v>
      </c>
      <c r="K63" s="11">
        <f>+K26</f>
        <v>4.2250195602757411E-2</v>
      </c>
      <c r="L63" s="6">
        <f t="shared" si="7"/>
        <v>0</v>
      </c>
      <c r="N63" s="6">
        <f t="shared" si="8"/>
        <v>0</v>
      </c>
      <c r="O63" s="11">
        <f>+E63+H63+K63</f>
        <v>0.99999999999999978</v>
      </c>
      <c r="P63" t="str">
        <f t="shared" si="10"/>
        <v xml:space="preserve"> </v>
      </c>
    </row>
    <row r="64" spans="1:16">
      <c r="A64" t="s">
        <v>18</v>
      </c>
      <c r="C64" s="6">
        <f>'Staff Pro Forma'!I63</f>
        <v>0</v>
      </c>
      <c r="E64" s="11"/>
      <c r="F64" s="6"/>
      <c r="H64" s="11"/>
      <c r="I64" s="6"/>
      <c r="K64" s="11"/>
      <c r="L64" s="6"/>
      <c r="N64" s="6"/>
      <c r="O64" s="11"/>
    </row>
    <row r="65" spans="1:16">
      <c r="A65">
        <v>4611</v>
      </c>
      <c r="B65" t="s">
        <v>49</v>
      </c>
      <c r="C65" s="6">
        <f>'Staff Pro Forma'!I64</f>
        <v>75316.66</v>
      </c>
      <c r="E65" s="443">
        <f>'Overhead Allocation'!$O$20</f>
        <v>0.85770036944228945</v>
      </c>
      <c r="F65" s="6">
        <f t="shared" si="6"/>
        <v>64599.127107159307</v>
      </c>
      <c r="H65" s="443">
        <f>'Overhead Allocation'!P20</f>
        <v>9.8581470344398847E-2</v>
      </c>
      <c r="I65" s="6">
        <f t="shared" si="11"/>
        <v>7424.8270842291713</v>
      </c>
      <c r="K65" s="443">
        <f>'Overhead Allocation'!Q20</f>
        <v>4.3718160213311777E-2</v>
      </c>
      <c r="L65" s="6">
        <f t="shared" si="7"/>
        <v>3292.7058086115308</v>
      </c>
      <c r="N65" s="6">
        <f t="shared" si="8"/>
        <v>75316.66</v>
      </c>
      <c r="O65" s="11">
        <f t="shared" ref="O65:O83" si="14">+E65+H65+K65</f>
        <v>1.0000000000000002</v>
      </c>
      <c r="P65" t="str">
        <f t="shared" si="10"/>
        <v xml:space="preserve"> </v>
      </c>
    </row>
    <row r="66" spans="1:16">
      <c r="A66">
        <v>4612</v>
      </c>
      <c r="B66" t="s">
        <v>50</v>
      </c>
      <c r="C66" s="6">
        <f>'Staff Pro Forma'!I65</f>
        <v>48428.92</v>
      </c>
      <c r="E66" s="433">
        <v>1</v>
      </c>
      <c r="F66" s="6">
        <f t="shared" si="6"/>
        <v>48428.92</v>
      </c>
      <c r="H66" s="15">
        <v>0</v>
      </c>
      <c r="I66" s="6">
        <f t="shared" si="11"/>
        <v>0</v>
      </c>
      <c r="K66" s="15">
        <v>0</v>
      </c>
      <c r="L66" s="6">
        <f t="shared" si="7"/>
        <v>0</v>
      </c>
      <c r="N66" s="6">
        <f t="shared" si="8"/>
        <v>48428.92</v>
      </c>
      <c r="O66" s="11">
        <f t="shared" si="14"/>
        <v>1</v>
      </c>
      <c r="P66" t="str">
        <f t="shared" si="10"/>
        <v xml:space="preserve"> </v>
      </c>
    </row>
    <row r="67" spans="1:16">
      <c r="A67">
        <v>4613</v>
      </c>
      <c r="B67" t="s">
        <v>51</v>
      </c>
      <c r="C67" s="6">
        <f>'Staff Pro Forma'!I66</f>
        <v>108393.61</v>
      </c>
      <c r="E67" s="436">
        <f>+$E$65</f>
        <v>0.85770036944228945</v>
      </c>
      <c r="F67" s="6">
        <f t="shared" si="6"/>
        <v>92969.239342183442</v>
      </c>
      <c r="H67" s="436">
        <f>+$H$65</f>
        <v>9.8581470344398847E-2</v>
      </c>
      <c r="I67" s="6">
        <f t="shared" si="11"/>
        <v>10685.601449737334</v>
      </c>
      <c r="K67" s="436">
        <f>+$K$65</f>
        <v>4.3718160213311777E-2</v>
      </c>
      <c r="L67" s="6">
        <f t="shared" si="7"/>
        <v>4738.769208079234</v>
      </c>
      <c r="N67" s="6">
        <f t="shared" si="8"/>
        <v>108393.61000000002</v>
      </c>
      <c r="O67" s="11">
        <f t="shared" si="14"/>
        <v>1.0000000000000002</v>
      </c>
      <c r="P67" t="str">
        <f t="shared" si="10"/>
        <v xml:space="preserve"> </v>
      </c>
    </row>
    <row r="68" spans="1:16">
      <c r="A68">
        <v>4620</v>
      </c>
      <c r="B68" t="s">
        <v>52</v>
      </c>
      <c r="C68" s="6">
        <f>'Staff Pro Forma'!I67</f>
        <v>30096.98</v>
      </c>
      <c r="E68" s="436">
        <f t="shared" ref="E68:E77" si="15">+$E$65</f>
        <v>0.85770036944228945</v>
      </c>
      <c r="F68" s="6">
        <f t="shared" si="6"/>
        <v>25814.190865097196</v>
      </c>
      <c r="H68" s="436">
        <f t="shared" ref="H68:H77" si="16">+$H$65</f>
        <v>9.8581470344398847E-2</v>
      </c>
      <c r="I68" s="6">
        <f t="shared" si="11"/>
        <v>2967.004541325965</v>
      </c>
      <c r="K68" s="436">
        <f t="shared" ref="K68:K77" si="17">+$K$65</f>
        <v>4.3718160213311777E-2</v>
      </c>
      <c r="L68" s="6">
        <f t="shared" si="7"/>
        <v>1315.7845935768403</v>
      </c>
      <c r="N68" s="6">
        <f t="shared" si="8"/>
        <v>30096.980000000003</v>
      </c>
      <c r="O68" s="11">
        <f t="shared" si="14"/>
        <v>1.0000000000000002</v>
      </c>
      <c r="P68" t="str">
        <f t="shared" si="10"/>
        <v xml:space="preserve"> </v>
      </c>
    </row>
    <row r="69" spans="1:16">
      <c r="A69">
        <v>4622</v>
      </c>
      <c r="B69" t="s">
        <v>53</v>
      </c>
      <c r="C69" s="6">
        <f>'Staff Pro Forma'!I68</f>
        <v>0</v>
      </c>
      <c r="E69" s="436">
        <f t="shared" si="15"/>
        <v>0.85770036944228945</v>
      </c>
      <c r="F69" s="6">
        <f t="shared" si="6"/>
        <v>0</v>
      </c>
      <c r="H69" s="436">
        <f t="shared" si="16"/>
        <v>9.8581470344398847E-2</v>
      </c>
      <c r="I69" s="6">
        <f t="shared" si="11"/>
        <v>0</v>
      </c>
      <c r="K69" s="436">
        <f t="shared" si="17"/>
        <v>4.3718160213311777E-2</v>
      </c>
      <c r="L69" s="6">
        <f t="shared" si="7"/>
        <v>0</v>
      </c>
      <c r="N69" s="6">
        <f t="shared" si="8"/>
        <v>0</v>
      </c>
      <c r="O69" s="11">
        <f t="shared" si="14"/>
        <v>1.0000000000000002</v>
      </c>
      <c r="P69" t="str">
        <f t="shared" si="10"/>
        <v xml:space="preserve"> </v>
      </c>
    </row>
    <row r="70" spans="1:16">
      <c r="A70">
        <v>4624</v>
      </c>
      <c r="B70" t="s">
        <v>54</v>
      </c>
      <c r="C70" s="6">
        <f>'Staff Pro Forma'!I69</f>
        <v>134.02000000000001</v>
      </c>
      <c r="E70" s="436">
        <f t="shared" si="15"/>
        <v>0.85770036944228945</v>
      </c>
      <c r="F70" s="6">
        <f t="shared" si="6"/>
        <v>114.94900351265564</v>
      </c>
      <c r="H70" s="436">
        <f t="shared" si="16"/>
        <v>9.8581470344398847E-2</v>
      </c>
      <c r="I70" s="6">
        <f t="shared" si="11"/>
        <v>13.211888655556335</v>
      </c>
      <c r="K70" s="436">
        <f t="shared" si="17"/>
        <v>4.3718160213311777E-2</v>
      </c>
      <c r="L70" s="6">
        <f t="shared" si="7"/>
        <v>5.8591078317880445</v>
      </c>
      <c r="N70" s="6">
        <f t="shared" si="8"/>
        <v>134.02000000000001</v>
      </c>
      <c r="O70" s="11">
        <f t="shared" si="14"/>
        <v>1.0000000000000002</v>
      </c>
      <c r="P70" t="str">
        <f t="shared" si="10"/>
        <v xml:space="preserve"> </v>
      </c>
    </row>
    <row r="71" spans="1:16">
      <c r="A71">
        <v>4625</v>
      </c>
      <c r="B71" t="s">
        <v>55</v>
      </c>
      <c r="C71" s="6">
        <f>'Staff Pro Forma'!I70</f>
        <v>2951.18</v>
      </c>
      <c r="E71" s="436">
        <f t="shared" si="15"/>
        <v>0.85770036944228945</v>
      </c>
      <c r="F71" s="6">
        <f t="shared" si="6"/>
        <v>2531.2281762906955</v>
      </c>
      <c r="H71" s="436">
        <f t="shared" si="16"/>
        <v>9.8581470344398847E-2</v>
      </c>
      <c r="I71" s="6">
        <f t="shared" si="11"/>
        <v>290.93166365098296</v>
      </c>
      <c r="K71" s="436">
        <f t="shared" si="17"/>
        <v>4.3718160213311777E-2</v>
      </c>
      <c r="L71" s="6">
        <f t="shared" si="7"/>
        <v>129.02016005832144</v>
      </c>
      <c r="N71" s="6">
        <f t="shared" si="8"/>
        <v>2951.18</v>
      </c>
      <c r="O71" s="11">
        <f t="shared" si="14"/>
        <v>1.0000000000000002</v>
      </c>
      <c r="P71" t="str">
        <f t="shared" si="10"/>
        <v xml:space="preserve"> </v>
      </c>
    </row>
    <row r="72" spans="1:16">
      <c r="A72">
        <v>4627</v>
      </c>
      <c r="B72" t="s">
        <v>56</v>
      </c>
      <c r="C72" s="6">
        <f>'Staff Pro Forma'!I71</f>
        <v>1878.3</v>
      </c>
      <c r="E72" s="436">
        <f t="shared" si="15"/>
        <v>0.85770036944228945</v>
      </c>
      <c r="F72" s="6">
        <f t="shared" si="6"/>
        <v>1611.0186039234522</v>
      </c>
      <c r="H72" s="436">
        <f t="shared" si="16"/>
        <v>9.8581470344398847E-2</v>
      </c>
      <c r="I72" s="6">
        <f t="shared" si="11"/>
        <v>185.16557574788436</v>
      </c>
      <c r="K72" s="436">
        <f t="shared" si="17"/>
        <v>4.3718160213311777E-2</v>
      </c>
      <c r="L72" s="6">
        <f t="shared" si="7"/>
        <v>82.115820328663503</v>
      </c>
      <c r="N72" s="6">
        <f t="shared" si="8"/>
        <v>1878.3</v>
      </c>
      <c r="O72" s="11">
        <f t="shared" si="14"/>
        <v>1.0000000000000002</v>
      </c>
      <c r="P72" t="str">
        <f t="shared" si="10"/>
        <v xml:space="preserve"> </v>
      </c>
    </row>
    <row r="73" spans="1:16">
      <c r="A73">
        <v>4628</v>
      </c>
      <c r="B73" t="s">
        <v>1353</v>
      </c>
      <c r="C73" s="6">
        <f>'Staff Pro Forma'!I72</f>
        <v>10945.22</v>
      </c>
      <c r="E73" s="433">
        <v>1</v>
      </c>
      <c r="F73" s="6">
        <f t="shared" ref="F73" si="18">+C73*E73</f>
        <v>10945.22</v>
      </c>
      <c r="H73" s="15">
        <v>0</v>
      </c>
      <c r="I73" s="6">
        <f t="shared" ref="I73" si="19">+C73*H73</f>
        <v>0</v>
      </c>
      <c r="K73" s="15">
        <v>0</v>
      </c>
      <c r="L73" s="6">
        <f t="shared" ref="L73" si="20">+C73*K73</f>
        <v>0</v>
      </c>
      <c r="N73" s="6">
        <f t="shared" ref="N73" si="21">+F73+I73+L73</f>
        <v>10945.22</v>
      </c>
      <c r="O73" s="11">
        <f t="shared" ref="O73" si="22">+E73+H73+K73</f>
        <v>1</v>
      </c>
      <c r="P73" t="str">
        <f t="shared" ref="P73" si="23">IF(O73&lt;&gt;1,"ERR"," ")</f>
        <v xml:space="preserve"> </v>
      </c>
    </row>
    <row r="74" spans="1:16">
      <c r="A74">
        <v>4630</v>
      </c>
      <c r="B74" t="s">
        <v>57</v>
      </c>
      <c r="C74" s="6">
        <f>'Staff Pro Forma'!I73</f>
        <v>563.22</v>
      </c>
      <c r="E74" s="436">
        <f t="shared" si="15"/>
        <v>0.85770036944228945</v>
      </c>
      <c r="F74" s="6">
        <f t="shared" si="6"/>
        <v>483.07400207728631</v>
      </c>
      <c r="H74" s="436">
        <f t="shared" si="16"/>
        <v>9.8581470344398847E-2</v>
      </c>
      <c r="I74" s="6">
        <f t="shared" si="11"/>
        <v>55.523055727372324</v>
      </c>
      <c r="K74" s="436">
        <f t="shared" si="17"/>
        <v>4.3718160213311777E-2</v>
      </c>
      <c r="L74" s="6">
        <f t="shared" si="7"/>
        <v>24.622942195341459</v>
      </c>
      <c r="N74" s="6">
        <f t="shared" si="8"/>
        <v>563.22000000000014</v>
      </c>
      <c r="O74" s="11">
        <f t="shared" si="14"/>
        <v>1.0000000000000002</v>
      </c>
      <c r="P74" t="str">
        <f t="shared" si="10"/>
        <v xml:space="preserve"> </v>
      </c>
    </row>
    <row r="75" spans="1:16">
      <c r="A75">
        <v>4640</v>
      </c>
      <c r="B75" t="s">
        <v>58</v>
      </c>
      <c r="C75" s="6">
        <f>'Staff Pro Forma'!I74</f>
        <v>17256.570000000003</v>
      </c>
      <c r="E75" s="436">
        <f t="shared" si="15"/>
        <v>0.85770036944228945</v>
      </c>
      <c r="F75" s="6">
        <f t="shared" si="6"/>
        <v>14800.966464306732</v>
      </c>
      <c r="H75" s="436">
        <f t="shared" si="16"/>
        <v>9.8581470344398847E-2</v>
      </c>
      <c r="I75" s="6">
        <f t="shared" si="11"/>
        <v>1701.1780437010432</v>
      </c>
      <c r="K75" s="436">
        <f t="shared" si="17"/>
        <v>4.3718160213311777E-2</v>
      </c>
      <c r="L75" s="6">
        <f t="shared" si="7"/>
        <v>754.42549199222981</v>
      </c>
      <c r="N75" s="6">
        <f t="shared" si="8"/>
        <v>17256.570000000007</v>
      </c>
      <c r="O75" s="11">
        <f t="shared" si="14"/>
        <v>1.0000000000000002</v>
      </c>
      <c r="P75" t="str">
        <f t="shared" si="10"/>
        <v xml:space="preserve"> </v>
      </c>
    </row>
    <row r="76" spans="1:16">
      <c r="A76">
        <v>4650</v>
      </c>
      <c r="B76" t="s">
        <v>59</v>
      </c>
      <c r="C76" s="6">
        <f>'Staff Pro Forma'!I75</f>
        <v>82974.240000000005</v>
      </c>
      <c r="E76" s="436">
        <f t="shared" si="15"/>
        <v>0.85770036944228945</v>
      </c>
      <c r="F76" s="6">
        <f t="shared" si="6"/>
        <v>71167.036302193199</v>
      </c>
      <c r="H76" s="436">
        <f t="shared" si="16"/>
        <v>9.8581470344398847E-2</v>
      </c>
      <c r="I76" s="6">
        <f t="shared" si="11"/>
        <v>8179.7225799090329</v>
      </c>
      <c r="K76" s="436">
        <f t="shared" si="17"/>
        <v>4.3718160213311777E-2</v>
      </c>
      <c r="L76" s="6">
        <f t="shared" si="7"/>
        <v>3627.481117897783</v>
      </c>
      <c r="N76" s="6">
        <f t="shared" si="8"/>
        <v>82974.24000000002</v>
      </c>
      <c r="O76" s="11">
        <f t="shared" si="14"/>
        <v>1.0000000000000002</v>
      </c>
      <c r="P76" t="str">
        <f t="shared" si="10"/>
        <v xml:space="preserve"> </v>
      </c>
    </row>
    <row r="77" spans="1:16">
      <c r="A77">
        <v>4652</v>
      </c>
      <c r="B77" t="s">
        <v>60</v>
      </c>
      <c r="C77" s="6">
        <f>'Staff Pro Forma'!I76</f>
        <v>11897.100000000002</v>
      </c>
      <c r="E77" s="436">
        <f t="shared" si="15"/>
        <v>0.85770036944228945</v>
      </c>
      <c r="F77" s="6">
        <f t="shared" si="6"/>
        <v>10204.147065291863</v>
      </c>
      <c r="H77" s="436">
        <f t="shared" si="16"/>
        <v>9.8581470344398847E-2</v>
      </c>
      <c r="I77" s="6">
        <f t="shared" si="11"/>
        <v>1172.8336108343478</v>
      </c>
      <c r="K77" s="436">
        <f t="shared" si="17"/>
        <v>4.3718160213311777E-2</v>
      </c>
      <c r="L77" s="6">
        <f t="shared" si="7"/>
        <v>520.11932387379159</v>
      </c>
      <c r="N77" s="6">
        <f t="shared" si="8"/>
        <v>11897.100000000004</v>
      </c>
      <c r="O77" s="11">
        <f t="shared" si="14"/>
        <v>1.0000000000000002</v>
      </c>
      <c r="P77" t="str">
        <f t="shared" si="10"/>
        <v xml:space="preserve"> </v>
      </c>
    </row>
    <row r="78" spans="1:16">
      <c r="A78">
        <v>4660</v>
      </c>
      <c r="B78" t="s">
        <v>61</v>
      </c>
      <c r="C78" s="6">
        <f>'Staff Pro Forma'!I77</f>
        <v>0</v>
      </c>
      <c r="E78" s="433">
        <v>1</v>
      </c>
      <c r="F78" s="6">
        <f t="shared" si="6"/>
        <v>0</v>
      </c>
      <c r="H78" s="15">
        <v>0</v>
      </c>
      <c r="I78" s="6">
        <f t="shared" si="11"/>
        <v>0</v>
      </c>
      <c r="K78" s="15">
        <v>0</v>
      </c>
      <c r="L78" s="6">
        <f t="shared" si="7"/>
        <v>0</v>
      </c>
      <c r="N78" s="6">
        <f t="shared" si="8"/>
        <v>0</v>
      </c>
      <c r="O78" s="11">
        <f t="shared" si="14"/>
        <v>1</v>
      </c>
      <c r="P78" t="str">
        <f t="shared" si="10"/>
        <v xml:space="preserve"> </v>
      </c>
    </row>
    <row r="79" spans="1:16">
      <c r="A79">
        <v>4670</v>
      </c>
      <c r="B79" t="s">
        <v>62</v>
      </c>
      <c r="C79" s="6">
        <f>'Staff Pro Forma'!I78</f>
        <v>0</v>
      </c>
      <c r="E79" s="433">
        <v>1</v>
      </c>
      <c r="F79" s="6">
        <f t="shared" si="6"/>
        <v>0</v>
      </c>
      <c r="H79" s="15">
        <v>0</v>
      </c>
      <c r="I79" s="6">
        <f t="shared" si="11"/>
        <v>0</v>
      </c>
      <c r="K79" s="15">
        <v>0</v>
      </c>
      <c r="L79" s="6">
        <f t="shared" si="7"/>
        <v>0</v>
      </c>
      <c r="N79" s="6">
        <f t="shared" si="8"/>
        <v>0</v>
      </c>
      <c r="O79" s="11">
        <f t="shared" si="14"/>
        <v>1</v>
      </c>
      <c r="P79" t="str">
        <f t="shared" si="10"/>
        <v xml:space="preserve"> </v>
      </c>
    </row>
    <row r="80" spans="1:16">
      <c r="A80">
        <v>4680</v>
      </c>
      <c r="B80" t="s">
        <v>63</v>
      </c>
      <c r="C80" s="6">
        <f>'Staff Pro Forma'!I79</f>
        <v>11877.03</v>
      </c>
      <c r="E80" s="433">
        <v>1</v>
      </c>
      <c r="F80" s="6">
        <f t="shared" si="6"/>
        <v>11877.03</v>
      </c>
      <c r="H80" s="15">
        <v>0</v>
      </c>
      <c r="I80" s="6">
        <f t="shared" si="11"/>
        <v>0</v>
      </c>
      <c r="K80" s="15">
        <v>0</v>
      </c>
      <c r="L80" s="6">
        <f t="shared" si="7"/>
        <v>0</v>
      </c>
      <c r="N80" s="6">
        <f t="shared" si="8"/>
        <v>11877.03</v>
      </c>
      <c r="O80" s="11">
        <f t="shared" si="14"/>
        <v>1</v>
      </c>
      <c r="P80" t="str">
        <f t="shared" si="10"/>
        <v xml:space="preserve"> </v>
      </c>
    </row>
    <row r="81" spans="1:16">
      <c r="A81">
        <v>4692</v>
      </c>
      <c r="B81" t="s">
        <v>64</v>
      </c>
      <c r="C81" s="6">
        <f>'Staff Pro Forma'!I80</f>
        <v>9969.0300000000007</v>
      </c>
      <c r="E81" s="436">
        <f>+$E$65</f>
        <v>0.85770036944228945</v>
      </c>
      <c r="F81" s="6">
        <f t="shared" si="6"/>
        <v>8550.4407139812665</v>
      </c>
      <c r="H81" s="436">
        <f>+$H$65</f>
        <v>9.8581470344398847E-2</v>
      </c>
      <c r="I81" s="6">
        <f t="shared" si="11"/>
        <v>982.76163530742247</v>
      </c>
      <c r="K81" s="436">
        <f>+$K$65</f>
        <v>4.3718160213311777E-2</v>
      </c>
      <c r="L81" s="6">
        <f t="shared" si="7"/>
        <v>435.82765071131155</v>
      </c>
      <c r="N81" s="6">
        <f t="shared" si="8"/>
        <v>9969.0300000000007</v>
      </c>
      <c r="O81" s="11">
        <f t="shared" si="14"/>
        <v>1.0000000000000002</v>
      </c>
      <c r="P81" t="str">
        <f t="shared" si="10"/>
        <v xml:space="preserve"> </v>
      </c>
    </row>
    <row r="82" spans="1:16">
      <c r="A82">
        <v>4694</v>
      </c>
      <c r="B82" t="s">
        <v>65</v>
      </c>
      <c r="C82" s="6">
        <f>'Staff Pro Forma'!I81</f>
        <v>0</v>
      </c>
      <c r="E82" s="436">
        <f>+$E$65</f>
        <v>0.85770036944228945</v>
      </c>
      <c r="F82" s="6">
        <f t="shared" si="6"/>
        <v>0</v>
      </c>
      <c r="H82" s="436">
        <f>+$H$65</f>
        <v>9.8581470344398847E-2</v>
      </c>
      <c r="I82" s="6">
        <f t="shared" si="11"/>
        <v>0</v>
      </c>
      <c r="K82" s="436">
        <f>+$K$65</f>
        <v>4.3718160213311777E-2</v>
      </c>
      <c r="L82" s="6">
        <f t="shared" si="7"/>
        <v>0</v>
      </c>
      <c r="N82" s="6">
        <f t="shared" si="8"/>
        <v>0</v>
      </c>
      <c r="O82" s="11">
        <f t="shared" si="14"/>
        <v>1.0000000000000002</v>
      </c>
      <c r="P82" t="str">
        <f t="shared" si="10"/>
        <v xml:space="preserve"> </v>
      </c>
    </row>
    <row r="83" spans="1:16">
      <c r="A83">
        <v>4698</v>
      </c>
      <c r="B83" t="s">
        <v>66</v>
      </c>
      <c r="C83" s="6">
        <f>'Staff Pro Forma'!I82</f>
        <v>240.11</v>
      </c>
      <c r="E83" s="436">
        <f>+$E$65</f>
        <v>0.85770036944228945</v>
      </c>
      <c r="F83" s="6">
        <f t="shared" si="6"/>
        <v>205.94243570678813</v>
      </c>
      <c r="H83" s="436">
        <f>+$H$65</f>
        <v>9.8581470344398847E-2</v>
      </c>
      <c r="I83" s="6">
        <f t="shared" si="11"/>
        <v>23.670396844393608</v>
      </c>
      <c r="K83" s="436">
        <f>+$K$65</f>
        <v>4.3718160213311777E-2</v>
      </c>
      <c r="L83" s="6">
        <f t="shared" si="7"/>
        <v>10.497167448818292</v>
      </c>
      <c r="N83" s="6">
        <f t="shared" si="8"/>
        <v>240.11</v>
      </c>
      <c r="O83" s="11">
        <f t="shared" si="14"/>
        <v>1.0000000000000002</v>
      </c>
      <c r="P83" t="str">
        <f t="shared" si="10"/>
        <v xml:space="preserve"> </v>
      </c>
    </row>
    <row r="84" spans="1:16">
      <c r="A84" t="s">
        <v>19</v>
      </c>
      <c r="C84" s="6">
        <f>'Staff Pro Forma'!I83</f>
        <v>0</v>
      </c>
      <c r="E84" s="11"/>
      <c r="F84" s="6"/>
      <c r="H84" s="11"/>
      <c r="I84" s="6"/>
      <c r="K84" s="11"/>
      <c r="L84" s="6"/>
      <c r="N84" s="6"/>
      <c r="O84" s="11"/>
    </row>
    <row r="85" spans="1:16">
      <c r="A85">
        <v>5010</v>
      </c>
      <c r="B85" t="s">
        <v>67</v>
      </c>
      <c r="C85" s="6">
        <f>'Staff Pro Forma'!I84</f>
        <v>262508</v>
      </c>
      <c r="E85" s="432">
        <f>+'Depr Allocation'!N12</f>
        <v>0.87124336357624355</v>
      </c>
      <c r="F85" s="6">
        <f t="shared" si="6"/>
        <v>228708.35288567253</v>
      </c>
      <c r="H85" s="27">
        <f>+'Depr Allocation'!N14</f>
        <v>8.7996214177389412E-2</v>
      </c>
      <c r="I85" s="6">
        <f t="shared" si="11"/>
        <v>23099.71019127814</v>
      </c>
      <c r="K85" s="27">
        <f>+'Depr Allocation'!N16</f>
        <v>4.0760422246366897E-2</v>
      </c>
      <c r="L85" s="6">
        <f t="shared" si="7"/>
        <v>10699.936923049281</v>
      </c>
      <c r="N85" s="6">
        <f t="shared" si="8"/>
        <v>262507.99999999994</v>
      </c>
      <c r="O85" s="11">
        <f>+E85+H85+K85</f>
        <v>0.99999999999999989</v>
      </c>
      <c r="P85" t="str">
        <f t="shared" si="10"/>
        <v xml:space="preserve"> </v>
      </c>
    </row>
    <row r="86" spans="1:16">
      <c r="A86">
        <v>5100</v>
      </c>
      <c r="B86" t="s">
        <v>68</v>
      </c>
      <c r="C86" s="6">
        <f>'Staff Pro Forma'!I85</f>
        <v>-9157</v>
      </c>
      <c r="E86" s="435">
        <f>+E85</f>
        <v>0.87124336357624355</v>
      </c>
      <c r="F86" s="6">
        <f t="shared" si="6"/>
        <v>-7977.9754802676625</v>
      </c>
      <c r="H86" s="11">
        <f>+H85</f>
        <v>8.7996214177389412E-2</v>
      </c>
      <c r="I86" s="6">
        <f t="shared" si="11"/>
        <v>-805.78133322235487</v>
      </c>
      <c r="K86" s="11">
        <f>+K85</f>
        <v>4.0760422246366897E-2</v>
      </c>
      <c r="L86" s="6">
        <f t="shared" si="7"/>
        <v>-373.24318650998168</v>
      </c>
      <c r="N86" s="6">
        <f t="shared" si="8"/>
        <v>-9157</v>
      </c>
      <c r="O86" s="11">
        <f>+E86+H86+K86</f>
        <v>0.99999999999999989</v>
      </c>
      <c r="P86" t="str">
        <f t="shared" si="10"/>
        <v xml:space="preserve"> </v>
      </c>
    </row>
    <row r="87" spans="1:16">
      <c r="A87" t="s">
        <v>20</v>
      </c>
      <c r="C87" s="6">
        <f>'Staff Pro Forma'!I86</f>
        <v>0</v>
      </c>
      <c r="E87" s="11"/>
      <c r="F87" s="6"/>
      <c r="H87" s="11"/>
      <c r="I87" s="6"/>
      <c r="K87" s="11"/>
      <c r="L87" s="6"/>
      <c r="N87" s="6"/>
      <c r="O87" s="11"/>
    </row>
    <row r="88" spans="1:16">
      <c r="A88">
        <v>5151</v>
      </c>
      <c r="B88" t="s">
        <v>69</v>
      </c>
      <c r="C88" s="6">
        <f>'Staff Pro Forma'!I87</f>
        <v>0</v>
      </c>
      <c r="E88" s="433">
        <v>1</v>
      </c>
      <c r="F88" s="6">
        <f t="shared" si="6"/>
        <v>0</v>
      </c>
      <c r="H88" s="15">
        <v>0</v>
      </c>
      <c r="I88" s="6">
        <f t="shared" si="11"/>
        <v>0</v>
      </c>
      <c r="K88" s="15">
        <v>0</v>
      </c>
      <c r="L88" s="6">
        <f t="shared" si="7"/>
        <v>0</v>
      </c>
      <c r="N88" s="6">
        <f t="shared" si="8"/>
        <v>0</v>
      </c>
      <c r="O88" s="11">
        <f>+E88+H88+K88</f>
        <v>1</v>
      </c>
      <c r="P88" t="str">
        <f t="shared" si="10"/>
        <v xml:space="preserve"> </v>
      </c>
    </row>
    <row r="89" spans="1:16">
      <c r="A89" t="s">
        <v>21</v>
      </c>
      <c r="C89" s="6">
        <f>'Staff Pro Forma'!I88</f>
        <v>0</v>
      </c>
      <c r="E89" s="11"/>
      <c r="F89" s="6"/>
      <c r="H89" s="11"/>
      <c r="I89" s="6"/>
      <c r="K89" s="11"/>
      <c r="L89" s="6"/>
      <c r="N89" s="6"/>
      <c r="O89" s="11"/>
    </row>
    <row r="90" spans="1:16">
      <c r="A90">
        <v>5220</v>
      </c>
      <c r="B90" t="s">
        <v>70</v>
      </c>
      <c r="C90" s="6">
        <f>'Staff Pro Forma'!I89</f>
        <v>6540.25</v>
      </c>
      <c r="E90" s="435">
        <f>+E26</f>
        <v>0.86878758697956915</v>
      </c>
      <c r="F90" s="6">
        <f t="shared" si="6"/>
        <v>5682.0880157431275</v>
      </c>
      <c r="H90" s="11">
        <f>+H26</f>
        <v>8.8962217417673212E-2</v>
      </c>
      <c r="I90" s="6">
        <f t="shared" si="11"/>
        <v>581.83514246593722</v>
      </c>
      <c r="K90" s="11">
        <f>+K26</f>
        <v>4.2250195602757411E-2</v>
      </c>
      <c r="L90" s="6">
        <f t="shared" si="7"/>
        <v>276.32684179093417</v>
      </c>
      <c r="N90" s="6">
        <f t="shared" si="8"/>
        <v>6540.2499999999991</v>
      </c>
      <c r="O90" s="11">
        <f t="shared" ref="O90:O97" si="24">+E90+H90+K90</f>
        <v>0.99999999999999978</v>
      </c>
      <c r="P90" t="str">
        <f t="shared" si="10"/>
        <v xml:space="preserve"> </v>
      </c>
    </row>
    <row r="91" spans="1:16">
      <c r="A91">
        <v>5230</v>
      </c>
      <c r="B91" t="s">
        <v>71</v>
      </c>
      <c r="C91" s="6">
        <f>'Staff Pro Forma'!I90</f>
        <v>2427.35</v>
      </c>
      <c r="E91" s="435">
        <f>'Container Count'!K27</f>
        <v>0.91404805914972276</v>
      </c>
      <c r="F91" s="6">
        <f t="shared" si="6"/>
        <v>2218.7145563770796</v>
      </c>
      <c r="H91" s="455">
        <f>'Container Count'!K23</f>
        <v>5.9149722735674676E-2</v>
      </c>
      <c r="I91" s="6">
        <f t="shared" si="11"/>
        <v>143.57707948243993</v>
      </c>
      <c r="K91" s="455">
        <f>'Container Count'!K25</f>
        <v>2.6802218114602587E-2</v>
      </c>
      <c r="L91" s="6">
        <f t="shared" si="7"/>
        <v>65.058364140480592</v>
      </c>
      <c r="N91" s="6">
        <f t="shared" si="8"/>
        <v>2427.35</v>
      </c>
      <c r="O91" s="11">
        <f t="shared" si="24"/>
        <v>1</v>
      </c>
      <c r="P91" t="str">
        <f t="shared" si="10"/>
        <v xml:space="preserve"> </v>
      </c>
    </row>
    <row r="92" spans="1:16">
      <c r="A92">
        <v>5240</v>
      </c>
      <c r="B92" t="s">
        <v>72</v>
      </c>
      <c r="C92" s="6">
        <f>'Staff Pro Forma'!I91</f>
        <v>50664.69</v>
      </c>
      <c r="E92" s="435">
        <f>+E26</f>
        <v>0.86878758697956915</v>
      </c>
      <c r="F92" s="6">
        <f t="shared" si="6"/>
        <v>44016.853770167909</v>
      </c>
      <c r="H92" s="11">
        <f>+H26</f>
        <v>8.8962217417673212E-2</v>
      </c>
      <c r="I92" s="6">
        <f t="shared" si="11"/>
        <v>4507.2431671790137</v>
      </c>
      <c r="K92" s="11">
        <f>+K26</f>
        <v>4.2250195602757411E-2</v>
      </c>
      <c r="L92" s="6">
        <f t="shared" si="7"/>
        <v>2140.5930626530676</v>
      </c>
      <c r="N92" s="6">
        <f t="shared" si="8"/>
        <v>50664.689999999988</v>
      </c>
      <c r="O92" s="11">
        <f t="shared" si="24"/>
        <v>0.99999999999999978</v>
      </c>
      <c r="P92" t="str">
        <f t="shared" si="10"/>
        <v xml:space="preserve"> </v>
      </c>
    </row>
    <row r="93" spans="1:16">
      <c r="A93">
        <v>5241</v>
      </c>
      <c r="B93" t="s">
        <v>73</v>
      </c>
      <c r="C93" s="6">
        <f>'Staff Pro Forma'!I92</f>
        <v>618.75</v>
      </c>
      <c r="E93" s="435">
        <f>+E26</f>
        <v>0.86878758697956915</v>
      </c>
      <c r="F93" s="6">
        <f t="shared" si="6"/>
        <v>537.56231944360843</v>
      </c>
      <c r="H93" s="11">
        <f>+H26</f>
        <v>8.8962217417673212E-2</v>
      </c>
      <c r="I93" s="6">
        <f t="shared" si="11"/>
        <v>55.045372027185302</v>
      </c>
      <c r="K93" s="11">
        <f>+K26</f>
        <v>4.2250195602757411E-2</v>
      </c>
      <c r="L93" s="6">
        <f t="shared" si="7"/>
        <v>26.142308529206147</v>
      </c>
      <c r="N93" s="6">
        <f t="shared" si="8"/>
        <v>618.74999999999989</v>
      </c>
      <c r="O93" s="11">
        <f t="shared" si="24"/>
        <v>0.99999999999999978</v>
      </c>
      <c r="P93" t="str">
        <f t="shared" si="10"/>
        <v xml:space="preserve"> </v>
      </c>
    </row>
    <row r="94" spans="1:16">
      <c r="A94">
        <v>5242</v>
      </c>
      <c r="B94" t="s">
        <v>74</v>
      </c>
      <c r="C94" s="6">
        <f>'Staff Pro Forma'!I93</f>
        <v>4066.4152320000003</v>
      </c>
      <c r="E94" s="435">
        <f>+E26</f>
        <v>0.86878758697956915</v>
      </c>
      <c r="F94" s="6">
        <f t="shared" si="6"/>
        <v>3532.8510770662451</v>
      </c>
      <c r="H94" s="11">
        <f>+H26</f>
        <v>8.8962217417673212E-2</v>
      </c>
      <c r="I94" s="6">
        <f t="shared" si="11"/>
        <v>361.75731597972208</v>
      </c>
      <c r="K94" s="11">
        <f>+K26</f>
        <v>4.2250195602757411E-2</v>
      </c>
      <c r="L94" s="6">
        <f t="shared" si="7"/>
        <v>171.80683895403217</v>
      </c>
      <c r="N94" s="6">
        <f t="shared" si="8"/>
        <v>4066.4152319999994</v>
      </c>
      <c r="O94" s="11">
        <f t="shared" si="24"/>
        <v>0.99999999999999978</v>
      </c>
      <c r="P94" t="str">
        <f t="shared" si="10"/>
        <v xml:space="preserve"> </v>
      </c>
    </row>
    <row r="95" spans="1:16">
      <c r="A95">
        <v>5260</v>
      </c>
      <c r="B95" t="s">
        <v>75</v>
      </c>
      <c r="C95" s="6">
        <f>'Staff Pro Forma'!I94</f>
        <v>50840.360000000008</v>
      </c>
      <c r="E95" s="435">
        <f>+E22</f>
        <v>0.88052240047437935</v>
      </c>
      <c r="F95" s="6">
        <f t="shared" si="6"/>
        <v>44766.075828181623</v>
      </c>
      <c r="H95" s="11">
        <f>+H22</f>
        <v>8.2961201668431808E-2</v>
      </c>
      <c r="I95" s="6">
        <f t="shared" si="11"/>
        <v>4217.7773588556747</v>
      </c>
      <c r="K95" s="11">
        <f>+K22</f>
        <v>3.651639785718902E-2</v>
      </c>
      <c r="L95" s="6">
        <f t="shared" si="7"/>
        <v>1856.5068129627186</v>
      </c>
      <c r="N95" s="6">
        <f t="shared" si="8"/>
        <v>50840.360000000015</v>
      </c>
      <c r="O95" s="11">
        <f t="shared" si="24"/>
        <v>1.0000000000000002</v>
      </c>
      <c r="P95" t="str">
        <f t="shared" si="10"/>
        <v xml:space="preserve"> </v>
      </c>
    </row>
    <row r="96" spans="1:16">
      <c r="A96">
        <v>5270</v>
      </c>
      <c r="B96" t="s">
        <v>76</v>
      </c>
      <c r="C96" s="6">
        <f>'Staff Pro Forma'!I95</f>
        <v>7041.33</v>
      </c>
      <c r="E96" s="433">
        <v>1</v>
      </c>
      <c r="F96" s="6">
        <f t="shared" si="6"/>
        <v>7041.33</v>
      </c>
      <c r="H96" s="15">
        <v>0</v>
      </c>
      <c r="I96" s="6">
        <f t="shared" si="11"/>
        <v>0</v>
      </c>
      <c r="K96" s="15">
        <v>0</v>
      </c>
      <c r="L96" s="6">
        <f t="shared" si="7"/>
        <v>0</v>
      </c>
      <c r="N96" s="6">
        <f t="shared" si="8"/>
        <v>7041.33</v>
      </c>
      <c r="O96" s="11">
        <f t="shared" si="24"/>
        <v>1</v>
      </c>
      <c r="P96" t="str">
        <f t="shared" si="10"/>
        <v xml:space="preserve"> </v>
      </c>
    </row>
    <row r="97" spans="1:16">
      <c r="A97">
        <v>5290</v>
      </c>
      <c r="B97" t="s">
        <v>77</v>
      </c>
      <c r="C97" s="6">
        <f>'Staff Pro Forma'!I96</f>
        <v>-22611.07</v>
      </c>
      <c r="E97" s="435">
        <f>+E26</f>
        <v>0.86878758697956915</v>
      </c>
      <c r="F97" s="6">
        <f t="shared" si="6"/>
        <v>-19644.216944326126</v>
      </c>
      <c r="H97" s="11">
        <f>+H26</f>
        <v>8.8962217417673212E-2</v>
      </c>
      <c r="I97" s="6">
        <f t="shared" si="11"/>
        <v>-2011.5309253862281</v>
      </c>
      <c r="K97" s="11">
        <f>+K26</f>
        <v>4.2250195602757411E-2</v>
      </c>
      <c r="L97" s="6">
        <f t="shared" si="7"/>
        <v>-955.32213028763999</v>
      </c>
      <c r="N97" s="6">
        <f t="shared" si="8"/>
        <v>-22611.069999999996</v>
      </c>
      <c r="O97" s="11">
        <f t="shared" si="24"/>
        <v>0.99999999999999978</v>
      </c>
      <c r="P97" t="str">
        <f t="shared" si="10"/>
        <v xml:space="preserve"> </v>
      </c>
    </row>
    <row r="98" spans="1:16">
      <c r="A98" t="s">
        <v>22</v>
      </c>
      <c r="C98" s="6">
        <f>'Staff Pro Forma'!I97</f>
        <v>0</v>
      </c>
      <c r="E98" s="11"/>
      <c r="F98" s="6"/>
      <c r="H98" s="11"/>
      <c r="I98" s="6"/>
      <c r="K98" s="11"/>
      <c r="L98" s="6"/>
      <c r="N98" s="6"/>
      <c r="O98" s="11"/>
    </row>
    <row r="99" spans="1:16">
      <c r="A99">
        <v>5320</v>
      </c>
      <c r="B99" t="s">
        <v>78</v>
      </c>
      <c r="C99" s="6">
        <f>'Staff Pro Forma'!I98</f>
        <v>85920</v>
      </c>
      <c r="E99" s="436">
        <f>E65</f>
        <v>0.85770036944228945</v>
      </c>
      <c r="F99" s="6">
        <f t="shared" si="6"/>
        <v>73693.615742481503</v>
      </c>
      <c r="H99" s="436">
        <f>H65</f>
        <v>9.8581470344398847E-2</v>
      </c>
      <c r="I99" s="6">
        <f t="shared" si="11"/>
        <v>8470.1199319907482</v>
      </c>
      <c r="K99" s="436">
        <f>K65</f>
        <v>4.3718160213311777E-2</v>
      </c>
      <c r="L99" s="6">
        <f t="shared" si="7"/>
        <v>3756.264325527748</v>
      </c>
      <c r="N99" s="6">
        <f>+F99+I99+L99</f>
        <v>85920</v>
      </c>
      <c r="O99" s="11">
        <f>+E99+H99+K99</f>
        <v>1.0000000000000002</v>
      </c>
    </row>
    <row r="100" spans="1:16" ht="13.5" thickBot="1">
      <c r="A100">
        <v>5322</v>
      </c>
      <c r="B100" s="83" t="s">
        <v>371</v>
      </c>
      <c r="C100" s="7">
        <f>'Staff Pro Forma'!I99</f>
        <v>28800</v>
      </c>
      <c r="D100" s="5"/>
      <c r="E100" s="437">
        <v>1</v>
      </c>
      <c r="F100" s="7">
        <f t="shared" si="6"/>
        <v>28800</v>
      </c>
      <c r="G100" s="5"/>
      <c r="H100" s="104">
        <v>0</v>
      </c>
      <c r="I100" s="7">
        <f t="shared" si="11"/>
        <v>0</v>
      </c>
      <c r="J100" s="5"/>
      <c r="K100" s="104">
        <v>0</v>
      </c>
      <c r="L100" s="7">
        <f t="shared" si="7"/>
        <v>0</v>
      </c>
      <c r="M100" s="5"/>
      <c r="N100" s="7">
        <f t="shared" si="8"/>
        <v>28800</v>
      </c>
      <c r="O100" s="12">
        <f>+E100+H100+K100</f>
        <v>1</v>
      </c>
      <c r="P100" t="str">
        <f t="shared" si="10"/>
        <v xml:space="preserve"> </v>
      </c>
    </row>
    <row r="101" spans="1:16">
      <c r="C101" s="6"/>
      <c r="E101" s="11"/>
      <c r="H101" s="11"/>
      <c r="K101" s="11"/>
      <c r="O101" s="11"/>
    </row>
    <row r="102" spans="1:16" ht="13.5" thickBot="1">
      <c r="B102" t="s">
        <v>23</v>
      </c>
      <c r="C102" s="7">
        <f>SUM(C26:C100)</f>
        <v>2622003.0676925988</v>
      </c>
      <c r="D102" s="5"/>
      <c r="E102" s="12">
        <f>+F102/C102</f>
        <v>0.87897667463892692</v>
      </c>
      <c r="F102" s="7">
        <f>SUM(F26:F100)</f>
        <v>2304679.5373335057</v>
      </c>
      <c r="G102" s="5"/>
      <c r="H102" s="12">
        <f>+I102/C102</f>
        <v>8.4615832818002543E-2</v>
      </c>
      <c r="I102" s="7">
        <f>SUM(I26:I100)</f>
        <v>221862.97322416675</v>
      </c>
      <c r="J102" s="5"/>
      <c r="K102" s="12">
        <f>+L102/C102</f>
        <v>3.6407492543070269E-2</v>
      </c>
      <c r="L102" s="7">
        <f>SUM(L26:L100)</f>
        <v>95460.557134925664</v>
      </c>
      <c r="M102" s="5"/>
      <c r="N102" s="7">
        <f>SUM(N26:N100)</f>
        <v>2622003.0676925983</v>
      </c>
      <c r="O102" s="12">
        <f>+E102+H102+K102</f>
        <v>0.99999999999999978</v>
      </c>
    </row>
    <row r="103" spans="1:16">
      <c r="C103" s="6"/>
      <c r="E103" s="11"/>
      <c r="F103" s="6"/>
      <c r="H103" s="11"/>
      <c r="I103" s="6"/>
      <c r="K103" s="11"/>
      <c r="L103" s="6"/>
      <c r="N103" s="6"/>
      <c r="O103" s="11"/>
    </row>
    <row r="104" spans="1:16" ht="13.5" thickBot="1">
      <c r="B104" t="s">
        <v>24</v>
      </c>
      <c r="C104" s="8">
        <f>+C22-C102</f>
        <v>252423.11230740044</v>
      </c>
      <c r="D104" s="13"/>
      <c r="E104" s="14">
        <f>+F104/C104</f>
        <v>0.89657837033118182</v>
      </c>
      <c r="F104" s="8">
        <f>+F22-F102</f>
        <v>226317.10266649397</v>
      </c>
      <c r="G104" s="13"/>
      <c r="H104" s="14">
        <f>+I104/C104</f>
        <v>6.5773995986604814E-2</v>
      </c>
      <c r="I104" s="8">
        <f>+I22-I102</f>
        <v>16602.876775833254</v>
      </c>
      <c r="J104" s="13"/>
      <c r="K104" s="14">
        <f>+L104/C104</f>
        <v>3.7647633682217754E-2</v>
      </c>
      <c r="L104" s="8">
        <f>+L22-L102</f>
        <v>9503.1328650743235</v>
      </c>
      <c r="M104" s="13"/>
      <c r="N104" s="8">
        <f>+N22-N102</f>
        <v>252423.11230740091</v>
      </c>
      <c r="O104" s="14">
        <f>+E104+H104+K104</f>
        <v>1.0000000000000044</v>
      </c>
    </row>
    <row r="105" spans="1:16" ht="13.5" thickTop="1">
      <c r="C105" s="6"/>
      <c r="E105" s="11"/>
      <c r="F105" s="6"/>
      <c r="H105" s="11"/>
      <c r="I105" s="6"/>
      <c r="K105" s="11"/>
      <c r="L105" s="6"/>
      <c r="N105" s="6"/>
      <c r="O105" s="11"/>
    </row>
    <row r="106" spans="1:16">
      <c r="B106" t="s">
        <v>103</v>
      </c>
      <c r="C106" s="10">
        <f>+C102/C22</f>
        <v>0.91218312925768008</v>
      </c>
      <c r="E106" s="11"/>
      <c r="F106" s="10">
        <f>+F102/F22</f>
        <v>0.91058182413608657</v>
      </c>
      <c r="H106" s="11"/>
      <c r="I106" s="10">
        <f>+I102/I22</f>
        <v>0.93037629171710223</v>
      </c>
      <c r="K106" s="11"/>
      <c r="L106" s="10">
        <f>+L102/L22</f>
        <v>0.90946266404054277</v>
      </c>
      <c r="N106" s="10">
        <f>+N102/N22</f>
        <v>0.91218312925767986</v>
      </c>
      <c r="O106" s="11"/>
    </row>
  </sheetData>
  <mergeCells count="6">
    <mergeCell ref="K7:L7"/>
    <mergeCell ref="K8:L8"/>
    <mergeCell ref="E7:F7"/>
    <mergeCell ref="E8:F8"/>
    <mergeCell ref="H7:I7"/>
    <mergeCell ref="H8:I8"/>
  </mergeCells>
  <phoneticPr fontId="0" type="noConversion"/>
  <pageMargins left="0.25" right="0.25" top="0.28000000000000003" bottom="0.5" header="0.3" footer="0.5"/>
  <pageSetup scale="10" fitToHeight="2" orientation="landscape"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6"/>
  <sheetViews>
    <sheetView topLeftCell="A64" workbookViewId="0">
      <selection activeCell="G68" sqref="G68"/>
    </sheetView>
  </sheetViews>
  <sheetFormatPr defaultRowHeight="12.75"/>
  <cols>
    <col min="1" max="1" width="6.28515625" customWidth="1"/>
    <col min="2" max="2" width="30.5703125" customWidth="1"/>
    <col min="3" max="3" width="9.140625" customWidth="1"/>
    <col min="4" max="4" width="15.28515625" customWidth="1"/>
    <col min="7" max="7" width="13" customWidth="1"/>
    <col min="10" max="10" width="11.85546875" customWidth="1"/>
    <col min="13" max="13" width="11.28515625" customWidth="1"/>
    <col min="15" max="15" width="13.42578125" customWidth="1"/>
    <col min="18" max="18" width="11.28515625" bestFit="1" customWidth="1"/>
  </cols>
  <sheetData>
    <row r="1" spans="1:17">
      <c r="A1" t="s">
        <v>0</v>
      </c>
    </row>
    <row r="3" spans="1:17">
      <c r="A3" s="83" t="s">
        <v>367</v>
      </c>
      <c r="D3" s="693" t="s">
        <v>1414</v>
      </c>
      <c r="E3" s="693" t="s">
        <v>702</v>
      </c>
    </row>
    <row r="5" spans="1:17">
      <c r="A5" s="693" t="s">
        <v>1417</v>
      </c>
    </row>
    <row r="6" spans="1:17">
      <c r="A6" s="83"/>
      <c r="I6" s="745" t="s">
        <v>338</v>
      </c>
      <c r="J6" s="744"/>
      <c r="L6" s="745" t="s">
        <v>348</v>
      </c>
      <c r="M6" s="744"/>
    </row>
    <row r="7" spans="1:17">
      <c r="A7" s="1"/>
      <c r="C7" s="745" t="s">
        <v>346</v>
      </c>
      <c r="D7" s="744"/>
      <c r="F7" s="744" t="s">
        <v>105</v>
      </c>
      <c r="G7" s="744"/>
      <c r="I7" s="745" t="s">
        <v>339</v>
      </c>
      <c r="J7" s="744"/>
      <c r="L7" s="745" t="s">
        <v>339</v>
      </c>
      <c r="M7" s="744"/>
    </row>
    <row r="8" spans="1:17">
      <c r="C8" s="745" t="s">
        <v>347</v>
      </c>
      <c r="D8" s="744"/>
      <c r="F8" s="744" t="s">
        <v>106</v>
      </c>
      <c r="G8" s="744"/>
      <c r="I8" s="744" t="s">
        <v>106</v>
      </c>
      <c r="J8" s="744"/>
      <c r="L8" s="744" t="s">
        <v>106</v>
      </c>
      <c r="M8" s="744"/>
      <c r="O8" s="2" t="s">
        <v>2</v>
      </c>
      <c r="P8" s="2" t="s">
        <v>2</v>
      </c>
    </row>
    <row r="9" spans="1:17" ht="13.5" thickBot="1">
      <c r="C9" s="3"/>
      <c r="D9" s="3" t="s">
        <v>108</v>
      </c>
      <c r="E9" s="3"/>
      <c r="F9" s="3" t="s">
        <v>107</v>
      </c>
      <c r="G9" s="3" t="s">
        <v>108</v>
      </c>
      <c r="H9" s="3"/>
      <c r="I9" s="3" t="s">
        <v>107</v>
      </c>
      <c r="J9" s="3" t="s">
        <v>108</v>
      </c>
      <c r="K9" s="3"/>
      <c r="L9" s="3" t="s">
        <v>107</v>
      </c>
      <c r="M9" s="3" t="s">
        <v>108</v>
      </c>
      <c r="N9" s="3"/>
      <c r="O9" s="3" t="s">
        <v>108</v>
      </c>
      <c r="P9" s="3" t="s">
        <v>107</v>
      </c>
    </row>
    <row r="10" spans="1:17" ht="13.5" thickTop="1"/>
    <row r="11" spans="1:17">
      <c r="A11" t="s">
        <v>3</v>
      </c>
    </row>
    <row r="12" spans="1:17">
      <c r="A12">
        <v>3100</v>
      </c>
      <c r="B12" t="s">
        <v>5</v>
      </c>
      <c r="C12" s="15"/>
      <c r="D12" s="6">
        <f>'Cost Allocations-Contracts'!F12</f>
        <v>1870785.01</v>
      </c>
      <c r="F12" s="15">
        <v>1</v>
      </c>
      <c r="G12" s="6">
        <f t="shared" ref="G12:G20" si="0">+D12*F12</f>
        <v>1870785.01</v>
      </c>
      <c r="I12" s="11"/>
      <c r="J12" s="6">
        <f t="shared" ref="J12:J20" si="1">+D12*I12</f>
        <v>0</v>
      </c>
      <c r="L12" s="11"/>
      <c r="M12" s="6">
        <f t="shared" ref="M12:M20" si="2">+D12*L12</f>
        <v>0</v>
      </c>
      <c r="N12" s="6"/>
      <c r="O12" s="6">
        <f>+G12+J12+M12</f>
        <v>1870785.01</v>
      </c>
      <c r="P12" s="11">
        <f>+F12+I12+L12</f>
        <v>1</v>
      </c>
      <c r="Q12" t="str">
        <f t="shared" ref="Q12:Q20" si="3">IF(P12&lt;&gt;1,"ERR"," ")</f>
        <v xml:space="preserve"> </v>
      </c>
    </row>
    <row r="13" spans="1:17">
      <c r="A13">
        <v>3112</v>
      </c>
      <c r="B13" t="s">
        <v>6</v>
      </c>
      <c r="C13" s="15"/>
      <c r="D13" s="6">
        <f>'Cost Allocations-Contracts'!F13</f>
        <v>0</v>
      </c>
      <c r="F13" s="15"/>
      <c r="G13" s="6">
        <f t="shared" si="0"/>
        <v>0</v>
      </c>
      <c r="I13" s="15"/>
      <c r="J13" s="6">
        <f t="shared" si="1"/>
        <v>0</v>
      </c>
      <c r="L13" s="11"/>
      <c r="M13" s="6">
        <f t="shared" si="2"/>
        <v>0</v>
      </c>
      <c r="N13" s="6"/>
      <c r="O13" s="6">
        <f t="shared" ref="O13:O20" si="4">+G13+J13+M13</f>
        <v>0</v>
      </c>
      <c r="P13" s="11">
        <f t="shared" ref="P13:P20" si="5">+F13+I13+L13</f>
        <v>0</v>
      </c>
      <c r="Q13" t="str">
        <f t="shared" si="3"/>
        <v>ERR</v>
      </c>
    </row>
    <row r="14" spans="1:17">
      <c r="A14">
        <v>3114</v>
      </c>
      <c r="B14" t="s">
        <v>7</v>
      </c>
      <c r="C14" s="15"/>
      <c r="D14" s="6">
        <f>'Cost Allocations-Contracts'!F14</f>
        <v>0</v>
      </c>
      <c r="F14" s="15"/>
      <c r="G14" s="6">
        <f t="shared" si="0"/>
        <v>0</v>
      </c>
      <c r="I14" s="11"/>
      <c r="J14" s="6">
        <f t="shared" si="1"/>
        <v>0</v>
      </c>
      <c r="L14" s="15"/>
      <c r="M14" s="6">
        <f t="shared" si="2"/>
        <v>0</v>
      </c>
      <c r="N14" s="6"/>
      <c r="O14" s="6">
        <f t="shared" si="4"/>
        <v>0</v>
      </c>
      <c r="P14" s="11">
        <f t="shared" si="5"/>
        <v>0</v>
      </c>
      <c r="Q14" t="str">
        <f t="shared" si="3"/>
        <v>ERR</v>
      </c>
    </row>
    <row r="15" spans="1:17">
      <c r="A15">
        <v>3300</v>
      </c>
      <c r="B15" t="s">
        <v>8</v>
      </c>
      <c r="C15" s="15"/>
      <c r="D15" s="6">
        <f>'Cost Allocations-Contracts'!F15</f>
        <v>242661.77999999997</v>
      </c>
      <c r="F15" s="15">
        <v>1</v>
      </c>
      <c r="G15" s="6">
        <f t="shared" si="0"/>
        <v>242661.77999999997</v>
      </c>
      <c r="I15" s="11"/>
      <c r="J15" s="6">
        <f t="shared" si="1"/>
        <v>0</v>
      </c>
      <c r="L15" s="11"/>
      <c r="M15" s="6">
        <f t="shared" si="2"/>
        <v>0</v>
      </c>
      <c r="N15" s="6"/>
      <c r="O15" s="6">
        <f t="shared" si="4"/>
        <v>242661.77999999997</v>
      </c>
      <c r="P15" s="11">
        <f t="shared" si="5"/>
        <v>1</v>
      </c>
      <c r="Q15" t="str">
        <f t="shared" si="3"/>
        <v xml:space="preserve"> </v>
      </c>
    </row>
    <row r="16" spans="1:17">
      <c r="A16">
        <v>3310</v>
      </c>
      <c r="B16" t="s">
        <v>9</v>
      </c>
      <c r="C16" s="15"/>
      <c r="D16" s="6">
        <f>'Cost Allocations-Contracts'!F16</f>
        <v>324314.84000000003</v>
      </c>
      <c r="F16" s="15">
        <v>1</v>
      </c>
      <c r="G16" s="6">
        <f t="shared" si="0"/>
        <v>324314.84000000003</v>
      </c>
      <c r="I16" s="11"/>
      <c r="J16" s="6">
        <f t="shared" si="1"/>
        <v>0</v>
      </c>
      <c r="L16" s="11"/>
      <c r="M16" s="6">
        <f t="shared" si="2"/>
        <v>0</v>
      </c>
      <c r="N16" s="6"/>
      <c r="O16" s="6">
        <f t="shared" si="4"/>
        <v>324314.84000000003</v>
      </c>
      <c r="P16" s="11">
        <f t="shared" si="5"/>
        <v>1</v>
      </c>
      <c r="Q16" t="str">
        <f t="shared" si="3"/>
        <v xml:space="preserve"> </v>
      </c>
    </row>
    <row r="17" spans="1:17">
      <c r="A17">
        <v>3510</v>
      </c>
      <c r="B17" t="s">
        <v>328</v>
      </c>
      <c r="C17" s="15"/>
      <c r="D17" s="6">
        <f>'Cost Allocations-Contracts'!F17</f>
        <v>60443.009999999995</v>
      </c>
      <c r="F17" s="15"/>
      <c r="G17" s="6">
        <f t="shared" si="0"/>
        <v>0</v>
      </c>
      <c r="I17" s="11"/>
      <c r="J17" s="6">
        <f t="shared" si="1"/>
        <v>0</v>
      </c>
      <c r="L17" s="88">
        <v>1</v>
      </c>
      <c r="M17" s="6">
        <f t="shared" si="2"/>
        <v>60443.009999999995</v>
      </c>
      <c r="N17" s="6"/>
      <c r="O17" s="6">
        <f>+G17+J17+M17</f>
        <v>60443.009999999995</v>
      </c>
      <c r="P17" s="11">
        <f>+F17+I17+L17</f>
        <v>1</v>
      </c>
    </row>
    <row r="18" spans="1:17">
      <c r="A18">
        <v>3550</v>
      </c>
      <c r="B18" t="s">
        <v>329</v>
      </c>
      <c r="C18" s="15"/>
      <c r="D18" s="6">
        <f>'Cost Allocations-Contracts'!F18</f>
        <v>32792</v>
      </c>
      <c r="F18" s="15"/>
      <c r="G18" s="6">
        <f t="shared" si="0"/>
        <v>0</v>
      </c>
      <c r="I18" s="88">
        <v>1</v>
      </c>
      <c r="J18" s="6">
        <f t="shared" si="1"/>
        <v>32792</v>
      </c>
      <c r="L18" s="88"/>
      <c r="M18" s="6">
        <f t="shared" si="2"/>
        <v>0</v>
      </c>
      <c r="N18" s="6"/>
      <c r="O18" s="6">
        <f>+G18+J18+M18</f>
        <v>32792</v>
      </c>
      <c r="P18" s="11">
        <f>+F18+I18+L18</f>
        <v>1</v>
      </c>
    </row>
    <row r="19" spans="1:17">
      <c r="A19">
        <v>3400</v>
      </c>
      <c r="B19" t="s">
        <v>10</v>
      </c>
      <c r="C19" s="15"/>
      <c r="D19" s="6">
        <f>'Cost Allocations-Contracts'!F19</f>
        <v>0</v>
      </c>
      <c r="F19" s="15"/>
      <c r="G19" s="6">
        <f t="shared" si="0"/>
        <v>0</v>
      </c>
      <c r="I19" s="11"/>
      <c r="J19" s="6">
        <f t="shared" si="1"/>
        <v>0</v>
      </c>
      <c r="L19" s="11"/>
      <c r="M19" s="6">
        <f t="shared" si="2"/>
        <v>0</v>
      </c>
      <c r="N19" s="6"/>
      <c r="O19" s="6">
        <f t="shared" si="4"/>
        <v>0</v>
      </c>
      <c r="P19" s="11">
        <f t="shared" si="5"/>
        <v>0</v>
      </c>
      <c r="Q19" t="str">
        <f t="shared" si="3"/>
        <v>ERR</v>
      </c>
    </row>
    <row r="20" spans="1:17" ht="13.5" thickBot="1">
      <c r="A20">
        <v>3500</v>
      </c>
      <c r="B20" t="s">
        <v>11</v>
      </c>
      <c r="C20" s="25"/>
      <c r="D20" s="7">
        <f>'Cost Allocations-Contracts'!F20</f>
        <v>0</v>
      </c>
      <c r="E20" s="5"/>
      <c r="F20" s="25">
        <v>1</v>
      </c>
      <c r="G20" s="7">
        <f t="shared" si="0"/>
        <v>0</v>
      </c>
      <c r="H20" s="5"/>
      <c r="I20" s="12"/>
      <c r="J20" s="7">
        <f t="shared" si="1"/>
        <v>0</v>
      </c>
      <c r="K20" s="5"/>
      <c r="L20" s="12"/>
      <c r="M20" s="7">
        <f t="shared" si="2"/>
        <v>0</v>
      </c>
      <c r="N20" s="7"/>
      <c r="O20" s="7">
        <f t="shared" si="4"/>
        <v>0</v>
      </c>
      <c r="P20" s="12">
        <f t="shared" si="5"/>
        <v>1</v>
      </c>
      <c r="Q20" t="str">
        <f t="shared" si="3"/>
        <v xml:space="preserve"> </v>
      </c>
    </row>
    <row r="21" spans="1:17">
      <c r="C21" s="11"/>
      <c r="D21" s="6"/>
      <c r="F21" s="11"/>
      <c r="I21" s="11"/>
      <c r="L21" s="11"/>
      <c r="P21" s="11"/>
    </row>
    <row r="22" spans="1:17" ht="13.5" thickBot="1">
      <c r="B22" t="s">
        <v>4</v>
      </c>
      <c r="C22" s="12"/>
      <c r="D22" s="7">
        <f>SUM(D12:D20)</f>
        <v>2530996.6399999997</v>
      </c>
      <c r="E22" s="5"/>
      <c r="F22" s="12">
        <f>+G22/D22</f>
        <v>0.96316272865538066</v>
      </c>
      <c r="G22" s="7">
        <f>SUM(G12:G20)</f>
        <v>2437761.63</v>
      </c>
      <c r="H22" s="5"/>
      <c r="I22" s="12">
        <f>+J22/D22</f>
        <v>1.2956161016476104E-2</v>
      </c>
      <c r="J22" s="7">
        <f>SUM(J12:J20)</f>
        <v>32792</v>
      </c>
      <c r="K22" s="5"/>
      <c r="L22" s="12">
        <f>+M22/D22</f>
        <v>2.3881110328143305E-2</v>
      </c>
      <c r="M22" s="7">
        <f>SUM(M12:M20)</f>
        <v>60443.009999999995</v>
      </c>
      <c r="N22" s="5"/>
      <c r="O22" s="7">
        <f>SUM(O12:O20)</f>
        <v>2530996.6399999997</v>
      </c>
      <c r="P22" s="12">
        <f>+F22+I22+L22</f>
        <v>1</v>
      </c>
    </row>
    <row r="23" spans="1:17">
      <c r="C23" s="11"/>
      <c r="D23" s="6"/>
      <c r="F23" s="11"/>
      <c r="I23" s="11"/>
      <c r="L23" s="11"/>
      <c r="P23" s="11"/>
    </row>
    <row r="24" spans="1:17">
      <c r="A24" t="s">
        <v>12</v>
      </c>
      <c r="C24" s="11"/>
      <c r="D24" s="6"/>
      <c r="F24" s="11"/>
      <c r="I24" s="11"/>
      <c r="L24" s="11"/>
      <c r="P24" s="11"/>
    </row>
    <row r="25" spans="1:17">
      <c r="A25" t="s">
        <v>13</v>
      </c>
      <c r="C25" s="11"/>
      <c r="D25" s="6"/>
      <c r="F25" s="11"/>
      <c r="I25" s="11"/>
      <c r="L25" s="11"/>
      <c r="P25" s="11"/>
    </row>
    <row r="26" spans="1:17">
      <c r="A26">
        <v>4116</v>
      </c>
      <c r="B26" t="s">
        <v>29</v>
      </c>
      <c r="C26" s="26"/>
      <c r="D26" s="6">
        <f>'Cost Allocations-Contracts'!F26</f>
        <v>72277.853696047183</v>
      </c>
      <c r="F26" s="432">
        <f>1-I26</f>
        <v>0.96679717943218291</v>
      </c>
      <c r="G26" s="6">
        <f t="shared" ref="G26:G39" si="6">+D26*F26</f>
        <v>69878.025088750393</v>
      </c>
      <c r="I26" s="26">
        <f>+'Hours &amp; Miles'!J25</f>
        <v>3.3202820567817128E-2</v>
      </c>
      <c r="J26" s="6">
        <f>+D26*I26</f>
        <v>2399.8286072967926</v>
      </c>
      <c r="L26" s="11">
        <v>0</v>
      </c>
      <c r="M26" s="6">
        <f t="shared" ref="M26:M39" si="7">+D26*L26</f>
        <v>0</v>
      </c>
      <c r="O26" s="6">
        <f t="shared" ref="O26:O99" si="8">+G26+J26+M26</f>
        <v>72277.853696047183</v>
      </c>
      <c r="P26" s="11">
        <f t="shared" ref="P26:P39" si="9">+F26+I26+L26</f>
        <v>1</v>
      </c>
      <c r="Q26" t="str">
        <f t="shared" ref="Q26:Q96" si="10">IF(P26&lt;&gt;1,"ERR"," ")</f>
        <v xml:space="preserve"> </v>
      </c>
    </row>
    <row r="27" spans="1:17">
      <c r="A27">
        <v>4117</v>
      </c>
      <c r="B27" t="s">
        <v>286</v>
      </c>
      <c r="C27" s="15"/>
      <c r="D27" s="6">
        <f>'Cost Allocations-Contracts'!F27</f>
        <v>2615</v>
      </c>
      <c r="F27" s="433">
        <v>1</v>
      </c>
      <c r="G27" s="6">
        <f t="shared" si="6"/>
        <v>2615</v>
      </c>
      <c r="I27" s="15">
        <f>+'Hours &amp; Miles'!E26</f>
        <v>0</v>
      </c>
      <c r="J27" s="6">
        <f t="shared" ref="J27:J39" si="11">+D27*I27</f>
        <v>0</v>
      </c>
      <c r="L27" s="15">
        <f>+'Hours &amp; Miles'!F26</f>
        <v>0</v>
      </c>
      <c r="M27" s="6">
        <f t="shared" si="7"/>
        <v>0</v>
      </c>
      <c r="O27" s="6">
        <f>+G27+J27+M27</f>
        <v>2615</v>
      </c>
      <c r="P27" s="11">
        <f>+F27+I27+L27</f>
        <v>1</v>
      </c>
      <c r="Q27" t="str">
        <f t="shared" si="10"/>
        <v xml:space="preserve"> </v>
      </c>
    </row>
    <row r="28" spans="1:17">
      <c r="A28">
        <v>4118</v>
      </c>
      <c r="B28" t="s">
        <v>30</v>
      </c>
      <c r="C28" s="26"/>
      <c r="D28" s="6">
        <f>'Cost Allocations-Contracts'!F28</f>
        <v>13733.572088724584</v>
      </c>
      <c r="F28" s="433">
        <v>1</v>
      </c>
      <c r="G28" s="6">
        <f t="shared" si="6"/>
        <v>13733.572088724584</v>
      </c>
      <c r="I28" s="15">
        <f>+'Hours &amp; Miles'!E28</f>
        <v>0</v>
      </c>
      <c r="J28" s="6">
        <f t="shared" si="11"/>
        <v>0</v>
      </c>
      <c r="L28" s="15">
        <f>+'Hours &amp; Miles'!F28</f>
        <v>0</v>
      </c>
      <c r="M28" s="6">
        <f t="shared" si="7"/>
        <v>0</v>
      </c>
      <c r="O28" s="6">
        <f t="shared" si="8"/>
        <v>13733.572088724584</v>
      </c>
      <c r="P28" s="11">
        <f t="shared" si="9"/>
        <v>1</v>
      </c>
      <c r="Q28" s="83"/>
    </row>
    <row r="29" spans="1:17">
      <c r="A29">
        <v>4120</v>
      </c>
      <c r="B29" t="s">
        <v>279</v>
      </c>
      <c r="C29" s="26"/>
      <c r="D29" s="6">
        <f>'Cost Allocations-Contracts'!F29</f>
        <v>338</v>
      </c>
      <c r="F29" s="432">
        <f>+F27</f>
        <v>1</v>
      </c>
      <c r="G29" s="6">
        <f t="shared" si="6"/>
        <v>338</v>
      </c>
      <c r="I29" s="26">
        <f>+'Container Count'!K24</f>
        <v>0</v>
      </c>
      <c r="J29" s="6">
        <f t="shared" si="11"/>
        <v>0</v>
      </c>
      <c r="L29" s="27">
        <f>+'Container Count'!K26</f>
        <v>0</v>
      </c>
      <c r="M29" s="6">
        <f t="shared" si="7"/>
        <v>0</v>
      </c>
      <c r="O29" s="6">
        <f>+G29+J29+M29</f>
        <v>338</v>
      </c>
      <c r="P29" s="11">
        <f>+F29+I29+L29</f>
        <v>1</v>
      </c>
      <c r="Q29" t="str">
        <f t="shared" si="10"/>
        <v xml:space="preserve"> </v>
      </c>
    </row>
    <row r="30" spans="1:17">
      <c r="A30">
        <v>4122</v>
      </c>
      <c r="B30" t="s">
        <v>330</v>
      </c>
      <c r="C30" s="88"/>
      <c r="D30" s="6">
        <f>'Cost Allocations-Contracts'!F30</f>
        <v>7783.5</v>
      </c>
      <c r="F30" s="434">
        <v>0</v>
      </c>
      <c r="G30" s="6">
        <f t="shared" si="6"/>
        <v>0</v>
      </c>
      <c r="I30" s="88">
        <v>0</v>
      </c>
      <c r="J30" s="6">
        <f t="shared" si="11"/>
        <v>0</v>
      </c>
      <c r="L30" s="88">
        <v>1</v>
      </c>
      <c r="M30" s="6">
        <f t="shared" si="7"/>
        <v>7783.5</v>
      </c>
      <c r="O30" s="6">
        <f>+G30+J30+M30</f>
        <v>7783.5</v>
      </c>
      <c r="P30" s="11">
        <f>+F30+I30+L30</f>
        <v>1</v>
      </c>
      <c r="Q30" s="83"/>
    </row>
    <row r="31" spans="1:17">
      <c r="A31">
        <v>4132</v>
      </c>
      <c r="B31" t="s">
        <v>31</v>
      </c>
      <c r="C31" s="11"/>
      <c r="D31" s="6">
        <f>'Cost Allocations-Contracts'!F31</f>
        <v>35189.937134952008</v>
      </c>
      <c r="F31" s="435">
        <f>1-I31</f>
        <v>0.96679717943218291</v>
      </c>
      <c r="G31" s="6">
        <f t="shared" si="6"/>
        <v>34021.531966467432</v>
      </c>
      <c r="I31" s="11">
        <f>+I26</f>
        <v>3.3202820567817128E-2</v>
      </c>
      <c r="J31" s="6">
        <f t="shared" si="11"/>
        <v>1168.4051684845763</v>
      </c>
      <c r="L31" s="11">
        <v>0</v>
      </c>
      <c r="M31" s="6">
        <f t="shared" si="7"/>
        <v>0</v>
      </c>
      <c r="O31" s="6">
        <f t="shared" si="8"/>
        <v>35189.937134952008</v>
      </c>
      <c r="P31" s="11">
        <f t="shared" si="9"/>
        <v>1</v>
      </c>
      <c r="Q31" t="str">
        <f t="shared" si="10"/>
        <v xml:space="preserve"> </v>
      </c>
    </row>
    <row r="32" spans="1:17">
      <c r="A32">
        <v>4133</v>
      </c>
      <c r="B32" t="s">
        <v>280</v>
      </c>
      <c r="C32" s="11"/>
      <c r="D32" s="6">
        <f>'Cost Allocations-Contracts'!F32</f>
        <v>4755.2</v>
      </c>
      <c r="F32" s="435">
        <f>+F27</f>
        <v>1</v>
      </c>
      <c r="G32" s="6">
        <f t="shared" si="6"/>
        <v>4755.2</v>
      </c>
      <c r="I32" s="11">
        <f>+I27</f>
        <v>0</v>
      </c>
      <c r="J32" s="6">
        <f t="shared" si="11"/>
        <v>0</v>
      </c>
      <c r="L32" s="11">
        <f>+L27</f>
        <v>0</v>
      </c>
      <c r="M32" s="6">
        <f t="shared" si="7"/>
        <v>0</v>
      </c>
      <c r="O32" s="6">
        <f>+G32+J32+M32</f>
        <v>4755.2</v>
      </c>
      <c r="P32" s="11">
        <f>+F32+I32+L32</f>
        <v>1</v>
      </c>
      <c r="Q32" t="str">
        <f t="shared" si="10"/>
        <v xml:space="preserve"> </v>
      </c>
    </row>
    <row r="33" spans="1:17">
      <c r="A33">
        <v>4134</v>
      </c>
      <c r="B33" t="s">
        <v>32</v>
      </c>
      <c r="C33" s="11"/>
      <c r="D33" s="6">
        <f>'Cost Allocations-Contracts'!F33</f>
        <v>9385.61</v>
      </c>
      <c r="F33" s="435">
        <f>+F28</f>
        <v>1</v>
      </c>
      <c r="G33" s="6">
        <f t="shared" si="6"/>
        <v>9385.61</v>
      </c>
      <c r="I33" s="11">
        <f>+I28</f>
        <v>0</v>
      </c>
      <c r="J33" s="6">
        <f t="shared" si="11"/>
        <v>0</v>
      </c>
      <c r="L33" s="11">
        <f>+L28</f>
        <v>0</v>
      </c>
      <c r="M33" s="6">
        <f t="shared" si="7"/>
        <v>0</v>
      </c>
      <c r="O33" s="6">
        <f t="shared" si="8"/>
        <v>9385.61</v>
      </c>
      <c r="P33" s="11">
        <f t="shared" si="9"/>
        <v>1</v>
      </c>
      <c r="Q33" t="str">
        <f t="shared" si="10"/>
        <v xml:space="preserve"> </v>
      </c>
    </row>
    <row r="34" spans="1:17">
      <c r="A34">
        <v>4136</v>
      </c>
      <c r="B34" t="s">
        <v>281</v>
      </c>
      <c r="C34" s="11"/>
      <c r="D34" s="6">
        <f>'Cost Allocations-Contracts'!F34</f>
        <v>0</v>
      </c>
      <c r="F34" s="435">
        <f>+F27</f>
        <v>1</v>
      </c>
      <c r="G34" s="6">
        <f t="shared" si="6"/>
        <v>0</v>
      </c>
      <c r="I34" s="11">
        <f>+I29</f>
        <v>0</v>
      </c>
      <c r="J34" s="6">
        <f t="shared" si="11"/>
        <v>0</v>
      </c>
      <c r="L34" s="11">
        <f>+L29</f>
        <v>0</v>
      </c>
      <c r="M34" s="6">
        <f t="shared" si="7"/>
        <v>0</v>
      </c>
      <c r="O34" s="6">
        <f>+G34+J34+M34</f>
        <v>0</v>
      </c>
      <c r="P34" s="11">
        <f>+F34+I34+L34</f>
        <v>1</v>
      </c>
      <c r="Q34" t="str">
        <f t="shared" si="10"/>
        <v xml:space="preserve"> </v>
      </c>
    </row>
    <row r="35" spans="1:17">
      <c r="A35">
        <v>4138</v>
      </c>
      <c r="B35" t="s">
        <v>331</v>
      </c>
      <c r="C35" s="11"/>
      <c r="D35" s="6">
        <f>'Cost Allocations-Contracts'!F35</f>
        <v>588.45000000000005</v>
      </c>
      <c r="F35" s="435">
        <f>+F30</f>
        <v>0</v>
      </c>
      <c r="G35" s="6">
        <f t="shared" si="6"/>
        <v>0</v>
      </c>
      <c r="I35" s="11">
        <f>+I30</f>
        <v>0</v>
      </c>
      <c r="J35" s="6">
        <f t="shared" si="11"/>
        <v>0</v>
      </c>
      <c r="L35" s="11">
        <f>+L30</f>
        <v>1</v>
      </c>
      <c r="M35" s="6">
        <f t="shared" si="7"/>
        <v>588.45000000000005</v>
      </c>
      <c r="O35" s="6">
        <f>+G35+J35+M35</f>
        <v>588.45000000000005</v>
      </c>
      <c r="P35" s="11">
        <f>+F35+I35+L35</f>
        <v>1</v>
      </c>
      <c r="Q35" t="str">
        <f>IF(P35&lt;&gt;1,"ERR"," ")</f>
        <v xml:space="preserve"> </v>
      </c>
    </row>
    <row r="36" spans="1:17">
      <c r="A36">
        <v>4160</v>
      </c>
      <c r="B36" t="s">
        <v>33</v>
      </c>
      <c r="C36" s="26"/>
      <c r="D36" s="6">
        <f>'Cost Allocations-Contracts'!F36</f>
        <v>18408.259107259142</v>
      </c>
      <c r="F36" s="432">
        <f>+'Hours &amp; Miles'!I71</f>
        <v>0.88609232261715487</v>
      </c>
      <c r="G36" s="6">
        <f t="shared" si="6"/>
        <v>16311.417067689647</v>
      </c>
      <c r="I36" s="26">
        <f>+'Hours &amp; Miles'!J71</f>
        <v>3.3051281360316903E-2</v>
      </c>
      <c r="J36" s="6">
        <f t="shared" si="11"/>
        <v>608.41655110763793</v>
      </c>
      <c r="L36" s="26">
        <f>+'Hours &amp; Miles'!K71</f>
        <v>8.0856396022528226E-2</v>
      </c>
      <c r="M36" s="6">
        <f t="shared" si="7"/>
        <v>1488.4254884618572</v>
      </c>
      <c r="O36" s="6">
        <f t="shared" si="8"/>
        <v>18408.259107259142</v>
      </c>
      <c r="P36" s="11">
        <f t="shared" si="9"/>
        <v>1</v>
      </c>
      <c r="Q36" t="str">
        <f t="shared" si="10"/>
        <v xml:space="preserve"> </v>
      </c>
    </row>
    <row r="37" spans="1:17">
      <c r="A37">
        <v>4161</v>
      </c>
      <c r="B37" t="s">
        <v>282</v>
      </c>
      <c r="C37" s="26"/>
      <c r="D37" s="6">
        <f>'Cost Allocations-Contracts'!F37</f>
        <v>3649.63</v>
      </c>
      <c r="F37" s="432">
        <f>+F27</f>
        <v>1</v>
      </c>
      <c r="G37" s="6">
        <f t="shared" si="6"/>
        <v>3649.63</v>
      </c>
      <c r="I37" s="26">
        <f>+'Hours &amp; Miles'!E72</f>
        <v>0</v>
      </c>
      <c r="J37" s="6">
        <f t="shared" si="11"/>
        <v>0</v>
      </c>
      <c r="L37" s="26">
        <f>+'Hours &amp; Miles'!F72</f>
        <v>0</v>
      </c>
      <c r="M37" s="6">
        <f t="shared" si="7"/>
        <v>0</v>
      </c>
      <c r="O37" s="6">
        <f>+G37+J37+M37</f>
        <v>3649.63</v>
      </c>
      <c r="P37" s="11">
        <f>+F37+I37+L37</f>
        <v>1</v>
      </c>
      <c r="Q37" t="str">
        <f t="shared" si="10"/>
        <v xml:space="preserve"> </v>
      </c>
    </row>
    <row r="38" spans="1:17">
      <c r="A38">
        <v>4162</v>
      </c>
      <c r="B38" t="s">
        <v>1304</v>
      </c>
      <c r="C38" s="26"/>
      <c r="D38" s="6">
        <f>'Cost Allocations-Contracts'!F38</f>
        <v>0</v>
      </c>
      <c r="F38" s="432">
        <v>0</v>
      </c>
      <c r="G38" s="6">
        <f t="shared" ref="G38" si="12">+D38*F38</f>
        <v>0</v>
      </c>
      <c r="I38" s="26">
        <f>+'Hours &amp; Miles'!E73</f>
        <v>0</v>
      </c>
      <c r="J38" s="6">
        <f t="shared" ref="J38" si="13">+D38*I38</f>
        <v>0</v>
      </c>
      <c r="L38" s="26">
        <v>1</v>
      </c>
      <c r="M38" s="6">
        <f t="shared" ref="M38" si="14">+D38*L38</f>
        <v>0</v>
      </c>
      <c r="O38" s="6">
        <f>+G38+J38+M38</f>
        <v>0</v>
      </c>
      <c r="P38" s="11">
        <f>+F38+I38+L38</f>
        <v>1</v>
      </c>
      <c r="Q38" t="str">
        <f t="shared" ref="Q38" si="15">IF(P38&lt;&gt;1,"ERR"," ")</f>
        <v xml:space="preserve"> </v>
      </c>
    </row>
    <row r="39" spans="1:17">
      <c r="A39">
        <v>4180</v>
      </c>
      <c r="B39" t="s">
        <v>34</v>
      </c>
      <c r="C39" s="11"/>
      <c r="D39" s="6">
        <f>'Cost Allocations-Contracts'!F39</f>
        <v>16852.585230464025</v>
      </c>
      <c r="F39" s="435">
        <f>+F26</f>
        <v>0.96679717943218291</v>
      </c>
      <c r="G39" s="6">
        <f t="shared" si="6"/>
        <v>16293.031866953082</v>
      </c>
      <c r="I39" s="11">
        <f>+I26</f>
        <v>3.3202820567817128E-2</v>
      </c>
      <c r="J39" s="6">
        <f t="shared" si="11"/>
        <v>559.55336351094206</v>
      </c>
      <c r="L39" s="11">
        <f>+L26</f>
        <v>0</v>
      </c>
      <c r="M39" s="6">
        <f t="shared" si="7"/>
        <v>0</v>
      </c>
      <c r="O39" s="6">
        <f t="shared" si="8"/>
        <v>16852.585230464025</v>
      </c>
      <c r="P39" s="11">
        <f t="shared" si="9"/>
        <v>1</v>
      </c>
      <c r="Q39" t="str">
        <f t="shared" si="10"/>
        <v xml:space="preserve"> </v>
      </c>
    </row>
    <row r="40" spans="1:17">
      <c r="A40" t="s">
        <v>16</v>
      </c>
      <c r="C40" s="11"/>
      <c r="D40" s="6"/>
      <c r="F40" s="11"/>
      <c r="G40" s="6"/>
      <c r="I40" s="11"/>
      <c r="J40" s="6"/>
      <c r="L40" s="11"/>
      <c r="M40" s="6"/>
      <c r="O40" s="6"/>
      <c r="P40" s="11"/>
    </row>
    <row r="41" spans="1:17">
      <c r="A41">
        <v>4210</v>
      </c>
      <c r="B41" t="s">
        <v>35</v>
      </c>
      <c r="C41" s="11"/>
      <c r="D41" s="6">
        <f>'Cost Allocations-Contracts'!F41</f>
        <v>0</v>
      </c>
      <c r="F41" s="432">
        <f>'Hours &amp; Miles'!I47</f>
        <v>0.92527794713717293</v>
      </c>
      <c r="G41" s="6">
        <f t="shared" ref="G41:G50" si="16">+D41*F41</f>
        <v>0</v>
      </c>
      <c r="I41" s="26">
        <f>'Hours &amp; Miles'!J47</f>
        <v>2.6227150666588265E-2</v>
      </c>
      <c r="J41" s="6">
        <f t="shared" ref="J41:J50" si="17">+D41*I41</f>
        <v>0</v>
      </c>
      <c r="L41" s="26">
        <f>'Hours &amp; Miles'!K47</f>
        <v>4.8494902196238879E-2</v>
      </c>
      <c r="M41" s="6">
        <f t="shared" ref="M41:M50" si="18">+D41*L41</f>
        <v>0</v>
      </c>
      <c r="O41" s="6">
        <f t="shared" si="8"/>
        <v>0</v>
      </c>
      <c r="P41" s="11">
        <f t="shared" ref="P41:P49" si="19">+F41+I41+L41</f>
        <v>1.0000000000000002</v>
      </c>
      <c r="Q41" t="str">
        <f t="shared" si="10"/>
        <v xml:space="preserve"> </v>
      </c>
    </row>
    <row r="42" spans="1:17">
      <c r="A42">
        <v>4213</v>
      </c>
      <c r="B42" t="s">
        <v>36</v>
      </c>
      <c r="C42" s="11"/>
      <c r="D42" s="6">
        <f>'Cost Allocations-Contracts'!F42</f>
        <v>273893.76616215805</v>
      </c>
      <c r="F42" s="435">
        <f>'Hours &amp; Miles'!I50</f>
        <v>0.97243614277303925</v>
      </c>
      <c r="G42" s="6">
        <f t="shared" si="16"/>
        <v>266344.19749630976</v>
      </c>
      <c r="I42" s="11">
        <f>'Hours &amp; Miles'!J50</f>
        <v>2.7563857226960822E-2</v>
      </c>
      <c r="J42" s="6">
        <f t="shared" si="17"/>
        <v>7549.5686658483173</v>
      </c>
      <c r="L42" s="11">
        <f>'Hours &amp; Miles'!K50</f>
        <v>0</v>
      </c>
      <c r="M42" s="6">
        <f t="shared" si="18"/>
        <v>0</v>
      </c>
      <c r="O42" s="6">
        <f t="shared" si="8"/>
        <v>273893.76616215811</v>
      </c>
      <c r="P42" s="11">
        <f t="shared" si="19"/>
        <v>1</v>
      </c>
      <c r="Q42" t="str">
        <f t="shared" si="10"/>
        <v xml:space="preserve"> </v>
      </c>
    </row>
    <row r="43" spans="1:17">
      <c r="A43">
        <v>4215</v>
      </c>
      <c r="B43" t="s">
        <v>37</v>
      </c>
      <c r="C43" s="26"/>
      <c r="D43" s="6">
        <f>'Cost Allocations-Contracts'!F43</f>
        <v>31237.64</v>
      </c>
      <c r="F43" s="432">
        <f>+F27</f>
        <v>1</v>
      </c>
      <c r="G43" s="6">
        <f t="shared" si="16"/>
        <v>31237.64</v>
      </c>
      <c r="I43" s="26">
        <f>+I27</f>
        <v>0</v>
      </c>
      <c r="J43" s="6">
        <f t="shared" si="17"/>
        <v>0</v>
      </c>
      <c r="L43" s="26">
        <f>+L27</f>
        <v>0</v>
      </c>
      <c r="M43" s="6">
        <f t="shared" si="18"/>
        <v>0</v>
      </c>
      <c r="O43" s="6">
        <f t="shared" si="8"/>
        <v>31237.64</v>
      </c>
      <c r="P43" s="11">
        <f t="shared" si="19"/>
        <v>1</v>
      </c>
      <c r="Q43" t="str">
        <f t="shared" si="10"/>
        <v xml:space="preserve"> </v>
      </c>
    </row>
    <row r="44" spans="1:17">
      <c r="A44">
        <v>4217</v>
      </c>
      <c r="B44" t="s">
        <v>285</v>
      </c>
      <c r="C44" s="11"/>
      <c r="D44" s="6">
        <f>'Cost Allocations-Contracts'!F44</f>
        <v>12134.686366626696</v>
      </c>
      <c r="F44" s="435">
        <f>'Hours &amp; Miles'!I51</f>
        <v>0.95019895838188995</v>
      </c>
      <c r="G44" s="6">
        <f t="shared" si="16"/>
        <v>11530.366345859607</v>
      </c>
      <c r="I44" s="11">
        <f>'Hours &amp; Miles'!J51</f>
        <v>0</v>
      </c>
      <c r="J44" s="6">
        <f t="shared" si="17"/>
        <v>0</v>
      </c>
      <c r="L44" s="11">
        <f>'Hours &amp; Miles'!K51</f>
        <v>4.9801041618110088E-2</v>
      </c>
      <c r="M44" s="6">
        <f t="shared" si="18"/>
        <v>604.3200207670892</v>
      </c>
      <c r="O44" s="6">
        <f>+G44+J44+M44</f>
        <v>12134.686366626696</v>
      </c>
      <c r="P44" s="11">
        <f t="shared" si="19"/>
        <v>1</v>
      </c>
      <c r="Q44" t="str">
        <f t="shared" si="10"/>
        <v xml:space="preserve"> </v>
      </c>
    </row>
    <row r="45" spans="1:17">
      <c r="A45">
        <v>4222</v>
      </c>
      <c r="B45" t="s">
        <v>332</v>
      </c>
      <c r="C45" s="11"/>
      <c r="D45" s="6">
        <f>'Cost Allocations-Contracts'!F45</f>
        <v>7804.25</v>
      </c>
      <c r="F45" s="435">
        <f>F30</f>
        <v>0</v>
      </c>
      <c r="G45" s="6">
        <f t="shared" si="16"/>
        <v>0</v>
      </c>
      <c r="I45" s="11">
        <v>0</v>
      </c>
      <c r="J45" s="6">
        <f t="shared" si="17"/>
        <v>0</v>
      </c>
      <c r="L45" s="11">
        <v>1</v>
      </c>
      <c r="M45" s="6">
        <f t="shared" si="18"/>
        <v>7804.25</v>
      </c>
      <c r="O45" s="6">
        <f>+G45+J45+M45</f>
        <v>7804.25</v>
      </c>
      <c r="P45" s="11">
        <f>+F45+I45+L45</f>
        <v>1</v>
      </c>
      <c r="Q45" t="str">
        <f>IF(P45&lt;&gt;1,"ERR"," ")</f>
        <v xml:space="preserve"> </v>
      </c>
    </row>
    <row r="46" spans="1:17">
      <c r="A46">
        <v>4240</v>
      </c>
      <c r="B46" t="s">
        <v>38</v>
      </c>
      <c r="C46" s="11"/>
      <c r="D46" s="6">
        <f>'Cost Allocations-Contracts'!F46</f>
        <v>51088.254767753548</v>
      </c>
      <c r="F46" s="435">
        <f>'Hours &amp; Miles'!I74</f>
        <v>0.96404122139642612</v>
      </c>
      <c r="G46" s="6">
        <f t="shared" si="16"/>
        <v>49251.183525316919</v>
      </c>
      <c r="I46" s="11">
        <f>'Hours &amp; Miles'!J74</f>
        <v>3.5958778603573882E-2</v>
      </c>
      <c r="J46" s="6">
        <f t="shared" si="17"/>
        <v>1837.0712424366277</v>
      </c>
      <c r="L46" s="11">
        <v>0</v>
      </c>
      <c r="M46" s="6">
        <f t="shared" si="18"/>
        <v>0</v>
      </c>
      <c r="O46" s="6">
        <f t="shared" si="8"/>
        <v>51088.254767753548</v>
      </c>
      <c r="P46" s="11">
        <f t="shared" si="19"/>
        <v>1</v>
      </c>
      <c r="Q46" t="str">
        <f t="shared" si="10"/>
        <v xml:space="preserve"> </v>
      </c>
    </row>
    <row r="47" spans="1:17">
      <c r="A47">
        <v>4241</v>
      </c>
      <c r="B47" t="s">
        <v>283</v>
      </c>
      <c r="C47" s="11"/>
      <c r="D47" s="6">
        <f>'Cost Allocations-Contracts'!F47</f>
        <v>13080.209660599165</v>
      </c>
      <c r="F47" s="435">
        <f>+F27</f>
        <v>1</v>
      </c>
      <c r="G47" s="6">
        <f t="shared" si="16"/>
        <v>13080.209660599165</v>
      </c>
      <c r="I47" s="11">
        <f>+I27</f>
        <v>0</v>
      </c>
      <c r="J47" s="6">
        <f t="shared" si="17"/>
        <v>0</v>
      </c>
      <c r="L47" s="11">
        <f>+L27</f>
        <v>0</v>
      </c>
      <c r="M47" s="6">
        <f t="shared" si="18"/>
        <v>0</v>
      </c>
      <c r="O47" s="6">
        <f>+G47+J47+M47</f>
        <v>13080.209660599165</v>
      </c>
      <c r="P47" s="11">
        <f t="shared" si="19"/>
        <v>1</v>
      </c>
      <c r="Q47" t="str">
        <f t="shared" si="10"/>
        <v xml:space="preserve"> </v>
      </c>
    </row>
    <row r="48" spans="1:17">
      <c r="A48">
        <v>4244</v>
      </c>
      <c r="B48" t="s">
        <v>333</v>
      </c>
      <c r="C48" s="11"/>
      <c r="D48" s="6">
        <f>'Cost Allocations-Contracts'!F48</f>
        <v>1737.8500000000004</v>
      </c>
      <c r="F48" s="435">
        <f>F45</f>
        <v>0</v>
      </c>
      <c r="G48" s="6">
        <f t="shared" si="16"/>
        <v>0</v>
      </c>
      <c r="I48" s="11">
        <v>0</v>
      </c>
      <c r="J48" s="6">
        <f t="shared" si="17"/>
        <v>0</v>
      </c>
      <c r="L48" s="11">
        <v>1</v>
      </c>
      <c r="M48" s="6">
        <f t="shared" si="18"/>
        <v>1737.8500000000004</v>
      </c>
      <c r="O48" s="6">
        <f>+G48+J48+M48</f>
        <v>1737.8500000000004</v>
      </c>
      <c r="P48" s="11">
        <f>+F48+I48+L48</f>
        <v>1</v>
      </c>
      <c r="Q48" t="str">
        <f>IF(P48&lt;&gt;1,"ERR"," ")</f>
        <v xml:space="preserve"> </v>
      </c>
    </row>
    <row r="49" spans="1:17">
      <c r="A49">
        <v>4280</v>
      </c>
      <c r="B49" t="s">
        <v>39</v>
      </c>
      <c r="C49" s="11"/>
      <c r="D49" s="6">
        <f>'Cost Allocations-Contracts'!F49</f>
        <v>6651.0902508807903</v>
      </c>
      <c r="F49" s="435">
        <f>F42</f>
        <v>0.97243614277303925</v>
      </c>
      <c r="G49" s="6">
        <f t="shared" si="16"/>
        <v>6467.7605488018817</v>
      </c>
      <c r="I49" s="11">
        <f>+I42</f>
        <v>2.7563857226960822E-2</v>
      </c>
      <c r="J49" s="6">
        <f t="shared" si="17"/>
        <v>183.32970207890915</v>
      </c>
      <c r="L49" s="11">
        <f>+L42</f>
        <v>0</v>
      </c>
      <c r="M49" s="6">
        <f t="shared" si="18"/>
        <v>0</v>
      </c>
      <c r="O49" s="6">
        <f t="shared" si="8"/>
        <v>6651.0902508807912</v>
      </c>
      <c r="P49" s="11">
        <f t="shared" si="19"/>
        <v>1</v>
      </c>
      <c r="Q49" t="str">
        <f t="shared" si="10"/>
        <v xml:space="preserve"> </v>
      </c>
    </row>
    <row r="50" spans="1:17">
      <c r="A50">
        <v>4282</v>
      </c>
      <c r="B50" t="s">
        <v>335</v>
      </c>
      <c r="C50" s="11"/>
      <c r="D50" s="6">
        <f>'Cost Allocations-Contracts'!F50</f>
        <v>0</v>
      </c>
      <c r="F50" s="435">
        <f>F48</f>
        <v>0</v>
      </c>
      <c r="G50" s="6">
        <f t="shared" si="16"/>
        <v>0</v>
      </c>
      <c r="I50" s="11">
        <f>+I27</f>
        <v>0</v>
      </c>
      <c r="J50" s="6">
        <f t="shared" si="17"/>
        <v>0</v>
      </c>
      <c r="L50" s="11">
        <v>1</v>
      </c>
      <c r="M50" s="6">
        <f t="shared" si="18"/>
        <v>0</v>
      </c>
      <c r="O50" s="6">
        <f>+G50+J50+M50</f>
        <v>0</v>
      </c>
      <c r="P50" s="11">
        <f>+F50+I50+L50</f>
        <v>1</v>
      </c>
      <c r="Q50" t="str">
        <f>IF(P50&lt;&gt;1,"ERR"," ")</f>
        <v xml:space="preserve"> </v>
      </c>
    </row>
    <row r="51" spans="1:17">
      <c r="A51" t="s">
        <v>17</v>
      </c>
      <c r="C51" s="11"/>
      <c r="D51" s="6"/>
      <c r="F51" s="11"/>
      <c r="G51" s="6"/>
      <c r="I51" s="11"/>
      <c r="J51" s="6"/>
      <c r="L51" s="11"/>
      <c r="M51" s="6"/>
      <c r="O51" s="6"/>
      <c r="P51" s="11"/>
    </row>
    <row r="52" spans="1:17">
      <c r="A52">
        <v>4360</v>
      </c>
      <c r="B52" t="s">
        <v>40</v>
      </c>
      <c r="C52" s="26"/>
      <c r="D52" s="6">
        <f>'Cost Allocations-Contracts'!F52</f>
        <v>426119.59597291972</v>
      </c>
      <c r="F52" s="432">
        <v>1</v>
      </c>
      <c r="G52" s="6">
        <f>+D52*F52</f>
        <v>426119.59597291972</v>
      </c>
      <c r="I52" s="26">
        <v>0</v>
      </c>
      <c r="J52" s="6">
        <f>+D52*I52</f>
        <v>0</v>
      </c>
      <c r="L52" s="26">
        <v>0</v>
      </c>
      <c r="M52" s="6">
        <f>+D52*L52</f>
        <v>0</v>
      </c>
      <c r="O52" s="6">
        <f t="shared" si="8"/>
        <v>426119.59597291972</v>
      </c>
      <c r="P52" s="11">
        <f>+F52+I52+L52</f>
        <v>1</v>
      </c>
      <c r="Q52" t="str">
        <f t="shared" si="10"/>
        <v xml:space="preserve"> </v>
      </c>
    </row>
    <row r="53" spans="1:17">
      <c r="A53">
        <v>4361</v>
      </c>
      <c r="B53" t="s">
        <v>41</v>
      </c>
      <c r="C53" s="15"/>
      <c r="D53" s="6">
        <f>'Cost Allocations-Contracts'!F53</f>
        <v>213487.51000000004</v>
      </c>
      <c r="F53" s="432">
        <v>1</v>
      </c>
      <c r="G53" s="6">
        <f>+D53*F53</f>
        <v>213487.51000000004</v>
      </c>
      <c r="I53" s="26">
        <v>0</v>
      </c>
      <c r="J53" s="6">
        <f>+D53*I53</f>
        <v>0</v>
      </c>
      <c r="L53" s="26">
        <v>0</v>
      </c>
      <c r="M53" s="6">
        <f>+D53*L53</f>
        <v>0</v>
      </c>
      <c r="O53" s="6">
        <f t="shared" si="8"/>
        <v>213487.51000000004</v>
      </c>
      <c r="P53" s="11">
        <f>+F53+I53+L53</f>
        <v>1</v>
      </c>
      <c r="Q53" t="str">
        <f t="shared" si="10"/>
        <v xml:space="preserve"> </v>
      </c>
    </row>
    <row r="54" spans="1:17">
      <c r="A54">
        <v>4362</v>
      </c>
      <c r="B54" t="s">
        <v>42</v>
      </c>
      <c r="C54" s="26"/>
      <c r="D54" s="6">
        <f>'Cost Allocations-Contracts'!F54</f>
        <v>110733.36706288894</v>
      </c>
      <c r="F54" s="432">
        <v>1</v>
      </c>
      <c r="G54" s="6">
        <f>+D54*F54</f>
        <v>110733.36706288894</v>
      </c>
      <c r="I54" s="26">
        <v>0</v>
      </c>
      <c r="J54" s="6">
        <f>+D54*I54</f>
        <v>0</v>
      </c>
      <c r="L54" s="26">
        <v>0</v>
      </c>
      <c r="M54" s="6">
        <f>+D54*L54</f>
        <v>0</v>
      </c>
      <c r="O54" s="6">
        <f t="shared" si="8"/>
        <v>110733.36706288894</v>
      </c>
      <c r="P54" s="11">
        <f>+F54+I54+L54</f>
        <v>1</v>
      </c>
      <c r="Q54" t="str">
        <f t="shared" si="10"/>
        <v xml:space="preserve"> </v>
      </c>
    </row>
    <row r="55" spans="1:17">
      <c r="A55">
        <v>4363</v>
      </c>
      <c r="B55" t="s">
        <v>43</v>
      </c>
      <c r="C55" s="15"/>
      <c r="D55" s="6">
        <f>'Cost Allocations-Contracts'!F55</f>
        <v>110827.33</v>
      </c>
      <c r="F55" s="432">
        <v>1</v>
      </c>
      <c r="G55" s="6">
        <f>+D55*F55</f>
        <v>110827.33</v>
      </c>
      <c r="I55" s="26">
        <v>0</v>
      </c>
      <c r="J55" s="6">
        <f>+D55*I55</f>
        <v>0</v>
      </c>
      <c r="L55" s="26">
        <v>0</v>
      </c>
      <c r="M55" s="6">
        <f>+D55*L55</f>
        <v>0</v>
      </c>
      <c r="O55" s="6">
        <f t="shared" si="8"/>
        <v>110827.33</v>
      </c>
      <c r="P55" s="11">
        <f>+F55+I55+L55</f>
        <v>1</v>
      </c>
      <c r="Q55" t="str">
        <f t="shared" si="10"/>
        <v xml:space="preserve"> </v>
      </c>
    </row>
    <row r="56" spans="1:17">
      <c r="A56">
        <v>4380</v>
      </c>
      <c r="B56" t="s">
        <v>336</v>
      </c>
      <c r="C56" s="15"/>
      <c r="D56" s="6">
        <f>'Cost Allocations-Contracts'!F56</f>
        <v>5587.41</v>
      </c>
      <c r="F56" s="433">
        <v>0</v>
      </c>
      <c r="G56" s="6">
        <f>+D56*F56</f>
        <v>0</v>
      </c>
      <c r="I56" s="15">
        <v>0</v>
      </c>
      <c r="J56" s="6">
        <f>+D56*I56</f>
        <v>0</v>
      </c>
      <c r="L56" s="15">
        <v>1</v>
      </c>
      <c r="M56" s="6">
        <f>+D56*L56</f>
        <v>5587.41</v>
      </c>
      <c r="O56" s="6">
        <f>+G56+J56+M56</f>
        <v>5587.41</v>
      </c>
      <c r="P56" s="11">
        <f>+F56+I56+L56</f>
        <v>1</v>
      </c>
      <c r="Q56" t="str">
        <f>IF(P56&lt;&gt;1,"ERR"," ")</f>
        <v xml:space="preserve"> </v>
      </c>
    </row>
    <row r="57" spans="1:17">
      <c r="A57" t="s">
        <v>14</v>
      </c>
      <c r="C57" s="11"/>
      <c r="D57" s="6"/>
      <c r="F57" s="11"/>
      <c r="G57" s="6"/>
      <c r="I57" s="11"/>
      <c r="J57" s="6"/>
      <c r="L57" s="11"/>
      <c r="M57" s="6"/>
      <c r="O57" s="6"/>
      <c r="P57" s="11"/>
    </row>
    <row r="58" spans="1:17">
      <c r="A58">
        <v>4430</v>
      </c>
      <c r="B58" t="s">
        <v>44</v>
      </c>
      <c r="C58" s="11"/>
      <c r="D58" s="6">
        <f>'Cost Allocations-Contracts'!F58</f>
        <v>0</v>
      </c>
      <c r="F58" s="435">
        <v>1</v>
      </c>
      <c r="G58" s="6">
        <f>+D58*F58</f>
        <v>0</v>
      </c>
      <c r="I58" s="11">
        <v>0</v>
      </c>
      <c r="J58" s="6">
        <f>+D58*I58</f>
        <v>0</v>
      </c>
      <c r="L58" s="11">
        <v>0</v>
      </c>
      <c r="M58" s="6">
        <f>+D58*L58</f>
        <v>0</v>
      </c>
      <c r="O58" s="6">
        <f t="shared" si="8"/>
        <v>0</v>
      </c>
      <c r="P58" s="11">
        <f>+F58+I58+L58</f>
        <v>1</v>
      </c>
      <c r="Q58" t="str">
        <f t="shared" si="10"/>
        <v xml:space="preserve"> </v>
      </c>
    </row>
    <row r="59" spans="1:17">
      <c r="A59">
        <v>4450</v>
      </c>
      <c r="B59" t="s">
        <v>45</v>
      </c>
      <c r="C59" s="15"/>
      <c r="D59" s="6">
        <f>'Cost Allocations-Contracts'!F59</f>
        <v>1530</v>
      </c>
      <c r="F59" s="433">
        <v>1</v>
      </c>
      <c r="G59" s="6">
        <f>+D59*F59</f>
        <v>1530</v>
      </c>
      <c r="I59" s="15">
        <v>0</v>
      </c>
      <c r="J59" s="6">
        <f>+D59*I59</f>
        <v>0</v>
      </c>
      <c r="L59" s="15">
        <v>0</v>
      </c>
      <c r="M59" s="6">
        <f>+D59*L59</f>
        <v>0</v>
      </c>
      <c r="O59" s="6">
        <f t="shared" si="8"/>
        <v>1530</v>
      </c>
      <c r="P59" s="11">
        <f>+F59+I59+L59</f>
        <v>1</v>
      </c>
      <c r="Q59" t="str">
        <f t="shared" si="10"/>
        <v xml:space="preserve"> </v>
      </c>
    </row>
    <row r="60" spans="1:17">
      <c r="A60" t="s">
        <v>15</v>
      </c>
      <c r="C60" s="11"/>
      <c r="D60" s="6"/>
      <c r="F60" s="11"/>
      <c r="G60" s="6"/>
      <c r="I60" s="11"/>
      <c r="J60" s="6"/>
      <c r="L60" s="11"/>
      <c r="M60" s="6"/>
      <c r="O60" s="6"/>
      <c r="P60" s="11"/>
    </row>
    <row r="61" spans="1:17">
      <c r="A61">
        <v>4530</v>
      </c>
      <c r="B61" t="s">
        <v>46</v>
      </c>
      <c r="C61" s="11"/>
      <c r="D61" s="6">
        <f>'Cost Allocations-Contracts'!F61</f>
        <v>57927.897988636498</v>
      </c>
      <c r="F61" s="435">
        <f>+F26</f>
        <v>0.96679717943218291</v>
      </c>
      <c r="G61" s="6">
        <f>+D61*F61</f>
        <v>56004.528385848986</v>
      </c>
      <c r="I61" s="11">
        <f>+I26</f>
        <v>3.3202820567817128E-2</v>
      </c>
      <c r="J61" s="6">
        <f>+D61*I61</f>
        <v>1923.3696027875123</v>
      </c>
      <c r="L61" s="11">
        <f>+L26</f>
        <v>0</v>
      </c>
      <c r="M61" s="6">
        <f>+D61*L61</f>
        <v>0</v>
      </c>
      <c r="O61" s="6">
        <f t="shared" si="8"/>
        <v>57927.897988636498</v>
      </c>
      <c r="P61" s="11">
        <f>+F61+I61+L61</f>
        <v>1</v>
      </c>
      <c r="Q61" t="str">
        <f t="shared" si="10"/>
        <v xml:space="preserve"> </v>
      </c>
    </row>
    <row r="62" spans="1:17">
      <c r="A62">
        <v>4540</v>
      </c>
      <c r="B62" t="s">
        <v>47</v>
      </c>
      <c r="C62" s="11"/>
      <c r="D62" s="6">
        <f>'Cost Allocations-Contracts'!F62</f>
        <v>19583.299991332358</v>
      </c>
      <c r="F62" s="435">
        <f>+F26</f>
        <v>0.96679717943218291</v>
      </c>
      <c r="G62" s="6">
        <f>+D62*F62</f>
        <v>18933.079195594415</v>
      </c>
      <c r="I62" s="11">
        <f>+I26</f>
        <v>3.3202820567817128E-2</v>
      </c>
      <c r="J62" s="6">
        <f>+D62*I62</f>
        <v>650.22079573794304</v>
      </c>
      <c r="L62" s="11">
        <f>+L26</f>
        <v>0</v>
      </c>
      <c r="M62" s="6">
        <f>+D62*L62</f>
        <v>0</v>
      </c>
      <c r="O62" s="6">
        <f t="shared" si="8"/>
        <v>19583.299991332358</v>
      </c>
      <c r="P62" s="11">
        <f>+F62+I62+L62</f>
        <v>1</v>
      </c>
      <c r="Q62" t="str">
        <f t="shared" si="10"/>
        <v xml:space="preserve"> </v>
      </c>
    </row>
    <row r="63" spans="1:17">
      <c r="A63">
        <v>4580</v>
      </c>
      <c r="B63" t="s">
        <v>48</v>
      </c>
      <c r="C63" s="11"/>
      <c r="D63" s="6">
        <f>'Cost Allocations-Contracts'!F63</f>
        <v>0</v>
      </c>
      <c r="F63" s="435">
        <f>+F26</f>
        <v>0.96679717943218291</v>
      </c>
      <c r="G63" s="6">
        <f>+D63*F63</f>
        <v>0</v>
      </c>
      <c r="I63" s="11">
        <f>+I26</f>
        <v>3.3202820567817128E-2</v>
      </c>
      <c r="J63" s="6">
        <f>+D63*I63</f>
        <v>0</v>
      </c>
      <c r="L63" s="11">
        <f>+L26</f>
        <v>0</v>
      </c>
      <c r="M63" s="6">
        <f>+D63*L63</f>
        <v>0</v>
      </c>
      <c r="O63" s="6">
        <f t="shared" si="8"/>
        <v>0</v>
      </c>
      <c r="P63" s="11">
        <f>+F63+I63+L63</f>
        <v>1</v>
      </c>
      <c r="Q63" t="str">
        <f t="shared" si="10"/>
        <v xml:space="preserve"> </v>
      </c>
    </row>
    <row r="64" spans="1:17">
      <c r="A64" t="s">
        <v>18</v>
      </c>
      <c r="C64" s="11"/>
      <c r="D64" s="6"/>
      <c r="F64" s="11"/>
      <c r="G64" s="6"/>
      <c r="I64" s="11"/>
      <c r="J64" s="6"/>
      <c r="L64" s="11"/>
      <c r="M64" s="6"/>
      <c r="O64" s="6"/>
      <c r="P64" s="11"/>
    </row>
    <row r="65" spans="1:17">
      <c r="A65">
        <v>4611</v>
      </c>
      <c r="B65" t="s">
        <v>49</v>
      </c>
      <c r="C65" s="15"/>
      <c r="D65" s="6">
        <f>'Cost Allocations-Contracts'!F65</f>
        <v>64599.127107159307</v>
      </c>
      <c r="F65" s="443">
        <f>'Hours &amp; Miles'!$I$47</f>
        <v>0.92527794713717293</v>
      </c>
      <c r="G65" s="6">
        <f t="shared" ref="G65:G82" si="20">+D65*F65</f>
        <v>59772.147716565662</v>
      </c>
      <c r="I65" s="443">
        <f>'Hours &amp; Miles'!$J$47</f>
        <v>2.6227150666588265E-2</v>
      </c>
      <c r="J65" s="6">
        <f t="shared" ref="J65:J82" si="21">+D65*I65</f>
        <v>1694.2510395695533</v>
      </c>
      <c r="L65" s="443">
        <f>'Hours &amp; Miles'!$K$47</f>
        <v>4.8494902196238879E-2</v>
      </c>
      <c r="M65" s="6">
        <f t="shared" ref="M65:M82" si="22">+D65*L65</f>
        <v>3132.7283510240945</v>
      </c>
      <c r="O65" s="6">
        <f t="shared" si="8"/>
        <v>64599.127107159307</v>
      </c>
      <c r="P65" s="11">
        <f t="shared" ref="P65:P82" si="23">+F65+I65+L65</f>
        <v>1.0000000000000002</v>
      </c>
      <c r="Q65" t="str">
        <f t="shared" si="10"/>
        <v xml:space="preserve"> </v>
      </c>
    </row>
    <row r="66" spans="1:17">
      <c r="A66">
        <v>4612</v>
      </c>
      <c r="B66" t="s">
        <v>50</v>
      </c>
      <c r="C66" s="15"/>
      <c r="D66" s="6">
        <f>'Cost Allocations-Contracts'!F66</f>
        <v>48428.92</v>
      </c>
      <c r="F66" s="443">
        <f>'Hours &amp; Miles'!$I$47</f>
        <v>0.92527794713717293</v>
      </c>
      <c r="G66" s="6">
        <f t="shared" si="20"/>
        <v>44810.211679670378</v>
      </c>
      <c r="I66" s="443">
        <f>'Hours &amp; Miles'!$J$47</f>
        <v>2.6227150666588265E-2</v>
      </c>
      <c r="J66" s="6">
        <f t="shared" si="21"/>
        <v>1270.1525814601498</v>
      </c>
      <c r="L66" s="443">
        <f>'Hours &amp; Miles'!$K$47</f>
        <v>4.8494902196238879E-2</v>
      </c>
      <c r="M66" s="6">
        <f t="shared" si="22"/>
        <v>2348.555738869477</v>
      </c>
      <c r="O66" s="6">
        <f t="shared" si="8"/>
        <v>48428.920000000006</v>
      </c>
      <c r="P66" s="11">
        <f t="shared" si="23"/>
        <v>1.0000000000000002</v>
      </c>
      <c r="Q66" t="str">
        <f t="shared" si="10"/>
        <v xml:space="preserve"> </v>
      </c>
    </row>
    <row r="67" spans="1:17">
      <c r="A67">
        <v>4613</v>
      </c>
      <c r="B67" t="s">
        <v>51</v>
      </c>
      <c r="C67" s="26"/>
      <c r="D67" s="6">
        <f>'Cost Allocations-Contracts'!F67</f>
        <v>92969.239342183442</v>
      </c>
      <c r="F67" s="443">
        <f>'Hours &amp; Miles'!$I$47</f>
        <v>0.92527794713717293</v>
      </c>
      <c r="G67" s="6">
        <f t="shared" si="20"/>
        <v>86022.386925439991</v>
      </c>
      <c r="I67" s="443">
        <f>'Hours &amp; Miles'!$J$47</f>
        <v>2.6227150666588265E-2</v>
      </c>
      <c r="J67" s="6">
        <f t="shared" si="21"/>
        <v>2438.3182475855506</v>
      </c>
      <c r="L67" s="443">
        <f>'Hours &amp; Miles'!$K$47</f>
        <v>4.8494902196238879E-2</v>
      </c>
      <c r="M67" s="6">
        <f t="shared" si="22"/>
        <v>4508.5341691579097</v>
      </c>
      <c r="O67" s="6">
        <f t="shared" si="8"/>
        <v>92969.239342183457</v>
      </c>
      <c r="P67" s="11">
        <f t="shared" si="23"/>
        <v>1.0000000000000002</v>
      </c>
      <c r="Q67" t="str">
        <f t="shared" si="10"/>
        <v xml:space="preserve"> </v>
      </c>
    </row>
    <row r="68" spans="1:17">
      <c r="A68">
        <v>4620</v>
      </c>
      <c r="B68" t="s">
        <v>52</v>
      </c>
      <c r="C68" s="26"/>
      <c r="D68" s="6">
        <f>'Cost Allocations-Contracts'!F68</f>
        <v>25814.190865097196</v>
      </c>
      <c r="F68" s="443">
        <f>'Hours &amp; Miles'!$I$47</f>
        <v>0.92527794713717293</v>
      </c>
      <c r="G68" s="6">
        <f t="shared" si="20"/>
        <v>23885.301530664296</v>
      </c>
      <c r="I68" s="443">
        <f>'Hours &amp; Miles'!$J$47</f>
        <v>2.6227150666588265E-2</v>
      </c>
      <c r="J68" s="6">
        <f t="shared" si="21"/>
        <v>677.03267315497067</v>
      </c>
      <c r="L68" s="443">
        <f>'Hours &amp; Miles'!$K$47</f>
        <v>4.8494902196238879E-2</v>
      </c>
      <c r="M68" s="6">
        <f t="shared" si="22"/>
        <v>1251.8566612779316</v>
      </c>
      <c r="O68" s="6">
        <f t="shared" si="8"/>
        <v>25814.1908650972</v>
      </c>
      <c r="P68" s="11">
        <f t="shared" si="23"/>
        <v>1.0000000000000002</v>
      </c>
      <c r="Q68" t="str">
        <f t="shared" si="10"/>
        <v xml:space="preserve"> </v>
      </c>
    </row>
    <row r="69" spans="1:17">
      <c r="A69">
        <v>4622</v>
      </c>
      <c r="B69" t="s">
        <v>53</v>
      </c>
      <c r="C69" s="26"/>
      <c r="D69" s="6">
        <f>'Cost Allocations-Contracts'!F69</f>
        <v>0</v>
      </c>
      <c r="F69" s="443">
        <f>'Hours &amp; Miles'!$I$47</f>
        <v>0.92527794713717293</v>
      </c>
      <c r="G69" s="6">
        <f t="shared" si="20"/>
        <v>0</v>
      </c>
      <c r="I69" s="443">
        <f>'Hours &amp; Miles'!$J$47</f>
        <v>2.6227150666588265E-2</v>
      </c>
      <c r="J69" s="6">
        <f t="shared" si="21"/>
        <v>0</v>
      </c>
      <c r="L69" s="443">
        <f>'Hours &amp; Miles'!$K$47</f>
        <v>4.8494902196238879E-2</v>
      </c>
      <c r="M69" s="6">
        <f t="shared" si="22"/>
        <v>0</v>
      </c>
      <c r="O69" s="6">
        <f t="shared" si="8"/>
        <v>0</v>
      </c>
      <c r="P69" s="11">
        <f t="shared" si="23"/>
        <v>1.0000000000000002</v>
      </c>
      <c r="Q69" t="str">
        <f t="shared" si="10"/>
        <v xml:space="preserve"> </v>
      </c>
    </row>
    <row r="70" spans="1:17">
      <c r="A70">
        <v>4624</v>
      </c>
      <c r="B70" t="s">
        <v>54</v>
      </c>
      <c r="C70" s="26"/>
      <c r="D70" s="6">
        <f>'Cost Allocations-Contracts'!F70</f>
        <v>114.94900351265564</v>
      </c>
      <c r="F70" s="443">
        <f>'Hours &amp; Miles'!$I$47</f>
        <v>0.92527794713717293</v>
      </c>
      <c r="G70" s="6">
        <f t="shared" si="20"/>
        <v>106.35977799565369</v>
      </c>
      <c r="I70" s="443">
        <f>'Hours &amp; Miles'!$J$47</f>
        <v>2.6227150666588265E-2</v>
      </c>
      <c r="J70" s="6">
        <f t="shared" si="21"/>
        <v>3.0147848341006029</v>
      </c>
      <c r="L70" s="443">
        <f>'Hours &amp; Miles'!$K$47</f>
        <v>4.8494902196238879E-2</v>
      </c>
      <c r="M70" s="6">
        <f t="shared" si="22"/>
        <v>5.5744406829013542</v>
      </c>
      <c r="O70" s="6">
        <f t="shared" si="8"/>
        <v>114.94900351265565</v>
      </c>
      <c r="P70" s="11">
        <f t="shared" si="23"/>
        <v>1.0000000000000002</v>
      </c>
      <c r="Q70" t="str">
        <f t="shared" si="10"/>
        <v xml:space="preserve"> </v>
      </c>
    </row>
    <row r="71" spans="1:17">
      <c r="A71">
        <v>4625</v>
      </c>
      <c r="B71" t="s">
        <v>55</v>
      </c>
      <c r="C71" s="26"/>
      <c r="D71" s="6">
        <f>'Cost Allocations-Contracts'!F71</f>
        <v>2531.2281762906955</v>
      </c>
      <c r="F71" s="443">
        <f>'Hours &amp; Miles'!$I$47</f>
        <v>0.92527794713717293</v>
      </c>
      <c r="G71" s="6">
        <f t="shared" si="20"/>
        <v>2342.0896106940249</v>
      </c>
      <c r="I71" s="443">
        <f>'Hours &amp; Miles'!$J$47</f>
        <v>2.6227150666588265E-2</v>
      </c>
      <c r="J71" s="6">
        <f t="shared" si="21"/>
        <v>66.386902751089508</v>
      </c>
      <c r="L71" s="443">
        <f>'Hours &amp; Miles'!$K$47</f>
        <v>4.8494902196238879E-2</v>
      </c>
      <c r="M71" s="6">
        <f t="shared" si="22"/>
        <v>122.75166284558138</v>
      </c>
      <c r="O71" s="6">
        <f t="shared" si="8"/>
        <v>2531.228176290696</v>
      </c>
      <c r="P71" s="11">
        <f t="shared" si="23"/>
        <v>1.0000000000000002</v>
      </c>
      <c r="Q71" t="str">
        <f t="shared" si="10"/>
        <v xml:space="preserve"> </v>
      </c>
    </row>
    <row r="72" spans="1:17">
      <c r="A72">
        <v>4627</v>
      </c>
      <c r="B72" t="s">
        <v>56</v>
      </c>
      <c r="C72" s="26"/>
      <c r="D72" s="6">
        <f>'Cost Allocations-Contracts'!F72</f>
        <v>1611.0186039234522</v>
      </c>
      <c r="F72" s="443">
        <f>'Hours &amp; Miles'!$I$47</f>
        <v>0.92527794713717293</v>
      </c>
      <c r="G72" s="6">
        <f t="shared" si="20"/>
        <v>1490.6399866380862</v>
      </c>
      <c r="I72" s="443">
        <f>'Hours &amp; Miles'!$J$47</f>
        <v>2.6227150666588265E-2</v>
      </c>
      <c r="J72" s="6">
        <f t="shared" si="21"/>
        <v>42.252427651777069</v>
      </c>
      <c r="L72" s="443">
        <f>'Hours &amp; Miles'!$K$47</f>
        <v>4.8494902196238879E-2</v>
      </c>
      <c r="M72" s="6">
        <f t="shared" si="22"/>
        <v>78.126189633589121</v>
      </c>
      <c r="O72" s="6">
        <f t="shared" si="8"/>
        <v>1611.0186039234522</v>
      </c>
      <c r="P72" s="11">
        <f t="shared" si="23"/>
        <v>1.0000000000000002</v>
      </c>
      <c r="Q72" t="str">
        <f t="shared" si="10"/>
        <v xml:space="preserve"> </v>
      </c>
    </row>
    <row r="73" spans="1:17">
      <c r="A73">
        <v>4630</v>
      </c>
      <c r="B73" t="s">
        <v>57</v>
      </c>
      <c r="C73" s="11"/>
      <c r="D73" s="6">
        <f>'Cost Allocations-Contracts'!F74</f>
        <v>483.07400207728631</v>
      </c>
      <c r="F73" s="443">
        <f>'Hours &amp; Miles'!$I$47</f>
        <v>0.92527794713717293</v>
      </c>
      <c r="G73" s="6">
        <f t="shared" si="20"/>
        <v>446.97772095740987</v>
      </c>
      <c r="I73" s="443">
        <f>'Hours &amp; Miles'!$J$47</f>
        <v>2.6227150666588265E-2</v>
      </c>
      <c r="J73" s="6">
        <f t="shared" si="21"/>
        <v>12.66965463559276</v>
      </c>
      <c r="L73" s="443">
        <f>'Hours &amp; Miles'!$K$47</f>
        <v>4.8494902196238879E-2</v>
      </c>
      <c r="M73" s="6">
        <f t="shared" si="22"/>
        <v>23.426626484283698</v>
      </c>
      <c r="O73" s="6">
        <f t="shared" si="8"/>
        <v>483.07400207728631</v>
      </c>
      <c r="P73" s="11">
        <f t="shared" si="23"/>
        <v>1.0000000000000002</v>
      </c>
      <c r="Q73" t="str">
        <f t="shared" si="10"/>
        <v xml:space="preserve"> </v>
      </c>
    </row>
    <row r="74" spans="1:17">
      <c r="A74">
        <v>4640</v>
      </c>
      <c r="B74" t="s">
        <v>58</v>
      </c>
      <c r="C74" s="26"/>
      <c r="D74" s="6">
        <f>'Cost Allocations-Contracts'!F75</f>
        <v>14800.966464306732</v>
      </c>
      <c r="F74" s="443">
        <f>'Hours &amp; Miles'!$I$47</f>
        <v>0.92527794713717293</v>
      </c>
      <c r="G74" s="6">
        <f t="shared" si="20"/>
        <v>13695.007865739874</v>
      </c>
      <c r="I74" s="443">
        <f>'Hours &amp; Miles'!$J$47</f>
        <v>2.6227150666588265E-2</v>
      </c>
      <c r="J74" s="6">
        <f t="shared" si="21"/>
        <v>388.18717747049283</v>
      </c>
      <c r="L74" s="443">
        <f>'Hours &amp; Miles'!$K$47</f>
        <v>4.8494902196238879E-2</v>
      </c>
      <c r="M74" s="6">
        <f t="shared" si="22"/>
        <v>717.77142109636657</v>
      </c>
      <c r="O74" s="6">
        <f t="shared" si="8"/>
        <v>14800.966464306732</v>
      </c>
      <c r="P74" s="11">
        <f t="shared" si="23"/>
        <v>1.0000000000000002</v>
      </c>
      <c r="Q74" t="str">
        <f t="shared" si="10"/>
        <v xml:space="preserve"> </v>
      </c>
    </row>
    <row r="75" spans="1:17">
      <c r="A75">
        <v>4650</v>
      </c>
      <c r="B75" t="s">
        <v>59</v>
      </c>
      <c r="C75" s="26" t="s">
        <v>151</v>
      </c>
      <c r="D75" s="6">
        <f>'Cost Allocations-Contracts'!F76</f>
        <v>71167.036302193199</v>
      </c>
      <c r="F75" s="443">
        <f>'Hours &amp; Miles'!$I$47</f>
        <v>0.92527794713717293</v>
      </c>
      <c r="G75" s="6">
        <f t="shared" si="20"/>
        <v>65849.289253529991</v>
      </c>
      <c r="I75" s="443">
        <f>'Hours &amp; Miles'!$J$47</f>
        <v>2.6227150666588265E-2</v>
      </c>
      <c r="J75" s="6">
        <f t="shared" si="21"/>
        <v>1866.5085835921775</v>
      </c>
      <c r="L75" s="443">
        <f>'Hours &amp; Miles'!$K$47</f>
        <v>4.8494902196238879E-2</v>
      </c>
      <c r="M75" s="6">
        <f t="shared" si="22"/>
        <v>3451.238465071041</v>
      </c>
      <c r="O75" s="6">
        <f t="shared" si="8"/>
        <v>71167.036302193213</v>
      </c>
      <c r="P75" s="11">
        <f t="shared" si="23"/>
        <v>1.0000000000000002</v>
      </c>
      <c r="Q75" t="str">
        <f t="shared" si="10"/>
        <v xml:space="preserve"> </v>
      </c>
    </row>
    <row r="76" spans="1:17">
      <c r="A76">
        <v>4652</v>
      </c>
      <c r="B76" t="s">
        <v>60</v>
      </c>
      <c r="C76" s="26" t="s">
        <v>151</v>
      </c>
      <c r="D76" s="6">
        <f>'Cost Allocations-Contracts'!F77</f>
        <v>10204.147065291863</v>
      </c>
      <c r="F76" s="443">
        <f>'Hours &amp; Miles'!$I$47</f>
        <v>0.92527794713717293</v>
      </c>
      <c r="G76" s="6">
        <f t="shared" si="20"/>
        <v>9441.6722488590622</v>
      </c>
      <c r="I76" s="443">
        <f>'Hours &amp; Miles'!$J$47</f>
        <v>2.6227150666588265E-2</v>
      </c>
      <c r="J76" s="6">
        <f t="shared" si="21"/>
        <v>267.62570250543416</v>
      </c>
      <c r="L76" s="443">
        <f>'Hours &amp; Miles'!$K$47</f>
        <v>4.8494902196238879E-2</v>
      </c>
      <c r="M76" s="6">
        <f t="shared" si="22"/>
        <v>494.84911392736689</v>
      </c>
      <c r="O76" s="6">
        <f t="shared" si="8"/>
        <v>10204.147065291863</v>
      </c>
      <c r="P76" s="11">
        <f t="shared" si="23"/>
        <v>1.0000000000000002</v>
      </c>
      <c r="Q76" t="str">
        <f t="shared" si="10"/>
        <v xml:space="preserve"> </v>
      </c>
    </row>
    <row r="77" spans="1:17">
      <c r="A77">
        <v>4660</v>
      </c>
      <c r="B77" t="s">
        <v>61</v>
      </c>
      <c r="C77" s="15"/>
      <c r="D77" s="6">
        <f>'Cost Allocations-Contracts'!F78</f>
        <v>0</v>
      </c>
      <c r="F77" s="443">
        <f>'Hours &amp; Miles'!$I$47</f>
        <v>0.92527794713717293</v>
      </c>
      <c r="G77" s="6">
        <f t="shared" si="20"/>
        <v>0</v>
      </c>
      <c r="I77" s="443">
        <f>'Hours &amp; Miles'!$J$47</f>
        <v>2.6227150666588265E-2</v>
      </c>
      <c r="J77" s="6">
        <f t="shared" si="21"/>
        <v>0</v>
      </c>
      <c r="L77" s="443">
        <f>'Hours &amp; Miles'!$K$47</f>
        <v>4.8494902196238879E-2</v>
      </c>
      <c r="M77" s="6">
        <f t="shared" si="22"/>
        <v>0</v>
      </c>
      <c r="O77" s="6">
        <f t="shared" si="8"/>
        <v>0</v>
      </c>
      <c r="P77" s="11">
        <f t="shared" si="23"/>
        <v>1.0000000000000002</v>
      </c>
      <c r="Q77" t="str">
        <f t="shared" si="10"/>
        <v xml:space="preserve"> </v>
      </c>
    </row>
    <row r="78" spans="1:17">
      <c r="A78">
        <v>4670</v>
      </c>
      <c r="B78" t="s">
        <v>62</v>
      </c>
      <c r="C78" s="15"/>
      <c r="D78" s="6">
        <f>'Cost Allocations-Contracts'!F79</f>
        <v>0</v>
      </c>
      <c r="F78" s="443">
        <f>'Hours &amp; Miles'!$I$47</f>
        <v>0.92527794713717293</v>
      </c>
      <c r="G78" s="6">
        <f t="shared" si="20"/>
        <v>0</v>
      </c>
      <c r="I78" s="443">
        <f>'Hours &amp; Miles'!$J$47</f>
        <v>2.6227150666588265E-2</v>
      </c>
      <c r="J78" s="6">
        <f t="shared" si="21"/>
        <v>0</v>
      </c>
      <c r="L78" s="443">
        <f>'Hours &amp; Miles'!$K$47</f>
        <v>4.8494902196238879E-2</v>
      </c>
      <c r="M78" s="6">
        <f t="shared" si="22"/>
        <v>0</v>
      </c>
      <c r="O78" s="6">
        <f t="shared" si="8"/>
        <v>0</v>
      </c>
      <c r="P78" s="11">
        <f t="shared" si="23"/>
        <v>1.0000000000000002</v>
      </c>
      <c r="Q78" t="str">
        <f t="shared" si="10"/>
        <v xml:space="preserve"> </v>
      </c>
    </row>
    <row r="79" spans="1:17">
      <c r="A79">
        <v>4680</v>
      </c>
      <c r="B79" t="s">
        <v>63</v>
      </c>
      <c r="C79" s="15"/>
      <c r="D79" s="6">
        <f>'Cost Allocations-Contracts'!F80</f>
        <v>11877.03</v>
      </c>
      <c r="F79" s="443">
        <f>'Hours &amp; Miles'!$I$47</f>
        <v>0.92527794713717293</v>
      </c>
      <c r="G79" s="6">
        <f t="shared" si="20"/>
        <v>10989.553936486618</v>
      </c>
      <c r="I79" s="443">
        <f>'Hours &amp; Miles'!$J$47</f>
        <v>2.6227150666588265E-2</v>
      </c>
      <c r="J79" s="6">
        <f t="shared" si="21"/>
        <v>311.50065528158882</v>
      </c>
      <c r="L79" s="443">
        <f>'Hours &amp; Miles'!$K$47</f>
        <v>4.8494902196238879E-2</v>
      </c>
      <c r="M79" s="6">
        <f t="shared" si="22"/>
        <v>575.97540823179509</v>
      </c>
      <c r="O79" s="6">
        <f t="shared" si="8"/>
        <v>11877.030000000002</v>
      </c>
      <c r="P79" s="11">
        <f t="shared" si="23"/>
        <v>1.0000000000000002</v>
      </c>
      <c r="Q79" t="str">
        <f t="shared" si="10"/>
        <v xml:space="preserve"> </v>
      </c>
    </row>
    <row r="80" spans="1:17">
      <c r="A80">
        <v>4692</v>
      </c>
      <c r="B80" t="s">
        <v>64</v>
      </c>
      <c r="C80" s="26"/>
      <c r="D80" s="6">
        <f>'Cost Allocations-Contracts'!F81</f>
        <v>8550.4407139812665</v>
      </c>
      <c r="F80" s="435">
        <f>F74</f>
        <v>0.92527794713717293</v>
      </c>
      <c r="G80" s="6">
        <f t="shared" si="20"/>
        <v>7911.5342309506896</v>
      </c>
      <c r="I80" s="11">
        <f>I74</f>
        <v>2.6227150666588265E-2</v>
      </c>
      <c r="J80" s="6">
        <f t="shared" si="21"/>
        <v>224.2536968713172</v>
      </c>
      <c r="L80" s="11">
        <f>L74</f>
        <v>4.8494902196238879E-2</v>
      </c>
      <c r="M80" s="6">
        <f t="shared" si="22"/>
        <v>414.65278615926047</v>
      </c>
      <c r="O80" s="6">
        <f t="shared" si="8"/>
        <v>8550.4407139812683</v>
      </c>
      <c r="P80" s="11">
        <f t="shared" si="23"/>
        <v>1.0000000000000002</v>
      </c>
      <c r="Q80" t="str">
        <f t="shared" si="10"/>
        <v xml:space="preserve"> </v>
      </c>
    </row>
    <row r="81" spans="1:17">
      <c r="A81">
        <v>4694</v>
      </c>
      <c r="B81" t="s">
        <v>65</v>
      </c>
      <c r="C81" s="11"/>
      <c r="D81" s="6">
        <f>'Cost Allocations-Contracts'!F82</f>
        <v>0</v>
      </c>
      <c r="F81" s="435">
        <f>+$F$65</f>
        <v>0.92527794713717293</v>
      </c>
      <c r="G81" s="6">
        <f t="shared" si="20"/>
        <v>0</v>
      </c>
      <c r="I81" s="11">
        <f>+$I$65</f>
        <v>2.6227150666588265E-2</v>
      </c>
      <c r="J81" s="6">
        <f t="shared" si="21"/>
        <v>0</v>
      </c>
      <c r="L81" s="11">
        <f>+$L$65</f>
        <v>4.8494902196238879E-2</v>
      </c>
      <c r="M81" s="6">
        <f t="shared" si="22"/>
        <v>0</v>
      </c>
      <c r="O81" s="6">
        <f t="shared" si="8"/>
        <v>0</v>
      </c>
      <c r="P81" s="11">
        <f t="shared" si="23"/>
        <v>1.0000000000000002</v>
      </c>
      <c r="Q81" t="str">
        <f t="shared" si="10"/>
        <v xml:space="preserve"> </v>
      </c>
    </row>
    <row r="82" spans="1:17">
      <c r="A82">
        <v>4698</v>
      </c>
      <c r="B82" t="s">
        <v>66</v>
      </c>
      <c r="C82" s="11"/>
      <c r="D82" s="6">
        <f>'Cost Allocations-Contracts'!F83</f>
        <v>205.94243570678813</v>
      </c>
      <c r="F82" s="435">
        <f>+$F$65</f>
        <v>0.92527794713717293</v>
      </c>
      <c r="G82" s="6">
        <f t="shared" si="20"/>
        <v>190.55399413920614</v>
      </c>
      <c r="I82" s="11">
        <f>+$I$65</f>
        <v>2.6227150666588265E-2</v>
      </c>
      <c r="J82" s="6">
        <f t="shared" si="21"/>
        <v>5.4012832899260994</v>
      </c>
      <c r="L82" s="11">
        <f>+$L$65</f>
        <v>4.8494902196238879E-2</v>
      </c>
      <c r="M82" s="6">
        <f t="shared" si="22"/>
        <v>9.9871582776559045</v>
      </c>
      <c r="O82" s="6">
        <f t="shared" si="8"/>
        <v>205.94243570678816</v>
      </c>
      <c r="P82" s="11">
        <f t="shared" si="23"/>
        <v>1.0000000000000002</v>
      </c>
      <c r="Q82" t="str">
        <f t="shared" si="10"/>
        <v xml:space="preserve"> </v>
      </c>
    </row>
    <row r="83" spans="1:17">
      <c r="A83" t="s">
        <v>19</v>
      </c>
      <c r="C83" s="11"/>
      <c r="D83" s="6"/>
      <c r="F83" s="11"/>
      <c r="G83" s="6"/>
      <c r="I83" s="11"/>
      <c r="J83" s="6"/>
      <c r="L83" s="11"/>
      <c r="M83" s="6"/>
      <c r="O83" s="6"/>
      <c r="P83" s="11"/>
    </row>
    <row r="84" spans="1:17">
      <c r="A84">
        <v>5010</v>
      </c>
      <c r="B84" t="s">
        <v>67</v>
      </c>
      <c r="C84" s="26"/>
      <c r="D84" s="6">
        <f>'Cost Allocations-Contracts'!F85</f>
        <v>228708.35288567253</v>
      </c>
      <c r="F84" s="432">
        <f>'Depr Allocation'!$N$36</f>
        <v>0.98222792509925094</v>
      </c>
      <c r="G84" s="6">
        <f>+D84*F84</f>
        <v>224643.7309077614</v>
      </c>
      <c r="I84" s="27">
        <f>'Depr Allocation'!N40</f>
        <v>7.3760911522583676E-4</v>
      </c>
      <c r="J84" s="6">
        <f>+D84*I84</f>
        <v>168.69736581675937</v>
      </c>
      <c r="L84" s="27">
        <f>'Depr Allocation'!N38</f>
        <v>1.703446578552326E-2</v>
      </c>
      <c r="M84" s="6">
        <f>+D84*L84</f>
        <v>3895.9246120943685</v>
      </c>
      <c r="O84" s="6">
        <f t="shared" si="8"/>
        <v>228708.35288567253</v>
      </c>
      <c r="P84" s="11">
        <f>+F84+I84+L84</f>
        <v>1</v>
      </c>
      <c r="Q84" t="str">
        <f t="shared" si="10"/>
        <v xml:space="preserve"> </v>
      </c>
    </row>
    <row r="85" spans="1:17">
      <c r="A85">
        <v>5100</v>
      </c>
      <c r="B85" t="s">
        <v>68</v>
      </c>
      <c r="C85" s="26"/>
      <c r="D85" s="6">
        <f>'Cost Allocations-Contracts'!F86</f>
        <v>-7977.9754802676625</v>
      </c>
      <c r="F85" s="457">
        <f>'Depr Allocation'!$N$36</f>
        <v>0.98222792509925094</v>
      </c>
      <c r="G85" s="6">
        <f>+D85*F85</f>
        <v>-7836.1903024760059</v>
      </c>
      <c r="I85" s="443">
        <f>I84</f>
        <v>7.3760911522583676E-4</v>
      </c>
      <c r="J85" s="6">
        <f>+D85*I85</f>
        <v>-5.884627435293651</v>
      </c>
      <c r="L85" s="443">
        <f>L84</f>
        <v>1.703446578552326E-2</v>
      </c>
      <c r="M85" s="6">
        <f>+D85*L85</f>
        <v>-135.900550356363</v>
      </c>
      <c r="O85" s="6">
        <f t="shared" si="8"/>
        <v>-7977.9754802676625</v>
      </c>
      <c r="P85" s="11">
        <f>+F85+I85+L85</f>
        <v>1</v>
      </c>
      <c r="Q85" t="str">
        <f t="shared" si="10"/>
        <v xml:space="preserve"> </v>
      </c>
    </row>
    <row r="86" spans="1:17">
      <c r="A86" t="s">
        <v>20</v>
      </c>
      <c r="C86" s="11"/>
      <c r="D86" s="6"/>
      <c r="F86" s="11"/>
      <c r="G86" s="6"/>
      <c r="I86" s="11"/>
      <c r="J86" s="6"/>
      <c r="L86" s="11"/>
      <c r="M86" s="6"/>
      <c r="O86" s="6"/>
      <c r="P86" s="11"/>
    </row>
    <row r="87" spans="1:17">
      <c r="A87">
        <v>5151</v>
      </c>
      <c r="B87" t="s">
        <v>69</v>
      </c>
      <c r="C87" s="15"/>
      <c r="D87" s="6">
        <f>'Cost Allocations-Contracts'!F88</f>
        <v>0</v>
      </c>
      <c r="F87" s="433">
        <v>1</v>
      </c>
      <c r="G87" s="6">
        <f>+D87*F87</f>
        <v>0</v>
      </c>
      <c r="I87" s="15">
        <v>0</v>
      </c>
      <c r="J87" s="6">
        <f>+D87*I87</f>
        <v>0</v>
      </c>
      <c r="L87" s="15">
        <v>0</v>
      </c>
      <c r="M87" s="6">
        <f>+D87*L87</f>
        <v>0</v>
      </c>
      <c r="O87" s="6">
        <f t="shared" si="8"/>
        <v>0</v>
      </c>
      <c r="P87" s="11">
        <f>+F87+I87+L87</f>
        <v>1</v>
      </c>
      <c r="Q87" t="str">
        <f t="shared" si="10"/>
        <v xml:space="preserve"> </v>
      </c>
    </row>
    <row r="88" spans="1:17">
      <c r="A88" t="s">
        <v>21</v>
      </c>
      <c r="C88" s="11"/>
      <c r="D88" s="6"/>
      <c r="F88" s="11"/>
      <c r="G88" s="6"/>
      <c r="I88" s="11"/>
      <c r="J88" s="6"/>
      <c r="L88" s="11"/>
      <c r="M88" s="6"/>
      <c r="O88" s="6"/>
      <c r="P88" s="11"/>
    </row>
    <row r="89" spans="1:17">
      <c r="A89">
        <v>5220</v>
      </c>
      <c r="B89" t="s">
        <v>70</v>
      </c>
      <c r="C89" s="11"/>
      <c r="D89" s="6">
        <f>'Cost Allocations-Contracts'!F90</f>
        <v>5682.0880157431275</v>
      </c>
      <c r="F89" s="435">
        <f>+F26</f>
        <v>0.96679717943218291</v>
      </c>
      <c r="G89" s="6">
        <f t="shared" ref="G89:G96" si="24">+D89*F89</f>
        <v>5493.4266669058643</v>
      </c>
      <c r="I89" s="11">
        <f>+I26</f>
        <v>3.3202820567817128E-2</v>
      </c>
      <c r="J89" s="6">
        <f t="shared" ref="J89:J96" si="25">+D89*I89</f>
        <v>188.66134883726312</v>
      </c>
      <c r="L89" s="11">
        <f>+L26</f>
        <v>0</v>
      </c>
      <c r="M89" s="6">
        <f t="shared" ref="M89:M96" si="26">+D89*L89</f>
        <v>0</v>
      </c>
      <c r="O89" s="6">
        <f t="shared" si="8"/>
        <v>5682.0880157431275</v>
      </c>
      <c r="P89" s="11">
        <f t="shared" ref="P89:P96" si="27">+F89+I89+L89</f>
        <v>1</v>
      </c>
      <c r="Q89" t="str">
        <f t="shared" si="10"/>
        <v xml:space="preserve"> </v>
      </c>
    </row>
    <row r="90" spans="1:17">
      <c r="A90">
        <v>5230</v>
      </c>
      <c r="B90" t="s">
        <v>71</v>
      </c>
      <c r="C90" s="11"/>
      <c r="D90" s="6">
        <f>'Cost Allocations-Contracts'!F91</f>
        <v>2218.7145563770796</v>
      </c>
      <c r="F90" s="434">
        <f>+F28</f>
        <v>1</v>
      </c>
      <c r="G90" s="6">
        <f t="shared" si="24"/>
        <v>2218.7145563770796</v>
      </c>
      <c r="I90" s="88">
        <f>+I28</f>
        <v>0</v>
      </c>
      <c r="J90" s="6">
        <f t="shared" si="25"/>
        <v>0</v>
      </c>
      <c r="L90" s="88">
        <f>+L28</f>
        <v>0</v>
      </c>
      <c r="M90" s="6">
        <f t="shared" si="26"/>
        <v>0</v>
      </c>
      <c r="O90" s="6">
        <f t="shared" si="8"/>
        <v>2218.7145563770796</v>
      </c>
      <c r="P90" s="11">
        <f t="shared" si="27"/>
        <v>1</v>
      </c>
      <c r="Q90" t="str">
        <f t="shared" si="10"/>
        <v xml:space="preserve"> </v>
      </c>
    </row>
    <row r="91" spans="1:17">
      <c r="A91">
        <v>5240</v>
      </c>
      <c r="B91" t="s">
        <v>72</v>
      </c>
      <c r="C91" s="10">
        <v>7.6499999999999999E-2</v>
      </c>
      <c r="D91" s="6">
        <f>'Cost Allocations-Contracts'!F92</f>
        <v>44016.853770167909</v>
      </c>
      <c r="F91" s="435">
        <f>G91/D91</f>
        <v>0.92781511408468231</v>
      </c>
      <c r="G91" s="6">
        <f>D91-J91-M91</f>
        <v>40839.502202417119</v>
      </c>
      <c r="I91" s="11">
        <f>J91/D91</f>
        <v>2.6681532498368472E-2</v>
      </c>
      <c r="J91" s="6">
        <f>+J116*C91</f>
        <v>1174.4371143446679</v>
      </c>
      <c r="L91" s="11">
        <f>M91/D91</f>
        <v>4.5503353416949145E-2</v>
      </c>
      <c r="M91" s="6">
        <f>+M116*C91</f>
        <v>2002.9144534061206</v>
      </c>
      <c r="O91" s="6">
        <f t="shared" si="8"/>
        <v>44016.853770167909</v>
      </c>
      <c r="P91" s="11">
        <f t="shared" si="27"/>
        <v>0.99999999999999989</v>
      </c>
      <c r="Q91" t="str">
        <f t="shared" si="10"/>
        <v xml:space="preserve"> </v>
      </c>
    </row>
    <row r="92" spans="1:17">
      <c r="A92">
        <v>5241</v>
      </c>
      <c r="B92" t="s">
        <v>73</v>
      </c>
      <c r="C92" s="11">
        <v>6.0000000000000001E-3</v>
      </c>
      <c r="D92" s="6">
        <f>'Cost Allocations-Contracts'!F93</f>
        <v>537.56231944360843</v>
      </c>
      <c r="F92" s="435">
        <f>G92/D92</f>
        <v>0.53641831743823398</v>
      </c>
      <c r="G92" s="6">
        <f>D92-J92-M92</f>
        <v>288.35827491413488</v>
      </c>
      <c r="I92" s="11">
        <f>J92/D92</f>
        <v>0.17135262558190711</v>
      </c>
      <c r="J92" s="6">
        <f>J116*C92</f>
        <v>92.112714850562185</v>
      </c>
      <c r="L92" s="11">
        <f>M92/D92</f>
        <v>0.29222905697985901</v>
      </c>
      <c r="M92" s="6">
        <f>M116*C92</f>
        <v>157.09132967891142</v>
      </c>
      <c r="O92" s="6">
        <f t="shared" si="8"/>
        <v>537.56231944360843</v>
      </c>
      <c r="P92" s="11">
        <f t="shared" si="27"/>
        <v>1</v>
      </c>
      <c r="Q92" t="str">
        <f t="shared" si="10"/>
        <v xml:space="preserve"> </v>
      </c>
    </row>
    <row r="93" spans="1:17">
      <c r="A93">
        <v>5242</v>
      </c>
      <c r="B93" t="s">
        <v>74</v>
      </c>
      <c r="C93" s="101">
        <v>1.2999999999999999E-3</v>
      </c>
      <c r="D93" s="6">
        <f>'Cost Allocations-Contracts'!F94</f>
        <v>3532.8510770662451</v>
      </c>
      <c r="F93" s="435">
        <f>G93/D93</f>
        <v>0.98471653390697389</v>
      </c>
      <c r="G93" s="6">
        <f>D93-J93-M93</f>
        <v>3478.8568674181925</v>
      </c>
      <c r="I93" s="11">
        <f>J93/D93</f>
        <v>5.649192238485699E-3</v>
      </c>
      <c r="J93" s="6">
        <f>J116*C93</f>
        <v>19.957754884288473</v>
      </c>
      <c r="L93" s="11">
        <f>M93/D93</f>
        <v>9.6342738545403782E-3</v>
      </c>
      <c r="M93" s="6">
        <f>M116*C93</f>
        <v>34.036454763764141</v>
      </c>
      <c r="O93" s="6">
        <f t="shared" si="8"/>
        <v>3532.8510770662451</v>
      </c>
      <c r="P93" s="11">
        <f t="shared" si="27"/>
        <v>1</v>
      </c>
      <c r="Q93" t="str">
        <f t="shared" si="10"/>
        <v xml:space="preserve"> </v>
      </c>
    </row>
    <row r="94" spans="1:17">
      <c r="A94">
        <v>5260</v>
      </c>
      <c r="B94" t="s">
        <v>75</v>
      </c>
      <c r="C94" s="11"/>
      <c r="D94" s="6">
        <f>'Cost Allocations-Contracts'!F95</f>
        <v>44766.075828181623</v>
      </c>
      <c r="F94" s="435">
        <f>+F22</f>
        <v>0.96316272865538066</v>
      </c>
      <c r="G94" s="6">
        <f t="shared" si="24"/>
        <v>43117.015745865094</v>
      </c>
      <c r="I94" s="11">
        <f>+I22</f>
        <v>1.2956161016476104E-2</v>
      </c>
      <c r="J94" s="6">
        <f t="shared" si="25"/>
        <v>579.99648650569998</v>
      </c>
      <c r="L94" s="11">
        <f>+L22</f>
        <v>2.3881110328143305E-2</v>
      </c>
      <c r="M94" s="6">
        <f t="shared" si="26"/>
        <v>1069.0635958108346</v>
      </c>
      <c r="O94" s="6">
        <f t="shared" si="8"/>
        <v>44766.075828181623</v>
      </c>
      <c r="P94" s="11">
        <f t="shared" si="27"/>
        <v>1</v>
      </c>
      <c r="Q94" t="str">
        <f t="shared" si="10"/>
        <v xml:space="preserve"> </v>
      </c>
    </row>
    <row r="95" spans="1:17">
      <c r="A95">
        <v>5270</v>
      </c>
      <c r="B95" t="s">
        <v>76</v>
      </c>
      <c r="C95" s="15"/>
      <c r="D95" s="6">
        <f>'Cost Allocations-Contracts'!F96</f>
        <v>7041.33</v>
      </c>
      <c r="F95" s="433">
        <v>1</v>
      </c>
      <c r="G95" s="6">
        <f t="shared" si="24"/>
        <v>7041.33</v>
      </c>
      <c r="I95" s="15">
        <v>0</v>
      </c>
      <c r="J95" s="6">
        <f t="shared" si="25"/>
        <v>0</v>
      </c>
      <c r="L95" s="15">
        <v>0</v>
      </c>
      <c r="M95" s="6">
        <f t="shared" si="26"/>
        <v>0</v>
      </c>
      <c r="O95" s="6">
        <f t="shared" si="8"/>
        <v>7041.33</v>
      </c>
      <c r="P95" s="11">
        <f t="shared" si="27"/>
        <v>1</v>
      </c>
      <c r="Q95" t="str">
        <f t="shared" si="10"/>
        <v xml:space="preserve"> </v>
      </c>
    </row>
    <row r="96" spans="1:17">
      <c r="A96">
        <v>5290</v>
      </c>
      <c r="B96" t="s">
        <v>77</v>
      </c>
      <c r="C96" s="11"/>
      <c r="D96" s="6">
        <f>'Cost Allocations-Contracts'!F97</f>
        <v>-19644.216944326126</v>
      </c>
      <c r="F96" s="435">
        <f>+F26</f>
        <v>0.96679717943218291</v>
      </c>
      <c r="G96" s="6">
        <f t="shared" si="24"/>
        <v>-18991.973533928394</v>
      </c>
      <c r="I96" s="11">
        <f>+I26</f>
        <v>3.3202820567817128E-2</v>
      </c>
      <c r="J96" s="6">
        <f t="shared" si="25"/>
        <v>-652.24341039773321</v>
      </c>
      <c r="L96" s="11">
        <f>+L26</f>
        <v>0</v>
      </c>
      <c r="M96" s="6">
        <f t="shared" si="26"/>
        <v>0</v>
      </c>
      <c r="O96" s="6">
        <f t="shared" si="8"/>
        <v>-19644.216944326126</v>
      </c>
      <c r="P96" s="11">
        <f t="shared" si="27"/>
        <v>1</v>
      </c>
      <c r="Q96" t="str">
        <f t="shared" si="10"/>
        <v xml:space="preserve"> </v>
      </c>
    </row>
    <row r="97" spans="1:18">
      <c r="A97" t="s">
        <v>22</v>
      </c>
      <c r="C97" s="11"/>
      <c r="D97" s="6"/>
      <c r="F97" s="11"/>
      <c r="G97" s="6"/>
      <c r="I97" s="11"/>
      <c r="J97" s="6"/>
      <c r="L97" s="11"/>
      <c r="M97" s="6"/>
      <c r="O97" s="6"/>
      <c r="P97" s="11"/>
    </row>
    <row r="98" spans="1:18">
      <c r="A98">
        <v>5320</v>
      </c>
      <c r="B98" t="s">
        <v>78</v>
      </c>
      <c r="C98" s="11"/>
      <c r="D98" s="6">
        <f>'Cost Allocations-Contracts'!F99</f>
        <v>73693.615742481503</v>
      </c>
      <c r="F98" s="433">
        <v>1</v>
      </c>
      <c r="G98" s="6">
        <f>+D98*F98</f>
        <v>73693.615742481503</v>
      </c>
      <c r="I98" s="15">
        <v>0</v>
      </c>
      <c r="J98" s="6">
        <f>+D98*I98</f>
        <v>0</v>
      </c>
      <c r="L98" s="15">
        <v>0</v>
      </c>
      <c r="M98" s="6">
        <f>+D98*L98</f>
        <v>0</v>
      </c>
      <c r="O98" s="6">
        <f>+G98+J98+M98</f>
        <v>73693.615742481503</v>
      </c>
      <c r="P98" s="11">
        <f>+F98+I98+L98</f>
        <v>1</v>
      </c>
      <c r="Q98" t="str">
        <f>IF(P98&lt;&gt;1,"ERR"," ")</f>
        <v xml:space="preserve"> </v>
      </c>
    </row>
    <row r="99" spans="1:18" ht="13.5" thickBot="1">
      <c r="A99">
        <v>5322</v>
      </c>
      <c r="B99" s="83" t="s">
        <v>371</v>
      </c>
      <c r="C99" s="12"/>
      <c r="D99" s="7">
        <f>'Cost Allocations-Contracts'!F100</f>
        <v>28800</v>
      </c>
      <c r="E99" s="5"/>
      <c r="F99" s="437">
        <v>0</v>
      </c>
      <c r="G99" s="7">
        <f>+D99*F99</f>
        <v>0</v>
      </c>
      <c r="H99" s="5"/>
      <c r="I99" s="12">
        <f>J18/(J18+M17)</f>
        <v>0.35171337462182933</v>
      </c>
      <c r="J99" s="7">
        <f>+D99*I99</f>
        <v>10129.345189108684</v>
      </c>
      <c r="K99" s="5"/>
      <c r="L99" s="12">
        <f>M17/(J18+M17)</f>
        <v>0.64828662537817072</v>
      </c>
      <c r="M99" s="7">
        <f>+D99*L99</f>
        <v>18670.654810891316</v>
      </c>
      <c r="N99" s="5"/>
      <c r="O99" s="7">
        <f t="shared" si="8"/>
        <v>28800</v>
      </c>
      <c r="P99" s="12">
        <f>+F99+I99+L99</f>
        <v>1</v>
      </c>
      <c r="Q99" t="str">
        <f>IF(P99&lt;&gt;1,"ERR"," ")</f>
        <v xml:space="preserve"> </v>
      </c>
      <c r="R99" s="83" t="s">
        <v>375</v>
      </c>
    </row>
    <row r="100" spans="1:18">
      <c r="C100" s="11"/>
      <c r="D100" s="6"/>
      <c r="F100" s="11"/>
      <c r="I100" s="11"/>
      <c r="L100" s="11"/>
      <c r="P100" s="11"/>
    </row>
    <row r="101" spans="1:18" ht="13.5" thickBot="1">
      <c r="B101" t="s">
        <v>23</v>
      </c>
      <c r="C101" s="12"/>
      <c r="D101" s="7">
        <f>SUM(D26:D99)</f>
        <v>2293734.317333506</v>
      </c>
      <c r="E101" s="5"/>
      <c r="F101" s="12">
        <f>+G101/D101</f>
        <v>0.95367099988360882</v>
      </c>
      <c r="G101" s="7">
        <f>SUM(G26:G99)</f>
        <v>2187467.8998787915</v>
      </c>
      <c r="H101" s="5"/>
      <c r="I101" s="12">
        <f>+J101/D101</f>
        <v>1.6498161430679611E-2</v>
      </c>
      <c r="J101" s="7">
        <f>SUM(J26:J99)</f>
        <v>37842.399046457875</v>
      </c>
      <c r="K101" s="5"/>
      <c r="L101" s="12">
        <f>+M101/D101</f>
        <v>2.9830838685711829E-2</v>
      </c>
      <c r="M101" s="7">
        <f>SUM(M26:M99)</f>
        <v>68424.018408257165</v>
      </c>
      <c r="N101" s="5"/>
      <c r="O101" s="7">
        <f>SUM(O26:O99)</f>
        <v>2293734.317333506</v>
      </c>
      <c r="P101" s="12">
        <f>+F101+I101+L101</f>
        <v>1.0000000000000002</v>
      </c>
    </row>
    <row r="102" spans="1:18">
      <c r="C102" s="11"/>
      <c r="D102" s="6"/>
      <c r="F102" s="11"/>
      <c r="G102" s="6"/>
      <c r="I102" s="11"/>
      <c r="J102" s="6"/>
      <c r="L102" s="11"/>
      <c r="M102" s="6"/>
      <c r="O102" s="6"/>
      <c r="P102" s="11"/>
    </row>
    <row r="103" spans="1:18" ht="13.5" thickBot="1">
      <c r="B103" t="s">
        <v>24</v>
      </c>
      <c r="C103" s="14"/>
      <c r="D103" s="8">
        <f>+D22-D101</f>
        <v>237262.32266649371</v>
      </c>
      <c r="E103" s="13"/>
      <c r="F103" s="14">
        <f>+G103/D103</f>
        <v>1.0549240490789267</v>
      </c>
      <c r="G103" s="8">
        <f>+G22-G101</f>
        <v>250293.73012120835</v>
      </c>
      <c r="H103" s="13"/>
      <c r="I103" s="14">
        <f>+J103/D103</f>
        <v>-2.1286140124139881E-2</v>
      </c>
      <c r="J103" s="8">
        <f>+J22-J101</f>
        <v>-5050.3990464578746</v>
      </c>
      <c r="K103" s="13"/>
      <c r="L103" s="14">
        <f>+M103/D103</f>
        <v>-3.3637908954788513E-2</v>
      </c>
      <c r="M103" s="8">
        <f>+M22-M101</f>
        <v>-7981.0084082571702</v>
      </c>
      <c r="N103" s="13"/>
      <c r="O103" s="8">
        <f>+O22-O101</f>
        <v>237262.32266649371</v>
      </c>
      <c r="P103" s="14">
        <f>+F103+I103+L103</f>
        <v>0.99999999999999822</v>
      </c>
    </row>
    <row r="104" spans="1:18" ht="13.5" thickTop="1">
      <c r="C104" s="11"/>
      <c r="D104" s="6"/>
      <c r="F104" s="11"/>
      <c r="G104" s="6"/>
      <c r="I104" s="11"/>
      <c r="J104" s="6"/>
      <c r="L104" s="11"/>
      <c r="M104" s="6"/>
      <c r="O104" s="6"/>
      <c r="P104" s="11"/>
    </row>
    <row r="105" spans="1:18">
      <c r="B105" t="s">
        <v>103</v>
      </c>
      <c r="C105" s="11"/>
      <c r="D105" s="10">
        <f>+D101/D22</f>
        <v>0.9062573537567028</v>
      </c>
      <c r="F105" s="11"/>
      <c r="G105" s="10">
        <f>+G101/G22</f>
        <v>0.89732641327970675</v>
      </c>
      <c r="I105" s="11"/>
      <c r="J105" s="10">
        <f>+J101/J22</f>
        <v>1.154013144866366</v>
      </c>
      <c r="L105" s="11"/>
      <c r="M105" s="10">
        <f>+M101/M22</f>
        <v>1.1320418756156778</v>
      </c>
      <c r="O105" s="10">
        <f>+O101/O22</f>
        <v>0.9062573537567028</v>
      </c>
      <c r="P105" s="11"/>
    </row>
    <row r="107" spans="1:18">
      <c r="J107" s="83" t="s">
        <v>327</v>
      </c>
    </row>
    <row r="116" spans="2:18">
      <c r="B116" s="83" t="s">
        <v>366</v>
      </c>
      <c r="D116" s="79">
        <f>+D26+D27+D28+D29+D30+D41+D42+D43+D44+D45+D65+D66+D67</f>
        <v>627815.55476289929</v>
      </c>
      <c r="G116" s="79">
        <f>+G26+G27+G28+G29+G30+G41+G42+G43+G44+G45+G65+G66+G67</f>
        <v>586281.54734132043</v>
      </c>
      <c r="J116" s="79">
        <f>+J26+J27+J28+J29+J30+J41+J42+J43+J44+J45+J65+J66+J67</f>
        <v>15352.119141760364</v>
      </c>
      <c r="M116" s="79">
        <f>+M26+M27+M28+M29+M30+M41+M42+M43+M44+M45+M65+M66+M67</f>
        <v>26181.88827981857</v>
      </c>
      <c r="R116" s="102">
        <f>SUM(G116+J116+M116)</f>
        <v>627815.55476289941</v>
      </c>
    </row>
  </sheetData>
  <mergeCells count="10">
    <mergeCell ref="C7:D7"/>
    <mergeCell ref="C8:D8"/>
    <mergeCell ref="I6:J6"/>
    <mergeCell ref="L6:M6"/>
    <mergeCell ref="F7:G7"/>
    <mergeCell ref="I7:J7"/>
    <mergeCell ref="L7:M7"/>
    <mergeCell ref="F8:G8"/>
    <mergeCell ref="I8:J8"/>
    <mergeCell ref="L8:M8"/>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workbookViewId="0">
      <selection activeCell="E4" sqref="E4"/>
    </sheetView>
  </sheetViews>
  <sheetFormatPr defaultRowHeight="12.75"/>
  <cols>
    <col min="1" max="1" width="6.5703125" customWidth="1"/>
    <col min="2" max="2" width="23.28515625" customWidth="1"/>
    <col min="4" max="4" width="12.7109375" customWidth="1"/>
    <col min="7" max="7" width="13" customWidth="1"/>
    <col min="9" max="9" width="12.28515625" bestFit="1" customWidth="1"/>
    <col min="10" max="10" width="13.5703125" customWidth="1"/>
    <col min="12" max="12" width="12" customWidth="1"/>
  </cols>
  <sheetData>
    <row r="1" spans="1:14">
      <c r="A1" t="s">
        <v>0</v>
      </c>
    </row>
    <row r="3" spans="1:14">
      <c r="A3" s="83" t="s">
        <v>368</v>
      </c>
      <c r="E3" s="693" t="s">
        <v>1414</v>
      </c>
      <c r="F3" s="693" t="s">
        <v>702</v>
      </c>
    </row>
    <row r="5" spans="1:14">
      <c r="A5" s="693" t="s">
        <v>1416</v>
      </c>
    </row>
    <row r="6" spans="1:14">
      <c r="A6" s="83"/>
      <c r="I6" s="745"/>
      <c r="J6" s="744"/>
    </row>
    <row r="7" spans="1:14">
      <c r="A7" s="1"/>
      <c r="C7" s="745" t="s">
        <v>346</v>
      </c>
      <c r="D7" s="744"/>
      <c r="F7" s="744" t="s">
        <v>105</v>
      </c>
      <c r="G7" s="744"/>
      <c r="I7" s="745" t="s">
        <v>263</v>
      </c>
      <c r="J7" s="744"/>
    </row>
    <row r="8" spans="1:14">
      <c r="C8" s="745" t="s">
        <v>369</v>
      </c>
      <c r="D8" s="744"/>
      <c r="F8" s="744" t="s">
        <v>106</v>
      </c>
      <c r="G8" s="744"/>
      <c r="I8" s="744" t="s">
        <v>106</v>
      </c>
      <c r="J8" s="744"/>
      <c r="L8" s="2" t="s">
        <v>2</v>
      </c>
      <c r="M8" s="2" t="s">
        <v>2</v>
      </c>
    </row>
    <row r="9" spans="1:14" ht="13.5" thickBot="1">
      <c r="C9" s="3"/>
      <c r="D9" s="3" t="s">
        <v>108</v>
      </c>
      <c r="E9" s="3"/>
      <c r="F9" s="3" t="s">
        <v>107</v>
      </c>
      <c r="G9" s="3" t="s">
        <v>108</v>
      </c>
      <c r="H9" s="3"/>
      <c r="I9" s="3" t="s">
        <v>107</v>
      </c>
      <c r="J9" s="3" t="s">
        <v>108</v>
      </c>
      <c r="K9" s="3"/>
      <c r="L9" s="3" t="s">
        <v>108</v>
      </c>
      <c r="M9" s="3" t="s">
        <v>107</v>
      </c>
    </row>
    <row r="10" spans="1:14" ht="13.5" thickTop="1"/>
    <row r="11" spans="1:14">
      <c r="A11" t="s">
        <v>3</v>
      </c>
    </row>
    <row r="12" spans="1:14">
      <c r="A12">
        <v>3100</v>
      </c>
      <c r="B12" t="s">
        <v>5</v>
      </c>
      <c r="C12" s="15"/>
      <c r="D12" s="6">
        <f>'Cost Allocations-Recycle'!G12</f>
        <v>1870785.01</v>
      </c>
      <c r="F12" s="26">
        <v>1</v>
      </c>
      <c r="G12" s="6">
        <f t="shared" ref="G12:G20" si="0">+D12*F12</f>
        <v>1870785.01</v>
      </c>
      <c r="I12" s="11"/>
      <c r="J12" s="6">
        <f t="shared" ref="J12:J20" si="1">+D12*I12</f>
        <v>0</v>
      </c>
      <c r="L12" s="6">
        <f>+G12+J12</f>
        <v>1870785.01</v>
      </c>
      <c r="M12" s="11">
        <f>+F12+I12</f>
        <v>1</v>
      </c>
      <c r="N12" t="str">
        <f t="shared" ref="N12:N20" si="2">IF(M12&lt;&gt;1,"ERR"," ")</f>
        <v xml:space="preserve"> </v>
      </c>
    </row>
    <row r="13" spans="1:14">
      <c r="A13">
        <v>3112</v>
      </c>
      <c r="B13" t="s">
        <v>6</v>
      </c>
      <c r="C13" s="15"/>
      <c r="D13" s="6">
        <f>'Cost Allocations-Recycle'!G13</f>
        <v>0</v>
      </c>
      <c r="F13" s="26">
        <v>1</v>
      </c>
      <c r="G13" s="6">
        <f t="shared" si="0"/>
        <v>0</v>
      </c>
      <c r="I13" s="15"/>
      <c r="J13" s="6">
        <f t="shared" si="1"/>
        <v>0</v>
      </c>
      <c r="L13" s="6">
        <f t="shared" ref="L13:L20" si="3">+G13+J13</f>
        <v>0</v>
      </c>
      <c r="M13" s="11">
        <f t="shared" ref="M13:M20" si="4">+F13+I13</f>
        <v>1</v>
      </c>
      <c r="N13" t="str">
        <f t="shared" si="2"/>
        <v xml:space="preserve"> </v>
      </c>
    </row>
    <row r="14" spans="1:14">
      <c r="A14">
        <v>3114</v>
      </c>
      <c r="B14" t="s">
        <v>7</v>
      </c>
      <c r="C14" s="15"/>
      <c r="D14" s="6">
        <f>'Cost Allocations-Recycle'!G14</f>
        <v>0</v>
      </c>
      <c r="F14" s="26">
        <v>1</v>
      </c>
      <c r="G14" s="6">
        <f t="shared" si="0"/>
        <v>0</v>
      </c>
      <c r="I14" s="11"/>
      <c r="J14" s="6">
        <f t="shared" si="1"/>
        <v>0</v>
      </c>
      <c r="L14" s="6">
        <f t="shared" si="3"/>
        <v>0</v>
      </c>
      <c r="M14" s="11">
        <f t="shared" si="4"/>
        <v>1</v>
      </c>
      <c r="N14" t="str">
        <f t="shared" si="2"/>
        <v xml:space="preserve"> </v>
      </c>
    </row>
    <row r="15" spans="1:14">
      <c r="A15">
        <v>3300</v>
      </c>
      <c r="B15" t="s">
        <v>8</v>
      </c>
      <c r="C15" s="15"/>
      <c r="D15" s="6">
        <f>'Cost Allocations-Recycle'!G15</f>
        <v>242661.77999999997</v>
      </c>
      <c r="F15" s="26">
        <v>0</v>
      </c>
      <c r="G15" s="6">
        <f t="shared" si="0"/>
        <v>0</v>
      </c>
      <c r="I15" s="11">
        <v>1</v>
      </c>
      <c r="J15" s="6">
        <f t="shared" si="1"/>
        <v>242661.77999999997</v>
      </c>
      <c r="L15" s="6">
        <f t="shared" si="3"/>
        <v>242661.77999999997</v>
      </c>
      <c r="M15" s="11">
        <f t="shared" si="4"/>
        <v>1</v>
      </c>
      <c r="N15" t="str">
        <f t="shared" si="2"/>
        <v xml:space="preserve"> </v>
      </c>
    </row>
    <row r="16" spans="1:14">
      <c r="A16">
        <v>3310</v>
      </c>
      <c r="B16" t="s">
        <v>9</v>
      </c>
      <c r="C16" s="15"/>
      <c r="D16" s="6">
        <f>'Cost Allocations-Recycle'!G16</f>
        <v>324314.84000000003</v>
      </c>
      <c r="F16" s="26">
        <v>0</v>
      </c>
      <c r="G16" s="6">
        <f t="shared" si="0"/>
        <v>0</v>
      </c>
      <c r="I16" s="11">
        <v>1</v>
      </c>
      <c r="J16" s="6">
        <f t="shared" si="1"/>
        <v>324314.84000000003</v>
      </c>
      <c r="L16" s="6">
        <f t="shared" si="3"/>
        <v>324314.84000000003</v>
      </c>
      <c r="M16" s="11">
        <f t="shared" si="4"/>
        <v>1</v>
      </c>
      <c r="N16" t="str">
        <f t="shared" si="2"/>
        <v xml:space="preserve"> </v>
      </c>
    </row>
    <row r="17" spans="1:14">
      <c r="A17">
        <v>3510</v>
      </c>
      <c r="B17" t="s">
        <v>328</v>
      </c>
      <c r="C17" s="15"/>
      <c r="D17" s="6">
        <f>'Cost Allocations-Recycle'!G17</f>
        <v>0</v>
      </c>
      <c r="F17" s="26">
        <v>1</v>
      </c>
      <c r="G17" s="6">
        <f t="shared" si="0"/>
        <v>0</v>
      </c>
      <c r="I17" s="11"/>
      <c r="J17" s="6">
        <f t="shared" si="1"/>
        <v>0</v>
      </c>
      <c r="L17" s="6">
        <f t="shared" si="3"/>
        <v>0</v>
      </c>
      <c r="M17" s="11">
        <f t="shared" si="4"/>
        <v>1</v>
      </c>
    </row>
    <row r="18" spans="1:14">
      <c r="A18">
        <v>3550</v>
      </c>
      <c r="B18" t="s">
        <v>329</v>
      </c>
      <c r="C18" s="15"/>
      <c r="D18" s="6">
        <f>'Cost Allocations-Recycle'!G18</f>
        <v>0</v>
      </c>
      <c r="F18" s="26">
        <v>1</v>
      </c>
      <c r="G18" s="6">
        <f t="shared" si="0"/>
        <v>0</v>
      </c>
      <c r="I18" s="88"/>
      <c r="J18" s="6">
        <f t="shared" si="1"/>
        <v>0</v>
      </c>
      <c r="L18" s="6">
        <f t="shared" si="3"/>
        <v>0</v>
      </c>
      <c r="M18" s="11">
        <f t="shared" si="4"/>
        <v>1</v>
      </c>
    </row>
    <row r="19" spans="1:14">
      <c r="A19">
        <v>3400</v>
      </c>
      <c r="B19" t="s">
        <v>10</v>
      </c>
      <c r="C19" s="15"/>
      <c r="D19" s="6">
        <f>'Cost Allocations-Recycle'!G19</f>
        <v>0</v>
      </c>
      <c r="F19" s="26">
        <v>1</v>
      </c>
      <c r="G19" s="6">
        <f t="shared" si="0"/>
        <v>0</v>
      </c>
      <c r="I19" s="11"/>
      <c r="J19" s="6">
        <f t="shared" si="1"/>
        <v>0</v>
      </c>
      <c r="L19" s="6">
        <f t="shared" si="3"/>
        <v>0</v>
      </c>
      <c r="M19" s="11">
        <f t="shared" si="4"/>
        <v>1</v>
      </c>
      <c r="N19" t="str">
        <f t="shared" si="2"/>
        <v xml:space="preserve"> </v>
      </c>
    </row>
    <row r="20" spans="1:14" ht="13.5" thickBot="1">
      <c r="A20">
        <v>3500</v>
      </c>
      <c r="B20" t="s">
        <v>11</v>
      </c>
      <c r="C20" s="25"/>
      <c r="D20" s="7">
        <f>'Cost Allocations-Recycle'!G20</f>
        <v>0</v>
      </c>
      <c r="E20" s="5"/>
      <c r="F20" s="105">
        <v>1</v>
      </c>
      <c r="G20" s="7">
        <f t="shared" si="0"/>
        <v>0</v>
      </c>
      <c r="H20" s="5"/>
      <c r="I20" s="12"/>
      <c r="J20" s="7">
        <f t="shared" si="1"/>
        <v>0</v>
      </c>
      <c r="K20" s="5"/>
      <c r="L20" s="7">
        <f t="shared" si="3"/>
        <v>0</v>
      </c>
      <c r="M20" s="12">
        <f t="shared" si="4"/>
        <v>1</v>
      </c>
      <c r="N20" t="str">
        <f t="shared" si="2"/>
        <v xml:space="preserve"> </v>
      </c>
    </row>
    <row r="21" spans="1:14">
      <c r="C21" s="11"/>
      <c r="D21" s="6"/>
      <c r="F21" s="11"/>
      <c r="I21" s="11"/>
      <c r="M21" s="11"/>
    </row>
    <row r="22" spans="1:14" ht="13.5" thickBot="1">
      <c r="B22" t="s">
        <v>4</v>
      </c>
      <c r="C22" s="12"/>
      <c r="D22" s="7">
        <f>SUM(D12:D20)</f>
        <v>2437761.63</v>
      </c>
      <c r="E22" s="5"/>
      <c r="F22" s="12">
        <f>+G22/D22</f>
        <v>0.7674191713321864</v>
      </c>
      <c r="G22" s="7">
        <f>SUM(G12:G20)</f>
        <v>1870785.01</v>
      </c>
      <c r="H22" s="5"/>
      <c r="I22" s="12">
        <f>+J22/D22</f>
        <v>0.2325808286678136</v>
      </c>
      <c r="J22" s="7">
        <f>SUM(J12:J20)</f>
        <v>566976.62</v>
      </c>
      <c r="K22" s="5"/>
      <c r="L22" s="7">
        <f>SUM(L12:L20)</f>
        <v>2437761.63</v>
      </c>
      <c r="M22" s="12">
        <f>+F22+I22</f>
        <v>1</v>
      </c>
    </row>
    <row r="23" spans="1:14">
      <c r="C23" s="11"/>
      <c r="D23" s="6"/>
      <c r="F23" s="11"/>
      <c r="I23" s="11"/>
      <c r="M23" s="11"/>
    </row>
    <row r="24" spans="1:14">
      <c r="A24" t="s">
        <v>12</v>
      </c>
      <c r="C24" s="11"/>
      <c r="D24" s="6"/>
      <c r="F24" s="11"/>
      <c r="I24" s="11"/>
      <c r="M24" s="11"/>
    </row>
    <row r="25" spans="1:14">
      <c r="A25" t="s">
        <v>13</v>
      </c>
      <c r="C25" s="11"/>
      <c r="D25" s="6"/>
      <c r="F25" s="11"/>
      <c r="I25" s="11"/>
      <c r="M25" s="11"/>
    </row>
    <row r="26" spans="1:14">
      <c r="A26">
        <v>4116</v>
      </c>
      <c r="B26" t="s">
        <v>29</v>
      </c>
      <c r="C26" s="26"/>
      <c r="D26" s="6">
        <f>'Cost Allocations-Recycle'!G26</f>
        <v>69878.025088750393</v>
      </c>
      <c r="F26" s="26">
        <v>1</v>
      </c>
      <c r="G26" s="6">
        <f t="shared" ref="G26:G39" si="5">+D26*F26</f>
        <v>69878.025088750393</v>
      </c>
      <c r="I26" s="26">
        <v>0</v>
      </c>
      <c r="J26" s="6">
        <f t="shared" ref="J26:J39" si="6">+D26*I26</f>
        <v>0</v>
      </c>
      <c r="L26" s="6">
        <f>+G26+J26</f>
        <v>69878.025088750393</v>
      </c>
      <c r="M26" s="11">
        <f>+F26+I26</f>
        <v>1</v>
      </c>
      <c r="N26" t="str">
        <f t="shared" ref="N26:N99" si="7">IF(M26&lt;&gt;1,"ERR"," ")</f>
        <v xml:space="preserve"> </v>
      </c>
    </row>
    <row r="27" spans="1:14">
      <c r="A27">
        <v>4117</v>
      </c>
      <c r="B27" t="s">
        <v>286</v>
      </c>
      <c r="C27" s="15"/>
      <c r="D27" s="6">
        <f>'Cost Allocations-Recycle'!G27</f>
        <v>2615</v>
      </c>
      <c r="F27" s="26">
        <v>0</v>
      </c>
      <c r="G27" s="87">
        <f t="shared" si="5"/>
        <v>0</v>
      </c>
      <c r="H27" s="83"/>
      <c r="I27" s="26">
        <v>1</v>
      </c>
      <c r="J27" s="6">
        <f t="shared" si="6"/>
        <v>2615</v>
      </c>
      <c r="L27" s="6">
        <f t="shared" ref="L27:L39" si="8">+G27+J27</f>
        <v>2615</v>
      </c>
      <c r="M27" s="11">
        <f t="shared" ref="M27:M39" si="9">+F27+I27</f>
        <v>1</v>
      </c>
      <c r="N27" t="str">
        <f t="shared" si="7"/>
        <v xml:space="preserve"> </v>
      </c>
    </row>
    <row r="28" spans="1:14">
      <c r="A28">
        <v>4118</v>
      </c>
      <c r="B28" t="s">
        <v>30</v>
      </c>
      <c r="C28" s="26"/>
      <c r="D28" s="6">
        <f>'Cost Allocations-Recycle'!G28</f>
        <v>13733.572088724584</v>
      </c>
      <c r="F28" s="26">
        <v>1</v>
      </c>
      <c r="G28" s="87">
        <f t="shared" si="5"/>
        <v>13733.572088724584</v>
      </c>
      <c r="H28" s="83"/>
      <c r="I28" s="26">
        <f>+'Hours &amp; Miles'!E28</f>
        <v>0</v>
      </c>
      <c r="J28" s="6">
        <f t="shared" si="6"/>
        <v>0</v>
      </c>
      <c r="L28" s="6">
        <f t="shared" si="8"/>
        <v>13733.572088724584</v>
      </c>
      <c r="M28" s="11">
        <f t="shared" si="9"/>
        <v>1</v>
      </c>
      <c r="N28" s="83"/>
    </row>
    <row r="29" spans="1:14">
      <c r="A29">
        <v>4120</v>
      </c>
      <c r="B29" t="s">
        <v>279</v>
      </c>
      <c r="C29" s="26"/>
      <c r="D29" s="6">
        <f>'Cost Allocations-Recycle'!G29</f>
        <v>338</v>
      </c>
      <c r="F29" s="26">
        <f>+F27</f>
        <v>0</v>
      </c>
      <c r="G29" s="87">
        <f t="shared" si="5"/>
        <v>0</v>
      </c>
      <c r="H29" s="83"/>
      <c r="I29" s="26">
        <v>1</v>
      </c>
      <c r="J29" s="6">
        <f t="shared" si="6"/>
        <v>338</v>
      </c>
      <c r="L29" s="6">
        <f t="shared" si="8"/>
        <v>338</v>
      </c>
      <c r="M29" s="11">
        <f t="shared" si="9"/>
        <v>1</v>
      </c>
      <c r="N29" t="str">
        <f t="shared" si="7"/>
        <v xml:space="preserve"> </v>
      </c>
    </row>
    <row r="30" spans="1:14">
      <c r="A30">
        <v>4122</v>
      </c>
      <c r="B30" t="s">
        <v>330</v>
      </c>
      <c r="C30" s="88"/>
      <c r="D30" s="6">
        <f>'Cost Allocations-Recycle'!G30</f>
        <v>0</v>
      </c>
      <c r="F30" s="26">
        <v>1</v>
      </c>
      <c r="G30" s="87">
        <f t="shared" si="5"/>
        <v>0</v>
      </c>
      <c r="H30" s="83"/>
      <c r="I30" s="26">
        <v>0</v>
      </c>
      <c r="J30" s="6">
        <f t="shared" si="6"/>
        <v>0</v>
      </c>
      <c r="L30" s="6">
        <f t="shared" si="8"/>
        <v>0</v>
      </c>
      <c r="M30" s="11">
        <f t="shared" si="9"/>
        <v>1</v>
      </c>
      <c r="N30" s="83"/>
    </row>
    <row r="31" spans="1:14">
      <c r="A31">
        <v>4132</v>
      </c>
      <c r="B31" t="s">
        <v>31</v>
      </c>
      <c r="C31" s="11"/>
      <c r="D31" s="6">
        <f>'Cost Allocations-Recycle'!G31</f>
        <v>34021.531966467432</v>
      </c>
      <c r="F31" s="11">
        <f>+F26</f>
        <v>1</v>
      </c>
      <c r="G31" s="6">
        <f t="shared" si="5"/>
        <v>34021.531966467432</v>
      </c>
      <c r="I31" s="11">
        <f>+I26</f>
        <v>0</v>
      </c>
      <c r="J31" s="6">
        <f t="shared" si="6"/>
        <v>0</v>
      </c>
      <c r="L31" s="6">
        <f t="shared" si="8"/>
        <v>34021.531966467432</v>
      </c>
      <c r="M31" s="11">
        <f t="shared" si="9"/>
        <v>1</v>
      </c>
      <c r="N31" t="str">
        <f t="shared" si="7"/>
        <v xml:space="preserve"> </v>
      </c>
    </row>
    <row r="32" spans="1:14">
      <c r="A32">
        <v>4133</v>
      </c>
      <c r="B32" t="s">
        <v>280</v>
      </c>
      <c r="C32" s="11"/>
      <c r="D32" s="6">
        <f>'Cost Allocations-Recycle'!G32</f>
        <v>4755.2</v>
      </c>
      <c r="F32" s="11">
        <f>+F27</f>
        <v>0</v>
      </c>
      <c r="G32" s="6">
        <f t="shared" si="5"/>
        <v>0</v>
      </c>
      <c r="I32" s="11">
        <f>+I27</f>
        <v>1</v>
      </c>
      <c r="J32" s="6">
        <f t="shared" si="6"/>
        <v>4755.2</v>
      </c>
      <c r="L32" s="6">
        <f t="shared" si="8"/>
        <v>4755.2</v>
      </c>
      <c r="M32" s="11">
        <f t="shared" si="9"/>
        <v>1</v>
      </c>
      <c r="N32" t="str">
        <f t="shared" si="7"/>
        <v xml:space="preserve"> </v>
      </c>
    </row>
    <row r="33" spans="1:14">
      <c r="A33">
        <v>4134</v>
      </c>
      <c r="B33" t="s">
        <v>32</v>
      </c>
      <c r="C33" s="11"/>
      <c r="D33" s="6">
        <f>'Cost Allocations-Recycle'!G33</f>
        <v>9385.61</v>
      </c>
      <c r="F33" s="11">
        <f>+F28</f>
        <v>1</v>
      </c>
      <c r="G33" s="6">
        <f t="shared" si="5"/>
        <v>9385.61</v>
      </c>
      <c r="I33" s="11">
        <f>+I28</f>
        <v>0</v>
      </c>
      <c r="J33" s="6">
        <f t="shared" si="6"/>
        <v>0</v>
      </c>
      <c r="L33" s="6">
        <f t="shared" si="8"/>
        <v>9385.61</v>
      </c>
      <c r="M33" s="11">
        <f t="shared" si="9"/>
        <v>1</v>
      </c>
      <c r="N33" t="str">
        <f t="shared" si="7"/>
        <v xml:space="preserve"> </v>
      </c>
    </row>
    <row r="34" spans="1:14">
      <c r="A34">
        <v>4136</v>
      </c>
      <c r="B34" t="s">
        <v>281</v>
      </c>
      <c r="C34" s="11"/>
      <c r="D34" s="6">
        <f>'Cost Allocations-Recycle'!G34</f>
        <v>0</v>
      </c>
      <c r="F34" s="11">
        <f>+F27</f>
        <v>0</v>
      </c>
      <c r="G34" s="6">
        <f t="shared" si="5"/>
        <v>0</v>
      </c>
      <c r="I34" s="11">
        <f>+I29</f>
        <v>1</v>
      </c>
      <c r="J34" s="6">
        <f t="shared" si="6"/>
        <v>0</v>
      </c>
      <c r="L34" s="6">
        <f t="shared" si="8"/>
        <v>0</v>
      </c>
      <c r="M34" s="11">
        <f t="shared" si="9"/>
        <v>1</v>
      </c>
      <c r="N34" t="str">
        <f t="shared" si="7"/>
        <v xml:space="preserve"> </v>
      </c>
    </row>
    <row r="35" spans="1:14">
      <c r="A35">
        <v>4138</v>
      </c>
      <c r="B35" t="s">
        <v>331</v>
      </c>
      <c r="C35" s="11"/>
      <c r="D35" s="6">
        <f>'Cost Allocations-Recycle'!G35</f>
        <v>0</v>
      </c>
      <c r="F35" s="11">
        <v>1</v>
      </c>
      <c r="G35" s="6">
        <f t="shared" si="5"/>
        <v>0</v>
      </c>
      <c r="I35" s="11">
        <f>+I30</f>
        <v>0</v>
      </c>
      <c r="J35" s="6">
        <f t="shared" si="6"/>
        <v>0</v>
      </c>
      <c r="L35" s="6">
        <f t="shared" si="8"/>
        <v>0</v>
      </c>
      <c r="M35" s="11">
        <f t="shared" si="9"/>
        <v>1</v>
      </c>
      <c r="N35" t="str">
        <f>IF(M35&lt;&gt;1,"ERR"," ")</f>
        <v xml:space="preserve"> </v>
      </c>
    </row>
    <row r="36" spans="1:14">
      <c r="A36">
        <v>4160</v>
      </c>
      <c r="B36" t="s">
        <v>33</v>
      </c>
      <c r="C36" s="26"/>
      <c r="D36" s="6">
        <f>'Cost Allocations-Recycle'!G36</f>
        <v>16311.417067689647</v>
      </c>
      <c r="F36" s="26">
        <v>1</v>
      </c>
      <c r="G36" s="6">
        <f t="shared" si="5"/>
        <v>16311.417067689647</v>
      </c>
      <c r="I36" s="26">
        <v>0</v>
      </c>
      <c r="J36" s="6">
        <f t="shared" si="6"/>
        <v>0</v>
      </c>
      <c r="L36" s="6">
        <f t="shared" si="8"/>
        <v>16311.417067689647</v>
      </c>
      <c r="M36" s="11">
        <f t="shared" si="9"/>
        <v>1</v>
      </c>
      <c r="N36" t="str">
        <f t="shared" si="7"/>
        <v xml:space="preserve"> </v>
      </c>
    </row>
    <row r="37" spans="1:14">
      <c r="A37">
        <v>4161</v>
      </c>
      <c r="B37" t="s">
        <v>282</v>
      </c>
      <c r="C37" s="26"/>
      <c r="D37" s="6">
        <f>'Cost Allocations-Recycle'!G37</f>
        <v>3649.63</v>
      </c>
      <c r="F37" s="26">
        <f>+F27</f>
        <v>0</v>
      </c>
      <c r="G37" s="6">
        <f t="shared" si="5"/>
        <v>0</v>
      </c>
      <c r="I37" s="26">
        <v>1</v>
      </c>
      <c r="J37" s="6">
        <f t="shared" si="6"/>
        <v>3649.63</v>
      </c>
      <c r="L37" s="6">
        <f t="shared" si="8"/>
        <v>3649.63</v>
      </c>
      <c r="M37" s="11">
        <f t="shared" si="9"/>
        <v>1</v>
      </c>
      <c r="N37" t="str">
        <f t="shared" si="7"/>
        <v xml:space="preserve"> </v>
      </c>
    </row>
    <row r="38" spans="1:14">
      <c r="A38">
        <v>4162</v>
      </c>
      <c r="B38" t="s">
        <v>1304</v>
      </c>
      <c r="C38" s="26"/>
      <c r="D38" s="6">
        <f>'Cost Allocations-Recycle'!G38</f>
        <v>0</v>
      </c>
      <c r="F38" s="26">
        <f>+F28</f>
        <v>1</v>
      </c>
      <c r="G38" s="6">
        <f t="shared" ref="G38" si="10">+D38*F38</f>
        <v>0</v>
      </c>
      <c r="I38" s="26">
        <v>1</v>
      </c>
      <c r="J38" s="6">
        <f t="shared" ref="J38" si="11">+D38*I38</f>
        <v>0</v>
      </c>
      <c r="L38" s="6">
        <f t="shared" ref="L38" si="12">+G38+J38</f>
        <v>0</v>
      </c>
      <c r="M38" s="11">
        <f t="shared" ref="M38" si="13">+F38+I38</f>
        <v>2</v>
      </c>
      <c r="N38" t="str">
        <f t="shared" ref="N38" si="14">IF(M38&lt;&gt;1,"ERR"," ")</f>
        <v>ERR</v>
      </c>
    </row>
    <row r="39" spans="1:14">
      <c r="A39">
        <v>4180</v>
      </c>
      <c r="B39" t="s">
        <v>34</v>
      </c>
      <c r="C39" s="11"/>
      <c r="D39" s="6">
        <f>'Cost Allocations-Recycle'!G39</f>
        <v>16293.031866953082</v>
      </c>
      <c r="F39" s="11">
        <f>+F26</f>
        <v>1</v>
      </c>
      <c r="G39" s="6">
        <f t="shared" si="5"/>
        <v>16293.031866953082</v>
      </c>
      <c r="I39" s="11">
        <f>+I26</f>
        <v>0</v>
      </c>
      <c r="J39" s="6">
        <f t="shared" si="6"/>
        <v>0</v>
      </c>
      <c r="L39" s="6">
        <f t="shared" si="8"/>
        <v>16293.031866953082</v>
      </c>
      <c r="M39" s="11">
        <f t="shared" si="9"/>
        <v>1</v>
      </c>
      <c r="N39" t="str">
        <f t="shared" si="7"/>
        <v xml:space="preserve"> </v>
      </c>
    </row>
    <row r="40" spans="1:14">
      <c r="A40" t="s">
        <v>16</v>
      </c>
      <c r="C40" s="11"/>
      <c r="D40" s="6"/>
      <c r="F40" s="11"/>
      <c r="G40" s="6"/>
      <c r="I40" s="11"/>
      <c r="J40" s="6"/>
      <c r="L40" s="6"/>
      <c r="M40" s="11"/>
    </row>
    <row r="41" spans="1:14">
      <c r="A41">
        <v>4210</v>
      </c>
      <c r="B41" t="s">
        <v>35</v>
      </c>
      <c r="C41" s="11"/>
      <c r="D41" s="6">
        <f>'Cost Allocations-Recycle'!G41</f>
        <v>0</v>
      </c>
      <c r="F41" s="26">
        <f>1-I41</f>
        <v>0.88692931760120264</v>
      </c>
      <c r="G41" s="6">
        <f t="shared" ref="G41:G50" si="15">+D41*F41</f>
        <v>0</v>
      </c>
      <c r="I41" s="26">
        <f>'Hours &amp; Miles'!I80</f>
        <v>0.11307068239879735</v>
      </c>
      <c r="J41" s="6">
        <f t="shared" ref="J41:J50" si="16">+D41*I41</f>
        <v>0</v>
      </c>
      <c r="L41" s="6">
        <f t="shared" ref="L41:L50" si="17">+G41+J41</f>
        <v>0</v>
      </c>
      <c r="M41" s="11">
        <f t="shared" ref="M41:M50" si="18">+F41+I41</f>
        <v>1</v>
      </c>
      <c r="N41" t="s">
        <v>387</v>
      </c>
    </row>
    <row r="42" spans="1:14">
      <c r="A42">
        <v>4213</v>
      </c>
      <c r="B42" t="s">
        <v>36</v>
      </c>
      <c r="C42" s="11"/>
      <c r="D42" s="6">
        <f>'Cost Allocations-Recycle'!G42</f>
        <v>266344.19749630976</v>
      </c>
      <c r="F42" s="11">
        <v>1</v>
      </c>
      <c r="G42" s="6">
        <f t="shared" si="15"/>
        <v>266344.19749630976</v>
      </c>
      <c r="I42" s="11">
        <v>0</v>
      </c>
      <c r="J42" s="6">
        <f t="shared" si="16"/>
        <v>0</v>
      </c>
      <c r="L42" s="6">
        <f t="shared" si="17"/>
        <v>266344.19749630976</v>
      </c>
      <c r="M42" s="11">
        <f t="shared" si="18"/>
        <v>1</v>
      </c>
      <c r="N42" t="str">
        <f t="shared" si="7"/>
        <v xml:space="preserve"> </v>
      </c>
    </row>
    <row r="43" spans="1:14">
      <c r="A43">
        <v>4215</v>
      </c>
      <c r="B43" t="s">
        <v>37</v>
      </c>
      <c r="C43" s="26"/>
      <c r="D43" s="6">
        <f>'Cost Allocations-Recycle'!G43</f>
        <v>31237.64</v>
      </c>
      <c r="F43" s="26">
        <f>+F27</f>
        <v>0</v>
      </c>
      <c r="G43" s="6">
        <f t="shared" si="15"/>
        <v>0</v>
      </c>
      <c r="I43" s="26">
        <f>+I27</f>
        <v>1</v>
      </c>
      <c r="J43" s="6">
        <f t="shared" si="16"/>
        <v>31237.64</v>
      </c>
      <c r="L43" s="6">
        <f t="shared" si="17"/>
        <v>31237.64</v>
      </c>
      <c r="M43" s="11">
        <f t="shared" si="18"/>
        <v>1</v>
      </c>
      <c r="N43" t="str">
        <f t="shared" si="7"/>
        <v xml:space="preserve"> </v>
      </c>
    </row>
    <row r="44" spans="1:14">
      <c r="A44">
        <v>4217</v>
      </c>
      <c r="B44" t="s">
        <v>285</v>
      </c>
      <c r="C44" s="11"/>
      <c r="D44" s="6">
        <f>'Cost Allocations-Recycle'!G44</f>
        <v>11530.366345859607</v>
      </c>
      <c r="F44" s="11">
        <v>1</v>
      </c>
      <c r="G44" s="6">
        <f t="shared" si="15"/>
        <v>11530.366345859607</v>
      </c>
      <c r="I44" s="11">
        <f>'Hours &amp; Miles'!J51</f>
        <v>0</v>
      </c>
      <c r="J44" s="6">
        <f t="shared" si="16"/>
        <v>0</v>
      </c>
      <c r="L44" s="6">
        <f t="shared" si="17"/>
        <v>11530.366345859607</v>
      </c>
      <c r="M44" s="11">
        <f t="shared" si="18"/>
        <v>1</v>
      </c>
      <c r="N44" t="str">
        <f t="shared" si="7"/>
        <v xml:space="preserve"> </v>
      </c>
    </row>
    <row r="45" spans="1:14">
      <c r="A45">
        <v>4222</v>
      </c>
      <c r="B45" t="s">
        <v>332</v>
      </c>
      <c r="C45" s="11"/>
      <c r="D45" s="6">
        <f>'Cost Allocations-Recycle'!G45</f>
        <v>0</v>
      </c>
      <c r="F45" s="11">
        <v>1</v>
      </c>
      <c r="G45" s="6">
        <f t="shared" si="15"/>
        <v>0</v>
      </c>
      <c r="I45" s="11">
        <v>0</v>
      </c>
      <c r="J45" s="6">
        <f t="shared" si="16"/>
        <v>0</v>
      </c>
      <c r="L45" s="6">
        <f t="shared" si="17"/>
        <v>0</v>
      </c>
      <c r="M45" s="11">
        <f t="shared" si="18"/>
        <v>1</v>
      </c>
      <c r="N45" t="str">
        <f>IF(M45&lt;&gt;1,"ERR"," ")</f>
        <v xml:space="preserve"> </v>
      </c>
    </row>
    <row r="46" spans="1:14">
      <c r="A46">
        <v>4240</v>
      </c>
      <c r="B46" t="s">
        <v>38</v>
      </c>
      <c r="C46" s="11"/>
      <c r="D46" s="6">
        <f>'Cost Allocations-Recycle'!G46</f>
        <v>49251.183525316919</v>
      </c>
      <c r="F46" s="11">
        <f>'Hours &amp; Miles'!I74</f>
        <v>0.96404122139642612</v>
      </c>
      <c r="G46" s="6">
        <f t="shared" si="15"/>
        <v>47480.171120966064</v>
      </c>
      <c r="I46" s="11">
        <f>'Hours &amp; Miles'!J74</f>
        <v>3.5958778603573882E-2</v>
      </c>
      <c r="J46" s="6">
        <f t="shared" si="16"/>
        <v>1771.0124043508565</v>
      </c>
      <c r="L46" s="6">
        <f t="shared" si="17"/>
        <v>49251.183525316919</v>
      </c>
      <c r="M46" s="11">
        <f t="shared" si="18"/>
        <v>1</v>
      </c>
      <c r="N46" t="str">
        <f t="shared" si="7"/>
        <v xml:space="preserve"> </v>
      </c>
    </row>
    <row r="47" spans="1:14">
      <c r="A47">
        <v>4241</v>
      </c>
      <c r="B47" t="s">
        <v>283</v>
      </c>
      <c r="C47" s="11"/>
      <c r="D47" s="6">
        <f>'Cost Allocations-Recycle'!G47</f>
        <v>13080.209660599165</v>
      </c>
      <c r="F47" s="11">
        <f>+F27</f>
        <v>0</v>
      </c>
      <c r="G47" s="6">
        <f t="shared" si="15"/>
        <v>0</v>
      </c>
      <c r="I47" s="11">
        <f>+I27</f>
        <v>1</v>
      </c>
      <c r="J47" s="6">
        <f t="shared" si="16"/>
        <v>13080.209660599165</v>
      </c>
      <c r="L47" s="6">
        <f t="shared" si="17"/>
        <v>13080.209660599165</v>
      </c>
      <c r="M47" s="11">
        <f t="shared" si="18"/>
        <v>1</v>
      </c>
      <c r="N47" t="str">
        <f t="shared" si="7"/>
        <v xml:space="preserve"> </v>
      </c>
    </row>
    <row r="48" spans="1:14">
      <c r="A48">
        <v>4244</v>
      </c>
      <c r="B48" t="s">
        <v>333</v>
      </c>
      <c r="C48" s="11"/>
      <c r="D48" s="6">
        <f>'Cost Allocations-Recycle'!G48</f>
        <v>0</v>
      </c>
      <c r="F48" s="11">
        <f>F45</f>
        <v>1</v>
      </c>
      <c r="G48" s="6">
        <f t="shared" si="15"/>
        <v>0</v>
      </c>
      <c r="I48" s="11">
        <v>0</v>
      </c>
      <c r="J48" s="6">
        <f t="shared" si="16"/>
        <v>0</v>
      </c>
      <c r="L48" s="6">
        <f t="shared" si="17"/>
        <v>0</v>
      </c>
      <c r="M48" s="11">
        <f t="shared" si="18"/>
        <v>1</v>
      </c>
      <c r="N48" t="str">
        <f>IF(M48&lt;&gt;1,"ERR"," ")</f>
        <v xml:space="preserve"> </v>
      </c>
    </row>
    <row r="49" spans="1:14">
      <c r="A49">
        <v>4280</v>
      </c>
      <c r="B49" t="s">
        <v>39</v>
      </c>
      <c r="C49" s="11"/>
      <c r="D49" s="6">
        <f>'Cost Allocations-Recycle'!G49</f>
        <v>6467.7605488018817</v>
      </c>
      <c r="F49" s="11">
        <f>F42</f>
        <v>1</v>
      </c>
      <c r="G49" s="6">
        <f t="shared" si="15"/>
        <v>6467.7605488018817</v>
      </c>
      <c r="I49" s="11">
        <f>+I42</f>
        <v>0</v>
      </c>
      <c r="J49" s="6">
        <f t="shared" si="16"/>
        <v>0</v>
      </c>
      <c r="L49" s="6">
        <f t="shared" si="17"/>
        <v>6467.7605488018817</v>
      </c>
      <c r="M49" s="11">
        <f t="shared" si="18"/>
        <v>1</v>
      </c>
      <c r="N49" t="str">
        <f t="shared" si="7"/>
        <v xml:space="preserve"> </v>
      </c>
    </row>
    <row r="50" spans="1:14">
      <c r="A50">
        <v>4282</v>
      </c>
      <c r="B50" t="s">
        <v>335</v>
      </c>
      <c r="C50" s="11"/>
      <c r="D50" s="6">
        <f>'Cost Allocations-Recycle'!G50</f>
        <v>0</v>
      </c>
      <c r="F50" s="11">
        <f>F48</f>
        <v>1</v>
      </c>
      <c r="G50" s="6">
        <f t="shared" si="15"/>
        <v>0</v>
      </c>
      <c r="I50" s="11">
        <v>0</v>
      </c>
      <c r="J50" s="6">
        <f t="shared" si="16"/>
        <v>0</v>
      </c>
      <c r="L50" s="6">
        <f t="shared" si="17"/>
        <v>0</v>
      </c>
      <c r="M50" s="11">
        <f t="shared" si="18"/>
        <v>1</v>
      </c>
      <c r="N50" t="str">
        <f>IF(M50&lt;&gt;1,"ERR"," ")</f>
        <v xml:space="preserve"> </v>
      </c>
    </row>
    <row r="51" spans="1:14">
      <c r="A51" t="s">
        <v>17</v>
      </c>
      <c r="C51" s="11"/>
      <c r="D51" s="6"/>
      <c r="F51" s="11"/>
      <c r="G51" s="6"/>
      <c r="I51" s="11"/>
      <c r="J51" s="6"/>
      <c r="L51" s="6"/>
      <c r="M51" s="11"/>
    </row>
    <row r="52" spans="1:14">
      <c r="A52">
        <v>4360</v>
      </c>
      <c r="B52" t="s">
        <v>40</v>
      </c>
      <c r="C52" s="26"/>
      <c r="D52" s="6">
        <f>'Cost Allocations-Recycle'!G52</f>
        <v>426119.59597291972</v>
      </c>
      <c r="F52" s="26">
        <v>1</v>
      </c>
      <c r="G52" s="6">
        <f>+D52*F52</f>
        <v>426119.59597291972</v>
      </c>
      <c r="I52" s="26">
        <v>0</v>
      </c>
      <c r="J52" s="6">
        <f>+D52*I52</f>
        <v>0</v>
      </c>
      <c r="L52" s="6">
        <f>+G52+J52</f>
        <v>426119.59597291972</v>
      </c>
      <c r="M52" s="11">
        <f>+F52+I52</f>
        <v>1</v>
      </c>
      <c r="N52" t="str">
        <f t="shared" si="7"/>
        <v xml:space="preserve"> </v>
      </c>
    </row>
    <row r="53" spans="1:14">
      <c r="A53">
        <v>4361</v>
      </c>
      <c r="B53" t="s">
        <v>41</v>
      </c>
      <c r="C53" s="15"/>
      <c r="D53" s="6">
        <f>'Cost Allocations-Recycle'!G53</f>
        <v>213487.51000000004</v>
      </c>
      <c r="F53" s="26">
        <v>0</v>
      </c>
      <c r="G53" s="6">
        <f>+D53*F53</f>
        <v>0</v>
      </c>
      <c r="I53" s="26">
        <v>1</v>
      </c>
      <c r="J53" s="6">
        <f>+D53*I53</f>
        <v>213487.51000000004</v>
      </c>
      <c r="L53" s="6">
        <f>+G53+J53</f>
        <v>213487.51000000004</v>
      </c>
      <c r="M53" s="11">
        <f>+F53+I53</f>
        <v>1</v>
      </c>
      <c r="N53" t="str">
        <f t="shared" si="7"/>
        <v xml:space="preserve"> </v>
      </c>
    </row>
    <row r="54" spans="1:14">
      <c r="A54">
        <v>4362</v>
      </c>
      <c r="B54" t="s">
        <v>42</v>
      </c>
      <c r="C54" s="26"/>
      <c r="D54" s="6">
        <f>'Cost Allocations-Recycle'!G54</f>
        <v>110733.36706288894</v>
      </c>
      <c r="F54" s="26">
        <v>1</v>
      </c>
      <c r="G54" s="6">
        <f>+D54*F54</f>
        <v>110733.36706288894</v>
      </c>
      <c r="I54" s="26">
        <v>0</v>
      </c>
      <c r="J54" s="6">
        <f>+D54*I54</f>
        <v>0</v>
      </c>
      <c r="L54" s="6">
        <f>+G54+J54</f>
        <v>110733.36706288894</v>
      </c>
      <c r="M54" s="11">
        <f>+F54+I54</f>
        <v>1</v>
      </c>
      <c r="N54" t="str">
        <f t="shared" si="7"/>
        <v xml:space="preserve"> </v>
      </c>
    </row>
    <row r="55" spans="1:14">
      <c r="A55">
        <v>4363</v>
      </c>
      <c r="B55" t="s">
        <v>43</v>
      </c>
      <c r="C55" s="15"/>
      <c r="D55" s="6">
        <f>'Cost Allocations-Recycle'!G55</f>
        <v>110827.33</v>
      </c>
      <c r="F55" s="26">
        <v>0</v>
      </c>
      <c r="G55" s="6">
        <f>+D55*F55</f>
        <v>0</v>
      </c>
      <c r="I55" s="26">
        <v>1</v>
      </c>
      <c r="J55" s="6">
        <f>+D55*I55</f>
        <v>110827.33</v>
      </c>
      <c r="L55" s="6">
        <f>+G55+J55</f>
        <v>110827.33</v>
      </c>
      <c r="M55" s="11">
        <f>+F55+I55</f>
        <v>1</v>
      </c>
      <c r="N55" t="str">
        <f t="shared" si="7"/>
        <v xml:space="preserve"> </v>
      </c>
    </row>
    <row r="56" spans="1:14">
      <c r="A56">
        <v>4380</v>
      </c>
      <c r="B56" t="s">
        <v>336</v>
      </c>
      <c r="C56" s="15"/>
      <c r="D56" s="6">
        <f>'Cost Allocations-Recycle'!G56</f>
        <v>0</v>
      </c>
      <c r="F56" s="26">
        <v>1</v>
      </c>
      <c r="G56" s="87">
        <f>+D56*F56</f>
        <v>0</v>
      </c>
      <c r="H56" s="83"/>
      <c r="I56" s="26">
        <v>0</v>
      </c>
      <c r="J56" s="6">
        <f>+D56*I56</f>
        <v>0</v>
      </c>
      <c r="L56" s="6">
        <f>+G56+J56</f>
        <v>0</v>
      </c>
      <c r="M56" s="11">
        <f>+F56+I56</f>
        <v>1</v>
      </c>
      <c r="N56" t="str">
        <f>IF(M56&lt;&gt;1,"ERR"," ")</f>
        <v xml:space="preserve"> </v>
      </c>
    </row>
    <row r="57" spans="1:14">
      <c r="A57" t="s">
        <v>14</v>
      </c>
      <c r="C57" s="11"/>
      <c r="D57" s="6"/>
      <c r="F57" s="11"/>
      <c r="G57" s="6"/>
      <c r="I57" s="11"/>
      <c r="J57" s="6"/>
      <c r="L57" s="6"/>
      <c r="M57" s="11"/>
    </row>
    <row r="58" spans="1:14">
      <c r="A58">
        <v>4430</v>
      </c>
      <c r="B58" t="s">
        <v>44</v>
      </c>
      <c r="C58" s="11"/>
      <c r="D58" s="6">
        <f>'Cost Allocations-Recycle'!G58</f>
        <v>0</v>
      </c>
      <c r="F58" s="11">
        <v>1</v>
      </c>
      <c r="G58" s="6">
        <f>+D58*F58</f>
        <v>0</v>
      </c>
      <c r="I58" s="11">
        <v>0</v>
      </c>
      <c r="J58" s="6">
        <f>+D58*I58</f>
        <v>0</v>
      </c>
      <c r="L58" s="6">
        <f>+G58+J58</f>
        <v>0</v>
      </c>
      <c r="M58" s="11">
        <f>+F58+I58</f>
        <v>1</v>
      </c>
      <c r="N58" t="str">
        <f t="shared" si="7"/>
        <v xml:space="preserve"> </v>
      </c>
    </row>
    <row r="59" spans="1:14">
      <c r="A59">
        <v>4450</v>
      </c>
      <c r="B59" t="s">
        <v>45</v>
      </c>
      <c r="C59" s="15"/>
      <c r="D59" s="6">
        <f>'Cost Allocations-Recycle'!G59</f>
        <v>1530</v>
      </c>
      <c r="F59" s="26">
        <v>1</v>
      </c>
      <c r="G59" s="87">
        <f>+D59*F59</f>
        <v>1530</v>
      </c>
      <c r="H59" s="83"/>
      <c r="I59" s="26">
        <v>0</v>
      </c>
      <c r="J59" s="6">
        <f>+D59*I59</f>
        <v>0</v>
      </c>
      <c r="L59" s="6">
        <f>+G59+J59</f>
        <v>1530</v>
      </c>
      <c r="M59" s="11">
        <f>+F59+I59</f>
        <v>1</v>
      </c>
      <c r="N59" t="str">
        <f t="shared" si="7"/>
        <v xml:space="preserve"> </v>
      </c>
    </row>
    <row r="60" spans="1:14">
      <c r="A60" t="s">
        <v>15</v>
      </c>
      <c r="C60" s="11"/>
      <c r="D60" s="6"/>
      <c r="F60" s="11"/>
      <c r="G60" s="6"/>
      <c r="I60" s="11"/>
      <c r="J60" s="6"/>
      <c r="L60" s="6"/>
      <c r="M60" s="11"/>
    </row>
    <row r="61" spans="1:14">
      <c r="A61">
        <v>4530</v>
      </c>
      <c r="B61" t="s">
        <v>46</v>
      </c>
      <c r="C61" s="11"/>
      <c r="D61" s="6">
        <f>'Cost Allocations-Recycle'!G61</f>
        <v>56004.528385848986</v>
      </c>
      <c r="F61" s="106">
        <f>F65</f>
        <v>0.90484267247719463</v>
      </c>
      <c r="G61" s="6">
        <f>+D61*F61</f>
        <v>50675.287135476501</v>
      </c>
      <c r="I61" s="11">
        <f>I65</f>
        <v>9.5157327522805368E-2</v>
      </c>
      <c r="J61" s="6">
        <f>+D61*I61</f>
        <v>5329.2412503724818</v>
      </c>
      <c r="L61" s="6">
        <f>+G61+J61</f>
        <v>56004.528385848986</v>
      </c>
      <c r="M61" s="11">
        <f>+F61+I61</f>
        <v>1</v>
      </c>
      <c r="N61" t="str">
        <f t="shared" si="7"/>
        <v xml:space="preserve"> </v>
      </c>
    </row>
    <row r="62" spans="1:14">
      <c r="A62">
        <v>4540</v>
      </c>
      <c r="B62" t="s">
        <v>47</v>
      </c>
      <c r="C62" s="11"/>
      <c r="D62" s="6">
        <f>'Cost Allocations-Recycle'!G62</f>
        <v>18933.079195594415</v>
      </c>
      <c r="F62" s="106">
        <f>1-I62</f>
        <v>0.88479825953849278</v>
      </c>
      <c r="G62" s="6">
        <f>+D62*F62</f>
        <v>16751.955519966385</v>
      </c>
      <c r="I62" s="11">
        <f>J62/D62</f>
        <v>0.11520174046150723</v>
      </c>
      <c r="J62" s="6">
        <f>'Hours &amp; Miles'!I78*'L&amp;I'!$E$25</f>
        <v>2181.12367562803</v>
      </c>
      <c r="L62" s="6">
        <f>+G62+J62</f>
        <v>18933.079195594415</v>
      </c>
      <c r="M62" s="11">
        <f>+F62+I62</f>
        <v>1</v>
      </c>
      <c r="N62" t="s">
        <v>388</v>
      </c>
    </row>
    <row r="63" spans="1:14">
      <c r="A63">
        <v>4580</v>
      </c>
      <c r="B63" t="s">
        <v>48</v>
      </c>
      <c r="C63" s="11"/>
      <c r="D63" s="6">
        <f>'Cost Allocations-Recycle'!G63</f>
        <v>0</v>
      </c>
      <c r="F63" s="11">
        <f>+F26</f>
        <v>1</v>
      </c>
      <c r="G63" s="6">
        <f>+D63*F63</f>
        <v>0</v>
      </c>
      <c r="I63" s="11">
        <f>+I26</f>
        <v>0</v>
      </c>
      <c r="J63" s="6">
        <f>+D63*I63</f>
        <v>0</v>
      </c>
      <c r="L63" s="6">
        <f>+G63+J63</f>
        <v>0</v>
      </c>
      <c r="M63" s="11">
        <f>+F63+I63</f>
        <v>1</v>
      </c>
      <c r="N63" t="str">
        <f t="shared" si="7"/>
        <v xml:space="preserve"> </v>
      </c>
    </row>
    <row r="64" spans="1:14">
      <c r="A64" t="s">
        <v>18</v>
      </c>
      <c r="C64" s="11"/>
      <c r="D64" s="6"/>
      <c r="F64" s="11"/>
      <c r="G64" s="6"/>
      <c r="I64" s="11"/>
      <c r="J64" s="6"/>
      <c r="L64" s="6"/>
      <c r="M64" s="11"/>
    </row>
    <row r="65" spans="1:14">
      <c r="A65">
        <v>4611</v>
      </c>
      <c r="B65" t="s">
        <v>49</v>
      </c>
      <c r="C65" s="15"/>
      <c r="D65" s="6">
        <f>'Cost Allocations-Recycle'!G65</f>
        <v>59772.147716565662</v>
      </c>
      <c r="F65" s="108">
        <f>1-I65</f>
        <v>0.90484267247719463</v>
      </c>
      <c r="G65" s="6">
        <f t="shared" ref="G65:G82" si="19">+D65*F65</f>
        <v>54084.389879558919</v>
      </c>
      <c r="I65" s="26">
        <f>+'Hours &amp; Miles'!I86</f>
        <v>9.5157327522805368E-2</v>
      </c>
      <c r="J65" s="6">
        <f t="shared" ref="J65:J82" si="20">+D65*I65</f>
        <v>5687.7578370067413</v>
      </c>
      <c r="L65" s="6">
        <f t="shared" ref="L65:L82" si="21">+G65+J65</f>
        <v>59772.147716565662</v>
      </c>
      <c r="M65" s="11">
        <f t="shared" ref="M65:M82" si="22">+F65+I65</f>
        <v>1</v>
      </c>
      <c r="N65" s="83" t="s">
        <v>152</v>
      </c>
    </row>
    <row r="66" spans="1:14">
      <c r="A66">
        <v>4612</v>
      </c>
      <c r="B66" t="s">
        <v>50</v>
      </c>
      <c r="C66" s="15"/>
      <c r="D66" s="6">
        <f>'Cost Allocations-Recycle'!G66</f>
        <v>44810.211679670378</v>
      </c>
      <c r="F66" s="108">
        <f t="shared" ref="F66:F71" si="23">+F65</f>
        <v>0.90484267247719463</v>
      </c>
      <c r="G66" s="87">
        <f t="shared" si="19"/>
        <v>40546.191690501742</v>
      </c>
      <c r="H66" s="83"/>
      <c r="I66" s="26">
        <f>+I65</f>
        <v>9.5157327522805368E-2</v>
      </c>
      <c r="J66" s="6">
        <f t="shared" si="20"/>
        <v>4264.0199891686325</v>
      </c>
      <c r="L66" s="6">
        <f t="shared" si="21"/>
        <v>44810.211679670378</v>
      </c>
      <c r="M66" s="11">
        <f t="shared" si="22"/>
        <v>1</v>
      </c>
      <c r="N66" s="83" t="s">
        <v>152</v>
      </c>
    </row>
    <row r="67" spans="1:14">
      <c r="A67">
        <v>4613</v>
      </c>
      <c r="B67" t="s">
        <v>51</v>
      </c>
      <c r="C67" s="26"/>
      <c r="D67" s="6">
        <f>'Cost Allocations-Recycle'!G67</f>
        <v>86022.386925439991</v>
      </c>
      <c r="F67" s="26">
        <f t="shared" si="23"/>
        <v>0.90484267247719463</v>
      </c>
      <c r="G67" s="6">
        <f t="shared" si="19"/>
        <v>77836.726478482407</v>
      </c>
      <c r="I67" s="26">
        <f>+I66</f>
        <v>9.5157327522805368E-2</v>
      </c>
      <c r="J67" s="6">
        <f t="shared" si="20"/>
        <v>8185.6604469575832</v>
      </c>
      <c r="L67" s="6">
        <f t="shared" si="21"/>
        <v>86022.386925439991</v>
      </c>
      <c r="M67" s="11">
        <f t="shared" si="22"/>
        <v>1</v>
      </c>
      <c r="N67" t="str">
        <f t="shared" si="7"/>
        <v xml:space="preserve"> </v>
      </c>
    </row>
    <row r="68" spans="1:14">
      <c r="A68">
        <v>4620</v>
      </c>
      <c r="B68" t="s">
        <v>52</v>
      </c>
      <c r="C68" s="26"/>
      <c r="D68" s="6">
        <f>'Cost Allocations-Recycle'!G68</f>
        <v>23885.301530664296</v>
      </c>
      <c r="F68" s="11">
        <f t="shared" si="23"/>
        <v>0.90484267247719463</v>
      </c>
      <c r="G68" s="6">
        <f t="shared" si="19"/>
        <v>21612.440069929908</v>
      </c>
      <c r="I68" s="26">
        <f t="shared" ref="I68:I74" si="24">+I67</f>
        <v>9.5157327522805368E-2</v>
      </c>
      <c r="J68" s="6">
        <f t="shared" si="20"/>
        <v>2272.8614607343866</v>
      </c>
      <c r="L68" s="6">
        <f t="shared" si="21"/>
        <v>23885.301530664296</v>
      </c>
      <c r="M68" s="11">
        <f t="shared" si="22"/>
        <v>1</v>
      </c>
      <c r="N68" t="str">
        <f t="shared" si="7"/>
        <v xml:space="preserve"> </v>
      </c>
    </row>
    <row r="69" spans="1:14">
      <c r="A69">
        <v>4622</v>
      </c>
      <c r="B69" t="s">
        <v>53</v>
      </c>
      <c r="C69" s="26"/>
      <c r="D69" s="6">
        <f>'Cost Allocations-Recycle'!G69</f>
        <v>0</v>
      </c>
      <c r="F69" s="11">
        <f t="shared" si="23"/>
        <v>0.90484267247719463</v>
      </c>
      <c r="G69" s="6">
        <f t="shared" si="19"/>
        <v>0</v>
      </c>
      <c r="I69" s="26">
        <f t="shared" si="24"/>
        <v>9.5157327522805368E-2</v>
      </c>
      <c r="J69" s="6">
        <f t="shared" si="20"/>
        <v>0</v>
      </c>
      <c r="L69" s="6">
        <f t="shared" si="21"/>
        <v>0</v>
      </c>
      <c r="M69" s="11">
        <f t="shared" si="22"/>
        <v>1</v>
      </c>
      <c r="N69" t="str">
        <f t="shared" si="7"/>
        <v xml:space="preserve"> </v>
      </c>
    </row>
    <row r="70" spans="1:14">
      <c r="A70">
        <v>4624</v>
      </c>
      <c r="B70" t="s">
        <v>54</v>
      </c>
      <c r="C70" s="26"/>
      <c r="D70" s="6">
        <f>'Cost Allocations-Recycle'!G70</f>
        <v>106.35977799565369</v>
      </c>
      <c r="F70" s="11">
        <f t="shared" si="23"/>
        <v>0.90484267247719463</v>
      </c>
      <c r="G70" s="6">
        <f t="shared" si="19"/>
        <v>96.238865765668407</v>
      </c>
      <c r="I70" s="26">
        <f t="shared" si="24"/>
        <v>9.5157327522805368E-2</v>
      </c>
      <c r="J70" s="6">
        <f t="shared" si="20"/>
        <v>10.120912229985285</v>
      </c>
      <c r="L70" s="6">
        <f t="shared" si="21"/>
        <v>106.35977799565369</v>
      </c>
      <c r="M70" s="11">
        <f t="shared" si="22"/>
        <v>1</v>
      </c>
      <c r="N70" t="str">
        <f t="shared" si="7"/>
        <v xml:space="preserve"> </v>
      </c>
    </row>
    <row r="71" spans="1:14">
      <c r="A71">
        <v>4625</v>
      </c>
      <c r="B71" t="s">
        <v>55</v>
      </c>
      <c r="C71" s="26"/>
      <c r="D71" s="6">
        <f>'Cost Allocations-Recycle'!G71</f>
        <v>2342.0896106940249</v>
      </c>
      <c r="F71" s="11">
        <f t="shared" si="23"/>
        <v>0.90484267247719463</v>
      </c>
      <c r="G71" s="6">
        <f t="shared" si="19"/>
        <v>2119.222622521454</v>
      </c>
      <c r="I71" s="26">
        <f t="shared" si="24"/>
        <v>9.5157327522805368E-2</v>
      </c>
      <c r="J71" s="6">
        <f t="shared" si="20"/>
        <v>222.86698817257104</v>
      </c>
      <c r="L71" s="6">
        <f t="shared" si="21"/>
        <v>2342.0896106940249</v>
      </c>
      <c r="M71" s="11">
        <f t="shared" si="22"/>
        <v>1</v>
      </c>
      <c r="N71" t="str">
        <f t="shared" si="7"/>
        <v xml:space="preserve"> </v>
      </c>
    </row>
    <row r="72" spans="1:14">
      <c r="A72">
        <v>4627</v>
      </c>
      <c r="B72" t="s">
        <v>56</v>
      </c>
      <c r="C72" s="26"/>
      <c r="D72" s="6">
        <f>'Cost Allocations-Recycle'!G72</f>
        <v>1490.6399866380862</v>
      </c>
      <c r="F72" s="11">
        <f>F71</f>
        <v>0.90484267247719463</v>
      </c>
      <c r="G72" s="6">
        <f t="shared" si="19"/>
        <v>1348.7946692109756</v>
      </c>
      <c r="I72" s="26">
        <f t="shared" si="24"/>
        <v>9.5157327522805368E-2</v>
      </c>
      <c r="J72" s="6">
        <f t="shared" si="20"/>
        <v>141.84531742711059</v>
      </c>
      <c r="L72" s="6">
        <f t="shared" si="21"/>
        <v>1490.6399866380862</v>
      </c>
      <c r="M72" s="11">
        <f t="shared" si="22"/>
        <v>1</v>
      </c>
      <c r="N72" t="str">
        <f t="shared" si="7"/>
        <v xml:space="preserve"> </v>
      </c>
    </row>
    <row r="73" spans="1:14">
      <c r="A73">
        <v>4630</v>
      </c>
      <c r="B73" t="s">
        <v>57</v>
      </c>
      <c r="C73" s="11"/>
      <c r="D73" s="6">
        <f>'Cost Allocations-Recycle'!G73</f>
        <v>446.97772095740987</v>
      </c>
      <c r="F73" s="11">
        <f>F72</f>
        <v>0.90484267247719463</v>
      </c>
      <c r="G73" s="6">
        <f t="shared" si="19"/>
        <v>404.4445155688685</v>
      </c>
      <c r="I73" s="26">
        <f t="shared" si="24"/>
        <v>9.5157327522805368E-2</v>
      </c>
      <c r="J73" s="6">
        <f t="shared" si="20"/>
        <v>42.533205388541354</v>
      </c>
      <c r="L73" s="6">
        <f t="shared" si="21"/>
        <v>446.97772095740987</v>
      </c>
      <c r="M73" s="11">
        <f t="shared" si="22"/>
        <v>1</v>
      </c>
      <c r="N73" t="str">
        <f t="shared" si="7"/>
        <v xml:space="preserve"> </v>
      </c>
    </row>
    <row r="74" spans="1:14">
      <c r="A74">
        <v>4640</v>
      </c>
      <c r="B74" t="s">
        <v>58</v>
      </c>
      <c r="C74" s="26"/>
      <c r="D74" s="6">
        <f>'Cost Allocations-Recycle'!G74</f>
        <v>13695.007865739874</v>
      </c>
      <c r="F74" s="11">
        <f>F73</f>
        <v>0.90484267247719463</v>
      </c>
      <c r="G74" s="6">
        <f t="shared" si="19"/>
        <v>12391.827516832269</v>
      </c>
      <c r="I74" s="26">
        <f t="shared" si="24"/>
        <v>9.5157327522805368E-2</v>
      </c>
      <c r="J74" s="6">
        <f t="shared" si="20"/>
        <v>1303.1803489076049</v>
      </c>
      <c r="L74" s="6">
        <f t="shared" si="21"/>
        <v>13695.007865739874</v>
      </c>
      <c r="M74" s="11">
        <f t="shared" si="22"/>
        <v>1</v>
      </c>
      <c r="N74" t="str">
        <f t="shared" si="7"/>
        <v xml:space="preserve"> </v>
      </c>
    </row>
    <row r="75" spans="1:14">
      <c r="A75">
        <v>4650</v>
      </c>
      <c r="B75" t="s">
        <v>59</v>
      </c>
      <c r="C75" s="26"/>
      <c r="D75" s="6">
        <f>'Cost Allocations-Recycle'!G75</f>
        <v>65849.289253529991</v>
      </c>
      <c r="F75" s="106">
        <f>+$F$65</f>
        <v>0.90484267247719463</v>
      </c>
      <c r="G75" s="6">
        <f t="shared" si="19"/>
        <v>59583.246868887887</v>
      </c>
      <c r="I75" s="11">
        <f>+$I$65</f>
        <v>9.5157327522805368E-2</v>
      </c>
      <c r="J75" s="6">
        <f t="shared" si="20"/>
        <v>6266.0423846421008</v>
      </c>
      <c r="L75" s="6">
        <f t="shared" si="21"/>
        <v>65849.289253529991</v>
      </c>
      <c r="M75" s="11">
        <f t="shared" si="22"/>
        <v>1</v>
      </c>
      <c r="N75" t="str">
        <f t="shared" si="7"/>
        <v xml:space="preserve"> </v>
      </c>
    </row>
    <row r="76" spans="1:14">
      <c r="A76">
        <v>4652</v>
      </c>
      <c r="B76" t="s">
        <v>60</v>
      </c>
      <c r="C76" s="26"/>
      <c r="D76" s="6">
        <f>'Cost Allocations-Recycle'!G76</f>
        <v>9441.6722488590622</v>
      </c>
      <c r="F76" s="106">
        <f>+$F$65</f>
        <v>0.90484267247719463</v>
      </c>
      <c r="G76" s="6">
        <f t="shared" si="19"/>
        <v>8543.2279503113987</v>
      </c>
      <c r="I76" s="11">
        <f>+$I$65</f>
        <v>9.5157327522805368E-2</v>
      </c>
      <c r="J76" s="6">
        <f t="shared" si="20"/>
        <v>898.44429854766406</v>
      </c>
      <c r="L76" s="6">
        <f t="shared" si="21"/>
        <v>9441.6722488590622</v>
      </c>
      <c r="M76" s="11">
        <f t="shared" si="22"/>
        <v>1</v>
      </c>
      <c r="N76" t="str">
        <f t="shared" si="7"/>
        <v xml:space="preserve"> </v>
      </c>
    </row>
    <row r="77" spans="1:14">
      <c r="A77">
        <v>4660</v>
      </c>
      <c r="B77" t="s">
        <v>61</v>
      </c>
      <c r="C77" s="15"/>
      <c r="D77" s="6">
        <f>'Cost Allocations-Recycle'!G77</f>
        <v>0</v>
      </c>
      <c r="F77" s="26">
        <v>1</v>
      </c>
      <c r="G77" s="87">
        <f t="shared" si="19"/>
        <v>0</v>
      </c>
      <c r="H77" s="83"/>
      <c r="I77" s="26">
        <v>0</v>
      </c>
      <c r="J77" s="6">
        <f t="shared" si="20"/>
        <v>0</v>
      </c>
      <c r="L77" s="6">
        <f t="shared" si="21"/>
        <v>0</v>
      </c>
      <c r="M77" s="11">
        <f t="shared" si="22"/>
        <v>1</v>
      </c>
      <c r="N77" t="str">
        <f t="shared" si="7"/>
        <v xml:space="preserve"> </v>
      </c>
    </row>
    <row r="78" spans="1:14">
      <c r="A78">
        <v>4670</v>
      </c>
      <c r="B78" t="s">
        <v>62</v>
      </c>
      <c r="C78" s="15"/>
      <c r="D78" s="6">
        <f>'Cost Allocations-Recycle'!G78</f>
        <v>0</v>
      </c>
      <c r="F78" s="26">
        <v>1</v>
      </c>
      <c r="G78" s="87">
        <f t="shared" si="19"/>
        <v>0</v>
      </c>
      <c r="H78" s="83"/>
      <c r="I78" s="26">
        <v>0</v>
      </c>
      <c r="J78" s="6">
        <f t="shared" si="20"/>
        <v>0</v>
      </c>
      <c r="L78" s="6">
        <f t="shared" si="21"/>
        <v>0</v>
      </c>
      <c r="M78" s="11">
        <f t="shared" si="22"/>
        <v>1</v>
      </c>
      <c r="N78" t="str">
        <f t="shared" si="7"/>
        <v xml:space="preserve"> </v>
      </c>
    </row>
    <row r="79" spans="1:14">
      <c r="A79">
        <v>4680</v>
      </c>
      <c r="B79" t="s">
        <v>63</v>
      </c>
      <c r="C79" s="15"/>
      <c r="D79" s="6">
        <f>'Cost Allocations-Recycle'!G79</f>
        <v>10989.553936486618</v>
      </c>
      <c r="F79" s="108">
        <f>1-I79</f>
        <v>0.73687915099086876</v>
      </c>
      <c r="G79" s="110">
        <f t="shared" si="19"/>
        <v>8097.9731744866185</v>
      </c>
      <c r="H79" s="111"/>
      <c r="I79" s="108">
        <f>J79/D79</f>
        <v>0.2631208490091313</v>
      </c>
      <c r="J79" s="6">
        <f>J22*D110</f>
        <v>2891.580762</v>
      </c>
      <c r="L79" s="6">
        <f t="shared" si="21"/>
        <v>10989.553936486618</v>
      </c>
      <c r="M79" s="11">
        <f t="shared" si="22"/>
        <v>1</v>
      </c>
      <c r="N79" t="str">
        <f t="shared" si="7"/>
        <v xml:space="preserve"> </v>
      </c>
    </row>
    <row r="80" spans="1:14">
      <c r="A80">
        <v>4692</v>
      </c>
      <c r="B80" t="s">
        <v>64</v>
      </c>
      <c r="C80" s="26"/>
      <c r="D80" s="6">
        <f>'Cost Allocations-Recycle'!G80</f>
        <v>7911.5342309506896</v>
      </c>
      <c r="F80" s="11">
        <f>F74</f>
        <v>0.90484267247719463</v>
      </c>
      <c r="G80" s="6">
        <f t="shared" si="19"/>
        <v>7158.6937769282285</v>
      </c>
      <c r="I80" s="11">
        <f>I74</f>
        <v>9.5157327522805368E-2</v>
      </c>
      <c r="J80" s="6">
        <f t="shared" si="20"/>
        <v>752.8404540224609</v>
      </c>
      <c r="L80" s="6">
        <f t="shared" si="21"/>
        <v>7911.5342309506896</v>
      </c>
      <c r="M80" s="11">
        <f t="shared" si="22"/>
        <v>1</v>
      </c>
      <c r="N80" t="str">
        <f t="shared" si="7"/>
        <v xml:space="preserve"> </v>
      </c>
    </row>
    <row r="81" spans="1:14">
      <c r="A81">
        <v>4694</v>
      </c>
      <c r="B81" t="s">
        <v>65</v>
      </c>
      <c r="C81" s="11"/>
      <c r="D81" s="6">
        <f>'Cost Allocations-Recycle'!G81</f>
        <v>0</v>
      </c>
      <c r="F81" s="11">
        <f>+$F$65</f>
        <v>0.90484267247719463</v>
      </c>
      <c r="G81" s="6">
        <f t="shared" si="19"/>
        <v>0</v>
      </c>
      <c r="I81" s="11">
        <f>+$I$65</f>
        <v>9.5157327522805368E-2</v>
      </c>
      <c r="J81" s="6">
        <f t="shared" si="20"/>
        <v>0</v>
      </c>
      <c r="L81" s="6">
        <f t="shared" si="21"/>
        <v>0</v>
      </c>
      <c r="M81" s="11">
        <f t="shared" si="22"/>
        <v>1</v>
      </c>
      <c r="N81" t="str">
        <f t="shared" si="7"/>
        <v xml:space="preserve"> </v>
      </c>
    </row>
    <row r="82" spans="1:14">
      <c r="A82">
        <v>4698</v>
      </c>
      <c r="B82" t="s">
        <v>66</v>
      </c>
      <c r="C82" s="11"/>
      <c r="D82" s="6">
        <f>'Cost Allocations-Recycle'!G82</f>
        <v>190.55399413920614</v>
      </c>
      <c r="F82" s="11">
        <f>+$F$65</f>
        <v>0.90484267247719463</v>
      </c>
      <c r="G82" s="6">
        <f t="shared" si="19"/>
        <v>172.42138530812298</v>
      </c>
      <c r="I82" s="11">
        <f>+$I$65</f>
        <v>9.5157327522805368E-2</v>
      </c>
      <c r="J82" s="6">
        <f t="shared" si="20"/>
        <v>18.132608831083171</v>
      </c>
      <c r="L82" s="6">
        <f t="shared" si="21"/>
        <v>190.55399413920614</v>
      </c>
      <c r="M82" s="11">
        <f t="shared" si="22"/>
        <v>1</v>
      </c>
      <c r="N82" t="str">
        <f t="shared" si="7"/>
        <v xml:space="preserve"> </v>
      </c>
    </row>
    <row r="83" spans="1:14">
      <c r="A83" t="s">
        <v>19</v>
      </c>
      <c r="C83" s="11"/>
      <c r="D83" s="6"/>
      <c r="F83" s="11"/>
      <c r="G83" s="6"/>
      <c r="I83" s="11"/>
      <c r="J83" s="6"/>
      <c r="L83" s="6"/>
      <c r="M83" s="11"/>
    </row>
    <row r="84" spans="1:14">
      <c r="A84">
        <v>5010</v>
      </c>
      <c r="B84" t="s">
        <v>67</v>
      </c>
      <c r="C84" s="26"/>
      <c r="D84" s="6">
        <f>'Cost Allocations-Recycle'!G84</f>
        <v>224643.7309077614</v>
      </c>
      <c r="F84" s="26">
        <f>G84/(G84+J84)</f>
        <v>0.96348774138118354</v>
      </c>
      <c r="G84" s="6">
        <f>D84-J84</f>
        <v>216441.4809077614</v>
      </c>
      <c r="I84" s="27">
        <f>J84/(J84+G84)</f>
        <v>3.6512258618816476E-2</v>
      </c>
      <c r="J84" s="6">
        <f>'Depr Allocation'!E42+'Depr Allocation'!H42</f>
        <v>8202.25</v>
      </c>
      <c r="L84" s="6">
        <f>+G84+J84</f>
        <v>224643.7309077614</v>
      </c>
      <c r="M84" s="11">
        <f>+F84+I84</f>
        <v>1</v>
      </c>
      <c r="N84" t="str">
        <f t="shared" si="7"/>
        <v xml:space="preserve"> </v>
      </c>
    </row>
    <row r="85" spans="1:14">
      <c r="A85">
        <v>5100</v>
      </c>
      <c r="B85" t="s">
        <v>68</v>
      </c>
      <c r="C85" s="26"/>
      <c r="D85" s="6">
        <f>'Cost Allocations-Recycle'!G85</f>
        <v>-7836.1903024760059</v>
      </c>
      <c r="F85" s="26">
        <v>1</v>
      </c>
      <c r="G85" s="87">
        <f>+D85*F85</f>
        <v>-7836.1903024760059</v>
      </c>
      <c r="H85" s="83"/>
      <c r="I85" s="26">
        <v>0</v>
      </c>
      <c r="J85" s="6">
        <f>+D85*I85</f>
        <v>0</v>
      </c>
      <c r="L85" s="6">
        <f>+G85+J85</f>
        <v>-7836.1903024760059</v>
      </c>
      <c r="M85" s="11">
        <f>+F85+I85</f>
        <v>1</v>
      </c>
      <c r="N85" t="str">
        <f t="shared" si="7"/>
        <v xml:space="preserve"> </v>
      </c>
    </row>
    <row r="86" spans="1:14">
      <c r="A86" t="s">
        <v>20</v>
      </c>
      <c r="C86" s="11"/>
      <c r="D86" s="6"/>
      <c r="F86" s="11"/>
      <c r="G86" s="6"/>
      <c r="I86" s="11"/>
      <c r="J86" s="6"/>
      <c r="L86" s="6"/>
      <c r="M86" s="11"/>
    </row>
    <row r="87" spans="1:14">
      <c r="A87">
        <v>5151</v>
      </c>
      <c r="B87" t="s">
        <v>69</v>
      </c>
      <c r="C87" s="15"/>
      <c r="D87" s="6">
        <f>'Cost Allocations-Recycle'!G87</f>
        <v>0</v>
      </c>
      <c r="F87" s="26">
        <v>1</v>
      </c>
      <c r="G87" s="87">
        <f>+D87*F87</f>
        <v>0</v>
      </c>
      <c r="H87" s="83"/>
      <c r="I87" s="26">
        <v>0</v>
      </c>
      <c r="J87" s="6">
        <f>+D87*I87</f>
        <v>0</v>
      </c>
      <c r="L87" s="6">
        <f>+G87+J87</f>
        <v>0</v>
      </c>
      <c r="M87" s="11">
        <f>+F87+I87</f>
        <v>1</v>
      </c>
      <c r="N87" t="str">
        <f t="shared" si="7"/>
        <v xml:space="preserve"> </v>
      </c>
    </row>
    <row r="88" spans="1:14">
      <c r="A88" t="s">
        <v>21</v>
      </c>
      <c r="C88" s="11"/>
      <c r="D88" s="6"/>
      <c r="F88" s="11"/>
      <c r="G88" s="6"/>
      <c r="I88" s="11"/>
      <c r="J88" s="6"/>
      <c r="L88" s="6"/>
      <c r="M88" s="11"/>
    </row>
    <row r="89" spans="1:14">
      <c r="A89">
        <v>5220</v>
      </c>
      <c r="B89" t="s">
        <v>70</v>
      </c>
      <c r="C89" s="11"/>
      <c r="D89" s="6">
        <f>'Cost Allocations-Recycle'!G89</f>
        <v>5493.4266669058643</v>
      </c>
      <c r="F89" s="404">
        <v>0.77</v>
      </c>
      <c r="G89" s="6">
        <f t="shared" ref="G89:G96" si="25">+D89*F89</f>
        <v>4229.9385335175157</v>
      </c>
      <c r="I89" s="404">
        <v>0.23</v>
      </c>
      <c r="J89" s="6">
        <f t="shared" ref="J89:J96" si="26">+D89*I89</f>
        <v>1263.4881333883488</v>
      </c>
      <c r="L89" s="6">
        <f t="shared" ref="L89:L96" si="27">+G89+J89</f>
        <v>5493.4266669058643</v>
      </c>
      <c r="M89" s="11">
        <f t="shared" ref="M89:M96" si="28">+F89+I89</f>
        <v>1</v>
      </c>
      <c r="N89" t="str">
        <f t="shared" si="7"/>
        <v xml:space="preserve"> </v>
      </c>
    </row>
    <row r="90" spans="1:14">
      <c r="A90">
        <v>5230</v>
      </c>
      <c r="B90" t="s">
        <v>71</v>
      </c>
      <c r="C90" s="11"/>
      <c r="D90" s="6">
        <f>'Cost Allocations-Recycle'!G90</f>
        <v>2218.7145563770796</v>
      </c>
      <c r="F90" s="404">
        <v>0.8</v>
      </c>
      <c r="G90" s="6">
        <f t="shared" si="25"/>
        <v>1774.9716451016639</v>
      </c>
      <c r="I90" s="404">
        <v>0.2</v>
      </c>
      <c r="J90" s="6">
        <f t="shared" si="26"/>
        <v>443.74291127541596</v>
      </c>
      <c r="L90" s="6">
        <f t="shared" si="27"/>
        <v>2218.71455637708</v>
      </c>
      <c r="M90" s="11">
        <f t="shared" si="28"/>
        <v>1</v>
      </c>
      <c r="N90" t="str">
        <f t="shared" si="7"/>
        <v xml:space="preserve"> </v>
      </c>
    </row>
    <row r="91" spans="1:14">
      <c r="A91">
        <v>5240</v>
      </c>
      <c r="B91" t="s">
        <v>72</v>
      </c>
      <c r="C91" s="10">
        <v>7.6499999999999999E-2</v>
      </c>
      <c r="D91" s="6">
        <f>'Cost Allocations-Recycle'!G91</f>
        <v>40839.502202417119</v>
      </c>
      <c r="F91" s="11">
        <f>G91/D91</f>
        <v>0.9019797555794461</v>
      </c>
      <c r="G91" s="6">
        <f>D91-J91</f>
        <v>36836.404214522445</v>
      </c>
      <c r="I91" s="11">
        <f>J91/D91</f>
        <v>9.8020244420553806E-2</v>
      </c>
      <c r="J91" s="6">
        <f>+J116*C91</f>
        <v>4003.0979878946714</v>
      </c>
      <c r="L91" s="6">
        <f t="shared" si="27"/>
        <v>40839.502202417119</v>
      </c>
      <c r="M91" s="11">
        <f t="shared" si="28"/>
        <v>0.99999999999999989</v>
      </c>
      <c r="N91" t="str">
        <f t="shared" si="7"/>
        <v xml:space="preserve"> </v>
      </c>
    </row>
    <row r="92" spans="1:14">
      <c r="A92">
        <v>5241</v>
      </c>
      <c r="B92" t="s">
        <v>73</v>
      </c>
      <c r="C92" s="11">
        <v>6.0000000000000001E-3</v>
      </c>
      <c r="D92" s="6">
        <f>'Cost Allocations-Recycle'!G92</f>
        <v>288.35827491413488</v>
      </c>
      <c r="F92" s="11">
        <f>G92/D92</f>
        <v>-8.8813801970097486E-2</v>
      </c>
      <c r="G92" s="6">
        <f>D92-J92</f>
        <v>-25.610194724662904</v>
      </c>
      <c r="I92" s="11">
        <f>J92/D92</f>
        <v>1.0888138019700975</v>
      </c>
      <c r="J92" s="6">
        <f>J116*C92</f>
        <v>313.96846963879779</v>
      </c>
      <c r="L92" s="6">
        <f t="shared" si="27"/>
        <v>288.35827491413488</v>
      </c>
      <c r="M92" s="11">
        <f t="shared" si="28"/>
        <v>1</v>
      </c>
      <c r="N92" t="str">
        <f t="shared" si="7"/>
        <v xml:space="preserve"> </v>
      </c>
    </row>
    <row r="93" spans="1:14">
      <c r="A93">
        <v>5242</v>
      </c>
      <c r="B93" t="s">
        <v>74</v>
      </c>
      <c r="C93" s="101">
        <v>1.2999999999999999E-3</v>
      </c>
      <c r="D93" s="6">
        <f>'Cost Allocations-Recycle'!G93</f>
        <v>3478.8568674181925</v>
      </c>
      <c r="F93" s="11">
        <f>G93/D93</f>
        <v>0.98044573135727819</v>
      </c>
      <c r="G93" s="6">
        <f>D93-J93</f>
        <v>3410.8303656631197</v>
      </c>
      <c r="I93" s="11">
        <f>J93/D93</f>
        <v>1.9554268642721768E-2</v>
      </c>
      <c r="J93" s="6">
        <f>J116*C93</f>
        <v>68.026501755072843</v>
      </c>
      <c r="L93" s="6">
        <f t="shared" si="27"/>
        <v>3478.8568674181925</v>
      </c>
      <c r="M93" s="11">
        <f t="shared" si="28"/>
        <v>1</v>
      </c>
      <c r="N93" t="str">
        <f t="shared" si="7"/>
        <v xml:space="preserve"> </v>
      </c>
    </row>
    <row r="94" spans="1:14">
      <c r="A94">
        <v>5260</v>
      </c>
      <c r="B94" t="s">
        <v>75</v>
      </c>
      <c r="C94" s="11"/>
      <c r="D94" s="6">
        <f>'Cost Allocations-Recycle'!G94</f>
        <v>43117.015745865094</v>
      </c>
      <c r="F94" s="11">
        <f>+F22</f>
        <v>0.7674191713321864</v>
      </c>
      <c r="G94" s="6">
        <f t="shared" si="25"/>
        <v>33088.824494008622</v>
      </c>
      <c r="I94" s="11">
        <f>+I22</f>
        <v>0.2325808286678136</v>
      </c>
      <c r="J94" s="6">
        <f t="shared" si="26"/>
        <v>10028.191251856471</v>
      </c>
      <c r="L94" s="6">
        <f t="shared" si="27"/>
        <v>43117.015745865094</v>
      </c>
      <c r="M94" s="11">
        <f t="shared" si="28"/>
        <v>1</v>
      </c>
      <c r="N94" t="str">
        <f t="shared" si="7"/>
        <v xml:space="preserve"> </v>
      </c>
    </row>
    <row r="95" spans="1:14">
      <c r="A95">
        <v>5270</v>
      </c>
      <c r="B95" t="s">
        <v>76</v>
      </c>
      <c r="C95" s="15"/>
      <c r="D95" s="6">
        <f>'Cost Allocations-Recycle'!G95</f>
        <v>7041.33</v>
      </c>
      <c r="F95" s="108">
        <f>1-I95</f>
        <v>0.70609403701754192</v>
      </c>
      <c r="G95" s="87">
        <f t="shared" si="25"/>
        <v>4971.8411256727286</v>
      </c>
      <c r="H95" s="83"/>
      <c r="I95" s="26">
        <f>E114</f>
        <v>0.29390596298245802</v>
      </c>
      <c r="J95" s="6">
        <f t="shared" si="26"/>
        <v>2069.4888743272713</v>
      </c>
      <c r="L95" s="6">
        <f t="shared" si="27"/>
        <v>7041.33</v>
      </c>
      <c r="M95" s="11">
        <f t="shared" si="28"/>
        <v>1</v>
      </c>
      <c r="N95" t="str">
        <f t="shared" si="7"/>
        <v xml:space="preserve"> </v>
      </c>
    </row>
    <row r="96" spans="1:14">
      <c r="A96">
        <v>5290</v>
      </c>
      <c r="B96" t="s">
        <v>77</v>
      </c>
      <c r="C96" s="11"/>
      <c r="D96" s="6">
        <f>'Cost Allocations-Recycle'!G96</f>
        <v>-18991.973533928394</v>
      </c>
      <c r="F96" s="11">
        <f>F82</f>
        <v>0.90484267247719463</v>
      </c>
      <c r="G96" s="6">
        <f t="shared" si="25"/>
        <v>-17184.74808805592</v>
      </c>
      <c r="I96" s="11">
        <f>I82</f>
        <v>9.5157327522805368E-2</v>
      </c>
      <c r="J96" s="6">
        <f t="shared" si="26"/>
        <v>-1807.2254458724756</v>
      </c>
      <c r="L96" s="6">
        <f t="shared" si="27"/>
        <v>-18991.973533928394</v>
      </c>
      <c r="M96" s="11">
        <f t="shared" si="28"/>
        <v>1</v>
      </c>
      <c r="N96" t="str">
        <f t="shared" si="7"/>
        <v xml:space="preserve"> </v>
      </c>
    </row>
    <row r="97" spans="1:14">
      <c r="A97" t="s">
        <v>22</v>
      </c>
      <c r="C97" s="11"/>
      <c r="D97" s="6"/>
      <c r="F97" s="11"/>
      <c r="G97" s="6"/>
      <c r="I97" s="11"/>
      <c r="J97" s="6"/>
      <c r="L97" s="6"/>
      <c r="M97" s="11"/>
    </row>
    <row r="98" spans="1:14">
      <c r="A98">
        <v>5320</v>
      </c>
      <c r="B98" t="s">
        <v>78</v>
      </c>
      <c r="C98" s="11"/>
      <c r="D98" s="6">
        <f>'Cost Allocations-Recycle'!G98</f>
        <v>73693.615742481503</v>
      </c>
      <c r="F98" s="11">
        <f>D12/(D12+D15)</f>
        <v>0.88518197801421816</v>
      </c>
      <c r="G98" s="6">
        <f>+D98*F98</f>
        <v>65232.260549949504</v>
      </c>
      <c r="I98" s="11">
        <f>D15/(D15+D12)</f>
        <v>0.1148180219857818</v>
      </c>
      <c r="J98" s="6">
        <f>+D98*I98</f>
        <v>8461.3551925319971</v>
      </c>
      <c r="L98" s="6">
        <f>+G98+J98</f>
        <v>73693.615742481503</v>
      </c>
      <c r="M98" s="11">
        <f>+F98+I98</f>
        <v>1</v>
      </c>
      <c r="N98" s="83" t="s">
        <v>375</v>
      </c>
    </row>
    <row r="99" spans="1:14" ht="13.5" thickBot="1">
      <c r="A99">
        <v>5322</v>
      </c>
      <c r="B99" s="83" t="s">
        <v>374</v>
      </c>
      <c r="C99" s="12"/>
      <c r="D99" s="7">
        <f>'Cost Allocations-Recycle'!G99</f>
        <v>0</v>
      </c>
      <c r="E99" s="5"/>
      <c r="F99" s="12">
        <v>1</v>
      </c>
      <c r="G99" s="7">
        <f>+D99*F99</f>
        <v>0</v>
      </c>
      <c r="H99" s="5"/>
      <c r="I99" s="12">
        <v>0</v>
      </c>
      <c r="J99" s="7">
        <f>+D99*I99</f>
        <v>0</v>
      </c>
      <c r="K99" s="5"/>
      <c r="L99" s="7">
        <f>+G99+J99</f>
        <v>0</v>
      </c>
      <c r="M99" s="12">
        <f>+F99+I99</f>
        <v>1</v>
      </c>
      <c r="N99" t="str">
        <f t="shared" si="7"/>
        <v xml:space="preserve"> </v>
      </c>
    </row>
    <row r="100" spans="1:14">
      <c r="C100" s="11"/>
      <c r="D100" s="6"/>
      <c r="F100" s="11"/>
      <c r="I100" s="11"/>
      <c r="M100" s="11"/>
    </row>
    <row r="101" spans="1:14" ht="13.5" thickBot="1">
      <c r="B101" t="s">
        <v>23</v>
      </c>
      <c r="C101" s="12"/>
      <c r="D101" s="7">
        <f>SUM(D26:D99)</f>
        <v>2187467.8998787915</v>
      </c>
      <c r="E101" s="5"/>
      <c r="F101" s="12">
        <f>+G101/D101</f>
        <v>0.79187069766509022</v>
      </c>
      <c r="G101" s="7">
        <f>SUM(G26:G99)</f>
        <v>1732191.7319970084</v>
      </c>
      <c r="H101" s="5"/>
      <c r="I101" s="12">
        <f>+J101/D101</f>
        <v>0.20812930233490956</v>
      </c>
      <c r="J101" s="7">
        <f>SUM(J26:J99)</f>
        <v>455276.16788178269</v>
      </c>
      <c r="K101" s="5"/>
      <c r="L101" s="7">
        <f>SUM(L26:L99)</f>
        <v>2187467.8998787915</v>
      </c>
      <c r="M101" s="12">
        <f>+F101+I101</f>
        <v>0.99999999999999978</v>
      </c>
    </row>
    <row r="102" spans="1:14">
      <c r="C102" s="11"/>
      <c r="D102" s="6"/>
      <c r="F102" s="11"/>
      <c r="G102" s="6"/>
      <c r="I102" s="11"/>
      <c r="J102" s="6"/>
      <c r="L102" s="6"/>
      <c r="M102" s="11"/>
    </row>
    <row r="103" spans="1:14" ht="13.5" thickBot="1">
      <c r="B103" t="s">
        <v>24</v>
      </c>
      <c r="C103" s="14"/>
      <c r="D103" s="8">
        <f>+D22-D101</f>
        <v>250293.73012120835</v>
      </c>
      <c r="E103" s="13"/>
      <c r="F103" s="14">
        <f>+G103/D103</f>
        <v>0.55372253206612798</v>
      </c>
      <c r="G103" s="8">
        <f>+G22-G101</f>
        <v>138593.27800299157</v>
      </c>
      <c r="H103" s="13"/>
      <c r="I103" s="14">
        <f>+J103/D103</f>
        <v>0.44627746793387413</v>
      </c>
      <c r="J103" s="8">
        <f>+J22-J101</f>
        <v>111700.4521182173</v>
      </c>
      <c r="K103" s="13"/>
      <c r="L103" s="8">
        <f>+L22-L101</f>
        <v>250293.73012120835</v>
      </c>
      <c r="M103" s="14">
        <f>+F103+I103</f>
        <v>1.0000000000000022</v>
      </c>
    </row>
    <row r="104" spans="1:14" ht="13.5" thickTop="1">
      <c r="C104" s="11"/>
      <c r="D104" s="6"/>
      <c r="F104" s="11"/>
      <c r="G104" s="6"/>
      <c r="I104" s="11"/>
      <c r="J104" s="6"/>
      <c r="L104" s="6"/>
      <c r="M104" s="11"/>
    </row>
    <row r="105" spans="1:14">
      <c r="B105" t="s">
        <v>103</v>
      </c>
      <c r="C105" s="11"/>
      <c r="D105" s="10">
        <f>+D101/D22</f>
        <v>0.89732641327970675</v>
      </c>
      <c r="F105" s="11"/>
      <c r="G105" s="10">
        <f>+G101/G22</f>
        <v>0.92591704698179533</v>
      </c>
      <c r="I105" s="11"/>
      <c r="J105" s="10">
        <f>+J101/J22</f>
        <v>0.80298931529448725</v>
      </c>
      <c r="L105" s="10">
        <f>+L101/L22</f>
        <v>0.89732641327970675</v>
      </c>
      <c r="M105" s="11"/>
    </row>
    <row r="107" spans="1:14">
      <c r="J107" s="83" t="s">
        <v>327</v>
      </c>
    </row>
    <row r="110" spans="1:14">
      <c r="B110" s="83" t="s">
        <v>382</v>
      </c>
      <c r="D110">
        <v>5.1000000000000004E-3</v>
      </c>
    </row>
    <row r="112" spans="1:14">
      <c r="B112" s="83" t="s">
        <v>383</v>
      </c>
    </row>
    <row r="113" spans="2:10">
      <c r="B113" s="109" t="s">
        <v>384</v>
      </c>
      <c r="D113" s="107">
        <v>1861820</v>
      </c>
    </row>
    <row r="114" spans="2:10">
      <c r="B114" s="109" t="s">
        <v>385</v>
      </c>
      <c r="D114" s="107">
        <v>547200</v>
      </c>
      <c r="E114" s="94">
        <f>D114/D113</f>
        <v>0.29390596298245802</v>
      </c>
    </row>
    <row r="116" spans="2:10">
      <c r="B116" s="83" t="s">
        <v>366</v>
      </c>
      <c r="D116" s="79">
        <f>+D26+D27+D28+D29+D30+D41+D42+D43+D44+D45+D65+D66+D67</f>
        <v>586281.54734132043</v>
      </c>
      <c r="G116" s="79">
        <f>+G26+G27+G28+G29+G30+G41+G42+G43+G44+G45+G65+G66+G67</f>
        <v>533953.46906818741</v>
      </c>
      <c r="J116" s="79">
        <f>+J26+J27+J28+J29+J30+J41+J42+J43+J44+J45+J65+J66+J67</f>
        <v>52328.07827313296</v>
      </c>
    </row>
  </sheetData>
  <mergeCells count="7">
    <mergeCell ref="C8:D8"/>
    <mergeCell ref="F8:G8"/>
    <mergeCell ref="I8:J8"/>
    <mergeCell ref="I6:J6"/>
    <mergeCell ref="C7:D7"/>
    <mergeCell ref="F7:G7"/>
    <mergeCell ref="I7:J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6"/>
  <sheetViews>
    <sheetView zoomScaleNormal="100" workbookViewId="0"/>
  </sheetViews>
  <sheetFormatPr defaultRowHeight="12.75"/>
  <cols>
    <col min="1" max="1" width="13" customWidth="1"/>
    <col min="2" max="2" width="9.7109375" bestFit="1" customWidth="1"/>
    <col min="3" max="3" width="10.28515625" bestFit="1" customWidth="1"/>
    <col min="4" max="4" width="13" customWidth="1"/>
    <col min="5" max="5" width="11.5703125" customWidth="1"/>
    <col min="6" max="8" width="11.140625" customWidth="1"/>
    <col min="9" max="9" width="11.5703125" customWidth="1"/>
    <col min="10" max="12" width="10.28515625" customWidth="1"/>
    <col min="13" max="13" width="12.5703125" customWidth="1"/>
    <col min="14" max="14" width="9.7109375" bestFit="1" customWidth="1"/>
    <col min="21" max="21" width="11.5703125" customWidth="1"/>
    <col min="22" max="22" width="12.85546875" customWidth="1"/>
    <col min="23" max="23" width="9.85546875" bestFit="1" customWidth="1"/>
    <col min="24" max="24" width="10.7109375" bestFit="1" customWidth="1"/>
    <col min="25" max="26" width="9.7109375" bestFit="1" customWidth="1"/>
    <col min="28" max="28" width="9.7109375" bestFit="1" customWidth="1"/>
    <col min="30" max="30" width="13" customWidth="1"/>
  </cols>
  <sheetData>
    <row r="1" spans="1:31">
      <c r="A1" t="s">
        <v>0</v>
      </c>
    </row>
    <row r="3" spans="1:31">
      <c r="A3" t="s">
        <v>190</v>
      </c>
      <c r="D3" s="693" t="s">
        <v>1414</v>
      </c>
      <c r="E3" s="693" t="s">
        <v>702</v>
      </c>
    </row>
    <row r="5" spans="1:31">
      <c r="A5" s="724" t="s">
        <v>1372</v>
      </c>
    </row>
    <row r="6" spans="1:31">
      <c r="F6" s="127" t="s">
        <v>190</v>
      </c>
      <c r="V6" s="127" t="s">
        <v>1168</v>
      </c>
    </row>
    <row r="9" spans="1:31">
      <c r="D9" s="2" t="s">
        <v>191</v>
      </c>
      <c r="E9" s="2" t="s">
        <v>263</v>
      </c>
      <c r="F9" s="2"/>
      <c r="G9" s="2"/>
      <c r="H9" s="2" t="s">
        <v>263</v>
      </c>
      <c r="I9" s="2" t="s">
        <v>194</v>
      </c>
      <c r="J9" s="2" t="s">
        <v>195</v>
      </c>
      <c r="K9" s="90" t="s">
        <v>341</v>
      </c>
      <c r="L9" s="90" t="s">
        <v>342</v>
      </c>
      <c r="M9" s="2"/>
      <c r="N9" s="2"/>
      <c r="U9" s="2" t="s">
        <v>191</v>
      </c>
      <c r="V9" s="2" t="s">
        <v>263</v>
      </c>
      <c r="W9" s="2"/>
      <c r="X9" s="2"/>
      <c r="Y9" s="2" t="s">
        <v>263</v>
      </c>
      <c r="Z9" s="2" t="s">
        <v>194</v>
      </c>
      <c r="AA9" s="2" t="s">
        <v>195</v>
      </c>
      <c r="AB9" s="90" t="s">
        <v>341</v>
      </c>
      <c r="AC9" s="90" t="s">
        <v>342</v>
      </c>
      <c r="AD9" s="2"/>
      <c r="AE9" s="2"/>
    </row>
    <row r="10" spans="1:31" ht="13.5" thickBot="1">
      <c r="D10" s="20" t="s">
        <v>192</v>
      </c>
      <c r="E10" s="20" t="s">
        <v>192</v>
      </c>
      <c r="F10" s="20" t="s">
        <v>193</v>
      </c>
      <c r="G10" s="20" t="s">
        <v>316</v>
      </c>
      <c r="H10" s="20" t="s">
        <v>193</v>
      </c>
      <c r="I10" s="20" t="s">
        <v>192</v>
      </c>
      <c r="J10" s="20" t="s">
        <v>192</v>
      </c>
      <c r="K10" s="92" t="s">
        <v>316</v>
      </c>
      <c r="L10" s="92" t="s">
        <v>192</v>
      </c>
      <c r="M10" s="20" t="s">
        <v>2</v>
      </c>
      <c r="N10" s="2"/>
      <c r="U10" s="20" t="s">
        <v>192</v>
      </c>
      <c r="V10" s="20" t="s">
        <v>192</v>
      </c>
      <c r="W10" s="20" t="s">
        <v>193</v>
      </c>
      <c r="X10" s="20" t="s">
        <v>316</v>
      </c>
      <c r="Y10" s="20" t="s">
        <v>193</v>
      </c>
      <c r="Z10" s="20" t="s">
        <v>192</v>
      </c>
      <c r="AA10" s="20" t="s">
        <v>192</v>
      </c>
      <c r="AB10" s="92" t="s">
        <v>316</v>
      </c>
      <c r="AC10" s="92" t="s">
        <v>192</v>
      </c>
      <c r="AD10" s="20" t="s">
        <v>2</v>
      </c>
      <c r="AE10" s="2"/>
    </row>
    <row r="12" spans="1:31">
      <c r="A12" t="s">
        <v>105</v>
      </c>
      <c r="D12" s="6">
        <f>+D18-D14-D16</f>
        <v>187508.10089100548</v>
      </c>
      <c r="E12" s="6">
        <f t="shared" ref="E12:J12" si="0">+E18-E14-E16</f>
        <v>1911.8000000000002</v>
      </c>
      <c r="F12" s="6">
        <f t="shared" si="0"/>
        <v>11532.178743068387</v>
      </c>
      <c r="G12" s="6">
        <f>+G18-G14-G16</f>
        <v>12920.978455856753</v>
      </c>
      <c r="H12" s="6">
        <f t="shared" si="0"/>
        <v>6290.4499999999989</v>
      </c>
      <c r="I12" s="6">
        <f t="shared" si="0"/>
        <v>4581.1893451088517</v>
      </c>
      <c r="J12" s="6">
        <f t="shared" si="0"/>
        <v>379.44664344127</v>
      </c>
      <c r="K12" s="6">
        <f>+K18-K14-K16</f>
        <v>2969.2999999999997</v>
      </c>
      <c r="L12" s="6">
        <f>+L18-L14-L16</f>
        <v>614.57142857142856</v>
      </c>
      <c r="M12" s="6">
        <f>SUM(D12:L12)</f>
        <v>228708.01550705216</v>
      </c>
      <c r="N12" s="10">
        <f>+M12/M18</f>
        <v>0.87124336357624355</v>
      </c>
      <c r="R12" t="s">
        <v>105</v>
      </c>
      <c r="U12" s="6">
        <f t="shared" ref="U12:AC12" si="1">+U18-U14-U16</f>
        <v>716115.07476064435</v>
      </c>
      <c r="V12" s="6">
        <f t="shared" si="1"/>
        <v>0</v>
      </c>
      <c r="W12" s="6">
        <f t="shared" si="1"/>
        <v>81207.045933456553</v>
      </c>
      <c r="X12" s="6">
        <f t="shared" si="1"/>
        <v>55890.762279408118</v>
      </c>
      <c r="Y12" s="6">
        <f t="shared" si="1"/>
        <v>30635.5</v>
      </c>
      <c r="Z12" s="6">
        <f t="shared" si="1"/>
        <v>14637.456343673271</v>
      </c>
      <c r="AA12" s="6">
        <f t="shared" si="1"/>
        <v>1194.0046843006101</v>
      </c>
      <c r="AB12" s="6">
        <f t="shared" si="1"/>
        <v>21716.033333333347</v>
      </c>
      <c r="AC12" s="6">
        <f t="shared" si="1"/>
        <v>2442.2142857142831</v>
      </c>
      <c r="AD12" s="6">
        <f>SUM(U12:AC12)</f>
        <v>923838.09162053058</v>
      </c>
      <c r="AE12" s="10">
        <f>+AD12/AD18</f>
        <v>0.87336839389136067</v>
      </c>
    </row>
    <row r="13" spans="1:31">
      <c r="D13" s="6"/>
      <c r="E13" s="6"/>
      <c r="F13" s="6"/>
      <c r="G13" s="6"/>
      <c r="H13" s="6"/>
      <c r="I13" s="6"/>
      <c r="J13" s="6"/>
      <c r="K13" s="6"/>
      <c r="L13" s="6"/>
      <c r="M13" s="6"/>
      <c r="N13" s="10"/>
      <c r="U13" s="6"/>
      <c r="V13" s="6"/>
      <c r="W13" s="6"/>
      <c r="X13" s="6"/>
      <c r="Y13" s="6"/>
      <c r="Z13" s="6"/>
      <c r="AA13" s="6"/>
      <c r="AB13" s="6"/>
      <c r="AC13" s="6"/>
      <c r="AD13" s="6"/>
      <c r="AE13" s="10"/>
    </row>
    <row r="14" spans="1:31">
      <c r="A14" t="s">
        <v>117</v>
      </c>
      <c r="D14" s="6">
        <f>+D18*D26</f>
        <v>19200.477411324835</v>
      </c>
      <c r="E14" s="6">
        <f t="shared" ref="E14:L14" si="2">+E18*E26</f>
        <v>0</v>
      </c>
      <c r="F14" s="6">
        <f t="shared" si="2"/>
        <v>746.26839186691279</v>
      </c>
      <c r="G14" s="6">
        <f t="shared" si="2"/>
        <v>2640.2126841581698</v>
      </c>
      <c r="H14" s="6">
        <f t="shared" si="2"/>
        <v>0</v>
      </c>
      <c r="I14" s="6">
        <f t="shared" si="2"/>
        <v>469.10518596150905</v>
      </c>
      <c r="J14" s="6">
        <f t="shared" si="2"/>
        <v>43.612442480362184</v>
      </c>
      <c r="K14" s="6">
        <f t="shared" si="2"/>
        <v>0</v>
      </c>
      <c r="L14" s="6">
        <f t="shared" si="2"/>
        <v>0</v>
      </c>
      <c r="M14" s="6">
        <f>SUM(D14:L14)</f>
        <v>23099.676115791794</v>
      </c>
      <c r="N14" s="10">
        <f>+M14/M18</f>
        <v>8.7996214177389412E-2</v>
      </c>
      <c r="R14" t="s">
        <v>117</v>
      </c>
      <c r="U14" s="6">
        <f>+U18*U26</f>
        <v>73328.838868905135</v>
      </c>
      <c r="V14" s="6">
        <f t="shared" ref="V14:AC14" si="3">+V18*V26</f>
        <v>0</v>
      </c>
      <c r="W14" s="6">
        <f t="shared" si="3"/>
        <v>5255.0565619223653</v>
      </c>
      <c r="X14" s="6">
        <f t="shared" si="3"/>
        <v>11420.458597736882</v>
      </c>
      <c r="Y14" s="6">
        <f t="shared" si="3"/>
        <v>0</v>
      </c>
      <c r="Z14" s="6">
        <f t="shared" si="3"/>
        <v>1498.8480420337587</v>
      </c>
      <c r="AA14" s="6">
        <f t="shared" si="3"/>
        <v>137.23526486643752</v>
      </c>
      <c r="AB14" s="6">
        <f t="shared" si="3"/>
        <v>0</v>
      </c>
      <c r="AC14" s="6">
        <f t="shared" si="3"/>
        <v>0</v>
      </c>
      <c r="AD14" s="6">
        <f>SUM(U14:AC14)</f>
        <v>91640.43733546458</v>
      </c>
      <c r="AE14" s="10">
        <f>+AD14/AD18</f>
        <v>8.6634078305629733E-2</v>
      </c>
    </row>
    <row r="15" spans="1:31">
      <c r="D15" s="6"/>
      <c r="E15" s="6"/>
      <c r="F15" s="6"/>
      <c r="G15" s="6"/>
      <c r="H15" s="6"/>
      <c r="I15" s="6"/>
      <c r="J15" s="6"/>
      <c r="K15" s="6"/>
      <c r="L15" s="6"/>
      <c r="M15" s="6"/>
      <c r="N15" s="10"/>
      <c r="U15" s="6"/>
      <c r="V15" s="6"/>
      <c r="W15" s="6"/>
      <c r="X15" s="6"/>
      <c r="Y15" s="6"/>
      <c r="Z15" s="6"/>
      <c r="AA15" s="6"/>
      <c r="AB15" s="6"/>
      <c r="AC15" s="6"/>
      <c r="AD15" s="6"/>
      <c r="AE15" s="10"/>
    </row>
    <row r="16" spans="1:31">
      <c r="A16" t="s">
        <v>118</v>
      </c>
      <c r="D16" s="43">
        <f t="shared" ref="D16:I16" si="4">+D18*D27</f>
        <v>9118.7466976699034</v>
      </c>
      <c r="E16" s="43">
        <f t="shared" si="4"/>
        <v>0</v>
      </c>
      <c r="F16" s="43">
        <f t="shared" si="4"/>
        <v>338.15286506469488</v>
      </c>
      <c r="G16" s="43">
        <f>+G18*G27</f>
        <v>1000.8918599850784</v>
      </c>
      <c r="H16" s="43">
        <f t="shared" si="4"/>
        <v>0</v>
      </c>
      <c r="I16" s="43">
        <f t="shared" si="4"/>
        <v>222.78880226297341</v>
      </c>
      <c r="J16" s="43">
        <f>+J18*J27</f>
        <v>19.340914078369188</v>
      </c>
      <c r="K16" s="43">
        <f>+K18*K27</f>
        <v>0</v>
      </c>
      <c r="L16" s="43">
        <f>+L18*L27</f>
        <v>0</v>
      </c>
      <c r="M16" s="43">
        <f>SUM(D16:L16)</f>
        <v>10699.92113906102</v>
      </c>
      <c r="N16" s="74">
        <f>+M16/M18</f>
        <v>4.0760422246366897E-2</v>
      </c>
      <c r="R16" t="s">
        <v>118</v>
      </c>
      <c r="U16" s="43">
        <f t="shared" ref="U16:AC16" si="5">+U18*U27</f>
        <v>34825.545894260082</v>
      </c>
      <c r="V16" s="43">
        <f t="shared" si="5"/>
        <v>0</v>
      </c>
      <c r="W16" s="43">
        <f t="shared" si="5"/>
        <v>2381.1975046210719</v>
      </c>
      <c r="X16" s="43">
        <f t="shared" si="5"/>
        <v>4329.4406228550124</v>
      </c>
      <c r="Y16" s="43">
        <f t="shared" si="5"/>
        <v>0</v>
      </c>
      <c r="Z16" s="43">
        <f t="shared" si="5"/>
        <v>711.83728095963374</v>
      </c>
      <c r="AA16" s="43">
        <f t="shared" si="5"/>
        <v>60.860050832951273</v>
      </c>
      <c r="AB16" s="43">
        <f t="shared" si="5"/>
        <v>0</v>
      </c>
      <c r="AC16" s="43">
        <f t="shared" si="5"/>
        <v>0</v>
      </c>
      <c r="AD16" s="43">
        <f>SUM(U16:AC16)</f>
        <v>42308.881353528755</v>
      </c>
      <c r="AE16" s="74">
        <f>+AD16/AD18</f>
        <v>3.999752780300965E-2</v>
      </c>
    </row>
    <row r="17" spans="1:32">
      <c r="D17" s="6"/>
      <c r="E17" s="6"/>
      <c r="F17" s="6"/>
      <c r="G17" s="6"/>
      <c r="H17" s="6"/>
      <c r="I17" s="6"/>
      <c r="J17" s="6"/>
      <c r="K17" s="6"/>
      <c r="L17" s="6"/>
      <c r="M17" s="6"/>
      <c r="N17" s="11"/>
      <c r="U17" s="6"/>
      <c r="V17" s="6"/>
      <c r="W17" s="6"/>
      <c r="X17" s="6"/>
      <c r="Y17" s="6"/>
      <c r="Z17" s="6"/>
      <c r="AA17" s="6"/>
      <c r="AB17" s="6"/>
      <c r="AC17" s="6"/>
      <c r="AD17" s="6"/>
      <c r="AE17" s="11"/>
    </row>
    <row r="18" spans="1:32" ht="13.5" thickBot="1">
      <c r="B18" t="s">
        <v>2</v>
      </c>
      <c r="D18" s="49">
        <f>+'General Data'!$C$23</f>
        <v>215827.32500000022</v>
      </c>
      <c r="E18" s="49">
        <f>+'General Data'!$D$23</f>
        <v>1911.8000000000002</v>
      </c>
      <c r="F18" s="49">
        <f>+'General Data'!$E$23</f>
        <v>12616.599999999995</v>
      </c>
      <c r="G18" s="49">
        <f>+'General Data'!$F$23</f>
        <v>16562.083000000002</v>
      </c>
      <c r="H18" s="49">
        <f>+'General Data'!$G$23</f>
        <v>6290.4499999999989</v>
      </c>
      <c r="I18" s="49">
        <f>+'General Data'!$H$23</f>
        <v>5273.0833333333339</v>
      </c>
      <c r="J18" s="49">
        <f>+'General Data'!$I$23</f>
        <v>442.40000000000134</v>
      </c>
      <c r="K18" s="49">
        <f>+'General Data'!$J$23</f>
        <v>2969.2999999999997</v>
      </c>
      <c r="L18" s="49">
        <f>+'General Data'!$K$23</f>
        <v>614.57142857142856</v>
      </c>
      <c r="M18" s="8">
        <f>SUM(D18:L18)</f>
        <v>262507.61276190501</v>
      </c>
      <c r="N18" s="14">
        <f>SUM(N12:N16)</f>
        <v>0.99999999999999989</v>
      </c>
      <c r="O18" s="6">
        <f>SUM(D18:L18)-SUM(M12:M16)</f>
        <v>0</v>
      </c>
      <c r="S18" t="s">
        <v>2</v>
      </c>
      <c r="U18" s="49">
        <f>DEPN2K!AB51</f>
        <v>824269.45952380949</v>
      </c>
      <c r="V18" s="49">
        <f>DEPN2K!AB59</f>
        <v>0</v>
      </c>
      <c r="W18" s="49">
        <f>DEPN2K!AB183</f>
        <v>88843.299999999988</v>
      </c>
      <c r="X18" s="49">
        <f>DEPN2K!AB208</f>
        <v>71640.661500000017</v>
      </c>
      <c r="Y18" s="49">
        <f>DEPN2K!AB241</f>
        <v>30635.5</v>
      </c>
      <c r="Z18" s="49">
        <f>DEPN2K!AB285</f>
        <v>16848.141666666663</v>
      </c>
      <c r="AA18" s="49">
        <f>DEPN2K!AB318</f>
        <v>1392.0999999999988</v>
      </c>
      <c r="AB18" s="49">
        <f>DEPN2K!AB248</f>
        <v>21716.033333333347</v>
      </c>
      <c r="AC18" s="49">
        <f>DEPN2K!AB255</f>
        <v>2442.2142857142831</v>
      </c>
      <c r="AD18" s="8">
        <f>SUM(U18:AC18)</f>
        <v>1057787.4103095238</v>
      </c>
      <c r="AE18" s="14">
        <f>SUM(AE12:AE16)</f>
        <v>1</v>
      </c>
      <c r="AF18" s="6">
        <f>SUM(U18:AC18)-SUM(AD12:AD16)</f>
        <v>0</v>
      </c>
    </row>
    <row r="19" spans="1:32" ht="13.5" thickTop="1"/>
    <row r="21" spans="1:32">
      <c r="D21" s="2" t="s">
        <v>197</v>
      </c>
      <c r="E21" s="2" t="s">
        <v>311</v>
      </c>
      <c r="F21" s="2"/>
      <c r="G21" s="2"/>
      <c r="H21" s="2" t="s">
        <v>311</v>
      </c>
      <c r="I21" s="2" t="s">
        <v>197</v>
      </c>
      <c r="J21" s="2" t="s">
        <v>195</v>
      </c>
      <c r="K21" s="2"/>
      <c r="L21" s="2"/>
      <c r="M21" s="2"/>
      <c r="U21" s="2" t="s">
        <v>197</v>
      </c>
      <c r="V21" s="2" t="s">
        <v>311</v>
      </c>
      <c r="W21" s="2"/>
      <c r="X21" s="2"/>
      <c r="Y21" s="2" t="s">
        <v>311</v>
      </c>
      <c r="Z21" s="2" t="s">
        <v>197</v>
      </c>
      <c r="AA21" s="2" t="s">
        <v>195</v>
      </c>
      <c r="AB21" s="2"/>
      <c r="AC21" s="2"/>
      <c r="AD21" s="2"/>
    </row>
    <row r="22" spans="1:32" ht="13.5" thickBot="1">
      <c r="A22" t="s">
        <v>196</v>
      </c>
      <c r="D22" s="20" t="s">
        <v>198</v>
      </c>
      <c r="E22" s="20" t="s">
        <v>152</v>
      </c>
      <c r="F22" s="20" t="s">
        <v>199</v>
      </c>
      <c r="G22" s="20" t="s">
        <v>199</v>
      </c>
      <c r="H22" s="20" t="s">
        <v>152</v>
      </c>
      <c r="I22" s="20" t="s">
        <v>198</v>
      </c>
      <c r="J22" s="20" t="s">
        <v>106</v>
      </c>
      <c r="K22" s="92" t="s">
        <v>341</v>
      </c>
      <c r="L22" s="92" t="s">
        <v>341</v>
      </c>
      <c r="M22" s="93"/>
      <c r="R22" t="s">
        <v>196</v>
      </c>
      <c r="U22" s="20" t="s">
        <v>198</v>
      </c>
      <c r="V22" s="20" t="s">
        <v>152</v>
      </c>
      <c r="W22" s="20" t="s">
        <v>199</v>
      </c>
      <c r="X22" s="20" t="s">
        <v>199</v>
      </c>
      <c r="Y22" s="20" t="s">
        <v>152</v>
      </c>
      <c r="Z22" s="20" t="s">
        <v>198</v>
      </c>
      <c r="AA22" s="20" t="s">
        <v>106</v>
      </c>
      <c r="AB22" s="92" t="s">
        <v>341</v>
      </c>
      <c r="AC22" s="92" t="s">
        <v>341</v>
      </c>
      <c r="AD22" s="93"/>
    </row>
    <row r="23" spans="1:32">
      <c r="M23" s="18"/>
      <c r="AD23" s="18"/>
    </row>
    <row r="25" spans="1:32">
      <c r="A25" t="s">
        <v>105</v>
      </c>
      <c r="D25" s="11">
        <f>+'Hours &amp; Miles'!D25</f>
        <v>0.86878758697956915</v>
      </c>
      <c r="E25" s="11">
        <v>1</v>
      </c>
      <c r="F25" s="11">
        <f>+'Container Count'!K27</f>
        <v>0.91404805914972276</v>
      </c>
      <c r="G25" s="11">
        <f>+'Container Count'!G14</f>
        <v>0.78015419049987567</v>
      </c>
      <c r="H25" s="11">
        <v>1</v>
      </c>
      <c r="I25" s="11">
        <f>+D25</f>
        <v>0.86878758697956915</v>
      </c>
      <c r="J25" s="11">
        <f>+'Cost Allocations-Contracts'!E65</f>
        <v>0.85770036944228945</v>
      </c>
      <c r="K25" s="11">
        <v>1</v>
      </c>
      <c r="L25" s="11">
        <v>1</v>
      </c>
      <c r="M25" s="11"/>
      <c r="R25" t="s">
        <v>105</v>
      </c>
      <c r="U25" s="11">
        <f>D25</f>
        <v>0.86878758697956915</v>
      </c>
      <c r="V25" s="11">
        <f t="shared" ref="V25:AC25" si="6">E25</f>
        <v>1</v>
      </c>
      <c r="W25" s="11">
        <f t="shared" si="6"/>
        <v>0.91404805914972276</v>
      </c>
      <c r="X25" s="11">
        <f t="shared" si="6"/>
        <v>0.78015419049987567</v>
      </c>
      <c r="Y25" s="11">
        <f t="shared" si="6"/>
        <v>1</v>
      </c>
      <c r="Z25" s="11">
        <f t="shared" si="6"/>
        <v>0.86878758697956915</v>
      </c>
      <c r="AA25" s="11">
        <f t="shared" si="6"/>
        <v>0.85770036944228945</v>
      </c>
      <c r="AB25" s="11">
        <f t="shared" si="6"/>
        <v>1</v>
      </c>
      <c r="AC25" s="11">
        <f t="shared" si="6"/>
        <v>1</v>
      </c>
      <c r="AD25" s="11"/>
    </row>
    <row r="26" spans="1:32">
      <c r="A26" t="s">
        <v>113</v>
      </c>
      <c r="D26" s="11">
        <f>+'Hours &amp; Miles'!E25</f>
        <v>8.8962217417673212E-2</v>
      </c>
      <c r="E26" s="11">
        <v>0</v>
      </c>
      <c r="F26" s="11">
        <f>+'Container Count'!K23</f>
        <v>5.9149722735674676E-2</v>
      </c>
      <c r="G26" s="11">
        <f>+'Container Count'!G10</f>
        <v>0.15941308132305396</v>
      </c>
      <c r="H26" s="11">
        <v>0</v>
      </c>
      <c r="I26" s="11">
        <f>+D26</f>
        <v>8.8962217417673212E-2</v>
      </c>
      <c r="J26" s="11">
        <f>+'Cost Allocations-Contracts'!H65</f>
        <v>9.8581470344398847E-2</v>
      </c>
      <c r="K26" s="11">
        <v>0</v>
      </c>
      <c r="L26" s="11">
        <f>+'Cost Allocations-Contracts'!J65</f>
        <v>0</v>
      </c>
      <c r="M26" s="11"/>
      <c r="R26" t="s">
        <v>113</v>
      </c>
      <c r="U26" s="11">
        <f>D26</f>
        <v>8.8962217417673212E-2</v>
      </c>
      <c r="V26" s="11">
        <f t="shared" ref="V26:AC27" si="7">E26</f>
        <v>0</v>
      </c>
      <c r="W26" s="11">
        <f t="shared" si="7"/>
        <v>5.9149722735674676E-2</v>
      </c>
      <c r="X26" s="11">
        <f t="shared" si="7"/>
        <v>0.15941308132305396</v>
      </c>
      <c r="Y26" s="11">
        <f t="shared" si="7"/>
        <v>0</v>
      </c>
      <c r="Z26" s="11">
        <f t="shared" si="7"/>
        <v>8.8962217417673212E-2</v>
      </c>
      <c r="AA26" s="11">
        <f t="shared" si="7"/>
        <v>9.8581470344398847E-2</v>
      </c>
      <c r="AB26" s="11">
        <f t="shared" si="7"/>
        <v>0</v>
      </c>
      <c r="AC26" s="11">
        <f t="shared" si="7"/>
        <v>0</v>
      </c>
      <c r="AD26" s="11"/>
    </row>
    <row r="27" spans="1:32">
      <c r="A27" t="s">
        <v>110</v>
      </c>
      <c r="D27" s="11">
        <f>+'Hours &amp; Miles'!F25</f>
        <v>4.2250195602757411E-2</v>
      </c>
      <c r="E27" s="11">
        <v>0</v>
      </c>
      <c r="F27" s="11">
        <f>+'Container Count'!K25</f>
        <v>2.6802218114602587E-2</v>
      </c>
      <c r="G27" s="11">
        <f>+'Container Count'!G12</f>
        <v>6.0432728177070377E-2</v>
      </c>
      <c r="H27" s="11">
        <v>0</v>
      </c>
      <c r="I27" s="11">
        <f>+D27</f>
        <v>4.2250195602757411E-2</v>
      </c>
      <c r="J27" s="11">
        <f>+'Cost Allocations-Contracts'!K65</f>
        <v>4.3718160213311777E-2</v>
      </c>
      <c r="K27" s="11">
        <v>0</v>
      </c>
      <c r="L27" s="11">
        <f>+'Cost Allocations-Contracts'!M65</f>
        <v>0</v>
      </c>
      <c r="M27" s="11"/>
      <c r="R27" t="s">
        <v>110</v>
      </c>
      <c r="U27" s="11">
        <f>D27</f>
        <v>4.2250195602757411E-2</v>
      </c>
      <c r="V27" s="11">
        <f t="shared" si="7"/>
        <v>0</v>
      </c>
      <c r="W27" s="11">
        <f t="shared" si="7"/>
        <v>2.6802218114602587E-2</v>
      </c>
      <c r="X27" s="11">
        <f t="shared" si="7"/>
        <v>6.0432728177070377E-2</v>
      </c>
      <c r="Y27" s="11">
        <f t="shared" si="7"/>
        <v>0</v>
      </c>
      <c r="Z27" s="11">
        <f t="shared" si="7"/>
        <v>4.2250195602757411E-2</v>
      </c>
      <c r="AA27" s="11">
        <f t="shared" si="7"/>
        <v>4.3718160213311777E-2</v>
      </c>
      <c r="AB27" s="11">
        <f t="shared" si="7"/>
        <v>0</v>
      </c>
      <c r="AC27" s="11">
        <f t="shared" si="7"/>
        <v>0</v>
      </c>
      <c r="AD27" s="11"/>
    </row>
    <row r="29" spans="1:32">
      <c r="D29" s="11">
        <f t="shared" ref="D29:I29" si="8">SUM(D25:D27)</f>
        <v>0.99999999999999978</v>
      </c>
      <c r="E29" s="11">
        <f t="shared" si="8"/>
        <v>1</v>
      </c>
      <c r="F29" s="11">
        <f t="shared" si="8"/>
        <v>1</v>
      </c>
      <c r="G29" s="11">
        <f>SUM(G25:G27)</f>
        <v>1</v>
      </c>
      <c r="H29" s="11">
        <f t="shared" si="8"/>
        <v>1</v>
      </c>
      <c r="I29" s="11">
        <f t="shared" si="8"/>
        <v>0.99999999999999978</v>
      </c>
      <c r="J29" s="11">
        <f>SUM(J25:J27)</f>
        <v>1.0000000000000002</v>
      </c>
      <c r="K29" s="11">
        <f>SUM(K25:K27)</f>
        <v>1</v>
      </c>
      <c r="L29" s="11">
        <f>SUM(L25:L27)</f>
        <v>1</v>
      </c>
      <c r="M29" s="11"/>
      <c r="U29" s="11">
        <f t="shared" ref="U29:AC29" si="9">SUM(U25:U27)</f>
        <v>0.99999999999999978</v>
      </c>
      <c r="V29" s="11">
        <f t="shared" si="9"/>
        <v>1</v>
      </c>
      <c r="W29" s="11">
        <f t="shared" si="9"/>
        <v>1</v>
      </c>
      <c r="X29" s="11">
        <f t="shared" si="9"/>
        <v>1</v>
      </c>
      <c r="Y29" s="11">
        <f t="shared" si="9"/>
        <v>1</v>
      </c>
      <c r="Z29" s="11">
        <f t="shared" si="9"/>
        <v>0.99999999999999978</v>
      </c>
      <c r="AA29" s="11">
        <f t="shared" si="9"/>
        <v>1.0000000000000002</v>
      </c>
      <c r="AB29" s="11">
        <f t="shared" si="9"/>
        <v>1</v>
      </c>
      <c r="AC29" s="11">
        <f t="shared" si="9"/>
        <v>1</v>
      </c>
      <c r="AD29" s="11"/>
    </row>
    <row r="31" spans="1:32" ht="13.5" thickBot="1">
      <c r="A31" s="5"/>
      <c r="B31" s="5"/>
      <c r="C31" s="5"/>
      <c r="D31" s="5"/>
      <c r="E31" s="5"/>
      <c r="F31" s="5"/>
      <c r="G31" s="5"/>
      <c r="H31" s="5"/>
      <c r="I31" s="5"/>
      <c r="J31" s="5"/>
      <c r="K31" s="5"/>
      <c r="L31" s="5"/>
      <c r="M31" s="5"/>
      <c r="N31" s="5"/>
      <c r="O31" s="5"/>
    </row>
    <row r="33" spans="1:32">
      <c r="D33" s="2" t="s">
        <v>191</v>
      </c>
      <c r="E33" s="2" t="s">
        <v>263</v>
      </c>
      <c r="F33" s="2"/>
      <c r="G33" s="2"/>
      <c r="H33" s="2" t="s">
        <v>263</v>
      </c>
      <c r="I33" s="2" t="s">
        <v>194</v>
      </c>
      <c r="J33" s="2" t="s">
        <v>195</v>
      </c>
      <c r="K33" s="90" t="s">
        <v>341</v>
      </c>
      <c r="L33" s="90" t="s">
        <v>342</v>
      </c>
      <c r="M33" s="2"/>
      <c r="N33" s="2"/>
      <c r="U33" s="2" t="s">
        <v>191</v>
      </c>
      <c r="V33" s="2" t="s">
        <v>263</v>
      </c>
      <c r="W33" s="2"/>
      <c r="X33" s="2"/>
      <c r="Y33" s="2" t="s">
        <v>263</v>
      </c>
      <c r="Z33" s="2" t="s">
        <v>194</v>
      </c>
      <c r="AA33" s="2" t="s">
        <v>195</v>
      </c>
      <c r="AB33" s="90" t="s">
        <v>341</v>
      </c>
      <c r="AC33" s="90" t="s">
        <v>342</v>
      </c>
      <c r="AD33" s="2"/>
      <c r="AE33" s="2"/>
    </row>
    <row r="34" spans="1:32" ht="13.5" thickBot="1">
      <c r="D34" s="20" t="s">
        <v>192</v>
      </c>
      <c r="E34" s="20" t="s">
        <v>192</v>
      </c>
      <c r="F34" s="20" t="s">
        <v>193</v>
      </c>
      <c r="G34" s="20" t="s">
        <v>316</v>
      </c>
      <c r="H34" s="20" t="s">
        <v>193</v>
      </c>
      <c r="I34" s="20" t="s">
        <v>192</v>
      </c>
      <c r="J34" s="20" t="s">
        <v>192</v>
      </c>
      <c r="K34" s="92" t="s">
        <v>316</v>
      </c>
      <c r="L34" s="92" t="s">
        <v>192</v>
      </c>
      <c r="M34" s="20" t="s">
        <v>2</v>
      </c>
      <c r="N34" s="2"/>
      <c r="U34" s="20" t="s">
        <v>192</v>
      </c>
      <c r="V34" s="20" t="s">
        <v>192</v>
      </c>
      <c r="W34" s="20" t="s">
        <v>193</v>
      </c>
      <c r="X34" s="20" t="s">
        <v>316</v>
      </c>
      <c r="Y34" s="20" t="s">
        <v>193</v>
      </c>
      <c r="Z34" s="20" t="s">
        <v>192</v>
      </c>
      <c r="AA34" s="20" t="s">
        <v>192</v>
      </c>
      <c r="AB34" s="92" t="s">
        <v>316</v>
      </c>
      <c r="AC34" s="92" t="s">
        <v>192</v>
      </c>
      <c r="AD34" s="20" t="s">
        <v>2</v>
      </c>
      <c r="AE34" s="2"/>
    </row>
    <row r="36" spans="1:32">
      <c r="A36" t="s">
        <v>105</v>
      </c>
      <c r="D36" s="6">
        <f t="shared" ref="D36:L36" si="10">+D42-D38-D40</f>
        <v>187508.10089100548</v>
      </c>
      <c r="E36" s="6">
        <f t="shared" si="10"/>
        <v>1911.8000000000002</v>
      </c>
      <c r="F36" s="6">
        <f t="shared" si="10"/>
        <v>11532.178743068387</v>
      </c>
      <c r="G36" s="6">
        <f t="shared" si="10"/>
        <v>12920.978455856753</v>
      </c>
      <c r="H36" s="6">
        <f t="shared" si="10"/>
        <v>6290.4499999999989</v>
      </c>
      <c r="I36" s="6">
        <f t="shared" si="10"/>
        <v>4154.439908865319</v>
      </c>
      <c r="J36" s="6">
        <f t="shared" si="10"/>
        <v>325.45152626321391</v>
      </c>
      <c r="K36" s="6">
        <f t="shared" si="10"/>
        <v>0</v>
      </c>
      <c r="L36" s="6">
        <f t="shared" si="10"/>
        <v>0</v>
      </c>
      <c r="M36" s="6">
        <f>SUM(D36:L36)</f>
        <v>224643.39952505915</v>
      </c>
      <c r="N36" s="10">
        <f>+M36/M42</f>
        <v>0.98222792509925094</v>
      </c>
      <c r="R36" t="s">
        <v>105</v>
      </c>
      <c r="U36" s="6">
        <f t="shared" ref="U36:AC36" si="11">+U42-U38-U40</f>
        <v>716115.07476064435</v>
      </c>
      <c r="V36" s="6">
        <f t="shared" si="11"/>
        <v>0</v>
      </c>
      <c r="W36" s="6">
        <f t="shared" si="11"/>
        <v>81207.045933456553</v>
      </c>
      <c r="X36" s="6">
        <f t="shared" si="11"/>
        <v>55890.762279408118</v>
      </c>
      <c r="Y36" s="6">
        <f t="shared" si="11"/>
        <v>30635.5</v>
      </c>
      <c r="Z36" s="6">
        <f t="shared" si="11"/>
        <v>13273.940066099842</v>
      </c>
      <c r="AA36" s="6">
        <f t="shared" si="11"/>
        <v>1024.0982588404572</v>
      </c>
      <c r="AB36" s="6">
        <f t="shared" si="11"/>
        <v>0</v>
      </c>
      <c r="AC36" s="6">
        <f t="shared" si="11"/>
        <v>0</v>
      </c>
      <c r="AD36" s="6">
        <f>SUM(U36:AC36)</f>
        <v>898146.42129844939</v>
      </c>
      <c r="AE36" s="10">
        <f>+AD36/AD42</f>
        <v>0.97219028901805216</v>
      </c>
    </row>
    <row r="37" spans="1:32">
      <c r="D37" s="6"/>
      <c r="E37" s="6"/>
      <c r="F37" s="6"/>
      <c r="G37" s="6"/>
      <c r="H37" s="6"/>
      <c r="I37" s="6"/>
      <c r="J37" s="6"/>
      <c r="K37" s="6"/>
      <c r="L37" s="6"/>
      <c r="M37" s="6"/>
      <c r="N37" s="10"/>
      <c r="U37" s="6"/>
      <c r="V37" s="6"/>
      <c r="W37" s="6"/>
      <c r="X37" s="6"/>
      <c r="Y37" s="6"/>
      <c r="Z37" s="6"/>
      <c r="AA37" s="6"/>
      <c r="AB37" s="6"/>
      <c r="AC37" s="6"/>
      <c r="AD37" s="6"/>
      <c r="AE37" s="10"/>
    </row>
    <row r="38" spans="1:32">
      <c r="A38" s="83" t="s">
        <v>328</v>
      </c>
      <c r="D38" s="6">
        <f>D58</f>
        <v>0</v>
      </c>
      <c r="E38" s="6">
        <f t="shared" ref="E38:L38" si="12">+E42*E50</f>
        <v>0</v>
      </c>
      <c r="F38" s="6">
        <f t="shared" si="12"/>
        <v>0</v>
      </c>
      <c r="G38" s="6">
        <f t="shared" si="12"/>
        <v>0</v>
      </c>
      <c r="H38" s="6">
        <f t="shared" si="12"/>
        <v>0</v>
      </c>
      <c r="I38" s="6">
        <f t="shared" si="12"/>
        <v>274.64102843068724</v>
      </c>
      <c r="J38" s="6">
        <f t="shared" si="12"/>
        <v>37.406408027687242</v>
      </c>
      <c r="K38" s="6">
        <f t="shared" si="12"/>
        <v>2969.2999999999997</v>
      </c>
      <c r="L38" s="6">
        <f t="shared" si="12"/>
        <v>614.57142857142856</v>
      </c>
      <c r="M38" s="6">
        <f>SUM(D38:L38)</f>
        <v>3895.9188650298029</v>
      </c>
      <c r="N38" s="10">
        <f>+M38/M42</f>
        <v>1.703446578552326E-2</v>
      </c>
      <c r="R38" s="83" t="s">
        <v>328</v>
      </c>
      <c r="U38" s="6">
        <f>U58</f>
        <v>0</v>
      </c>
      <c r="V38" s="6">
        <f t="shared" ref="V38:AC38" si="13">+V42*V50</f>
        <v>0</v>
      </c>
      <c r="W38" s="6">
        <f t="shared" si="13"/>
        <v>0</v>
      </c>
      <c r="X38" s="6">
        <f t="shared" si="13"/>
        <v>0</v>
      </c>
      <c r="Y38" s="6">
        <f t="shared" si="13"/>
        <v>0</v>
      </c>
      <c r="Z38" s="6">
        <f t="shared" si="13"/>
        <v>877.51144102518992</v>
      </c>
      <c r="AA38" s="6">
        <f t="shared" si="13"/>
        <v>117.7067373764539</v>
      </c>
      <c r="AB38" s="6">
        <f t="shared" si="13"/>
        <v>21716.033333333347</v>
      </c>
      <c r="AC38" s="6">
        <f t="shared" si="13"/>
        <v>1221.1071428571415</v>
      </c>
      <c r="AD38" s="6">
        <f>SUM(U38:AC38)</f>
        <v>23932.358654592132</v>
      </c>
      <c r="AE38" s="10">
        <f>+AD38/AD42</f>
        <v>2.5905360334960537E-2</v>
      </c>
    </row>
    <row r="39" spans="1:32">
      <c r="D39" s="6"/>
      <c r="E39" s="6"/>
      <c r="F39" s="6"/>
      <c r="G39" s="6"/>
      <c r="H39" s="6"/>
      <c r="I39" s="6"/>
      <c r="J39" s="6"/>
      <c r="K39" s="6"/>
      <c r="L39" s="6"/>
      <c r="M39" s="6"/>
      <c r="N39" s="10"/>
      <c r="U39" s="6"/>
      <c r="V39" s="6"/>
      <c r="W39" s="6"/>
      <c r="X39" s="6"/>
      <c r="Y39" s="6"/>
      <c r="Z39" s="6"/>
      <c r="AA39" s="6"/>
      <c r="AB39" s="6"/>
      <c r="AC39" s="6"/>
      <c r="AD39" s="6"/>
      <c r="AE39" s="10"/>
    </row>
    <row r="40" spans="1:32">
      <c r="A40" s="83" t="s">
        <v>361</v>
      </c>
      <c r="D40" s="43">
        <f>D64</f>
        <v>0</v>
      </c>
      <c r="E40" s="43">
        <f t="shared" ref="E40:L40" si="14">+E42*E51</f>
        <v>0</v>
      </c>
      <c r="F40" s="43">
        <f t="shared" si="14"/>
        <v>0</v>
      </c>
      <c r="G40" s="43">
        <f t="shared" si="14"/>
        <v>0</v>
      </c>
      <c r="H40" s="43">
        <f t="shared" si="14"/>
        <v>0</v>
      </c>
      <c r="I40" s="43">
        <f t="shared" si="14"/>
        <v>152.10840781284486</v>
      </c>
      <c r="J40" s="43">
        <f t="shared" si="14"/>
        <v>16.588709150368832</v>
      </c>
      <c r="K40" s="43">
        <f t="shared" si="14"/>
        <v>0</v>
      </c>
      <c r="L40" s="43">
        <f t="shared" si="14"/>
        <v>0</v>
      </c>
      <c r="M40" s="43">
        <f>SUM(D40:L40)</f>
        <v>168.69711696321369</v>
      </c>
      <c r="N40" s="74">
        <f>+M40/M42</f>
        <v>7.3760911522583676E-4</v>
      </c>
      <c r="R40" s="83" t="s">
        <v>361</v>
      </c>
      <c r="U40" s="43">
        <f>U64</f>
        <v>0</v>
      </c>
      <c r="V40" s="43">
        <f t="shared" ref="V40:AC40" si="15">+V42*V51</f>
        <v>0</v>
      </c>
      <c r="W40" s="43">
        <f t="shared" si="15"/>
        <v>0</v>
      </c>
      <c r="X40" s="43">
        <f t="shared" si="15"/>
        <v>0</v>
      </c>
      <c r="Y40" s="43">
        <f t="shared" si="15"/>
        <v>0</v>
      </c>
      <c r="Z40" s="43">
        <f t="shared" si="15"/>
        <v>486.00483654824018</v>
      </c>
      <c r="AA40" s="43">
        <f t="shared" si="15"/>
        <v>52.199688083698817</v>
      </c>
      <c r="AB40" s="43">
        <f t="shared" si="15"/>
        <v>0</v>
      </c>
      <c r="AC40" s="43">
        <f t="shared" si="15"/>
        <v>1221.1071428571415</v>
      </c>
      <c r="AD40" s="43">
        <f>SUM(U40:AC40)</f>
        <v>1759.3116674890805</v>
      </c>
      <c r="AE40" s="74">
        <f>+AD40/AD42</f>
        <v>1.9043506469873113E-3</v>
      </c>
    </row>
    <row r="41" spans="1:32">
      <c r="D41" s="6"/>
      <c r="E41" s="6"/>
      <c r="F41" s="6"/>
      <c r="G41" s="6"/>
      <c r="H41" s="6"/>
      <c r="I41" s="6"/>
      <c r="J41" s="6"/>
      <c r="K41" s="6"/>
      <c r="L41" s="6"/>
      <c r="M41" s="6"/>
      <c r="N41" s="11"/>
      <c r="U41" s="6"/>
      <c r="V41" s="6"/>
      <c r="W41" s="6"/>
      <c r="X41" s="6"/>
      <c r="Y41" s="6"/>
      <c r="Z41" s="6"/>
      <c r="AA41" s="6"/>
      <c r="AB41" s="6"/>
      <c r="AC41" s="6"/>
      <c r="AD41" s="6"/>
      <c r="AE41" s="11"/>
    </row>
    <row r="42" spans="1:32" ht="13.5" thickBot="1">
      <c r="B42" s="83" t="s">
        <v>362</v>
      </c>
      <c r="D42" s="49">
        <f t="shared" ref="D42:L42" si="16">D12</f>
        <v>187508.10089100548</v>
      </c>
      <c r="E42" s="49">
        <f t="shared" si="16"/>
        <v>1911.8000000000002</v>
      </c>
      <c r="F42" s="49">
        <f t="shared" si="16"/>
        <v>11532.178743068387</v>
      </c>
      <c r="G42" s="49">
        <f t="shared" si="16"/>
        <v>12920.978455856753</v>
      </c>
      <c r="H42" s="49">
        <f t="shared" si="16"/>
        <v>6290.4499999999989</v>
      </c>
      <c r="I42" s="49">
        <f t="shared" si="16"/>
        <v>4581.1893451088517</v>
      </c>
      <c r="J42" s="49">
        <f t="shared" si="16"/>
        <v>379.44664344127</v>
      </c>
      <c r="K42" s="49">
        <f t="shared" si="16"/>
        <v>2969.2999999999997</v>
      </c>
      <c r="L42" s="49">
        <f t="shared" si="16"/>
        <v>614.57142857142856</v>
      </c>
      <c r="M42" s="8">
        <f>SUM(D42:L42)</f>
        <v>228708.01550705216</v>
      </c>
      <c r="N42" s="14">
        <f>SUM(N36:N40)</f>
        <v>1</v>
      </c>
      <c r="O42" s="6">
        <f>SUM(D42:L42)-SUM(M36:M40)</f>
        <v>0</v>
      </c>
      <c r="S42" s="83" t="s">
        <v>362</v>
      </c>
      <c r="U42" s="49">
        <f t="shared" ref="U42:AC42" si="17">U12</f>
        <v>716115.07476064435</v>
      </c>
      <c r="V42" s="49">
        <f t="shared" si="17"/>
        <v>0</v>
      </c>
      <c r="W42" s="49">
        <f t="shared" si="17"/>
        <v>81207.045933456553</v>
      </c>
      <c r="X42" s="49">
        <f t="shared" si="17"/>
        <v>55890.762279408118</v>
      </c>
      <c r="Y42" s="49">
        <f t="shared" si="17"/>
        <v>30635.5</v>
      </c>
      <c r="Z42" s="49">
        <f t="shared" si="17"/>
        <v>14637.456343673271</v>
      </c>
      <c r="AA42" s="49">
        <f t="shared" si="17"/>
        <v>1194.0046843006101</v>
      </c>
      <c r="AB42" s="49">
        <f t="shared" si="17"/>
        <v>21716.033333333347</v>
      </c>
      <c r="AC42" s="49">
        <f t="shared" si="17"/>
        <v>2442.2142857142831</v>
      </c>
      <c r="AD42" s="8">
        <f>SUM(U42:AC42)</f>
        <v>923838.09162053058</v>
      </c>
      <c r="AE42" s="14">
        <f>SUM(AE36:AE40)</f>
        <v>1</v>
      </c>
      <c r="AF42" s="6">
        <f>SUM(U42:AC42)-SUM(AD36:AD40)</f>
        <v>0</v>
      </c>
    </row>
    <row r="43" spans="1:32" ht="13.5" thickTop="1"/>
    <row r="46" spans="1:32">
      <c r="D46" s="2"/>
      <c r="E46" s="2" t="s">
        <v>311</v>
      </c>
      <c r="F46" s="2"/>
      <c r="G46" s="2"/>
      <c r="H46" s="2" t="s">
        <v>311</v>
      </c>
      <c r="I46" s="2" t="s">
        <v>197</v>
      </c>
      <c r="J46" s="2" t="s">
        <v>195</v>
      </c>
      <c r="K46" s="2"/>
      <c r="L46" s="2"/>
      <c r="M46" s="2"/>
      <c r="U46" s="2"/>
      <c r="V46" s="2" t="s">
        <v>311</v>
      </c>
      <c r="W46" s="2"/>
      <c r="X46" s="2"/>
      <c r="Y46" s="2" t="s">
        <v>311</v>
      </c>
      <c r="Z46" s="2" t="s">
        <v>197</v>
      </c>
      <c r="AA46" s="2" t="s">
        <v>195</v>
      </c>
      <c r="AB46" s="2"/>
      <c r="AC46" s="2"/>
    </row>
    <row r="47" spans="1:32" ht="13.5" thickBot="1">
      <c r="A47" t="s">
        <v>196</v>
      </c>
      <c r="D47" s="92" t="s">
        <v>365</v>
      </c>
      <c r="E47" s="20" t="s">
        <v>152</v>
      </c>
      <c r="F47" s="20" t="s">
        <v>199</v>
      </c>
      <c r="G47" s="20" t="s">
        <v>199</v>
      </c>
      <c r="H47" s="20" t="s">
        <v>152</v>
      </c>
      <c r="I47" s="20" t="s">
        <v>198</v>
      </c>
      <c r="J47" s="20" t="s">
        <v>106</v>
      </c>
      <c r="K47" s="92" t="s">
        <v>341</v>
      </c>
      <c r="L47" s="92" t="s">
        <v>341</v>
      </c>
      <c r="M47" s="93"/>
      <c r="R47" t="s">
        <v>196</v>
      </c>
      <c r="U47" s="92" t="s">
        <v>365</v>
      </c>
      <c r="V47" s="20" t="s">
        <v>152</v>
      </c>
      <c r="W47" s="20" t="s">
        <v>199</v>
      </c>
      <c r="X47" s="20" t="s">
        <v>199</v>
      </c>
      <c r="Y47" s="20" t="s">
        <v>152</v>
      </c>
      <c r="Z47" s="20" t="s">
        <v>198</v>
      </c>
      <c r="AA47" s="20" t="s">
        <v>106</v>
      </c>
      <c r="AB47" s="92" t="s">
        <v>341</v>
      </c>
      <c r="AC47" s="92" t="s">
        <v>341</v>
      </c>
    </row>
    <row r="49" spans="1:29">
      <c r="A49" t="s">
        <v>105</v>
      </c>
      <c r="D49" s="11">
        <f>+'Hours &amp; Miles'!D31</f>
        <v>0</v>
      </c>
      <c r="E49" s="11">
        <v>1</v>
      </c>
      <c r="F49" s="11">
        <v>1</v>
      </c>
      <c r="G49" s="11">
        <v>1</v>
      </c>
      <c r="H49" s="11">
        <v>1</v>
      </c>
      <c r="I49" s="11">
        <f>'Hours &amp; Miles'!I25</f>
        <v>0.90684745726583971</v>
      </c>
      <c r="J49" s="439">
        <f>'Overhead Allocation'!O20</f>
        <v>0.85770036944228945</v>
      </c>
      <c r="K49" s="11">
        <v>0</v>
      </c>
      <c r="L49" s="11">
        <v>0</v>
      </c>
      <c r="R49" t="s">
        <v>105</v>
      </c>
      <c r="U49" s="11">
        <f>D49</f>
        <v>0</v>
      </c>
      <c r="V49" s="11">
        <f t="shared" ref="V49:AC49" si="18">E49</f>
        <v>1</v>
      </c>
      <c r="W49" s="11">
        <f t="shared" si="18"/>
        <v>1</v>
      </c>
      <c r="X49" s="11">
        <f t="shared" si="18"/>
        <v>1</v>
      </c>
      <c r="Y49" s="11">
        <f t="shared" si="18"/>
        <v>1</v>
      </c>
      <c r="Z49" s="11">
        <f t="shared" si="18"/>
        <v>0.90684745726583971</v>
      </c>
      <c r="AA49" s="11">
        <f t="shared" si="18"/>
        <v>0.85770036944228945</v>
      </c>
      <c r="AB49" s="11">
        <f t="shared" si="18"/>
        <v>0</v>
      </c>
      <c r="AC49" s="11">
        <f t="shared" si="18"/>
        <v>0</v>
      </c>
    </row>
    <row r="50" spans="1:29">
      <c r="A50" s="83" t="s">
        <v>328</v>
      </c>
      <c r="D50" s="11">
        <f>+'Hours &amp; Miles'!E31</f>
        <v>0</v>
      </c>
      <c r="E50" s="11">
        <v>0</v>
      </c>
      <c r="F50" s="11">
        <v>0</v>
      </c>
      <c r="G50" s="11">
        <v>0</v>
      </c>
      <c r="H50" s="11">
        <v>0</v>
      </c>
      <c r="I50" s="11">
        <f>'Hours &amp; Miles'!K25</f>
        <v>5.9949722166343165E-2</v>
      </c>
      <c r="J50" s="439">
        <f>'Overhead Allocation'!P20</f>
        <v>9.8581470344398847E-2</v>
      </c>
      <c r="K50" s="11">
        <v>1</v>
      </c>
      <c r="L50" s="11">
        <v>1</v>
      </c>
      <c r="R50" s="83" t="s">
        <v>328</v>
      </c>
      <c r="U50" s="11">
        <f>D50</f>
        <v>0</v>
      </c>
      <c r="V50" s="11">
        <f t="shared" ref="V50:AB51" si="19">E50</f>
        <v>0</v>
      </c>
      <c r="W50" s="11">
        <f t="shared" si="19"/>
        <v>0</v>
      </c>
      <c r="X50" s="11">
        <f t="shared" si="19"/>
        <v>0</v>
      </c>
      <c r="Y50" s="11">
        <f t="shared" si="19"/>
        <v>0</v>
      </c>
      <c r="Z50" s="11">
        <f t="shared" si="19"/>
        <v>5.9949722166343165E-2</v>
      </c>
      <c r="AA50" s="11">
        <f t="shared" si="19"/>
        <v>9.8581470344398847E-2</v>
      </c>
      <c r="AB50" s="11">
        <f t="shared" si="19"/>
        <v>1</v>
      </c>
      <c r="AC50" s="11">
        <v>0.5</v>
      </c>
    </row>
    <row r="51" spans="1:29">
      <c r="A51" s="83" t="s">
        <v>361</v>
      </c>
      <c r="D51" s="11">
        <f>+'Hours &amp; Miles'!F31</f>
        <v>0</v>
      </c>
      <c r="E51" s="11">
        <v>0</v>
      </c>
      <c r="F51" s="11">
        <f>+'Container Count'!K31</f>
        <v>0</v>
      </c>
      <c r="G51" s="11">
        <f>+'Container Count'!G18</f>
        <v>0</v>
      </c>
      <c r="H51" s="11">
        <v>0</v>
      </c>
      <c r="I51" s="11">
        <f>'Hours &amp; Miles'!J25</f>
        <v>3.3202820567817128E-2</v>
      </c>
      <c r="J51" s="439">
        <f>'Overhead Allocation'!Q20</f>
        <v>4.3718160213311777E-2</v>
      </c>
      <c r="K51" s="11">
        <v>0</v>
      </c>
      <c r="L51" s="11">
        <f>+'Cost Allocations-Contracts'!M71</f>
        <v>0</v>
      </c>
      <c r="R51" s="83" t="s">
        <v>361</v>
      </c>
      <c r="U51" s="11">
        <f>D51</f>
        <v>0</v>
      </c>
      <c r="V51" s="11">
        <f t="shared" si="19"/>
        <v>0</v>
      </c>
      <c r="W51" s="11">
        <f t="shared" si="19"/>
        <v>0</v>
      </c>
      <c r="X51" s="11">
        <f t="shared" si="19"/>
        <v>0</v>
      </c>
      <c r="Y51" s="11">
        <f t="shared" si="19"/>
        <v>0</v>
      </c>
      <c r="Z51" s="11">
        <f t="shared" si="19"/>
        <v>3.3202820567817128E-2</v>
      </c>
      <c r="AA51" s="11">
        <f t="shared" si="19"/>
        <v>4.3718160213311777E-2</v>
      </c>
      <c r="AB51" s="11">
        <f t="shared" si="19"/>
        <v>0</v>
      </c>
      <c r="AC51" s="11">
        <v>0.5</v>
      </c>
    </row>
    <row r="53" spans="1:29">
      <c r="D53" s="11">
        <f>SUM(D49:D51)</f>
        <v>0</v>
      </c>
      <c r="E53" s="11">
        <f>SUM(E49:E51)</f>
        <v>1</v>
      </c>
      <c r="F53" s="11">
        <f>SUM(F49:F51)</f>
        <v>1</v>
      </c>
      <c r="G53" s="11">
        <f t="shared" ref="G53:L53" si="20">SUM(G49:G51)</f>
        <v>1</v>
      </c>
      <c r="H53" s="11">
        <f t="shared" si="20"/>
        <v>1</v>
      </c>
      <c r="I53" s="11">
        <f t="shared" si="20"/>
        <v>1</v>
      </c>
      <c r="J53" s="11">
        <f t="shared" si="20"/>
        <v>1.0000000000000002</v>
      </c>
      <c r="K53" s="11">
        <f t="shared" si="20"/>
        <v>1</v>
      </c>
      <c r="L53" s="11">
        <f t="shared" si="20"/>
        <v>1</v>
      </c>
      <c r="U53" s="11">
        <f>SUM(U49:U51)</f>
        <v>0</v>
      </c>
      <c r="V53" s="11">
        <f>SUM(V49:V51)</f>
        <v>1</v>
      </c>
      <c r="W53" s="11">
        <f>SUM(W49:W51)</f>
        <v>1</v>
      </c>
      <c r="X53" s="11">
        <f t="shared" ref="X53:AC53" si="21">SUM(X49:X51)</f>
        <v>1</v>
      </c>
      <c r="Y53" s="11">
        <f t="shared" si="21"/>
        <v>1</v>
      </c>
      <c r="Z53" s="11">
        <f t="shared" si="21"/>
        <v>1</v>
      </c>
      <c r="AA53" s="11">
        <f t="shared" si="21"/>
        <v>1.0000000000000002</v>
      </c>
      <c r="AB53" s="11">
        <f t="shared" si="21"/>
        <v>1</v>
      </c>
      <c r="AC53" s="11">
        <f t="shared" si="21"/>
        <v>1</v>
      </c>
    </row>
    <row r="56" spans="1:29">
      <c r="A56" s="83" t="s">
        <v>360</v>
      </c>
    </row>
    <row r="57" spans="1:29">
      <c r="A57" s="83" t="s">
        <v>357</v>
      </c>
    </row>
    <row r="58" spans="1:29">
      <c r="A58" s="83" t="s">
        <v>358</v>
      </c>
      <c r="C58" s="99">
        <f>DEPN2K!$T$17</f>
        <v>0</v>
      </c>
      <c r="D58" s="100">
        <f>C58*C60</f>
        <v>0</v>
      </c>
    </row>
    <row r="59" spans="1:29">
      <c r="A59" s="83" t="s">
        <v>363</v>
      </c>
      <c r="B59" s="701">
        <v>5376</v>
      </c>
    </row>
    <row r="60" spans="1:29">
      <c r="A60" s="83" t="s">
        <v>364</v>
      </c>
      <c r="B60" s="701">
        <v>5376</v>
      </c>
      <c r="C60" s="94">
        <f>B60/B59</f>
        <v>1</v>
      </c>
    </row>
    <row r="63" spans="1:29">
      <c r="A63" s="83" t="s">
        <v>359</v>
      </c>
    </row>
    <row r="64" spans="1:29">
      <c r="A64" s="700" t="s">
        <v>1358</v>
      </c>
      <c r="C64" s="100">
        <f>DEPN2K!$T$31</f>
        <v>0</v>
      </c>
      <c r="D64" s="100">
        <f>C64*C66</f>
        <v>0</v>
      </c>
    </row>
    <row r="65" spans="1:4">
      <c r="A65" s="83" t="s">
        <v>363</v>
      </c>
      <c r="B65" s="701">
        <v>5951</v>
      </c>
    </row>
    <row r="66" spans="1:4">
      <c r="A66" s="83" t="s">
        <v>364</v>
      </c>
      <c r="B66" s="701">
        <f>'Hours &amp; Miles'!J69</f>
        <v>2453</v>
      </c>
      <c r="C66" s="94">
        <f>B66/B65</f>
        <v>0.4121996303142329</v>
      </c>
      <c r="D66" s="17"/>
    </row>
  </sheetData>
  <phoneticPr fontId="0" type="noConversion"/>
  <pageMargins left="0.33" right="0.3" top="1" bottom="1" header="0.5" footer="0.5"/>
  <pageSetup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6"/>
  <sheetViews>
    <sheetView zoomScaleNormal="100" workbookViewId="0">
      <selection activeCell="I83" sqref="I83"/>
    </sheetView>
  </sheetViews>
  <sheetFormatPr defaultRowHeight="12.75"/>
  <cols>
    <col min="3" max="4" width="10.85546875" customWidth="1"/>
    <col min="5" max="5" width="11.28515625" customWidth="1"/>
    <col min="6" max="6" width="10" customWidth="1"/>
    <col min="8" max="8" width="10.28515625" customWidth="1"/>
    <col min="9" max="9" width="10.42578125" customWidth="1"/>
    <col min="10" max="10" width="11.28515625" customWidth="1"/>
    <col min="11" max="11" width="11.140625" customWidth="1"/>
  </cols>
  <sheetData>
    <row r="1" spans="1:15">
      <c r="A1" t="s">
        <v>0</v>
      </c>
    </row>
    <row r="3" spans="1:15">
      <c r="A3" t="s">
        <v>111</v>
      </c>
      <c r="F3" s="693" t="s">
        <v>1414</v>
      </c>
      <c r="G3" s="693" t="s">
        <v>702</v>
      </c>
    </row>
    <row r="5" spans="1:15">
      <c r="A5" s="692" t="s">
        <v>1366</v>
      </c>
    </row>
    <row r="7" spans="1:15">
      <c r="H7" s="90" t="s">
        <v>2</v>
      </c>
      <c r="I7" s="90" t="s">
        <v>345</v>
      </c>
      <c r="J7" s="83" t="s">
        <v>338</v>
      </c>
      <c r="K7" s="83" t="s">
        <v>340</v>
      </c>
    </row>
    <row r="8" spans="1:15" ht="13.5" thickBot="1">
      <c r="A8" t="s">
        <v>112</v>
      </c>
      <c r="C8" s="20" t="s">
        <v>2</v>
      </c>
      <c r="D8" s="20" t="s">
        <v>105</v>
      </c>
      <c r="E8" s="20" t="s">
        <v>113</v>
      </c>
      <c r="F8" s="20" t="s">
        <v>110</v>
      </c>
      <c r="H8" s="92" t="s">
        <v>105</v>
      </c>
      <c r="I8" s="20" t="s">
        <v>105</v>
      </c>
      <c r="J8" s="92" t="s">
        <v>339</v>
      </c>
      <c r="K8" s="92" t="s">
        <v>339</v>
      </c>
    </row>
    <row r="9" spans="1:15">
      <c r="E9" s="17"/>
      <c r="J9" s="17"/>
    </row>
    <row r="10" spans="1:15">
      <c r="A10" t="str">
        <f>+'Monthly Data-Hours &amp; Miles'!$C$24</f>
        <v>January</v>
      </c>
      <c r="C10" s="17">
        <f>+'Monthly Data-Hours &amp; Miles'!$C$32</f>
        <v>616.44999999999993</v>
      </c>
      <c r="D10" s="17">
        <f>+C10-E10-F10</f>
        <v>526.52999999999986</v>
      </c>
      <c r="E10" s="17">
        <f>+'Monthly Data-Hours &amp; Miles'!C$26</f>
        <v>59.1</v>
      </c>
      <c r="F10" s="17">
        <f>+'Monthly Data-Hours &amp; Miles'!C$27</f>
        <v>30.82</v>
      </c>
      <c r="H10" s="17">
        <f>D10</f>
        <v>526.52999999999986</v>
      </c>
      <c r="I10" s="17">
        <f>+H10-J10-K10</f>
        <v>479.00999999999988</v>
      </c>
      <c r="J10" s="17">
        <f>+'Monthly Data-Hours &amp; Miles'!C$36</f>
        <v>20.02</v>
      </c>
      <c r="K10" s="17">
        <f>+'Monthly Data-Hours &amp; Miles'!C$35</f>
        <v>27.5</v>
      </c>
    </row>
    <row r="11" spans="1:15">
      <c r="A11" t="str">
        <f>+'Monthly Data-Hours &amp; Miles'!$D$24</f>
        <v>February</v>
      </c>
      <c r="C11" s="17">
        <f>+'Monthly Data-Hours &amp; Miles'!$D$32</f>
        <v>526.57000000000005</v>
      </c>
      <c r="D11" s="17">
        <f t="shared" ref="D11:D16" si="0">+C11-E11-F11</f>
        <v>442.18000000000006</v>
      </c>
      <c r="E11" s="17">
        <f>+'Monthly Data-Hours &amp; Miles'!D$26</f>
        <v>57.36</v>
      </c>
      <c r="F11" s="17">
        <f>+'Monthly Data-Hours &amp; Miles'!D$27</f>
        <v>27.03</v>
      </c>
      <c r="H11" s="17">
        <f t="shared" ref="H11:H16" si="1">D11</f>
        <v>442.18000000000006</v>
      </c>
      <c r="I11" s="17">
        <f t="shared" ref="I11:I16" si="2">+H11-J11-K11</f>
        <v>400.47000000000008</v>
      </c>
      <c r="J11" s="17">
        <f>+'Monthly Data-Hours &amp; Miles'!D$36</f>
        <v>14.21</v>
      </c>
      <c r="K11" s="17">
        <f>+'Monthly Data-Hours &amp; Miles'!D$35</f>
        <v>27.5</v>
      </c>
    </row>
    <row r="12" spans="1:15">
      <c r="A12" t="str">
        <f>+'Monthly Data-Hours &amp; Miles'!$E$24</f>
        <v>March</v>
      </c>
      <c r="C12" s="17">
        <f>+'Monthly Data-Hours &amp; Miles'!$E$32</f>
        <v>597.24</v>
      </c>
      <c r="D12" s="17">
        <f t="shared" si="0"/>
        <v>495.73000000000008</v>
      </c>
      <c r="E12" s="17">
        <f>+'Monthly Data-Hours &amp; Miles'!E$26</f>
        <v>68.3</v>
      </c>
      <c r="F12" s="17">
        <f>+'Monthly Data-Hours &amp; Miles'!E$27</f>
        <v>33.21</v>
      </c>
      <c r="H12" s="17">
        <f t="shared" si="1"/>
        <v>495.73000000000008</v>
      </c>
      <c r="I12" s="17">
        <f t="shared" si="2"/>
        <v>455.23000000000008</v>
      </c>
      <c r="J12" s="17">
        <f>+'Monthly Data-Hours &amp; Miles'!E$36</f>
        <v>10.5</v>
      </c>
      <c r="K12" s="17">
        <f>+'Monthly Data-Hours &amp; Miles'!E$35</f>
        <v>30</v>
      </c>
    </row>
    <row r="13" spans="1:15">
      <c r="A13" t="str">
        <f>+'Monthly Data-Hours &amp; Miles'!$F$24</f>
        <v>April</v>
      </c>
      <c r="C13" s="17">
        <f>+'Monthly Data-Hours &amp; Miles'!$F$32</f>
        <v>663.42000000000007</v>
      </c>
      <c r="D13" s="17">
        <f t="shared" si="0"/>
        <v>576.95000000000016</v>
      </c>
      <c r="E13" s="17">
        <f>+'Monthly Data-Hours &amp; Miles'!F$26</f>
        <v>58.29</v>
      </c>
      <c r="F13" s="17">
        <f>+'Monthly Data-Hours &amp; Miles'!F$27</f>
        <v>28.18</v>
      </c>
      <c r="H13" s="17">
        <f t="shared" si="1"/>
        <v>576.95000000000016</v>
      </c>
      <c r="I13" s="17">
        <f t="shared" si="2"/>
        <v>516.70000000000016</v>
      </c>
      <c r="J13" s="17">
        <f>+'Monthly Data-Hours &amp; Miles'!F$36</f>
        <v>14.25</v>
      </c>
      <c r="K13" s="17">
        <f>+'Monthly Data-Hours &amp; Miles'!F$35</f>
        <v>46</v>
      </c>
      <c r="O13" s="11"/>
    </row>
    <row r="14" spans="1:15">
      <c r="A14" t="str">
        <f>+'Monthly Data-Hours &amp; Miles'!$G$24</f>
        <v>May</v>
      </c>
      <c r="C14" s="17">
        <f>+'Monthly Data-Hours &amp; Miles'!$G$32</f>
        <v>659.8599999999999</v>
      </c>
      <c r="D14" s="17">
        <f t="shared" si="0"/>
        <v>568.4799999999999</v>
      </c>
      <c r="E14" s="17">
        <f>+'Monthly Data-Hours &amp; Miles'!G$26</f>
        <v>62.74</v>
      </c>
      <c r="F14" s="17">
        <f>+'Monthly Data-Hours &amp; Miles'!G$27</f>
        <v>28.64</v>
      </c>
      <c r="H14" s="17">
        <f t="shared" si="1"/>
        <v>568.4799999999999</v>
      </c>
      <c r="I14" s="17">
        <f t="shared" si="2"/>
        <v>506.7299999999999</v>
      </c>
      <c r="J14" s="17">
        <f>+'Monthly Data-Hours &amp; Miles'!G$36</f>
        <v>22.25</v>
      </c>
      <c r="K14" s="17">
        <f>+'Monthly Data-Hours &amp; Miles'!G$35</f>
        <v>39.5</v>
      </c>
      <c r="O14" s="11"/>
    </row>
    <row r="15" spans="1:15">
      <c r="A15" t="str">
        <f>+'Monthly Data-Hours &amp; Miles'!$H$24</f>
        <v>June</v>
      </c>
      <c r="C15" s="17">
        <f>+'Monthly Data-Hours &amp; Miles'!$H$32</f>
        <v>779.01</v>
      </c>
      <c r="D15" s="17">
        <f t="shared" si="0"/>
        <v>675.05</v>
      </c>
      <c r="E15" s="17">
        <f>+'Monthly Data-Hours &amp; Miles'!H$26</f>
        <v>71.19</v>
      </c>
      <c r="F15" s="17">
        <f>+'Monthly Data-Hours &amp; Miles'!H$27</f>
        <v>32.770000000000003</v>
      </c>
      <c r="H15" s="17">
        <f t="shared" si="1"/>
        <v>675.05</v>
      </c>
      <c r="I15" s="17">
        <f t="shared" si="2"/>
        <v>615.04999999999995</v>
      </c>
      <c r="J15" s="17">
        <f>+'Monthly Data-Hours &amp; Miles'!H$36</f>
        <v>20</v>
      </c>
      <c r="K15" s="17">
        <f>+'Monthly Data-Hours &amp; Miles'!H$35</f>
        <v>40</v>
      </c>
    </row>
    <row r="16" spans="1:15">
      <c r="A16" t="str">
        <f>+'Monthly Data-Hours &amp; Miles'!$I$24</f>
        <v>July</v>
      </c>
      <c r="C16" s="17">
        <f>+'Monthly Data-Hours &amp; Miles'!$I$32</f>
        <v>895.71999999999991</v>
      </c>
      <c r="D16" s="17">
        <f t="shared" si="0"/>
        <v>806.69999999999982</v>
      </c>
      <c r="E16" s="17">
        <f>+'Monthly Data-Hours &amp; Miles'!I$26</f>
        <v>59.2</v>
      </c>
      <c r="F16" s="17">
        <f>+'Monthly Data-Hours &amp; Miles'!I$27</f>
        <v>29.82</v>
      </c>
      <c r="H16" s="17">
        <f t="shared" si="1"/>
        <v>806.69999999999982</v>
      </c>
      <c r="I16" s="17">
        <f t="shared" si="2"/>
        <v>737.36999999999978</v>
      </c>
      <c r="J16" s="17">
        <f>+'Monthly Data-Hours &amp; Miles'!I$36</f>
        <v>29.83</v>
      </c>
      <c r="K16" s="17">
        <f>+'Monthly Data-Hours &amp; Miles'!I$35</f>
        <v>39.5</v>
      </c>
    </row>
    <row r="17" spans="1:11">
      <c r="A17" t="str">
        <f>+'Monthly Data-Hours &amp; Miles'!$J$24</f>
        <v>August</v>
      </c>
      <c r="C17" s="17">
        <f>+'Monthly Data-Hours &amp; Miles'!$J$32</f>
        <v>879.80000000000007</v>
      </c>
      <c r="D17" s="17">
        <f t="shared" ref="D17:D21" si="3">+C17-E17-F17</f>
        <v>789.12</v>
      </c>
      <c r="E17" s="17">
        <f>+'Monthly Data-Hours &amp; Miles'!J$26</f>
        <v>61.83</v>
      </c>
      <c r="F17" s="17">
        <f>+'Monthly Data-Hours &amp; Miles'!J$27</f>
        <v>28.85</v>
      </c>
      <c r="H17" s="17">
        <f t="shared" ref="H17:H21" si="4">D17</f>
        <v>789.12</v>
      </c>
      <c r="I17" s="17">
        <f t="shared" ref="I17:I21" si="5">+H17-J17-K17</f>
        <v>717.2</v>
      </c>
      <c r="J17" s="17">
        <f>+'Monthly Data-Hours &amp; Miles'!J$36</f>
        <v>26.42</v>
      </c>
      <c r="K17" s="17">
        <f>+'Monthly Data-Hours &amp; Miles'!J$35</f>
        <v>45.5</v>
      </c>
    </row>
    <row r="18" spans="1:11">
      <c r="A18" t="str">
        <f>+'Monthly Data-Hours &amp; Miles'!$K$24</f>
        <v>September</v>
      </c>
      <c r="C18" s="17">
        <f>+'Monthly Data-Hours &amp; Miles'!$K$32</f>
        <v>861.38000000000011</v>
      </c>
      <c r="D18" s="17">
        <f t="shared" si="3"/>
        <v>742.15000000000009</v>
      </c>
      <c r="E18" s="17">
        <f>+'Monthly Data-Hours &amp; Miles'!K$26</f>
        <v>84.16</v>
      </c>
      <c r="F18" s="17">
        <f>+'Monthly Data-Hours &amp; Miles'!K$27</f>
        <v>35.07</v>
      </c>
      <c r="H18" s="17">
        <f t="shared" si="4"/>
        <v>742.15000000000009</v>
      </c>
      <c r="I18" s="17">
        <f t="shared" si="5"/>
        <v>675.15000000000009</v>
      </c>
      <c r="J18" s="17">
        <f>+'Monthly Data-Hours &amp; Miles'!K$36</f>
        <v>24</v>
      </c>
      <c r="K18" s="17">
        <f>+'Monthly Data-Hours &amp; Miles'!K$35</f>
        <v>43</v>
      </c>
    </row>
    <row r="19" spans="1:11">
      <c r="A19" t="str">
        <f>+'Monthly Data-Hours &amp; Miles'!$L$24</f>
        <v xml:space="preserve">October </v>
      </c>
      <c r="C19" s="17">
        <f>+'Monthly Data-Hours &amp; Miles'!$L$32</f>
        <v>814.95</v>
      </c>
      <c r="D19" s="17">
        <f t="shared" si="3"/>
        <v>726.63000000000011</v>
      </c>
      <c r="E19" s="17">
        <f>+'Monthly Data-Hours &amp; Miles'!L$26</f>
        <v>59.42</v>
      </c>
      <c r="F19" s="17">
        <f>+'Monthly Data-Hours &amp; Miles'!L$27</f>
        <v>28.9</v>
      </c>
      <c r="H19" s="17">
        <f t="shared" si="4"/>
        <v>726.63000000000011</v>
      </c>
      <c r="I19" s="17">
        <f t="shared" si="5"/>
        <v>655.80000000000007</v>
      </c>
      <c r="J19" s="17">
        <f>+'Monthly Data-Hours &amp; Miles'!L$36</f>
        <v>26.75</v>
      </c>
      <c r="K19" s="17">
        <f>+'Monthly Data-Hours &amp; Miles'!L$35</f>
        <v>44.08</v>
      </c>
    </row>
    <row r="20" spans="1:11">
      <c r="A20" t="str">
        <f>+'Monthly Data-Hours &amp; Miles'!$M$24</f>
        <v>November</v>
      </c>
      <c r="C20" s="17">
        <f>+'Monthly Data-Hours &amp; Miles'!$M$32</f>
        <v>685.06</v>
      </c>
      <c r="D20" s="17">
        <f t="shared" si="3"/>
        <v>597.4899999999999</v>
      </c>
      <c r="E20" s="17">
        <f>+'Monthly Data-Hours &amp; Miles'!M$26</f>
        <v>60.25</v>
      </c>
      <c r="F20" s="17">
        <f>+'Monthly Data-Hours &amp; Miles'!M$27</f>
        <v>27.32</v>
      </c>
      <c r="H20" s="17">
        <f t="shared" si="4"/>
        <v>597.4899999999999</v>
      </c>
      <c r="I20" s="17">
        <f t="shared" si="5"/>
        <v>542.4899999999999</v>
      </c>
      <c r="J20" s="17">
        <f>+'Monthly Data-Hours &amp; Miles'!M$36</f>
        <v>20</v>
      </c>
      <c r="K20" s="17">
        <f>+'Monthly Data-Hours &amp; Miles'!M$35</f>
        <v>35</v>
      </c>
    </row>
    <row r="21" spans="1:11">
      <c r="A21" t="str">
        <f>+'Monthly Data-Hours &amp; Miles'!$N$24</f>
        <v>December</v>
      </c>
      <c r="C21" s="19">
        <f>+'Monthly Data-Hours &amp; Miles'!$N$32</f>
        <v>660.5</v>
      </c>
      <c r="D21" s="19">
        <f t="shared" si="3"/>
        <v>559.28000000000009</v>
      </c>
      <c r="E21" s="19">
        <f>+'Monthly Data-Hours &amp; Miles'!N$26</f>
        <v>66.790000000000006</v>
      </c>
      <c r="F21" s="19">
        <f>+'Monthly Data-Hours &amp; Miles'!N$27</f>
        <v>34.43</v>
      </c>
      <c r="H21" s="19">
        <f t="shared" si="4"/>
        <v>559.28000000000009</v>
      </c>
      <c r="I21" s="19">
        <f t="shared" si="5"/>
        <v>505.86000000000007</v>
      </c>
      <c r="J21" s="19">
        <f>+'Monthly Data-Hours &amp; Miles'!N$36</f>
        <v>21</v>
      </c>
      <c r="K21" s="19">
        <f>+'Monthly Data-Hours &amp; Miles'!N$35</f>
        <v>32.42</v>
      </c>
    </row>
    <row r="22" spans="1:11">
      <c r="C22" s="18"/>
      <c r="H22" s="18"/>
    </row>
    <row r="23" spans="1:11" ht="13.5" thickBot="1">
      <c r="B23" t="s">
        <v>114</v>
      </c>
      <c r="C23" s="21">
        <f>SUM(C10:C21)</f>
        <v>8639.9600000000009</v>
      </c>
      <c r="D23" s="21">
        <f>SUM(D10:D21)</f>
        <v>7506.2899999999991</v>
      </c>
      <c r="E23" s="21">
        <f>SUM(E10:E21)</f>
        <v>768.62999999999988</v>
      </c>
      <c r="F23" s="21">
        <f>SUM(F10:F21)</f>
        <v>365.03999999999996</v>
      </c>
      <c r="H23" s="21">
        <f>SUM(H10:H21)</f>
        <v>7506.2899999999991</v>
      </c>
      <c r="I23" s="21">
        <f>SUM(I10:I21)</f>
        <v>6807.0599999999995</v>
      </c>
      <c r="J23" s="21">
        <f>SUM(J10:J21)</f>
        <v>249.23000000000002</v>
      </c>
      <c r="K23" s="21">
        <f>SUM(K10:K21)</f>
        <v>450</v>
      </c>
    </row>
    <row r="24" spans="1:11" ht="13.5" thickTop="1"/>
    <row r="25" spans="1:11" ht="13.5" thickBot="1">
      <c r="B25" t="s">
        <v>107</v>
      </c>
      <c r="C25" s="14">
        <f>SUM(D25:F25)</f>
        <v>0.99999999999999978</v>
      </c>
      <c r="D25" s="14">
        <f>+D23/C23</f>
        <v>0.86878758697956915</v>
      </c>
      <c r="E25" s="14">
        <f>+E23/C23</f>
        <v>8.8962217417673212E-2</v>
      </c>
      <c r="F25" s="14">
        <f>+F23/C23</f>
        <v>4.2250195602757411E-2</v>
      </c>
      <c r="H25" s="14">
        <f>SUM(I25:K25)</f>
        <v>1</v>
      </c>
      <c r="I25" s="14">
        <f>+I23/H23</f>
        <v>0.90684745726583971</v>
      </c>
      <c r="J25" s="14">
        <f>+J23/H23</f>
        <v>3.3202820567817128E-2</v>
      </c>
      <c r="K25" s="14">
        <f>+K23/H23</f>
        <v>5.9949722166343165E-2</v>
      </c>
    </row>
    <row r="26" spans="1:11" ht="13.5" thickTop="1"/>
    <row r="29" spans="1:11">
      <c r="H29" s="90" t="s">
        <v>2</v>
      </c>
      <c r="I29" s="90" t="s">
        <v>345</v>
      </c>
      <c r="J29" s="83" t="s">
        <v>338</v>
      </c>
      <c r="K29" s="83" t="s">
        <v>340</v>
      </c>
    </row>
    <row r="30" spans="1:11" ht="13.5" thickBot="1">
      <c r="A30" t="s">
        <v>115</v>
      </c>
      <c r="C30" s="20" t="s">
        <v>2</v>
      </c>
      <c r="D30" s="20" t="s">
        <v>105</v>
      </c>
      <c r="E30" s="20" t="s">
        <v>113</v>
      </c>
      <c r="F30" s="20" t="s">
        <v>110</v>
      </c>
      <c r="H30" s="92" t="s">
        <v>105</v>
      </c>
      <c r="I30" s="20" t="s">
        <v>105</v>
      </c>
      <c r="J30" s="92" t="s">
        <v>339</v>
      </c>
      <c r="K30" s="92" t="s">
        <v>339</v>
      </c>
    </row>
    <row r="31" spans="1:11">
      <c r="E31" s="17"/>
      <c r="J31" s="17"/>
    </row>
    <row r="32" spans="1:11">
      <c r="A32" t="str">
        <f>+'Monthly Data-Hours &amp; Miles'!$C$24</f>
        <v>January</v>
      </c>
      <c r="C32" s="17">
        <f>+'Monthly Data-Hours &amp; Miles'!$C$67</f>
        <v>783.45</v>
      </c>
      <c r="D32" s="17">
        <f>+C32-E32-F32</f>
        <v>683.2700000000001</v>
      </c>
      <c r="E32" s="17">
        <f>+'Monthly Data-Hours &amp; Miles'!$C$61</f>
        <v>65.900000000000006</v>
      </c>
      <c r="F32" s="17">
        <f>+'Monthly Data-Hours &amp; Miles'!$C$62</f>
        <v>34.28</v>
      </c>
      <c r="H32" s="17">
        <f>D32</f>
        <v>683.2700000000001</v>
      </c>
      <c r="I32" s="17">
        <f>+H32-J32-K32</f>
        <v>635.75000000000011</v>
      </c>
      <c r="J32" s="17">
        <f>+'Monthly Data-Hours &amp; Miles'!$C$71</f>
        <v>20.02</v>
      </c>
      <c r="K32" s="17">
        <f>+'Monthly Data-Hours &amp; Miles'!$C$70</f>
        <v>27.5</v>
      </c>
    </row>
    <row r="33" spans="1:11">
      <c r="A33" t="str">
        <f>+'Monthly Data-Hours &amp; Miles'!$D$24</f>
        <v>February</v>
      </c>
      <c r="C33" s="17">
        <f>+'Monthly Data-Hours &amp; Miles'!$D$67</f>
        <v>692.32</v>
      </c>
      <c r="D33" s="17">
        <f t="shared" ref="D33:D38" si="6">+C33-E33-F33</f>
        <v>594.07000000000005</v>
      </c>
      <c r="E33" s="17">
        <f>+'Monthly Data-Hours &amp; Miles'!$D$61</f>
        <v>66.5</v>
      </c>
      <c r="F33" s="17">
        <f>+'Monthly Data-Hours &amp; Miles'!$D$62</f>
        <v>31.75</v>
      </c>
      <c r="H33" s="17">
        <f t="shared" ref="H33:H38" si="7">D33</f>
        <v>594.07000000000005</v>
      </c>
      <c r="I33" s="17">
        <f t="shared" ref="I33:I38" si="8">+H33-J33-K33</f>
        <v>552.36</v>
      </c>
      <c r="J33" s="17">
        <f>+'Monthly Data-Hours &amp; Miles'!$D$71</f>
        <v>14.21</v>
      </c>
      <c r="K33" s="17">
        <f>+'Monthly Data-Hours &amp; Miles'!$D$70</f>
        <v>27.5</v>
      </c>
    </row>
    <row r="34" spans="1:11">
      <c r="A34" t="str">
        <f>+'Monthly Data-Hours &amp; Miles'!$E$24</f>
        <v>March</v>
      </c>
      <c r="C34" s="17">
        <f>+'Monthly Data-Hours &amp; Miles'!$E$67</f>
        <v>750.75</v>
      </c>
      <c r="D34" s="17">
        <f t="shared" si="6"/>
        <v>636.61</v>
      </c>
      <c r="E34" s="17">
        <f>+'Monthly Data-Hours &amp; Miles'!$E$61</f>
        <v>76.5</v>
      </c>
      <c r="F34" s="17">
        <f>+'Monthly Data-Hours &amp; Miles'!$E$62</f>
        <v>37.64</v>
      </c>
      <c r="H34" s="17">
        <f t="shared" si="7"/>
        <v>636.61</v>
      </c>
      <c r="I34" s="17">
        <f t="shared" si="8"/>
        <v>596.11</v>
      </c>
      <c r="J34" s="17">
        <f>+'Monthly Data-Hours &amp; Miles'!$E$71</f>
        <v>10.5</v>
      </c>
      <c r="K34" s="17">
        <f>+'Monthly Data-Hours &amp; Miles'!$E$70</f>
        <v>30</v>
      </c>
    </row>
    <row r="35" spans="1:11">
      <c r="A35" t="str">
        <f>+'Monthly Data-Hours &amp; Miles'!$F$24</f>
        <v>April</v>
      </c>
      <c r="C35" s="17">
        <f>+'Monthly Data-Hours &amp; Miles'!$F$67</f>
        <v>842.91</v>
      </c>
      <c r="D35" s="17">
        <f t="shared" si="6"/>
        <v>742.26</v>
      </c>
      <c r="E35" s="17">
        <f>+'Monthly Data-Hours &amp; Miles'!$F$61</f>
        <v>67.27</v>
      </c>
      <c r="F35" s="17">
        <f>+'Monthly Data-Hours &amp; Miles'!$F$62</f>
        <v>33.380000000000003</v>
      </c>
      <c r="H35" s="17">
        <f t="shared" si="7"/>
        <v>742.26</v>
      </c>
      <c r="I35" s="17">
        <f t="shared" si="8"/>
        <v>682.01</v>
      </c>
      <c r="J35" s="17">
        <f>+'Monthly Data-Hours &amp; Miles'!$F$71</f>
        <v>14.25</v>
      </c>
      <c r="K35" s="17">
        <f>+'Monthly Data-Hours &amp; Miles'!$F$70</f>
        <v>46</v>
      </c>
    </row>
    <row r="36" spans="1:11">
      <c r="A36" t="str">
        <f>+'Monthly Data-Hours &amp; Miles'!$G$24</f>
        <v>May</v>
      </c>
      <c r="C36" s="17">
        <f>+'Monthly Data-Hours &amp; Miles'!$G$67</f>
        <v>839.86</v>
      </c>
      <c r="D36" s="17">
        <f t="shared" si="6"/>
        <v>730.24</v>
      </c>
      <c r="E36" s="17">
        <f>+'Monthly Data-Hours &amp; Miles'!$G$61</f>
        <v>75.73</v>
      </c>
      <c r="F36" s="17">
        <f>+'Monthly Data-Hours &amp; Miles'!$G$62</f>
        <v>33.89</v>
      </c>
      <c r="H36" s="17">
        <f t="shared" si="7"/>
        <v>730.24</v>
      </c>
      <c r="I36" s="17">
        <f t="shared" si="8"/>
        <v>668.49</v>
      </c>
      <c r="J36" s="17">
        <f>+'Monthly Data-Hours &amp; Miles'!$G$71</f>
        <v>22.25</v>
      </c>
      <c r="K36" s="17">
        <f>+'Monthly Data-Hours &amp; Miles'!$G$70</f>
        <v>39.5</v>
      </c>
    </row>
    <row r="37" spans="1:11">
      <c r="A37" t="str">
        <f>+'Monthly Data-Hours &amp; Miles'!$H$24</f>
        <v>June</v>
      </c>
      <c r="C37" s="17">
        <f>+'Monthly Data-Hours &amp; Miles'!$H$67</f>
        <v>971.99</v>
      </c>
      <c r="D37" s="17">
        <f t="shared" si="6"/>
        <v>855.08999999999992</v>
      </c>
      <c r="E37" s="17">
        <f>+'Monthly Data-Hours &amp; Miles'!$H$61</f>
        <v>80.19</v>
      </c>
      <c r="F37" s="17">
        <f>+'Monthly Data-Hours &amp; Miles'!$H$62</f>
        <v>36.71</v>
      </c>
      <c r="H37" s="17">
        <f t="shared" si="7"/>
        <v>855.08999999999992</v>
      </c>
      <c r="I37" s="17">
        <f t="shared" si="8"/>
        <v>795.08999999999992</v>
      </c>
      <c r="J37" s="17">
        <f>+'Monthly Data-Hours &amp; Miles'!$H$71</f>
        <v>20</v>
      </c>
      <c r="K37" s="17">
        <f>+'Monthly Data-Hours &amp; Miles'!$H$70</f>
        <v>40</v>
      </c>
    </row>
    <row r="38" spans="1:11">
      <c r="A38" t="str">
        <f>+'Monthly Data-Hours &amp; Miles'!$I$24</f>
        <v>July</v>
      </c>
      <c r="C38" s="17">
        <f>+'Monthly Data-Hours &amp; Miles'!$I$67</f>
        <v>1089.7299999999998</v>
      </c>
      <c r="D38" s="17">
        <f t="shared" si="6"/>
        <v>985.40999999999974</v>
      </c>
      <c r="E38" s="17">
        <f>+'Monthly Data-Hours &amp; Miles'!$I$61</f>
        <v>69</v>
      </c>
      <c r="F38" s="17">
        <f>+'Monthly Data-Hours &amp; Miles'!$I$62</f>
        <v>35.32</v>
      </c>
      <c r="H38" s="17">
        <f t="shared" si="7"/>
        <v>985.40999999999974</v>
      </c>
      <c r="I38" s="17">
        <f t="shared" si="8"/>
        <v>916.0799999999997</v>
      </c>
      <c r="J38" s="17">
        <f>+'Monthly Data-Hours &amp; Miles'!$I$71</f>
        <v>29.83</v>
      </c>
      <c r="K38" s="17">
        <f>+'Monthly Data-Hours &amp; Miles'!$I$70</f>
        <v>39.5</v>
      </c>
    </row>
    <row r="39" spans="1:11">
      <c r="A39" t="str">
        <f>+'Monthly Data-Hours &amp; Miles'!$J$24</f>
        <v>August</v>
      </c>
      <c r="C39" s="17">
        <f>+'Monthly Data-Hours &amp; Miles'!$J$67</f>
        <v>1063.8</v>
      </c>
      <c r="D39" s="17">
        <f t="shared" ref="D39:D43" si="9">+C39-E39-F39</f>
        <v>956.79</v>
      </c>
      <c r="E39" s="17">
        <f>+'Monthly Data-Hours &amp; Miles'!$J$61</f>
        <v>72.8</v>
      </c>
      <c r="F39" s="17">
        <f>+'Monthly Data-Hours &amp; Miles'!$J$62</f>
        <v>34.21</v>
      </c>
      <c r="H39" s="17">
        <f t="shared" ref="H39:H43" si="10">D39</f>
        <v>956.79</v>
      </c>
      <c r="I39" s="17">
        <f t="shared" ref="I39:I43" si="11">+H39-J39-K39</f>
        <v>884.87</v>
      </c>
      <c r="J39" s="17">
        <f>+'Monthly Data-Hours &amp; Miles'!$J$71</f>
        <v>26.42</v>
      </c>
      <c r="K39" s="17">
        <f>+'Monthly Data-Hours &amp; Miles'!$J$70</f>
        <v>45.5</v>
      </c>
    </row>
    <row r="40" spans="1:11">
      <c r="A40" t="str">
        <f>+'Monthly Data-Hours &amp; Miles'!$K$24</f>
        <v>September</v>
      </c>
      <c r="C40" s="17">
        <f>+'Monthly Data-Hours &amp; Miles'!$K$67</f>
        <v>1094.17</v>
      </c>
      <c r="D40" s="17">
        <f t="shared" si="9"/>
        <v>949.21</v>
      </c>
      <c r="E40" s="17">
        <f>+'Monthly Data-Hours &amp; Miles'!$K$61</f>
        <v>102.59</v>
      </c>
      <c r="F40" s="17">
        <f>+'Monthly Data-Hours &amp; Miles'!$K$62</f>
        <v>42.37</v>
      </c>
      <c r="H40" s="17">
        <f t="shared" si="10"/>
        <v>949.21</v>
      </c>
      <c r="I40" s="17">
        <f t="shared" si="11"/>
        <v>882.21</v>
      </c>
      <c r="J40" s="17">
        <f>+'Monthly Data-Hours &amp; Miles'!$K$71</f>
        <v>24</v>
      </c>
      <c r="K40" s="17">
        <f>+'Monthly Data-Hours &amp; Miles'!$K$70</f>
        <v>43</v>
      </c>
    </row>
    <row r="41" spans="1:11">
      <c r="A41" t="str">
        <f>+'Monthly Data-Hours &amp; Miles'!$L$24</f>
        <v xml:space="preserve">October </v>
      </c>
      <c r="C41" s="17">
        <f>+'Monthly Data-Hours &amp; Miles'!$L$67</f>
        <v>1086.81</v>
      </c>
      <c r="D41" s="17">
        <f t="shared" si="9"/>
        <v>967.38</v>
      </c>
      <c r="E41" s="17">
        <f>+'Monthly Data-Hours &amp; Miles'!$L$61</f>
        <v>80.319999999999993</v>
      </c>
      <c r="F41" s="17">
        <f>+'Monthly Data-Hours &amp; Miles'!$L$62</f>
        <v>39.11</v>
      </c>
      <c r="H41" s="17">
        <f t="shared" si="10"/>
        <v>967.38</v>
      </c>
      <c r="I41" s="17">
        <f t="shared" si="11"/>
        <v>883.97</v>
      </c>
      <c r="J41" s="17">
        <f>+'Monthly Data-Hours &amp; Miles'!$L$71</f>
        <v>26.75</v>
      </c>
      <c r="K41" s="17">
        <f>+'Monthly Data-Hours &amp; Miles'!$L$70</f>
        <v>56.66</v>
      </c>
    </row>
    <row r="42" spans="1:11">
      <c r="A42" t="str">
        <f>+'Monthly Data-Hours &amp; Miles'!$M$24</f>
        <v>November</v>
      </c>
      <c r="C42" s="17">
        <f>+'Monthly Data-Hours &amp; Miles'!$M$67</f>
        <v>925.8</v>
      </c>
      <c r="D42" s="17">
        <f t="shared" si="9"/>
        <v>816.66999999999985</v>
      </c>
      <c r="E42" s="17">
        <f>+'Monthly Data-Hours &amp; Miles'!$M$61</f>
        <v>74.680000000000007</v>
      </c>
      <c r="F42" s="17">
        <f>+'Monthly Data-Hours &amp; Miles'!$M$62</f>
        <v>34.450000000000003</v>
      </c>
      <c r="H42" s="17">
        <f t="shared" si="10"/>
        <v>816.66999999999985</v>
      </c>
      <c r="I42" s="17">
        <f t="shared" si="11"/>
        <v>754.16999999999985</v>
      </c>
      <c r="J42" s="17">
        <f>+'Monthly Data-Hours &amp; Miles'!$M$71</f>
        <v>20</v>
      </c>
      <c r="K42" s="17">
        <f>+'Monthly Data-Hours &amp; Miles'!$M$70</f>
        <v>42.5</v>
      </c>
    </row>
    <row r="43" spans="1:11">
      <c r="A43" t="str">
        <f>+'Monthly Data-Hours &amp; Miles'!$N$24</f>
        <v>December</v>
      </c>
      <c r="C43" s="19">
        <f>+'Monthly Data-Hours &amp; Miles'!$N$67</f>
        <v>926.33</v>
      </c>
      <c r="D43" s="19">
        <f t="shared" si="9"/>
        <v>776.3900000000001</v>
      </c>
      <c r="E43" s="19">
        <f>+'Monthly Data-Hours &amp; Miles'!$N$61</f>
        <v>98.26</v>
      </c>
      <c r="F43" s="19">
        <f>+'Monthly Data-Hours &amp; Miles'!$N$62</f>
        <v>51.68</v>
      </c>
      <c r="H43" s="19">
        <f t="shared" si="10"/>
        <v>776.3900000000001</v>
      </c>
      <c r="I43" s="19">
        <f t="shared" si="11"/>
        <v>717.97000000000014</v>
      </c>
      <c r="J43" s="19">
        <f>+'Monthly Data-Hours &amp; Miles'!$N$71</f>
        <v>26</v>
      </c>
      <c r="K43" s="19">
        <f>+'Monthly Data-Hours &amp; Miles'!$N$70</f>
        <v>32.42</v>
      </c>
    </row>
    <row r="44" spans="1:11">
      <c r="C44" s="18"/>
      <c r="H44" s="18"/>
    </row>
    <row r="45" spans="1:11" ht="13.5" thickBot="1">
      <c r="B45" t="s">
        <v>114</v>
      </c>
      <c r="C45" s="21">
        <f>SUM(C32:C43)</f>
        <v>11067.919999999998</v>
      </c>
      <c r="D45" s="21">
        <f>SUM(D32:D43)</f>
        <v>9693.39</v>
      </c>
      <c r="E45" s="21">
        <f>SUM(E32:E43)</f>
        <v>929.74</v>
      </c>
      <c r="F45" s="21">
        <f>SUM(F32:F43)</f>
        <v>444.79</v>
      </c>
      <c r="H45" s="21">
        <f>SUM(H32:H43)</f>
        <v>9693.39</v>
      </c>
      <c r="I45" s="21">
        <f>SUM(I32:I43)</f>
        <v>8969.08</v>
      </c>
      <c r="J45" s="21">
        <f>SUM(J32:J43)</f>
        <v>254.23000000000002</v>
      </c>
      <c r="K45" s="21">
        <f>SUM(K32:K43)</f>
        <v>470.08</v>
      </c>
    </row>
    <row r="46" spans="1:11" ht="13.5" thickTop="1"/>
    <row r="47" spans="1:11" ht="13.5" thickBot="1">
      <c r="B47" t="s">
        <v>107</v>
      </c>
      <c r="C47" s="14">
        <f>SUM(D47:F47)</f>
        <v>1</v>
      </c>
      <c r="D47" s="14">
        <f>+D45/C45</f>
        <v>0.87580954687059542</v>
      </c>
      <c r="E47" s="14">
        <f>+E45/C45</f>
        <v>8.4003136994123567E-2</v>
      </c>
      <c r="F47" s="14">
        <f>+F45/C45</f>
        <v>4.0187316135281072E-2</v>
      </c>
      <c r="H47" s="14">
        <f>SUM(I47:K47)</f>
        <v>1.0000000000000002</v>
      </c>
      <c r="I47" s="14">
        <f>+I45/H45</f>
        <v>0.92527794713717293</v>
      </c>
      <c r="J47" s="14">
        <f>+J45/H45</f>
        <v>2.6227150666588265E-2</v>
      </c>
      <c r="K47" s="14">
        <f>+K45/H45</f>
        <v>4.8494902196238879E-2</v>
      </c>
    </row>
    <row r="48" spans="1:11" ht="13.5" thickTop="1">
      <c r="C48" s="96"/>
      <c r="D48" s="96"/>
      <c r="E48" s="96"/>
      <c r="F48" s="96"/>
      <c r="H48" s="96"/>
      <c r="I48" s="96"/>
      <c r="J48" s="96"/>
      <c r="K48" s="97"/>
    </row>
    <row r="49" spans="1:12">
      <c r="K49" s="83"/>
    </row>
    <row r="50" spans="1:12">
      <c r="A50" s="83" t="s">
        <v>350</v>
      </c>
      <c r="I50" s="94">
        <f>I45/(I45+J45)</f>
        <v>0.97243614277303925</v>
      </c>
      <c r="J50" s="95">
        <f>J45/(I45+J45)</f>
        <v>2.7563857226960822E-2</v>
      </c>
      <c r="K50" s="94">
        <v>0</v>
      </c>
      <c r="L50" s="83" t="s">
        <v>352</v>
      </c>
    </row>
    <row r="51" spans="1:12">
      <c r="A51" s="83" t="s">
        <v>351</v>
      </c>
      <c r="I51" s="94">
        <f>I45/(I45+K45)</f>
        <v>0.95019895838188995</v>
      </c>
      <c r="J51" s="95">
        <v>0</v>
      </c>
      <c r="K51" s="94">
        <f>K45/(I45+K45)</f>
        <v>4.9801041618110088E-2</v>
      </c>
      <c r="L51" s="83" t="s">
        <v>353</v>
      </c>
    </row>
    <row r="53" spans="1:12">
      <c r="H53" s="90" t="s">
        <v>2</v>
      </c>
      <c r="I53" s="90" t="s">
        <v>345</v>
      </c>
      <c r="J53" s="83" t="s">
        <v>338</v>
      </c>
      <c r="K53" s="83" t="s">
        <v>340</v>
      </c>
    </row>
    <row r="54" spans="1:12" ht="13.5" thickBot="1">
      <c r="A54" t="s">
        <v>116</v>
      </c>
      <c r="C54" s="20" t="s">
        <v>2</v>
      </c>
      <c r="D54" s="20" t="s">
        <v>105</v>
      </c>
      <c r="E54" s="20" t="s">
        <v>113</v>
      </c>
      <c r="F54" s="20" t="s">
        <v>110</v>
      </c>
      <c r="H54" s="92" t="s">
        <v>105</v>
      </c>
      <c r="I54" s="20" t="s">
        <v>105</v>
      </c>
      <c r="J54" s="92" t="s">
        <v>339</v>
      </c>
      <c r="K54" s="92" t="s">
        <v>339</v>
      </c>
    </row>
    <row r="55" spans="1:12">
      <c r="E55" s="17"/>
      <c r="J55" s="17"/>
    </row>
    <row r="56" spans="1:12">
      <c r="A56" t="str">
        <f>+'Monthly Data-Hours &amp; Miles'!$C$24</f>
        <v>January</v>
      </c>
      <c r="C56" s="17">
        <f>+'Monthly Data-Hours &amp; Miles'!$C$49</f>
        <v>6106</v>
      </c>
      <c r="D56" s="17">
        <f>+C56-E56-F56</f>
        <v>5300</v>
      </c>
      <c r="E56" s="17">
        <f>+'Monthly Data-Hours &amp; Miles'!$C$43</f>
        <v>482</v>
      </c>
      <c r="F56" s="17">
        <f>+'Monthly Data-Hours &amp; Miles'!$C$44</f>
        <v>324</v>
      </c>
      <c r="H56" s="17">
        <f>D56</f>
        <v>5300</v>
      </c>
      <c r="I56" s="17">
        <f>+H56-J56-K56</f>
        <v>4640</v>
      </c>
      <c r="J56" s="17">
        <f>+'Monthly Data-Hours &amp; Miles'!$C$53</f>
        <v>204</v>
      </c>
      <c r="K56" s="17">
        <f>+'Monthly Data-Hours &amp; Miles'!$C$52</f>
        <v>456</v>
      </c>
    </row>
    <row r="57" spans="1:12">
      <c r="A57" t="str">
        <f>+'Monthly Data-Hours &amp; Miles'!$D$24</f>
        <v>February</v>
      </c>
      <c r="C57" s="17">
        <f>+'Monthly Data-Hours &amp; Miles'!$D$49</f>
        <v>5435</v>
      </c>
      <c r="D57" s="17">
        <f t="shared" ref="D57:D67" si="12">+C57-E57-F57</f>
        <v>4664</v>
      </c>
      <c r="E57" s="17">
        <f>+'Monthly Data-Hours &amp; Miles'!$D$43</f>
        <v>518</v>
      </c>
      <c r="F57" s="17">
        <f>+'Monthly Data-Hours &amp; Miles'!$D$44</f>
        <v>253</v>
      </c>
      <c r="H57" s="17">
        <f t="shared" ref="H57:H67" si="13">D57</f>
        <v>4664</v>
      </c>
      <c r="I57" s="17">
        <f t="shared" ref="I57:I67" si="14">+H57-J57-K57</f>
        <v>4082</v>
      </c>
      <c r="J57" s="17">
        <f>+'Monthly Data-Hours &amp; Miles'!$D$53</f>
        <v>161</v>
      </c>
      <c r="K57" s="17">
        <f>+'Monthly Data-Hours &amp; Miles'!$D$52</f>
        <v>421</v>
      </c>
    </row>
    <row r="58" spans="1:12">
      <c r="A58" t="str">
        <f>+'Monthly Data-Hours &amp; Miles'!$E$24</f>
        <v>March</v>
      </c>
      <c r="C58" s="17">
        <f>+'Monthly Data-Hours &amp; Miles'!$E$49</f>
        <v>5999</v>
      </c>
      <c r="D58" s="17">
        <f t="shared" si="12"/>
        <v>5069</v>
      </c>
      <c r="E58" s="17">
        <f>+'Monthly Data-Hours &amp; Miles'!$E$43</f>
        <v>626</v>
      </c>
      <c r="F58" s="17">
        <f>+'Monthly Data-Hours &amp; Miles'!$E$44</f>
        <v>304</v>
      </c>
      <c r="H58" s="17">
        <f t="shared" si="13"/>
        <v>5069</v>
      </c>
      <c r="I58" s="17">
        <f t="shared" si="14"/>
        <v>4654</v>
      </c>
      <c r="J58" s="17">
        <f>+'Monthly Data-Hours &amp; Miles'!$E$53</f>
        <v>129</v>
      </c>
      <c r="K58" s="17">
        <f>+'Monthly Data-Hours &amp; Miles'!$E$52</f>
        <v>286</v>
      </c>
    </row>
    <row r="59" spans="1:12">
      <c r="A59" t="str">
        <f>+'Monthly Data-Hours &amp; Miles'!$F$24</f>
        <v>April</v>
      </c>
      <c r="C59" s="17">
        <f>+'Monthly Data-Hours &amp; Miles'!$F$49</f>
        <v>6550</v>
      </c>
      <c r="D59" s="17">
        <f t="shared" si="12"/>
        <v>5777</v>
      </c>
      <c r="E59" s="17">
        <f>+'Monthly Data-Hours &amp; Miles'!$F$43</f>
        <v>529</v>
      </c>
      <c r="F59" s="17">
        <f>+'Monthly Data-Hours &amp; Miles'!$F$44</f>
        <v>244</v>
      </c>
      <c r="H59" s="17">
        <f t="shared" si="13"/>
        <v>5777</v>
      </c>
      <c r="I59" s="17">
        <f t="shared" si="14"/>
        <v>5068</v>
      </c>
      <c r="J59" s="17">
        <f>+'Monthly Data-Hours &amp; Miles'!$F$53</f>
        <v>182</v>
      </c>
      <c r="K59" s="17">
        <f>+'Monthly Data-Hours &amp; Miles'!$F$52</f>
        <v>527</v>
      </c>
    </row>
    <row r="60" spans="1:12">
      <c r="A60" t="str">
        <f>+'Monthly Data-Hours &amp; Miles'!$G$24</f>
        <v>May</v>
      </c>
      <c r="C60" s="17">
        <f>+'Monthly Data-Hours &amp; Miles'!$G$49</f>
        <v>6519</v>
      </c>
      <c r="D60" s="17">
        <f t="shared" si="12"/>
        <v>5690</v>
      </c>
      <c r="E60" s="17">
        <f>+'Monthly Data-Hours &amp; Miles'!$G$43</f>
        <v>547</v>
      </c>
      <c r="F60" s="17">
        <f>+'Monthly Data-Hours &amp; Miles'!$G$44</f>
        <v>282</v>
      </c>
      <c r="H60" s="17">
        <f t="shared" si="13"/>
        <v>5690</v>
      </c>
      <c r="I60" s="17">
        <f t="shared" si="14"/>
        <v>4878</v>
      </c>
      <c r="J60" s="17">
        <f>+'Monthly Data-Hours &amp; Miles'!$G$53</f>
        <v>273</v>
      </c>
      <c r="K60" s="17">
        <f>+'Monthly Data-Hours &amp; Miles'!$G$52</f>
        <v>539</v>
      </c>
    </row>
    <row r="61" spans="1:12">
      <c r="A61" t="str">
        <f>+'Monthly Data-Hours &amp; Miles'!$H$24</f>
        <v>June</v>
      </c>
      <c r="C61" s="17">
        <f>+'Monthly Data-Hours &amp; Miles'!$H$49</f>
        <v>7766</v>
      </c>
      <c r="D61" s="17">
        <f t="shared" si="12"/>
        <v>6827</v>
      </c>
      <c r="E61" s="17">
        <f>+'Monthly Data-Hours &amp; Miles'!$H$43</f>
        <v>632</v>
      </c>
      <c r="F61" s="17">
        <f>+'Monthly Data-Hours &amp; Miles'!$H$44</f>
        <v>307</v>
      </c>
      <c r="H61" s="17">
        <f t="shared" si="13"/>
        <v>6827</v>
      </c>
      <c r="I61" s="17">
        <f t="shared" si="14"/>
        <v>6069</v>
      </c>
      <c r="J61" s="17">
        <f>+'Monthly Data-Hours &amp; Miles'!H$53</f>
        <v>197</v>
      </c>
      <c r="K61" s="17">
        <f>+'Monthly Data-Hours &amp; Miles'!$H$52</f>
        <v>561</v>
      </c>
    </row>
    <row r="62" spans="1:12">
      <c r="A62" t="str">
        <f>+'Monthly Data-Hours &amp; Miles'!$I$24</f>
        <v>July</v>
      </c>
      <c r="C62" s="17">
        <f>+'Monthly Data-Hours &amp; Miles'!$I$49</f>
        <v>8359</v>
      </c>
      <c r="D62" s="17">
        <f t="shared" si="12"/>
        <v>7545</v>
      </c>
      <c r="E62" s="17">
        <f>+'Monthly Data-Hours &amp; Miles'!$I$43</f>
        <v>541</v>
      </c>
      <c r="F62" s="17">
        <f>+'Monthly Data-Hours &amp; Miles'!$I$44</f>
        <v>273</v>
      </c>
      <c r="H62" s="17">
        <f t="shared" si="13"/>
        <v>7545</v>
      </c>
      <c r="I62" s="17">
        <f t="shared" si="14"/>
        <v>6797</v>
      </c>
      <c r="J62" s="17">
        <f>+'Monthly Data-Hours &amp; Miles'!$I$53</f>
        <v>257</v>
      </c>
      <c r="K62" s="17">
        <f>+'Monthly Data-Hours &amp; Miles'!$I$52</f>
        <v>491</v>
      </c>
    </row>
    <row r="63" spans="1:12">
      <c r="A63" t="str">
        <f>+'Monthly Data-Hours &amp; Miles'!$J$24</f>
        <v>August</v>
      </c>
      <c r="C63" s="17">
        <f>+'Monthly Data-Hours &amp; Miles'!$J$49</f>
        <v>8003</v>
      </c>
      <c r="D63" s="17">
        <f t="shared" ref="D63:D66" si="15">+C63-E63-F63</f>
        <v>7223</v>
      </c>
      <c r="E63" s="17">
        <f>+'Monthly Data-Hours &amp; Miles'!$J$43</f>
        <v>526</v>
      </c>
      <c r="F63" s="17">
        <f>+'Monthly Data-Hours &amp; Miles'!$J$44</f>
        <v>254</v>
      </c>
      <c r="H63" s="17">
        <f t="shared" ref="H63:H66" si="16">D63</f>
        <v>7223</v>
      </c>
      <c r="I63" s="17">
        <f t="shared" ref="I63:I66" si="17">+H63-J63-K63</f>
        <v>6473</v>
      </c>
      <c r="J63" s="17">
        <f>+'Monthly Data-Hours &amp; Miles'!$J$53</f>
        <v>182</v>
      </c>
      <c r="K63" s="17">
        <f>+'Monthly Data-Hours &amp; Miles'!$J$52</f>
        <v>568</v>
      </c>
    </row>
    <row r="64" spans="1:12">
      <c r="A64" t="str">
        <f>+'Monthly Data-Hours &amp; Miles'!$K$24</f>
        <v>September</v>
      </c>
      <c r="C64" s="17">
        <f>+'Monthly Data-Hours &amp; Miles'!$K$49</f>
        <v>8515</v>
      </c>
      <c r="D64" s="17">
        <f t="shared" si="15"/>
        <v>7405</v>
      </c>
      <c r="E64" s="17">
        <f>+'Monthly Data-Hours &amp; Miles'!$K$43</f>
        <v>795</v>
      </c>
      <c r="F64" s="17">
        <f>+'Monthly Data-Hours &amp; Miles'!$K$44</f>
        <v>315</v>
      </c>
      <c r="H64" s="17">
        <f t="shared" si="16"/>
        <v>7405</v>
      </c>
      <c r="I64" s="17">
        <f t="shared" si="17"/>
        <v>6639</v>
      </c>
      <c r="J64" s="17">
        <f>+'Monthly Data-Hours &amp; Miles'!$K$53</f>
        <v>206</v>
      </c>
      <c r="K64" s="17">
        <f>+'Monthly Data-Hours &amp; Miles'!$K$52</f>
        <v>560</v>
      </c>
    </row>
    <row r="65" spans="1:12">
      <c r="A65" t="str">
        <f>+'Monthly Data-Hours &amp; Miles'!$L$24</f>
        <v xml:space="preserve">October </v>
      </c>
      <c r="C65" s="17">
        <f>+'Monthly Data-Hours &amp; Miles'!$L$49</f>
        <v>7804</v>
      </c>
      <c r="D65" s="17">
        <f t="shared" si="15"/>
        <v>6990</v>
      </c>
      <c r="E65" s="17">
        <f>+'Monthly Data-Hours &amp; Miles'!$L$43</f>
        <v>527</v>
      </c>
      <c r="F65" s="17">
        <f>+'Monthly Data-Hours &amp; Miles'!$L$44</f>
        <v>287</v>
      </c>
      <c r="H65" s="17">
        <f t="shared" si="16"/>
        <v>6990</v>
      </c>
      <c r="I65" s="17">
        <f t="shared" si="17"/>
        <v>6170</v>
      </c>
      <c r="J65" s="17">
        <f>+'Monthly Data-Hours &amp; Miles'!$L$53</f>
        <v>247</v>
      </c>
      <c r="K65" s="17">
        <f>+'Monthly Data-Hours &amp; Miles'!$L$52</f>
        <v>573</v>
      </c>
    </row>
    <row r="66" spans="1:12">
      <c r="A66" t="str">
        <f>+'Monthly Data-Hours &amp; Miles'!$M$24</f>
        <v>November</v>
      </c>
      <c r="C66" s="17">
        <f>+'Monthly Data-Hours &amp; Miles'!$M$49</f>
        <v>6714</v>
      </c>
      <c r="D66" s="17">
        <f t="shared" si="15"/>
        <v>5961</v>
      </c>
      <c r="E66" s="17">
        <f>+'Monthly Data-Hours &amp; Miles'!$M$43</f>
        <v>483</v>
      </c>
      <c r="F66" s="17">
        <f>+'Monthly Data-Hours &amp; Miles'!$M$44</f>
        <v>270</v>
      </c>
      <c r="H66" s="17">
        <f t="shared" si="16"/>
        <v>5961</v>
      </c>
      <c r="I66" s="17">
        <f t="shared" si="17"/>
        <v>5264</v>
      </c>
      <c r="J66" s="17">
        <f>+'Monthly Data-Hours &amp; Miles'!$M$53</f>
        <v>193</v>
      </c>
      <c r="K66" s="17">
        <f>+'Monthly Data-Hours &amp; Miles'!$M$52</f>
        <v>504</v>
      </c>
    </row>
    <row r="67" spans="1:12">
      <c r="A67" t="str">
        <f>+'Monthly Data-Hours &amp; Miles'!$N$24</f>
        <v>December</v>
      </c>
      <c r="C67" s="19">
        <f>+'Monthly Data-Hours &amp; Miles'!$N$49</f>
        <v>6689</v>
      </c>
      <c r="D67" s="19">
        <f t="shared" si="12"/>
        <v>5767</v>
      </c>
      <c r="E67" s="19">
        <f>+'Monthly Data-Hours &amp; Miles'!$N$43</f>
        <v>635</v>
      </c>
      <c r="F67" s="19">
        <f>+'Monthly Data-Hours &amp; Miles'!$N$44</f>
        <v>287</v>
      </c>
      <c r="H67" s="19">
        <f t="shared" si="13"/>
        <v>5767</v>
      </c>
      <c r="I67" s="19">
        <f t="shared" si="14"/>
        <v>5030</v>
      </c>
      <c r="J67" s="19">
        <f>+'Monthly Data-Hours &amp; Miles'!$N$53</f>
        <v>222</v>
      </c>
      <c r="K67" s="19">
        <f>+'Monthly Data-Hours &amp; Miles'!$N$52</f>
        <v>515</v>
      </c>
    </row>
    <row r="68" spans="1:12">
      <c r="C68" s="18"/>
      <c r="H68" s="18"/>
    </row>
    <row r="69" spans="1:12" ht="13.5" thickBot="1">
      <c r="B69" t="s">
        <v>114</v>
      </c>
      <c r="C69" s="21">
        <f>SUM(C56:C67)</f>
        <v>84459</v>
      </c>
      <c r="D69" s="21">
        <f>SUM(D56:D67)</f>
        <v>74218</v>
      </c>
      <c r="E69" s="21">
        <f>SUM(E56:E67)</f>
        <v>6841</v>
      </c>
      <c r="F69" s="21">
        <f>SUM(F56:F67)</f>
        <v>3400</v>
      </c>
      <c r="H69" s="21">
        <f>SUM(H56:H67)</f>
        <v>74218</v>
      </c>
      <c r="I69" s="21">
        <f>SUM(I56:I67)</f>
        <v>65764</v>
      </c>
      <c r="J69" s="21">
        <f>SUM(J56:J67)</f>
        <v>2453</v>
      </c>
      <c r="K69" s="21">
        <f>SUM(K56:K67)</f>
        <v>6001</v>
      </c>
    </row>
    <row r="70" spans="1:12" ht="13.5" thickTop="1"/>
    <row r="71" spans="1:12" ht="13.5" thickBot="1">
      <c r="B71" t="s">
        <v>107</v>
      </c>
      <c r="C71" s="14">
        <f>SUM(D71:F71)</f>
        <v>1</v>
      </c>
      <c r="D71" s="14">
        <f>+D69/C69</f>
        <v>0.87874590037769806</v>
      </c>
      <c r="E71" s="14">
        <f>+E69/C69</f>
        <v>8.0997880628470617E-2</v>
      </c>
      <c r="F71" s="14">
        <f>+F69/C69</f>
        <v>4.0256218993831326E-2</v>
      </c>
      <c r="H71" s="14">
        <f>SUM(I71:K71)</f>
        <v>1</v>
      </c>
      <c r="I71" s="14">
        <f>+I69/H69</f>
        <v>0.88609232261715487</v>
      </c>
      <c r="J71" s="14">
        <f>+J69/H69</f>
        <v>3.3051281360316903E-2</v>
      </c>
      <c r="K71" s="14">
        <f>+K69/H69</f>
        <v>8.0856396022528226E-2</v>
      </c>
    </row>
    <row r="72" spans="1:12" ht="13.5" thickTop="1">
      <c r="K72" s="97"/>
    </row>
    <row r="73" spans="1:12">
      <c r="K73" s="83"/>
    </row>
    <row r="74" spans="1:12">
      <c r="A74" s="83" t="s">
        <v>349</v>
      </c>
      <c r="I74" s="94">
        <f>+I69/(I69+J69)</f>
        <v>0.96404122139642612</v>
      </c>
      <c r="J74" s="95">
        <f>1-I74</f>
        <v>3.5958778603573882E-2</v>
      </c>
      <c r="K74" s="58">
        <v>0</v>
      </c>
      <c r="L74" s="83" t="s">
        <v>354</v>
      </c>
    </row>
    <row r="78" spans="1:12">
      <c r="A78" s="83" t="s">
        <v>376</v>
      </c>
      <c r="I78" s="107">
        <f>'Monthly Data-Hours &amp; Miles'!$O$78</f>
        <v>1411</v>
      </c>
    </row>
    <row r="79" spans="1:12">
      <c r="B79" s="83" t="s">
        <v>378</v>
      </c>
      <c r="I79" s="94">
        <f>I78/(I78+C23)</f>
        <v>0.14038460007800249</v>
      </c>
    </row>
    <row r="80" spans="1:12">
      <c r="B80" s="83" t="s">
        <v>379</v>
      </c>
      <c r="I80" s="94">
        <f>I78/(I78+C45)</f>
        <v>0.11307068239879735</v>
      </c>
    </row>
    <row r="81" spans="1:9">
      <c r="I81" s="107"/>
    </row>
    <row r="82" spans="1:9">
      <c r="I82" s="107"/>
    </row>
    <row r="83" spans="1:9">
      <c r="A83" s="83" t="s">
        <v>377</v>
      </c>
      <c r="I83" s="107">
        <f>'Monthly Data-Hours &amp; Miles'!$O$81</f>
        <v>30687</v>
      </c>
    </row>
    <row r="84" spans="1:9">
      <c r="B84" s="83" t="s">
        <v>380</v>
      </c>
      <c r="I84" s="94">
        <f>I83/(I83+C69)</f>
        <v>0.26650513261424624</v>
      </c>
    </row>
    <row r="86" spans="1:9">
      <c r="A86" s="83" t="s">
        <v>381</v>
      </c>
      <c r="I86" s="94">
        <f>'Results of Operations Staff '!C14/('Results of Operations Staff '!C21-'Results of Operations Staff '!C15)</f>
        <v>9.5157327522805368E-2</v>
      </c>
    </row>
  </sheetData>
  <phoneticPr fontId="0" type="noConversion"/>
  <pageMargins left="0.2" right="0.3" top="0.54" bottom="0.53" header="0.5" footer="0.5"/>
  <pageSetup scale="66" fitToWidth="0" orientation="portrait" horizontalDpi="4294967293" verticalDpi="4294967293" r:id="rId1"/>
  <headerFooter alignWithMargins="0"/>
  <rowBreaks count="1" manualBreakCount="1">
    <brk id="51"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D4" sqref="D4"/>
    </sheetView>
  </sheetViews>
  <sheetFormatPr defaultRowHeight="12.75"/>
  <cols>
    <col min="11" max="11" width="10.28515625" bestFit="1" customWidth="1"/>
  </cols>
  <sheetData>
    <row r="1" spans="1:10">
      <c r="A1" t="s">
        <v>0</v>
      </c>
    </row>
    <row r="3" spans="1:10">
      <c r="A3" t="s">
        <v>313</v>
      </c>
      <c r="D3" s="693" t="s">
        <v>1414</v>
      </c>
      <c r="E3" s="693" t="s">
        <v>702</v>
      </c>
    </row>
    <row r="5" spans="1:10">
      <c r="A5" s="729" t="s">
        <v>1438</v>
      </c>
    </row>
    <row r="8" spans="1:10">
      <c r="A8" t="s">
        <v>314</v>
      </c>
      <c r="C8" s="2" t="s">
        <v>324</v>
      </c>
      <c r="D8" s="2" t="s">
        <v>295</v>
      </c>
      <c r="E8" s="2" t="s">
        <v>296</v>
      </c>
      <c r="F8" s="2" t="s">
        <v>2</v>
      </c>
      <c r="G8" s="2" t="s">
        <v>107</v>
      </c>
      <c r="I8" s="89" t="s">
        <v>337</v>
      </c>
      <c r="J8" s="2" t="s">
        <v>107</v>
      </c>
    </row>
    <row r="10" spans="1:10">
      <c r="A10" t="s">
        <v>117</v>
      </c>
      <c r="C10" s="86">
        <f>+'Monthly Data-Container Count'!C$14</f>
        <v>0</v>
      </c>
      <c r="D10" s="86">
        <f>+'Monthly Data-Container Count'!D$14</f>
        <v>593</v>
      </c>
      <c r="E10" s="86">
        <f>+'Monthly Data-Container Count'!E$14</f>
        <v>48</v>
      </c>
      <c r="F10" s="22">
        <f>SUM(C10:E10)</f>
        <v>641</v>
      </c>
      <c r="G10" s="10">
        <f>(+F10/F16)</f>
        <v>0.15941308132305396</v>
      </c>
      <c r="I10" s="22">
        <f>'Monthly Data-Container Count'!$H$14</f>
        <v>0</v>
      </c>
      <c r="J10" s="10">
        <f>(+I10/I16)</f>
        <v>0</v>
      </c>
    </row>
    <row r="11" spans="1:10">
      <c r="C11" s="65"/>
      <c r="D11" s="65"/>
      <c r="E11" s="65"/>
      <c r="G11" s="10"/>
      <c r="J11" s="10"/>
    </row>
    <row r="12" spans="1:10">
      <c r="A12" t="s">
        <v>118</v>
      </c>
      <c r="C12" s="86">
        <f>+'Monthly Data-Container Count'!C$15</f>
        <v>0</v>
      </c>
      <c r="D12" s="86">
        <f>+'Monthly Data-Container Count'!D$15</f>
        <v>214</v>
      </c>
      <c r="E12" s="86">
        <f>+'Monthly Data-Container Count'!E$15</f>
        <v>29</v>
      </c>
      <c r="F12" s="22">
        <f>SUM(C12:E12)</f>
        <v>243</v>
      </c>
      <c r="G12" s="10">
        <f>+F12/F16</f>
        <v>6.0432728177070377E-2</v>
      </c>
      <c r="I12" s="22">
        <f>'Monthly Data-Container Count'!$H$15</f>
        <v>0</v>
      </c>
      <c r="J12" s="10">
        <f>+I12/I16</f>
        <v>0</v>
      </c>
    </row>
    <row r="13" spans="1:10">
      <c r="G13" s="10"/>
      <c r="J13" s="10"/>
    </row>
    <row r="14" spans="1:10">
      <c r="A14" t="s">
        <v>105</v>
      </c>
      <c r="C14" s="23">
        <f>+C16-C10-C12</f>
        <v>764</v>
      </c>
      <c r="D14" s="23">
        <f>+D16-D10-D12</f>
        <v>1282</v>
      </c>
      <c r="E14" s="23">
        <f>+E16-E10-E12</f>
        <v>1091</v>
      </c>
      <c r="F14" s="23">
        <f>SUM(C14:E14)</f>
        <v>3137</v>
      </c>
      <c r="G14" s="42">
        <f>+F14/F16</f>
        <v>0.78015419049987567</v>
      </c>
      <c r="I14" s="23">
        <f>+I16-I10-I12</f>
        <v>469</v>
      </c>
      <c r="J14" s="42">
        <f>+I14/I16</f>
        <v>1</v>
      </c>
    </row>
    <row r="15" spans="1:10">
      <c r="G15" s="11"/>
    </row>
    <row r="16" spans="1:10" ht="13.5" thickBot="1">
      <c r="A16" t="s">
        <v>119</v>
      </c>
      <c r="C16" s="24">
        <f>+'Monthly Data-Container Count'!C$20</f>
        <v>764</v>
      </c>
      <c r="D16" s="24">
        <f>+'Monthly Data-Container Count'!D$20</f>
        <v>2089</v>
      </c>
      <c r="E16" s="24">
        <f>+'Monthly Data-Container Count'!E$20</f>
        <v>1168</v>
      </c>
      <c r="F16" s="24">
        <f>SUM(C16:E16)</f>
        <v>4021</v>
      </c>
      <c r="G16" s="14">
        <f>SUM(G10:G14)</f>
        <v>1</v>
      </c>
      <c r="I16" s="24">
        <f>'Monthly Data-Container Count'!$H$20</f>
        <v>469</v>
      </c>
      <c r="J16" s="14">
        <f>SUM(J10:J14)</f>
        <v>1</v>
      </c>
    </row>
    <row r="17" spans="1:11" ht="13.5" thickTop="1"/>
    <row r="21" spans="1:11">
      <c r="A21" t="s">
        <v>315</v>
      </c>
      <c r="C21" s="2" t="s">
        <v>120</v>
      </c>
      <c r="D21" s="2" t="s">
        <v>122</v>
      </c>
      <c r="E21" s="2" t="s">
        <v>121</v>
      </c>
      <c r="F21" s="2" t="s">
        <v>123</v>
      </c>
      <c r="G21" s="2" t="s">
        <v>124</v>
      </c>
      <c r="H21" s="2" t="s">
        <v>125</v>
      </c>
      <c r="I21" s="2" t="s">
        <v>126</v>
      </c>
      <c r="J21" s="2" t="s">
        <v>2</v>
      </c>
      <c r="K21" s="2" t="s">
        <v>107</v>
      </c>
    </row>
    <row r="23" spans="1:11">
      <c r="A23" t="s">
        <v>117</v>
      </c>
      <c r="C23" s="86">
        <f>+'Monthly Data-Container Count'!M$14</f>
        <v>31</v>
      </c>
      <c r="D23" s="86">
        <f>+'Monthly Data-Container Count'!N$14</f>
        <v>0</v>
      </c>
      <c r="E23" s="86">
        <f>+'Monthly Data-Container Count'!O$14</f>
        <v>21</v>
      </c>
      <c r="F23" s="86">
        <f>+'Monthly Data-Container Count'!P$14</f>
        <v>0</v>
      </c>
      <c r="G23" s="86">
        <f>+'Monthly Data-Container Count'!Q$14</f>
        <v>9</v>
      </c>
      <c r="H23" s="86">
        <f>+'Monthly Data-Container Count'!R$14</f>
        <v>3</v>
      </c>
      <c r="I23" s="86">
        <f>+'Monthly Data-Container Count'!S$14</f>
        <v>0</v>
      </c>
      <c r="J23" s="22">
        <f>SUM(C23:I23)</f>
        <v>64</v>
      </c>
      <c r="K23" s="10">
        <f>(+J23/J29)</f>
        <v>5.9149722735674676E-2</v>
      </c>
    </row>
    <row r="24" spans="1:11">
      <c r="C24" s="65"/>
      <c r="D24" s="65"/>
      <c r="E24" s="65"/>
      <c r="F24" s="65"/>
      <c r="G24" s="65"/>
      <c r="H24" s="65"/>
      <c r="I24" s="65"/>
      <c r="K24" s="10"/>
    </row>
    <row r="25" spans="1:11">
      <c r="A25" t="s">
        <v>118</v>
      </c>
      <c r="C25" s="86">
        <f>+'Monthly Data-Container Count'!M$15</f>
        <v>12</v>
      </c>
      <c r="D25" s="86">
        <f>+'Monthly Data-Container Count'!N$15</f>
        <v>0</v>
      </c>
      <c r="E25" s="86">
        <f>+'Monthly Data-Container Count'!O$15</f>
        <v>15</v>
      </c>
      <c r="F25" s="86">
        <f>+'Monthly Data-Container Count'!P$15</f>
        <v>0</v>
      </c>
      <c r="G25" s="86">
        <f>+'Monthly Data-Container Count'!Q$15</f>
        <v>2</v>
      </c>
      <c r="H25" s="86">
        <f>+'Monthly Data-Container Count'!R$15</f>
        <v>0</v>
      </c>
      <c r="I25" s="86">
        <f>+'Monthly Data-Container Count'!S$15</f>
        <v>0</v>
      </c>
      <c r="J25" s="22">
        <f>SUM(C25:I25)</f>
        <v>29</v>
      </c>
      <c r="K25" s="10">
        <f>+J25/J29</f>
        <v>2.6802218114602587E-2</v>
      </c>
    </row>
    <row r="26" spans="1:11">
      <c r="K26" s="10"/>
    </row>
    <row r="27" spans="1:11">
      <c r="A27" t="s">
        <v>105</v>
      </c>
      <c r="C27" s="23">
        <f>+C29-C23-C25</f>
        <v>402</v>
      </c>
      <c r="D27" s="23">
        <f t="shared" ref="D27:I27" si="0">+D29-D23-D25</f>
        <v>73</v>
      </c>
      <c r="E27" s="23">
        <f t="shared" si="0"/>
        <v>353</v>
      </c>
      <c r="F27" s="23">
        <f t="shared" si="0"/>
        <v>7</v>
      </c>
      <c r="G27" s="23">
        <f t="shared" si="0"/>
        <v>60</v>
      </c>
      <c r="H27" s="23">
        <f t="shared" si="0"/>
        <v>94</v>
      </c>
      <c r="I27" s="23">
        <f t="shared" si="0"/>
        <v>0</v>
      </c>
      <c r="J27" s="23">
        <f>SUM(C27:I27)</f>
        <v>989</v>
      </c>
      <c r="K27" s="42">
        <f>+J27/J29</f>
        <v>0.91404805914972276</v>
      </c>
    </row>
    <row r="28" spans="1:11">
      <c r="K28" s="11"/>
    </row>
    <row r="29" spans="1:11" ht="13.5" thickBot="1">
      <c r="A29" t="s">
        <v>119</v>
      </c>
      <c r="C29" s="24">
        <f>+'Monthly Data-Container Count'!M$20</f>
        <v>445</v>
      </c>
      <c r="D29" s="24">
        <f>+'Monthly Data-Container Count'!N$20</f>
        <v>73</v>
      </c>
      <c r="E29" s="24">
        <f>+'Monthly Data-Container Count'!O$20</f>
        <v>389</v>
      </c>
      <c r="F29" s="24">
        <f>+'Monthly Data-Container Count'!P$20</f>
        <v>7</v>
      </c>
      <c r="G29" s="24">
        <f>+'Monthly Data-Container Count'!Q$20</f>
        <v>71</v>
      </c>
      <c r="H29" s="24">
        <f>+'Monthly Data-Container Count'!R$20</f>
        <v>97</v>
      </c>
      <c r="I29" s="24">
        <f>+'Monthly Data-Container Count'!S$20</f>
        <v>0</v>
      </c>
      <c r="J29" s="24">
        <f>SUM(C29:I29)</f>
        <v>1082</v>
      </c>
      <c r="K29" s="14">
        <f>SUM(K23:K27)</f>
        <v>1</v>
      </c>
    </row>
    <row r="30" spans="1:11" ht="13.5" thickTop="1"/>
  </sheetData>
  <phoneticPr fontId="0" type="noConversion"/>
  <pageMargins left="0.2" right="0.3" top="0.57999999999999996" bottom="1" header="0.5" footer="0.5"/>
  <pageSetup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56"/>
  <sheetViews>
    <sheetView zoomScale="75" workbookViewId="0">
      <pane xSplit="2" ySplit="10" topLeftCell="C11" activePane="bottomRight" state="frozen"/>
      <selection pane="topRight" activeCell="C1" sqref="C1"/>
      <selection pane="bottomLeft" activeCell="A11" sqref="A11"/>
      <selection pane="bottomRight" activeCell="E4" sqref="E4"/>
    </sheetView>
  </sheetViews>
  <sheetFormatPr defaultColWidth="14.7109375" defaultRowHeight="15.75"/>
  <cols>
    <col min="1" max="1" width="1.5703125" style="329" customWidth="1"/>
    <col min="2" max="2" width="57.42578125" style="329" customWidth="1"/>
    <col min="3" max="3" width="10" style="329" customWidth="1"/>
    <col min="4" max="4" width="5.5703125" style="329" customWidth="1"/>
    <col min="5" max="5" width="10.140625" style="329" customWidth="1"/>
    <col min="6" max="6" width="3.42578125" style="329" customWidth="1"/>
    <col min="7" max="7" width="9" style="329" customWidth="1"/>
    <col min="8" max="8" width="6.140625" style="329" customWidth="1"/>
    <col min="9" max="9" width="9.7109375" style="329" customWidth="1"/>
    <col min="10" max="10" width="8.5703125" style="329" customWidth="1"/>
    <col min="11" max="11" width="5" style="329" customWidth="1"/>
    <col min="12" max="12" width="15.7109375" style="329" customWidth="1"/>
    <col min="13" max="13" width="13.28515625" style="329" customWidth="1"/>
    <col min="14" max="14" width="16.28515625" style="329" customWidth="1"/>
    <col min="15" max="15" width="11.85546875" style="329" customWidth="1"/>
    <col min="16" max="16" width="15.5703125" style="329" customWidth="1"/>
    <col min="17" max="17" width="13.28515625" style="329" customWidth="1"/>
    <col min="18" max="18" width="15.7109375" style="329" customWidth="1"/>
    <col min="19" max="19" width="10.5703125" style="329" customWidth="1"/>
    <col min="20" max="20" width="14.5703125" style="329" customWidth="1"/>
    <col min="21" max="21" width="3.42578125" style="329" customWidth="1"/>
    <col min="22" max="22" width="16.42578125" style="329" customWidth="1"/>
    <col min="23" max="23" width="15.140625" style="329" customWidth="1"/>
    <col min="24" max="24" width="10.85546875" style="329" customWidth="1"/>
    <col min="25" max="25" width="16" style="329" customWidth="1"/>
    <col min="26" max="26" width="14.5703125" style="329" customWidth="1"/>
    <col min="27" max="27" width="15" style="329" customWidth="1"/>
    <col min="28" max="28" width="21.28515625" style="329" customWidth="1"/>
    <col min="29" max="34" width="14.7109375" style="329"/>
    <col min="35" max="36" width="15.7109375" style="329" bestFit="1" customWidth="1"/>
    <col min="37" max="37" width="15.5703125" style="329" bestFit="1" customWidth="1"/>
    <col min="38" max="38" width="14.85546875" style="329" bestFit="1" customWidth="1"/>
    <col min="39" max="16384" width="14.7109375" style="329"/>
  </cols>
  <sheetData>
    <row r="1" spans="1:42">
      <c r="A1" s="334" t="s">
        <v>1132</v>
      </c>
      <c r="B1" s="378" t="s">
        <v>1131</v>
      </c>
    </row>
    <row r="2" spans="1:42">
      <c r="B2" s="334" t="s">
        <v>1130</v>
      </c>
      <c r="C2" s="713" t="s">
        <v>1414</v>
      </c>
      <c r="D2" s="713" t="s">
        <v>702</v>
      </c>
      <c r="N2" s="329">
        <v>0</v>
      </c>
      <c r="O2" s="334" t="s">
        <v>1129</v>
      </c>
    </row>
    <row r="3" spans="1:42">
      <c r="B3" s="377">
        <v>44196</v>
      </c>
      <c r="N3" s="329">
        <v>12</v>
      </c>
      <c r="O3" s="334" t="s">
        <v>1128</v>
      </c>
      <c r="AD3" s="334" t="s">
        <v>1083</v>
      </c>
      <c r="AE3" s="334" t="s">
        <v>1127</v>
      </c>
    </row>
    <row r="4" spans="1:42">
      <c r="N4" s="329">
        <v>119</v>
      </c>
      <c r="O4" s="334" t="s">
        <v>1126</v>
      </c>
      <c r="T4" s="374"/>
      <c r="AA4" s="374"/>
      <c r="AB4" s="374"/>
      <c r="AD4" s="334" t="s">
        <v>1125</v>
      </c>
      <c r="AE4" s="334" t="s">
        <v>1124</v>
      </c>
    </row>
    <row r="5" spans="1:42">
      <c r="N5" s="329">
        <v>120</v>
      </c>
      <c r="O5" s="334" t="s">
        <v>1123</v>
      </c>
      <c r="T5" s="375"/>
      <c r="AA5" s="375"/>
      <c r="AB5" s="375"/>
      <c r="AD5" s="334" t="s">
        <v>702</v>
      </c>
      <c r="AE5" s="334" t="s">
        <v>1122</v>
      </c>
    </row>
    <row r="6" spans="1:42">
      <c r="B6" s="376" t="s">
        <v>1121</v>
      </c>
      <c r="C6" s="376"/>
      <c r="T6" s="375"/>
      <c r="AA6" s="374"/>
      <c r="AB6" s="374"/>
      <c r="AD6" s="334" t="s">
        <v>1080</v>
      </c>
      <c r="AE6" s="334" t="s">
        <v>1120</v>
      </c>
    </row>
    <row r="7" spans="1:42">
      <c r="B7" s="418" t="s">
        <v>1161</v>
      </c>
      <c r="T7" s="355" t="s">
        <v>2</v>
      </c>
      <c r="V7" s="373" t="s">
        <v>1119</v>
      </c>
      <c r="W7" s="355" t="s">
        <v>1114</v>
      </c>
      <c r="Y7" s="372" t="s">
        <v>1114</v>
      </c>
      <c r="Z7" s="372" t="s">
        <v>1114</v>
      </c>
      <c r="AA7" s="374"/>
      <c r="AB7" s="374"/>
      <c r="AD7" s="334" t="s">
        <v>1079</v>
      </c>
      <c r="AE7" s="334" t="s">
        <v>1118</v>
      </c>
      <c r="AM7" s="355" t="s">
        <v>1377</v>
      </c>
      <c r="AN7" s="355" t="s">
        <v>1374</v>
      </c>
      <c r="AO7" s="355" t="s">
        <v>1380</v>
      </c>
      <c r="AP7" s="355" t="s">
        <v>1380</v>
      </c>
    </row>
    <row r="8" spans="1:42">
      <c r="A8" s="334"/>
      <c r="B8" s="430" t="s">
        <v>1169</v>
      </c>
      <c r="C8" s="355" t="s">
        <v>1117</v>
      </c>
      <c r="E8" s="355" t="s">
        <v>1116</v>
      </c>
      <c r="I8" s="355" t="s">
        <v>1099</v>
      </c>
      <c r="J8" s="334" t="s">
        <v>1115</v>
      </c>
      <c r="Q8" s="372" t="s">
        <v>1089</v>
      </c>
      <c r="R8" s="372" t="s">
        <v>2</v>
      </c>
      <c r="T8" s="355" t="s">
        <v>1114</v>
      </c>
      <c r="V8" s="373" t="s">
        <v>1113</v>
      </c>
      <c r="W8" s="355" t="s">
        <v>1113</v>
      </c>
      <c r="X8" s="355" t="s">
        <v>1112</v>
      </c>
      <c r="Y8" s="372" t="s">
        <v>1111</v>
      </c>
      <c r="Z8" s="372" t="s">
        <v>1111</v>
      </c>
      <c r="AH8" s="355" t="s">
        <v>1376</v>
      </c>
      <c r="AI8" s="355" t="s">
        <v>1110</v>
      </c>
      <c r="AJ8" s="355"/>
      <c r="AK8" s="355" t="s">
        <v>1109</v>
      </c>
      <c r="AL8" s="355" t="s">
        <v>1108</v>
      </c>
      <c r="AM8" s="355" t="s">
        <v>1374</v>
      </c>
      <c r="AN8" s="355" t="s">
        <v>1378</v>
      </c>
      <c r="AO8" s="355" t="s">
        <v>1381</v>
      </c>
      <c r="AP8" s="355" t="s">
        <v>1381</v>
      </c>
    </row>
    <row r="9" spans="1:42">
      <c r="C9" s="334" t="s">
        <v>1107</v>
      </c>
      <c r="E9" s="355" t="s">
        <v>1106</v>
      </c>
      <c r="G9" s="334" t="s">
        <v>1105</v>
      </c>
      <c r="H9" s="334" t="s">
        <v>1104</v>
      </c>
      <c r="I9" s="355" t="s">
        <v>1103</v>
      </c>
      <c r="J9" s="334" t="s">
        <v>1089</v>
      </c>
      <c r="L9" s="355" t="s">
        <v>1102</v>
      </c>
      <c r="M9" s="355" t="s">
        <v>1102</v>
      </c>
      <c r="N9" s="355" t="s">
        <v>1101</v>
      </c>
      <c r="O9" s="355" t="s">
        <v>1100</v>
      </c>
      <c r="P9" s="372" t="s">
        <v>1097</v>
      </c>
      <c r="Q9" s="372" t="s">
        <v>1099</v>
      </c>
      <c r="R9" s="372" t="s">
        <v>1098</v>
      </c>
      <c r="S9" s="355" t="s">
        <v>107</v>
      </c>
      <c r="T9" s="334" t="s">
        <v>1097</v>
      </c>
      <c r="V9" s="373" t="s">
        <v>386</v>
      </c>
      <c r="W9" s="355" t="s">
        <v>386</v>
      </c>
      <c r="X9" s="355" t="s">
        <v>1086</v>
      </c>
      <c r="Y9" s="372" t="s">
        <v>1085</v>
      </c>
      <c r="Z9" s="372" t="s">
        <v>1085</v>
      </c>
      <c r="AA9" s="355" t="s">
        <v>657</v>
      </c>
      <c r="AB9" s="414" t="s">
        <v>1158</v>
      </c>
      <c r="AH9" s="355" t="s">
        <v>597</v>
      </c>
      <c r="AI9" s="355" t="s">
        <v>655</v>
      </c>
      <c r="AJ9" s="355" t="s">
        <v>586</v>
      </c>
      <c r="AK9" s="355" t="s">
        <v>1096</v>
      </c>
      <c r="AL9" s="355" t="s">
        <v>1095</v>
      </c>
      <c r="AM9" s="355" t="s">
        <v>1375</v>
      </c>
      <c r="AN9" s="355" t="s">
        <v>1379</v>
      </c>
      <c r="AO9" s="364">
        <v>43830</v>
      </c>
      <c r="AP9" s="364">
        <v>44196</v>
      </c>
    </row>
    <row r="10" spans="1:42">
      <c r="A10" s="355"/>
      <c r="B10" s="371" t="s">
        <v>1094</v>
      </c>
      <c r="C10" s="366" t="s">
        <v>1093</v>
      </c>
      <c r="D10" s="366" t="s">
        <v>1092</v>
      </c>
      <c r="E10" s="366" t="s">
        <v>107</v>
      </c>
      <c r="F10" s="357"/>
      <c r="G10" s="366" t="s">
        <v>134</v>
      </c>
      <c r="H10" s="366" t="s">
        <v>134</v>
      </c>
      <c r="I10" s="366" t="s">
        <v>1085</v>
      </c>
      <c r="J10" s="371" t="s">
        <v>1091</v>
      </c>
      <c r="K10" s="371" t="s">
        <v>1090</v>
      </c>
      <c r="L10" s="366" t="s">
        <v>586</v>
      </c>
      <c r="M10" s="366" t="s">
        <v>1089</v>
      </c>
      <c r="N10" s="366" t="s">
        <v>586</v>
      </c>
      <c r="O10" s="366" t="s">
        <v>1085</v>
      </c>
      <c r="P10" s="370" t="s">
        <v>1085</v>
      </c>
      <c r="Q10" s="370" t="s">
        <v>1088</v>
      </c>
      <c r="R10" s="370" t="s">
        <v>1087</v>
      </c>
      <c r="S10" s="366" t="s">
        <v>1086</v>
      </c>
      <c r="T10" s="366" t="s">
        <v>1085</v>
      </c>
      <c r="U10" s="357"/>
      <c r="V10" s="369">
        <v>43466</v>
      </c>
      <c r="W10" s="368">
        <v>43466</v>
      </c>
      <c r="X10" s="366" t="s">
        <v>107</v>
      </c>
      <c r="Y10" s="367">
        <v>43466</v>
      </c>
      <c r="Z10" s="367">
        <v>43830</v>
      </c>
      <c r="AA10" s="366" t="s">
        <v>1084</v>
      </c>
      <c r="AB10" s="415" t="s">
        <v>1159</v>
      </c>
      <c r="AC10" s="366" t="s">
        <v>1083</v>
      </c>
      <c r="AD10" s="366" t="s">
        <v>1082</v>
      </c>
      <c r="AE10" s="366" t="s">
        <v>1081</v>
      </c>
      <c r="AF10" s="366" t="s">
        <v>1080</v>
      </c>
      <c r="AG10" s="355" t="s">
        <v>1079</v>
      </c>
      <c r="AI10" s="357"/>
      <c r="AJ10" s="357"/>
      <c r="AK10" s="357"/>
      <c r="AL10" s="357"/>
    </row>
    <row r="11" spans="1:42">
      <c r="B11" s="365"/>
      <c r="C11" s="365"/>
      <c r="D11" s="365"/>
      <c r="E11" s="365"/>
      <c r="F11" s="365"/>
      <c r="G11" s="365"/>
      <c r="H11" s="365"/>
      <c r="I11" s="365"/>
      <c r="J11" s="365"/>
      <c r="K11" s="365"/>
      <c r="L11" s="365"/>
      <c r="M11" s="365"/>
      <c r="N11" s="365"/>
      <c r="O11" s="365"/>
      <c r="P11" s="365"/>
      <c r="Q11" s="365"/>
      <c r="R11" s="365"/>
      <c r="S11" s="365"/>
      <c r="T11" s="365"/>
      <c r="V11" s="365"/>
      <c r="W11" s="365"/>
      <c r="X11" s="365"/>
      <c r="Y11" s="365"/>
      <c r="Z11" s="365"/>
      <c r="AA11" s="365"/>
      <c r="AB11" s="365"/>
    </row>
    <row r="12" spans="1:42">
      <c r="B12" s="365"/>
      <c r="C12" s="365"/>
      <c r="D12" s="365"/>
      <c r="E12" s="365"/>
      <c r="F12" s="365"/>
      <c r="G12" s="365"/>
      <c r="H12" s="365"/>
      <c r="I12" s="365"/>
      <c r="J12" s="365"/>
      <c r="K12" s="365"/>
      <c r="L12" s="365"/>
      <c r="M12" s="365"/>
      <c r="N12" s="365"/>
      <c r="O12" s="365"/>
      <c r="P12" s="365"/>
      <c r="Q12" s="365"/>
      <c r="R12" s="365"/>
      <c r="S12" s="365"/>
      <c r="T12" s="365"/>
      <c r="V12" s="365"/>
      <c r="W12" s="365"/>
      <c r="X12" s="365"/>
      <c r="Y12" s="365"/>
      <c r="Z12" s="365"/>
      <c r="AA12" s="365"/>
      <c r="AB12" s="365"/>
    </row>
    <row r="13" spans="1:42">
      <c r="B13" s="337" t="s">
        <v>1078</v>
      </c>
      <c r="C13" s="337">
        <v>80</v>
      </c>
      <c r="D13" s="337">
        <v>4</v>
      </c>
      <c r="E13" s="346">
        <v>0</v>
      </c>
      <c r="G13" s="355" t="s">
        <v>904</v>
      </c>
      <c r="H13" s="337">
        <v>5</v>
      </c>
      <c r="I13" s="329">
        <f t="shared" ref="I13:I49" si="0">C13+H13</f>
        <v>85</v>
      </c>
      <c r="L13" s="409">
        <v>4725</v>
      </c>
      <c r="N13" s="332">
        <f>L13-L13*E13</f>
        <v>4725</v>
      </c>
      <c r="O13" s="332">
        <f t="shared" ref="O13:O41" si="1">N13/H13/12</f>
        <v>78.75</v>
      </c>
      <c r="P13" s="332">
        <f t="shared" ref="P13:P42" si="2">IF(M13&gt;0,0,IF(OR(AC13&gt;AD13,AE13&lt;AF13),0,IF(AND(AE13&gt;=AF13,AE13&lt;=AD13),O13*((AE13-AF13)*12),IF(AND(AF13&lt;=AC13,AD13&gt;=AC13),((AD13-AC13)*12)*O13,IF(AE13&gt;AD13,12*O13,0)))))</f>
        <v>0</v>
      </c>
      <c r="Q13" s="329">
        <f t="shared" ref="Q13:Q49" si="3">IF(M13=0,0,IF(AND(AG13&gt;=AF13,AG13&lt;=AE13),((AG13-AF13)*12)*O13,0))</f>
        <v>0</v>
      </c>
      <c r="R13" s="332">
        <f t="shared" ref="R13:R49" si="4">IF(Q13&gt;0,Q13,P13)</f>
        <v>0</v>
      </c>
      <c r="S13" s="344">
        <v>1</v>
      </c>
      <c r="T13" s="332">
        <f>S13*R13</f>
        <v>0</v>
      </c>
      <c r="V13" s="332">
        <f>IF(AC13&gt;AD13,0,IF(AE13&lt;AF13,N13,IF(AND(AE13&gt;=AF13,AE13&lt;=AD13),(N13-R13),IF(AND(AF13&lt;=AC13,AD13&gt;=AC13),0,IF(AE13&gt;AD13,((AF13-AC13)*12)*O13,0)))))</f>
        <v>4725</v>
      </c>
      <c r="W13" s="332">
        <f t="shared" ref="W13:W49" si="5">V13*S13</f>
        <v>4725</v>
      </c>
      <c r="X13" s="344">
        <v>1</v>
      </c>
      <c r="Y13" s="332">
        <f t="shared" ref="Y13:Y49" si="6">W13*X13</f>
        <v>4725</v>
      </c>
      <c r="Z13" s="332">
        <f t="shared" ref="Z13:Z49" si="7">IF(M13&gt;0,0,Y13+T13*X13)*X13</f>
        <v>4725</v>
      </c>
      <c r="AA13" s="375">
        <f>IF(M13&gt;0,(L13-Y13)/2,IF(AC13&gt;=AF13,(((L13*S13)*X13)-Z13)/2,((((L13*S13)*X13)-Y13)+(((L13*S13)*X13)-Z13))/2))</f>
        <v>0</v>
      </c>
      <c r="AB13" s="375">
        <f>L13-Z13</f>
        <v>0</v>
      </c>
      <c r="AC13" s="343">
        <f t="shared" ref="AC13:AC49" si="8">$C13+(($D13-1)/12)</f>
        <v>80.25</v>
      </c>
      <c r="AD13" s="329">
        <f t="shared" ref="AD13:AD49" si="9">($N$5+1)-($N$2/12)</f>
        <v>121</v>
      </c>
      <c r="AE13" s="343">
        <f t="shared" ref="AE13:AE49" si="10">$I13+(($D13-1)/12)</f>
        <v>85.25</v>
      </c>
      <c r="AF13" s="329">
        <f t="shared" ref="AF13:AF49" si="11">$N$4+($N$3/12)</f>
        <v>120</v>
      </c>
      <c r="AG13" s="342">
        <f t="shared" ref="AG13:AG49" si="12">$J13+(($K13-1)/12)</f>
        <v>-8.3333333333333329E-2</v>
      </c>
    </row>
    <row r="14" spans="1:42">
      <c r="B14" s="413" t="s">
        <v>1150</v>
      </c>
      <c r="C14" s="337">
        <v>118</v>
      </c>
      <c r="D14" s="337">
        <v>1</v>
      </c>
      <c r="E14" s="346">
        <v>0</v>
      </c>
      <c r="G14" s="355" t="s">
        <v>904</v>
      </c>
      <c r="H14" s="337">
        <v>3</v>
      </c>
      <c r="I14" s="329">
        <f t="shared" si="0"/>
        <v>121</v>
      </c>
      <c r="L14" s="409">
        <v>1573.4250000000002</v>
      </c>
      <c r="N14" s="332">
        <f>L14-L14*E14</f>
        <v>1573.4250000000002</v>
      </c>
      <c r="O14" s="332">
        <f t="shared" si="1"/>
        <v>43.706250000000004</v>
      </c>
      <c r="P14" s="332">
        <f t="shared" si="2"/>
        <v>524.47500000000002</v>
      </c>
      <c r="Q14" s="329">
        <f t="shared" si="3"/>
        <v>0</v>
      </c>
      <c r="R14" s="332">
        <f t="shared" si="4"/>
        <v>524.47500000000002</v>
      </c>
      <c r="S14" s="344">
        <v>1</v>
      </c>
      <c r="T14" s="332">
        <f t="shared" ref="T14:T30" si="13">S14*R14</f>
        <v>524.47500000000002</v>
      </c>
      <c r="V14" s="332">
        <f>IF(AC14&gt;AD14,0,IF(AE14&lt;AF14,N14,IF(AND(AE14&gt;=AF14,AE14&lt;=AD14),(N14-R14),IF(AND(AF14&lt;=AC14,AD14&gt;=AC14),0,IF(AE14&gt;AD14,((AF14-AC14)*12)*O14,0)))))</f>
        <v>1048.9500000000003</v>
      </c>
      <c r="W14" s="332">
        <f t="shared" si="5"/>
        <v>1048.9500000000003</v>
      </c>
      <c r="X14" s="344">
        <v>1</v>
      </c>
      <c r="Y14" s="332">
        <f>W14*X14</f>
        <v>1048.9500000000003</v>
      </c>
      <c r="Z14" s="332">
        <f t="shared" si="7"/>
        <v>1573.4250000000002</v>
      </c>
      <c r="AA14" s="375">
        <f>IF(M14&gt;0,(L14-Y14)/2,IF(AC14&gt;=AF14,(((L14*S14)*X14)-Z14)/2,((((L14*S14)*X14)-Y14)+(((L14*S14)*X14)-Z14))/2))</f>
        <v>262.23749999999995</v>
      </c>
      <c r="AB14" s="375">
        <f>L14-Z14</f>
        <v>0</v>
      </c>
      <c r="AC14" s="343">
        <f t="shared" si="8"/>
        <v>118</v>
      </c>
      <c r="AD14" s="329">
        <f t="shared" si="9"/>
        <v>121</v>
      </c>
      <c r="AE14" s="343">
        <f t="shared" si="10"/>
        <v>121</v>
      </c>
      <c r="AF14" s="329">
        <f t="shared" si="11"/>
        <v>120</v>
      </c>
      <c r="AG14" s="342">
        <f t="shared" si="12"/>
        <v>-8.3333333333333329E-2</v>
      </c>
    </row>
    <row r="15" spans="1:42">
      <c r="B15" s="337" t="s">
        <v>1072</v>
      </c>
      <c r="C15" s="337">
        <v>104</v>
      </c>
      <c r="D15" s="337">
        <v>6</v>
      </c>
      <c r="E15" s="346">
        <v>0</v>
      </c>
      <c r="G15" s="355" t="s">
        <v>904</v>
      </c>
      <c r="H15" s="337">
        <v>7</v>
      </c>
      <c r="I15" s="329">
        <f t="shared" si="0"/>
        <v>111</v>
      </c>
      <c r="L15" s="409">
        <v>2000</v>
      </c>
      <c r="N15" s="332">
        <f t="shared" ref="N15:N30" si="14">L15-L15*E15</f>
        <v>2000</v>
      </c>
      <c r="O15" s="332">
        <f t="shared" si="1"/>
        <v>23.80952380952381</v>
      </c>
      <c r="P15" s="332">
        <f t="shared" si="2"/>
        <v>0</v>
      </c>
      <c r="Q15" s="329">
        <f t="shared" si="3"/>
        <v>0</v>
      </c>
      <c r="R15" s="332">
        <f t="shared" si="4"/>
        <v>0</v>
      </c>
      <c r="S15" s="344">
        <v>1</v>
      </c>
      <c r="T15" s="332">
        <f t="shared" si="13"/>
        <v>0</v>
      </c>
      <c r="V15" s="332">
        <f t="shared" ref="V15:V30" si="15">IF(AC15&gt;AD15,0,IF(AE15&lt;AF15,N15,IF(AND(AE15&gt;=AF15,AE15&lt;=AD15),(N15-R15),IF(AND(AF15&lt;=AC15,AD15&gt;=AC15),0,IF(AE15&gt;AD15,((AF15-AC15)*12)*O15,0)))))</f>
        <v>2000</v>
      </c>
      <c r="W15" s="332">
        <f t="shared" si="5"/>
        <v>2000</v>
      </c>
      <c r="X15" s="344">
        <v>1</v>
      </c>
      <c r="Y15" s="332">
        <f t="shared" si="6"/>
        <v>2000</v>
      </c>
      <c r="Z15" s="332">
        <f t="shared" si="7"/>
        <v>2000</v>
      </c>
      <c r="AA15" s="375">
        <f t="shared" ref="AA15:AA30" si="16">IF(M15&gt;0,(L15-Y15)/2,IF(AC15&gt;=AF15,(((L15*S15)*X15)-Z15)/2,((((L15*S15)*X15)-Y15)+(((L15*S15)*X15)-Z15))/2))</f>
        <v>0</v>
      </c>
      <c r="AB15" s="375">
        <v>0</v>
      </c>
      <c r="AC15" s="343">
        <f t="shared" si="8"/>
        <v>104.41666666666667</v>
      </c>
      <c r="AD15" s="329">
        <f t="shared" si="9"/>
        <v>121</v>
      </c>
      <c r="AE15" s="343">
        <f t="shared" si="10"/>
        <v>111.41666666666667</v>
      </c>
      <c r="AF15" s="329">
        <f t="shared" si="11"/>
        <v>120</v>
      </c>
      <c r="AG15" s="342">
        <f t="shared" si="12"/>
        <v>-8.3333333333333329E-2</v>
      </c>
    </row>
    <row r="16" spans="1:42">
      <c r="B16" s="413" t="s">
        <v>1151</v>
      </c>
      <c r="C16" s="337">
        <v>118</v>
      </c>
      <c r="D16" s="337">
        <v>1</v>
      </c>
      <c r="E16" s="346">
        <v>0</v>
      </c>
      <c r="G16" s="355" t="s">
        <v>904</v>
      </c>
      <c r="H16" s="337">
        <v>3</v>
      </c>
      <c r="I16" s="329">
        <f t="shared" si="0"/>
        <v>121</v>
      </c>
      <c r="L16" s="409">
        <v>400</v>
      </c>
      <c r="N16" s="332">
        <f t="shared" si="14"/>
        <v>400</v>
      </c>
      <c r="O16" s="332">
        <f t="shared" si="1"/>
        <v>11.111111111111112</v>
      </c>
      <c r="P16" s="332">
        <f t="shared" si="2"/>
        <v>133.33333333333334</v>
      </c>
      <c r="Q16" s="329">
        <f t="shared" si="3"/>
        <v>0</v>
      </c>
      <c r="R16" s="332">
        <f t="shared" si="4"/>
        <v>133.33333333333334</v>
      </c>
      <c r="S16" s="344">
        <v>1</v>
      </c>
      <c r="T16" s="332">
        <f t="shared" si="13"/>
        <v>133.33333333333334</v>
      </c>
      <c r="V16" s="332">
        <f t="shared" si="15"/>
        <v>266.66666666666663</v>
      </c>
      <c r="W16" s="332">
        <f t="shared" si="5"/>
        <v>266.66666666666663</v>
      </c>
      <c r="X16" s="344">
        <v>1</v>
      </c>
      <c r="Y16" s="332">
        <f t="shared" si="6"/>
        <v>266.66666666666663</v>
      </c>
      <c r="Z16" s="332">
        <f t="shared" si="7"/>
        <v>400</v>
      </c>
      <c r="AA16" s="375">
        <f t="shared" si="16"/>
        <v>66.666666666666686</v>
      </c>
      <c r="AB16" s="375">
        <f>L16-Z16</f>
        <v>0</v>
      </c>
      <c r="AC16" s="343">
        <f t="shared" si="8"/>
        <v>118</v>
      </c>
      <c r="AD16" s="329">
        <f t="shared" si="9"/>
        <v>121</v>
      </c>
      <c r="AE16" s="343">
        <f t="shared" si="10"/>
        <v>121</v>
      </c>
      <c r="AF16" s="329">
        <f t="shared" si="11"/>
        <v>120</v>
      </c>
      <c r="AG16" s="342">
        <f t="shared" si="12"/>
        <v>-8.3333333333333329E-2</v>
      </c>
    </row>
    <row r="17" spans="2:42">
      <c r="B17" s="431" t="s">
        <v>1077</v>
      </c>
      <c r="C17" s="337">
        <v>105</v>
      </c>
      <c r="D17" s="337">
        <v>3</v>
      </c>
      <c r="E17" s="346">
        <v>0</v>
      </c>
      <c r="G17" s="355" t="s">
        <v>904</v>
      </c>
      <c r="H17" s="337">
        <v>7</v>
      </c>
      <c r="I17" s="329">
        <f t="shared" si="0"/>
        <v>112</v>
      </c>
      <c r="L17" s="409">
        <v>35739</v>
      </c>
      <c r="N17" s="332">
        <f t="shared" si="14"/>
        <v>35739</v>
      </c>
      <c r="O17" s="332">
        <f t="shared" si="1"/>
        <v>425.46428571428572</v>
      </c>
      <c r="P17" s="332">
        <f t="shared" si="2"/>
        <v>0</v>
      </c>
      <c r="Q17" s="329">
        <f t="shared" si="3"/>
        <v>0</v>
      </c>
      <c r="R17" s="332">
        <f t="shared" si="4"/>
        <v>0</v>
      </c>
      <c r="S17" s="427">
        <v>0</v>
      </c>
      <c r="T17" s="332">
        <f t="shared" si="13"/>
        <v>0</v>
      </c>
      <c r="V17" s="332">
        <f t="shared" si="15"/>
        <v>35739</v>
      </c>
      <c r="W17" s="332">
        <f t="shared" si="5"/>
        <v>0</v>
      </c>
      <c r="X17" s="344">
        <v>1</v>
      </c>
      <c r="Y17" s="332">
        <f t="shared" si="6"/>
        <v>0</v>
      </c>
      <c r="Z17" s="332">
        <f t="shared" si="7"/>
        <v>0</v>
      </c>
      <c r="AA17" s="375">
        <f t="shared" si="16"/>
        <v>0</v>
      </c>
      <c r="AB17" s="375">
        <v>0</v>
      </c>
      <c r="AC17" s="343">
        <f t="shared" si="8"/>
        <v>105.16666666666667</v>
      </c>
      <c r="AD17" s="329">
        <f t="shared" si="9"/>
        <v>121</v>
      </c>
      <c r="AE17" s="343">
        <f t="shared" si="10"/>
        <v>112.16666666666667</v>
      </c>
      <c r="AF17" s="329">
        <f t="shared" si="11"/>
        <v>120</v>
      </c>
      <c r="AG17" s="342">
        <f t="shared" si="12"/>
        <v>-8.3333333333333329E-2</v>
      </c>
    </row>
    <row r="18" spans="2:42">
      <c r="B18" s="413" t="s">
        <v>1152</v>
      </c>
      <c r="C18" s="337">
        <v>118</v>
      </c>
      <c r="D18" s="337">
        <v>1</v>
      </c>
      <c r="E18" s="346">
        <v>0</v>
      </c>
      <c r="G18" s="355" t="s">
        <v>904</v>
      </c>
      <c r="H18" s="337">
        <v>3</v>
      </c>
      <c r="I18" s="329">
        <f t="shared" si="0"/>
        <v>121</v>
      </c>
      <c r="L18" s="409">
        <v>11793.870000000003</v>
      </c>
      <c r="N18" s="332">
        <f t="shared" si="14"/>
        <v>11793.870000000003</v>
      </c>
      <c r="O18" s="332">
        <f t="shared" si="1"/>
        <v>327.60750000000007</v>
      </c>
      <c r="P18" s="332">
        <f t="shared" si="2"/>
        <v>3931.2900000000009</v>
      </c>
      <c r="Q18" s="329">
        <f t="shared" si="3"/>
        <v>0</v>
      </c>
      <c r="R18" s="332">
        <f t="shared" si="4"/>
        <v>3931.2900000000009</v>
      </c>
      <c r="S18" s="427">
        <v>0</v>
      </c>
      <c r="T18" s="332">
        <f t="shared" si="13"/>
        <v>0</v>
      </c>
      <c r="V18" s="332">
        <f t="shared" si="15"/>
        <v>7862.5800000000017</v>
      </c>
      <c r="W18" s="332">
        <f t="shared" si="5"/>
        <v>0</v>
      </c>
      <c r="X18" s="344">
        <v>1</v>
      </c>
      <c r="Y18" s="332">
        <f t="shared" si="6"/>
        <v>0</v>
      </c>
      <c r="Z18" s="332">
        <f t="shared" si="7"/>
        <v>0</v>
      </c>
      <c r="AA18" s="375">
        <f t="shared" si="16"/>
        <v>0</v>
      </c>
      <c r="AB18" s="375">
        <v>0</v>
      </c>
      <c r="AC18" s="343">
        <f t="shared" si="8"/>
        <v>118</v>
      </c>
      <c r="AD18" s="329">
        <f t="shared" si="9"/>
        <v>121</v>
      </c>
      <c r="AE18" s="343">
        <f t="shared" si="10"/>
        <v>121</v>
      </c>
      <c r="AF18" s="329">
        <f t="shared" si="11"/>
        <v>120</v>
      </c>
      <c r="AG18" s="342">
        <f t="shared" si="12"/>
        <v>-8.3333333333333329E-2</v>
      </c>
    </row>
    <row r="19" spans="2:42">
      <c r="B19" s="337" t="s">
        <v>1076</v>
      </c>
      <c r="C19" s="337">
        <v>105</v>
      </c>
      <c r="D19" s="337">
        <v>2</v>
      </c>
      <c r="E19" s="346">
        <v>0</v>
      </c>
      <c r="G19" s="355" t="s">
        <v>904</v>
      </c>
      <c r="H19" s="337">
        <v>5</v>
      </c>
      <c r="I19" s="329">
        <f t="shared" si="0"/>
        <v>110</v>
      </c>
      <c r="L19" s="409">
        <v>25867</v>
      </c>
      <c r="N19" s="332">
        <f t="shared" si="14"/>
        <v>25867</v>
      </c>
      <c r="O19" s="332">
        <f t="shared" si="1"/>
        <v>431.11666666666662</v>
      </c>
      <c r="P19" s="332">
        <f t="shared" si="2"/>
        <v>0</v>
      </c>
      <c r="Q19" s="329">
        <f t="shared" si="3"/>
        <v>0</v>
      </c>
      <c r="R19" s="332">
        <f t="shared" si="4"/>
        <v>0</v>
      </c>
      <c r="S19" s="344">
        <v>1</v>
      </c>
      <c r="T19" s="332">
        <f t="shared" si="13"/>
        <v>0</v>
      </c>
      <c r="V19" s="332">
        <f t="shared" si="15"/>
        <v>25867</v>
      </c>
      <c r="W19" s="332">
        <f t="shared" si="5"/>
        <v>25867</v>
      </c>
      <c r="X19" s="344">
        <v>1</v>
      </c>
      <c r="Y19" s="332">
        <f t="shared" si="6"/>
        <v>25867</v>
      </c>
      <c r="Z19" s="332">
        <f t="shared" si="7"/>
        <v>25867</v>
      </c>
      <c r="AA19" s="375">
        <f t="shared" si="16"/>
        <v>0</v>
      </c>
      <c r="AB19" s="375">
        <v>0</v>
      </c>
      <c r="AC19" s="343">
        <f t="shared" si="8"/>
        <v>105.08333333333333</v>
      </c>
      <c r="AD19" s="329">
        <f t="shared" si="9"/>
        <v>121</v>
      </c>
      <c r="AE19" s="343">
        <f t="shared" si="10"/>
        <v>110.08333333333333</v>
      </c>
      <c r="AF19" s="329">
        <f t="shared" si="11"/>
        <v>120</v>
      </c>
      <c r="AG19" s="342">
        <f t="shared" si="12"/>
        <v>-8.3333333333333329E-2</v>
      </c>
    </row>
    <row r="20" spans="2:42">
      <c r="B20" s="413" t="s">
        <v>1153</v>
      </c>
      <c r="C20" s="337">
        <v>118</v>
      </c>
      <c r="D20" s="337">
        <v>1</v>
      </c>
      <c r="E20" s="346">
        <v>0</v>
      </c>
      <c r="G20" s="355" t="s">
        <v>904</v>
      </c>
      <c r="H20" s="337">
        <v>3</v>
      </c>
      <c r="I20" s="329">
        <f t="shared" si="0"/>
        <v>121</v>
      </c>
      <c r="L20" s="409">
        <v>8536.11</v>
      </c>
      <c r="N20" s="332">
        <f t="shared" si="14"/>
        <v>8536.11</v>
      </c>
      <c r="O20" s="332">
        <f t="shared" si="1"/>
        <v>237.1141666666667</v>
      </c>
      <c r="P20" s="332">
        <f t="shared" si="2"/>
        <v>2845.3700000000003</v>
      </c>
      <c r="Q20" s="329">
        <f t="shared" si="3"/>
        <v>0</v>
      </c>
      <c r="R20" s="332">
        <f t="shared" si="4"/>
        <v>2845.3700000000003</v>
      </c>
      <c r="S20" s="344">
        <v>1</v>
      </c>
      <c r="T20" s="332">
        <f t="shared" si="13"/>
        <v>2845.3700000000003</v>
      </c>
      <c r="V20" s="332">
        <f t="shared" si="15"/>
        <v>5690.74</v>
      </c>
      <c r="W20" s="332">
        <f t="shared" si="5"/>
        <v>5690.74</v>
      </c>
      <c r="X20" s="344">
        <v>1</v>
      </c>
      <c r="Y20" s="332">
        <f t="shared" si="6"/>
        <v>5690.74</v>
      </c>
      <c r="Z20" s="332">
        <f t="shared" si="7"/>
        <v>8536.11</v>
      </c>
      <c r="AA20" s="375">
        <f t="shared" si="16"/>
        <v>1422.6850000000004</v>
      </c>
      <c r="AB20" s="375">
        <f>L20-Z20</f>
        <v>0</v>
      </c>
      <c r="AC20" s="343">
        <f t="shared" si="8"/>
        <v>118</v>
      </c>
      <c r="AD20" s="329">
        <f t="shared" si="9"/>
        <v>121</v>
      </c>
      <c r="AE20" s="343">
        <f t="shared" si="10"/>
        <v>121</v>
      </c>
      <c r="AF20" s="329">
        <f t="shared" si="11"/>
        <v>120</v>
      </c>
      <c r="AG20" s="342">
        <f t="shared" si="12"/>
        <v>-8.3333333333333329E-2</v>
      </c>
    </row>
    <row r="21" spans="2:42">
      <c r="B21" s="337" t="s">
        <v>1075</v>
      </c>
      <c r="C21" s="337">
        <v>108</v>
      </c>
      <c r="D21" s="337">
        <v>1</v>
      </c>
      <c r="E21" s="346">
        <v>0</v>
      </c>
      <c r="G21" s="355" t="s">
        <v>904</v>
      </c>
      <c r="H21" s="337">
        <v>7</v>
      </c>
      <c r="I21" s="329">
        <f t="shared" si="0"/>
        <v>115</v>
      </c>
      <c r="L21" s="409">
        <v>5000</v>
      </c>
      <c r="N21" s="332">
        <f t="shared" si="14"/>
        <v>5000</v>
      </c>
      <c r="O21" s="332">
        <f t="shared" si="1"/>
        <v>59.523809523809526</v>
      </c>
      <c r="P21" s="332">
        <f t="shared" si="2"/>
        <v>0</v>
      </c>
      <c r="Q21" s="329">
        <f t="shared" si="3"/>
        <v>0</v>
      </c>
      <c r="R21" s="332">
        <f t="shared" si="4"/>
        <v>0</v>
      </c>
      <c r="S21" s="344">
        <v>1</v>
      </c>
      <c r="T21" s="332">
        <f t="shared" si="13"/>
        <v>0</v>
      </c>
      <c r="V21" s="332">
        <f t="shared" si="15"/>
        <v>5000</v>
      </c>
      <c r="W21" s="332">
        <f t="shared" si="5"/>
        <v>5000</v>
      </c>
      <c r="X21" s="344">
        <v>1</v>
      </c>
      <c r="Y21" s="332">
        <f t="shared" si="6"/>
        <v>5000</v>
      </c>
      <c r="Z21" s="332">
        <f t="shared" si="7"/>
        <v>5000</v>
      </c>
      <c r="AA21" s="375">
        <f t="shared" si="16"/>
        <v>0</v>
      </c>
      <c r="AB21" s="375">
        <v>0</v>
      </c>
      <c r="AC21" s="343">
        <f t="shared" si="8"/>
        <v>108</v>
      </c>
      <c r="AD21" s="329">
        <f t="shared" si="9"/>
        <v>121</v>
      </c>
      <c r="AE21" s="343">
        <f t="shared" si="10"/>
        <v>115</v>
      </c>
      <c r="AF21" s="329">
        <f t="shared" si="11"/>
        <v>120</v>
      </c>
      <c r="AG21" s="342">
        <f t="shared" si="12"/>
        <v>-8.3333333333333329E-2</v>
      </c>
    </row>
    <row r="22" spans="2:42">
      <c r="B22" s="413" t="s">
        <v>1154</v>
      </c>
      <c r="C22" s="337">
        <v>118</v>
      </c>
      <c r="D22" s="337">
        <v>1</v>
      </c>
      <c r="E22" s="346">
        <v>0</v>
      </c>
      <c r="G22" s="355" t="s">
        <v>904</v>
      </c>
      <c r="H22" s="337">
        <v>3</v>
      </c>
      <c r="I22" s="329">
        <f t="shared" si="0"/>
        <v>121</v>
      </c>
      <c r="L22" s="409">
        <v>1000</v>
      </c>
      <c r="N22" s="332">
        <f t="shared" si="14"/>
        <v>1000</v>
      </c>
      <c r="O22" s="332">
        <f t="shared" si="1"/>
        <v>27.777777777777775</v>
      </c>
      <c r="P22" s="332">
        <f t="shared" si="2"/>
        <v>333.33333333333331</v>
      </c>
      <c r="Q22" s="329">
        <f t="shared" si="3"/>
        <v>0</v>
      </c>
      <c r="R22" s="332">
        <f t="shared" si="4"/>
        <v>333.33333333333331</v>
      </c>
      <c r="S22" s="344">
        <v>1</v>
      </c>
      <c r="T22" s="332">
        <f t="shared" si="13"/>
        <v>333.33333333333331</v>
      </c>
      <c r="V22" s="332">
        <f t="shared" si="15"/>
        <v>666.66666666666674</v>
      </c>
      <c r="W22" s="332">
        <f t="shared" si="5"/>
        <v>666.66666666666674</v>
      </c>
      <c r="X22" s="344">
        <v>1</v>
      </c>
      <c r="Y22" s="332">
        <f t="shared" si="6"/>
        <v>666.66666666666674</v>
      </c>
      <c r="Z22" s="332">
        <f t="shared" si="7"/>
        <v>1000</v>
      </c>
      <c r="AA22" s="375">
        <f t="shared" si="16"/>
        <v>166.66666666666663</v>
      </c>
      <c r="AB22" s="375">
        <f>L22-Z22</f>
        <v>0</v>
      </c>
      <c r="AC22" s="343">
        <f t="shared" si="8"/>
        <v>118</v>
      </c>
      <c r="AD22" s="329">
        <f t="shared" si="9"/>
        <v>121</v>
      </c>
      <c r="AE22" s="343">
        <f t="shared" si="10"/>
        <v>121</v>
      </c>
      <c r="AF22" s="329">
        <f t="shared" si="11"/>
        <v>120</v>
      </c>
      <c r="AG22" s="342">
        <f t="shared" si="12"/>
        <v>-8.3333333333333329E-2</v>
      </c>
    </row>
    <row r="23" spans="2:42">
      <c r="B23" s="337" t="s">
        <v>1074</v>
      </c>
      <c r="C23" s="337">
        <v>108</v>
      </c>
      <c r="D23" s="337">
        <v>1</v>
      </c>
      <c r="E23" s="346">
        <v>0</v>
      </c>
      <c r="G23" s="355" t="s">
        <v>904</v>
      </c>
      <c r="H23" s="337">
        <v>7</v>
      </c>
      <c r="I23" s="329">
        <f t="shared" si="0"/>
        <v>115</v>
      </c>
      <c r="L23" s="409">
        <v>3000</v>
      </c>
      <c r="N23" s="332">
        <f t="shared" si="14"/>
        <v>3000</v>
      </c>
      <c r="O23" s="332">
        <f t="shared" si="1"/>
        <v>35.714285714285715</v>
      </c>
      <c r="P23" s="332">
        <f t="shared" si="2"/>
        <v>0</v>
      </c>
      <c r="Q23" s="329">
        <f t="shared" si="3"/>
        <v>0</v>
      </c>
      <c r="R23" s="332">
        <f t="shared" si="4"/>
        <v>0</v>
      </c>
      <c r="S23" s="344">
        <v>1</v>
      </c>
      <c r="T23" s="332">
        <f t="shared" si="13"/>
        <v>0</v>
      </c>
      <c r="V23" s="332">
        <f t="shared" si="15"/>
        <v>3000</v>
      </c>
      <c r="W23" s="332">
        <f t="shared" si="5"/>
        <v>3000</v>
      </c>
      <c r="X23" s="344">
        <v>1</v>
      </c>
      <c r="Y23" s="332">
        <f t="shared" si="6"/>
        <v>3000</v>
      </c>
      <c r="Z23" s="332">
        <f t="shared" si="7"/>
        <v>3000</v>
      </c>
      <c r="AA23" s="375">
        <f t="shared" si="16"/>
        <v>0</v>
      </c>
      <c r="AB23" s="375">
        <v>0</v>
      </c>
      <c r="AC23" s="343">
        <f t="shared" si="8"/>
        <v>108</v>
      </c>
      <c r="AD23" s="329">
        <f t="shared" si="9"/>
        <v>121</v>
      </c>
      <c r="AE23" s="343">
        <f t="shared" si="10"/>
        <v>115</v>
      </c>
      <c r="AF23" s="329">
        <f t="shared" si="11"/>
        <v>120</v>
      </c>
      <c r="AG23" s="342">
        <f t="shared" si="12"/>
        <v>-8.3333333333333329E-2</v>
      </c>
    </row>
    <row r="24" spans="2:42">
      <c r="B24" s="413" t="s">
        <v>1155</v>
      </c>
      <c r="C24" s="337">
        <v>118</v>
      </c>
      <c r="D24" s="337">
        <v>1</v>
      </c>
      <c r="E24" s="346">
        <v>0</v>
      </c>
      <c r="G24" s="355" t="s">
        <v>904</v>
      </c>
      <c r="H24" s="337">
        <v>3</v>
      </c>
      <c r="I24" s="329">
        <f t="shared" si="0"/>
        <v>121</v>
      </c>
      <c r="L24" s="409">
        <v>600</v>
      </c>
      <c r="N24" s="332">
        <f t="shared" si="14"/>
        <v>600</v>
      </c>
      <c r="O24" s="332">
        <f t="shared" si="1"/>
        <v>16.666666666666668</v>
      </c>
      <c r="P24" s="332">
        <f t="shared" si="2"/>
        <v>200</v>
      </c>
      <c r="Q24" s="329">
        <f t="shared" si="3"/>
        <v>0</v>
      </c>
      <c r="R24" s="332">
        <f t="shared" si="4"/>
        <v>200</v>
      </c>
      <c r="S24" s="344">
        <v>1</v>
      </c>
      <c r="T24" s="332">
        <f t="shared" si="13"/>
        <v>200</v>
      </c>
      <c r="V24" s="332">
        <f t="shared" si="15"/>
        <v>400</v>
      </c>
      <c r="W24" s="332">
        <f t="shared" si="5"/>
        <v>400</v>
      </c>
      <c r="X24" s="344">
        <v>1</v>
      </c>
      <c r="Y24" s="332">
        <f t="shared" si="6"/>
        <v>400</v>
      </c>
      <c r="Z24" s="332">
        <f t="shared" si="7"/>
        <v>600</v>
      </c>
      <c r="AA24" s="375">
        <f t="shared" si="16"/>
        <v>100</v>
      </c>
      <c r="AB24" s="375">
        <f>L24-Z24</f>
        <v>0</v>
      </c>
      <c r="AC24" s="343">
        <f t="shared" si="8"/>
        <v>118</v>
      </c>
      <c r="AD24" s="329">
        <f t="shared" si="9"/>
        <v>121</v>
      </c>
      <c r="AE24" s="343">
        <f t="shared" si="10"/>
        <v>121</v>
      </c>
      <c r="AF24" s="329">
        <f t="shared" si="11"/>
        <v>120</v>
      </c>
      <c r="AG24" s="342">
        <f t="shared" si="12"/>
        <v>-8.3333333333333329E-2</v>
      </c>
    </row>
    <row r="25" spans="2:42">
      <c r="B25" s="337" t="s">
        <v>1073</v>
      </c>
      <c r="C25" s="337">
        <v>109</v>
      </c>
      <c r="D25" s="337">
        <v>3</v>
      </c>
      <c r="E25" s="346">
        <v>0</v>
      </c>
      <c r="G25" s="355" t="s">
        <v>904</v>
      </c>
      <c r="H25" s="337">
        <v>7</v>
      </c>
      <c r="I25" s="329">
        <f t="shared" si="0"/>
        <v>116</v>
      </c>
      <c r="L25" s="409">
        <v>6787</v>
      </c>
      <c r="N25" s="332">
        <f t="shared" si="14"/>
        <v>6787</v>
      </c>
      <c r="O25" s="332">
        <f t="shared" si="1"/>
        <v>80.797619047619051</v>
      </c>
      <c r="P25" s="332">
        <f t="shared" si="2"/>
        <v>0</v>
      </c>
      <c r="Q25" s="329">
        <f t="shared" si="3"/>
        <v>0</v>
      </c>
      <c r="R25" s="332">
        <f t="shared" si="4"/>
        <v>0</v>
      </c>
      <c r="S25" s="344">
        <v>1</v>
      </c>
      <c r="T25" s="332">
        <f t="shared" si="13"/>
        <v>0</v>
      </c>
      <c r="V25" s="332">
        <f t="shared" si="15"/>
        <v>6787</v>
      </c>
      <c r="W25" s="332">
        <f t="shared" si="5"/>
        <v>6787</v>
      </c>
      <c r="X25" s="344">
        <v>1</v>
      </c>
      <c r="Y25" s="332">
        <f t="shared" si="6"/>
        <v>6787</v>
      </c>
      <c r="Z25" s="332">
        <f t="shared" si="7"/>
        <v>6787</v>
      </c>
      <c r="AA25" s="375">
        <f t="shared" si="16"/>
        <v>0</v>
      </c>
      <c r="AB25" s="375">
        <v>0</v>
      </c>
      <c r="AC25" s="343">
        <f t="shared" si="8"/>
        <v>109.16666666666667</v>
      </c>
      <c r="AD25" s="329">
        <f t="shared" si="9"/>
        <v>121</v>
      </c>
      <c r="AE25" s="343">
        <f t="shared" si="10"/>
        <v>116.16666666666667</v>
      </c>
      <c r="AF25" s="329">
        <f t="shared" si="11"/>
        <v>120</v>
      </c>
      <c r="AG25" s="342">
        <f t="shared" si="12"/>
        <v>-8.3333333333333329E-2</v>
      </c>
    </row>
    <row r="26" spans="2:42">
      <c r="B26" s="413" t="s">
        <v>1156</v>
      </c>
      <c r="C26" s="337">
        <v>118</v>
      </c>
      <c r="D26" s="337">
        <v>1</v>
      </c>
      <c r="E26" s="346">
        <v>0</v>
      </c>
      <c r="G26" s="355" t="s">
        <v>904</v>
      </c>
      <c r="H26" s="337">
        <v>3</v>
      </c>
      <c r="I26" s="329">
        <f t="shared" si="0"/>
        <v>121</v>
      </c>
      <c r="L26" s="409">
        <v>1357.3999999999996</v>
      </c>
      <c r="N26" s="332">
        <f t="shared" si="14"/>
        <v>1357.3999999999996</v>
      </c>
      <c r="O26" s="332">
        <f t="shared" si="1"/>
        <v>37.705555555555542</v>
      </c>
      <c r="P26" s="332">
        <f t="shared" si="2"/>
        <v>452.46666666666647</v>
      </c>
      <c r="Q26" s="329">
        <f t="shared" si="3"/>
        <v>0</v>
      </c>
      <c r="R26" s="332">
        <f t="shared" si="4"/>
        <v>452.46666666666647</v>
      </c>
      <c r="S26" s="344">
        <v>1</v>
      </c>
      <c r="T26" s="332">
        <f t="shared" si="13"/>
        <v>452.46666666666647</v>
      </c>
      <c r="V26" s="332">
        <f t="shared" si="15"/>
        <v>904.93333333333317</v>
      </c>
      <c r="W26" s="332">
        <f t="shared" si="5"/>
        <v>904.93333333333317</v>
      </c>
      <c r="X26" s="344">
        <v>1</v>
      </c>
      <c r="Y26" s="332">
        <f t="shared" si="6"/>
        <v>904.93333333333317</v>
      </c>
      <c r="Z26" s="332">
        <f t="shared" si="7"/>
        <v>1357.3999999999996</v>
      </c>
      <c r="AA26" s="375">
        <f t="shared" si="16"/>
        <v>226.23333333333323</v>
      </c>
      <c r="AB26" s="375">
        <f>L26-Z26</f>
        <v>0</v>
      </c>
      <c r="AC26" s="343">
        <f t="shared" si="8"/>
        <v>118</v>
      </c>
      <c r="AD26" s="329">
        <f t="shared" si="9"/>
        <v>121</v>
      </c>
      <c r="AE26" s="343">
        <f t="shared" si="10"/>
        <v>121</v>
      </c>
      <c r="AF26" s="329">
        <f t="shared" si="11"/>
        <v>120</v>
      </c>
      <c r="AG26" s="342">
        <f t="shared" si="12"/>
        <v>-8.3333333333333329E-2</v>
      </c>
    </row>
    <row r="27" spans="2:42">
      <c r="B27" s="337" t="s">
        <v>1072</v>
      </c>
      <c r="C27" s="337">
        <v>109</v>
      </c>
      <c r="D27" s="337">
        <v>8</v>
      </c>
      <c r="E27" s="346">
        <v>0</v>
      </c>
      <c r="G27" s="355" t="s">
        <v>904</v>
      </c>
      <c r="H27" s="337">
        <v>5</v>
      </c>
      <c r="I27" s="329">
        <f t="shared" si="0"/>
        <v>114</v>
      </c>
      <c r="L27" s="409">
        <v>1728</v>
      </c>
      <c r="N27" s="332">
        <f t="shared" si="14"/>
        <v>1728</v>
      </c>
      <c r="O27" s="332">
        <f t="shared" si="1"/>
        <v>28.8</v>
      </c>
      <c r="P27" s="332">
        <f t="shared" si="2"/>
        <v>0</v>
      </c>
      <c r="Q27" s="329">
        <f t="shared" si="3"/>
        <v>0</v>
      </c>
      <c r="R27" s="332">
        <f t="shared" si="4"/>
        <v>0</v>
      </c>
      <c r="S27" s="344">
        <v>1</v>
      </c>
      <c r="T27" s="332">
        <f t="shared" si="13"/>
        <v>0</v>
      </c>
      <c r="V27" s="332">
        <f t="shared" si="15"/>
        <v>1728</v>
      </c>
      <c r="W27" s="332">
        <f t="shared" si="5"/>
        <v>1728</v>
      </c>
      <c r="X27" s="344">
        <v>1</v>
      </c>
      <c r="Y27" s="332">
        <f t="shared" si="6"/>
        <v>1728</v>
      </c>
      <c r="Z27" s="332">
        <f t="shared" si="7"/>
        <v>1728</v>
      </c>
      <c r="AA27" s="375">
        <f t="shared" si="16"/>
        <v>0</v>
      </c>
      <c r="AB27" s="375">
        <v>0</v>
      </c>
      <c r="AC27" s="343">
        <f t="shared" si="8"/>
        <v>109.58333333333333</v>
      </c>
      <c r="AD27" s="329">
        <f t="shared" si="9"/>
        <v>121</v>
      </c>
      <c r="AE27" s="343">
        <f t="shared" si="10"/>
        <v>114.58333333333333</v>
      </c>
      <c r="AF27" s="329">
        <f t="shared" si="11"/>
        <v>120</v>
      </c>
      <c r="AG27" s="342">
        <f t="shared" si="12"/>
        <v>-8.3333333333333329E-2</v>
      </c>
    </row>
    <row r="28" spans="2:42">
      <c r="B28" s="413" t="s">
        <v>1151</v>
      </c>
      <c r="C28" s="337">
        <v>118</v>
      </c>
      <c r="D28" s="337">
        <v>1</v>
      </c>
      <c r="E28" s="346">
        <v>0</v>
      </c>
      <c r="G28" s="355" t="s">
        <v>904</v>
      </c>
      <c r="H28" s="337">
        <v>3</v>
      </c>
      <c r="I28" s="329">
        <f t="shared" si="0"/>
        <v>121</v>
      </c>
      <c r="L28" s="409">
        <v>570.24</v>
      </c>
      <c r="N28" s="332">
        <f t="shared" si="14"/>
        <v>570.24</v>
      </c>
      <c r="O28" s="332">
        <f t="shared" si="1"/>
        <v>15.840000000000002</v>
      </c>
      <c r="P28" s="332">
        <f t="shared" si="2"/>
        <v>190.08</v>
      </c>
      <c r="Q28" s="329">
        <f t="shared" si="3"/>
        <v>0</v>
      </c>
      <c r="R28" s="332">
        <f t="shared" si="4"/>
        <v>190.08</v>
      </c>
      <c r="S28" s="344">
        <v>1</v>
      </c>
      <c r="T28" s="332">
        <f t="shared" si="13"/>
        <v>190.08</v>
      </c>
      <c r="V28" s="332">
        <f t="shared" si="15"/>
        <v>380.15999999999997</v>
      </c>
      <c r="W28" s="332">
        <f t="shared" si="5"/>
        <v>380.15999999999997</v>
      </c>
      <c r="X28" s="344">
        <v>1</v>
      </c>
      <c r="Y28" s="332">
        <f t="shared" si="6"/>
        <v>380.15999999999997</v>
      </c>
      <c r="Z28" s="332">
        <f t="shared" si="7"/>
        <v>570.24</v>
      </c>
      <c r="AA28" s="375">
        <f t="shared" si="16"/>
        <v>95.04000000000002</v>
      </c>
      <c r="AB28" s="375">
        <f>L28-Z28</f>
        <v>0</v>
      </c>
      <c r="AC28" s="343">
        <f t="shared" si="8"/>
        <v>118</v>
      </c>
      <c r="AD28" s="329">
        <f t="shared" si="9"/>
        <v>121</v>
      </c>
      <c r="AE28" s="343">
        <f t="shared" si="10"/>
        <v>121</v>
      </c>
      <c r="AF28" s="329">
        <f t="shared" si="11"/>
        <v>120</v>
      </c>
      <c r="AG28" s="342">
        <f t="shared" si="12"/>
        <v>-8.3333333333333329E-2</v>
      </c>
    </row>
    <row r="29" spans="2:42">
      <c r="B29" s="337" t="s">
        <v>1071</v>
      </c>
      <c r="C29" s="337">
        <v>109</v>
      </c>
      <c r="D29" s="337">
        <v>8</v>
      </c>
      <c r="E29" s="346">
        <v>0</v>
      </c>
      <c r="G29" s="355" t="s">
        <v>904</v>
      </c>
      <c r="H29" s="337">
        <v>7</v>
      </c>
      <c r="I29" s="329">
        <f t="shared" si="0"/>
        <v>116</v>
      </c>
      <c r="L29" s="409">
        <v>12153</v>
      </c>
      <c r="N29" s="332">
        <f t="shared" si="14"/>
        <v>12153</v>
      </c>
      <c r="O29" s="332">
        <f t="shared" si="1"/>
        <v>144.67857142857142</v>
      </c>
      <c r="P29" s="332">
        <f t="shared" si="2"/>
        <v>0</v>
      </c>
      <c r="Q29" s="329">
        <f t="shared" si="3"/>
        <v>0</v>
      </c>
      <c r="R29" s="332">
        <f t="shared" si="4"/>
        <v>0</v>
      </c>
      <c r="S29" s="427">
        <v>0</v>
      </c>
      <c r="T29" s="332">
        <f t="shared" si="13"/>
        <v>0</v>
      </c>
      <c r="V29" s="332">
        <f t="shared" si="15"/>
        <v>12153</v>
      </c>
      <c r="W29" s="332">
        <f t="shared" si="5"/>
        <v>0</v>
      </c>
      <c r="X29" s="344">
        <v>1</v>
      </c>
      <c r="Y29" s="332">
        <f t="shared" si="6"/>
        <v>0</v>
      </c>
      <c r="Z29" s="332">
        <f t="shared" si="7"/>
        <v>0</v>
      </c>
      <c r="AA29" s="375">
        <f t="shared" si="16"/>
        <v>0</v>
      </c>
      <c r="AB29" s="375">
        <v>0</v>
      </c>
      <c r="AC29" s="343">
        <f t="shared" si="8"/>
        <v>109.58333333333333</v>
      </c>
      <c r="AD29" s="329">
        <f t="shared" si="9"/>
        <v>121</v>
      </c>
      <c r="AE29" s="343">
        <f t="shared" si="10"/>
        <v>116.58333333333333</v>
      </c>
      <c r="AF29" s="329">
        <f t="shared" si="11"/>
        <v>120</v>
      </c>
      <c r="AG29" s="342">
        <f t="shared" si="12"/>
        <v>-8.3333333333333329E-2</v>
      </c>
    </row>
    <row r="30" spans="2:42">
      <c r="B30" s="413" t="s">
        <v>1157</v>
      </c>
      <c r="C30" s="337">
        <v>118</v>
      </c>
      <c r="D30" s="337">
        <v>1</v>
      </c>
      <c r="E30" s="346">
        <v>0</v>
      </c>
      <c r="G30" s="355" t="s">
        <v>904</v>
      </c>
      <c r="H30" s="337">
        <v>3</v>
      </c>
      <c r="I30" s="329">
        <f t="shared" si="0"/>
        <v>121</v>
      </c>
      <c r="L30" s="409">
        <v>2430.6000000000004</v>
      </c>
      <c r="N30" s="332">
        <f t="shared" si="14"/>
        <v>2430.6000000000004</v>
      </c>
      <c r="O30" s="332">
        <f t="shared" si="1"/>
        <v>67.51666666666668</v>
      </c>
      <c r="P30" s="332">
        <f t="shared" si="2"/>
        <v>810.20000000000016</v>
      </c>
      <c r="Q30" s="329">
        <f t="shared" si="3"/>
        <v>0</v>
      </c>
      <c r="R30" s="332">
        <f t="shared" si="4"/>
        <v>810.20000000000016</v>
      </c>
      <c r="S30" s="427">
        <v>0</v>
      </c>
      <c r="T30" s="332">
        <f t="shared" si="13"/>
        <v>0</v>
      </c>
      <c r="V30" s="332">
        <f t="shared" si="15"/>
        <v>1620.4</v>
      </c>
      <c r="W30" s="332">
        <f t="shared" si="5"/>
        <v>0</v>
      </c>
      <c r="X30" s="344">
        <v>1</v>
      </c>
      <c r="Y30" s="332">
        <f t="shared" si="6"/>
        <v>0</v>
      </c>
      <c r="Z30" s="332">
        <f t="shared" si="7"/>
        <v>0</v>
      </c>
      <c r="AA30" s="375">
        <f t="shared" si="16"/>
        <v>0</v>
      </c>
      <c r="AB30" s="375">
        <v>0</v>
      </c>
      <c r="AC30" s="343">
        <f t="shared" si="8"/>
        <v>118</v>
      </c>
      <c r="AD30" s="329">
        <f t="shared" si="9"/>
        <v>121</v>
      </c>
      <c r="AE30" s="343">
        <f t="shared" si="10"/>
        <v>121</v>
      </c>
      <c r="AF30" s="329">
        <f t="shared" si="11"/>
        <v>120</v>
      </c>
      <c r="AG30" s="342">
        <f t="shared" si="12"/>
        <v>-8.3333333333333329E-2</v>
      </c>
    </row>
    <row r="31" spans="2:42">
      <c r="B31" s="416" t="s">
        <v>1070</v>
      </c>
      <c r="C31" s="337">
        <v>111</v>
      </c>
      <c r="D31" s="337">
        <v>12</v>
      </c>
      <c r="E31" s="346">
        <v>0</v>
      </c>
      <c r="G31" s="355" t="s">
        <v>904</v>
      </c>
      <c r="H31" s="337">
        <v>7</v>
      </c>
      <c r="I31" s="329">
        <f t="shared" si="0"/>
        <v>118</v>
      </c>
      <c r="J31" s="329">
        <v>120</v>
      </c>
      <c r="K31" s="329">
        <v>11</v>
      </c>
      <c r="L31" s="409">
        <v>153840</v>
      </c>
      <c r="M31" s="364">
        <v>44165</v>
      </c>
      <c r="N31" s="332">
        <f t="shared" ref="N31:N49" si="17">L31-L31*E31</f>
        <v>153840</v>
      </c>
      <c r="O31" s="332">
        <f t="shared" si="1"/>
        <v>1831.4285714285716</v>
      </c>
      <c r="P31" s="419">
        <v>0</v>
      </c>
      <c r="Q31" s="329">
        <f t="shared" si="3"/>
        <v>0</v>
      </c>
      <c r="R31" s="332">
        <f t="shared" si="4"/>
        <v>0</v>
      </c>
      <c r="S31" s="344">
        <v>1</v>
      </c>
      <c r="T31" s="332">
        <f t="shared" ref="T31:T49" si="18">S31*SUM(P31:Q31)</f>
        <v>0</v>
      </c>
      <c r="V31" s="332">
        <f t="shared" ref="V31:V49" si="19">IF(AC31&gt;AD31,0,IF(AE31&lt;AF31,N31,IF(AND(AE31&gt;=AF31,AE31&lt;=AD31),(N31-R31),IF(AND(AF31&lt;=AC31,AD31&gt;=AC31),0,IF(AE31&gt;AD31,((AF31-AC31)*12)*O31,0)))))</f>
        <v>153840</v>
      </c>
      <c r="W31" s="332">
        <f t="shared" si="5"/>
        <v>153840</v>
      </c>
      <c r="X31" s="344">
        <v>1</v>
      </c>
      <c r="Y31" s="332">
        <f t="shared" si="6"/>
        <v>153840</v>
      </c>
      <c r="Z31" s="332">
        <f t="shared" si="7"/>
        <v>0</v>
      </c>
      <c r="AA31" s="332">
        <f t="shared" ref="AA31:AA49" si="20">IF(M31&gt;0,(L31-Y31)/2,IF(AC31&gt;=AF31,(((L31*S31)*X31)-Z31)/2,((((L31*S31)*X31)-Y31)+(((L31*S31)*X31)-Z31))/2))</f>
        <v>0</v>
      </c>
      <c r="AB31" s="375">
        <v>0</v>
      </c>
      <c r="AC31" s="343">
        <f t="shared" si="8"/>
        <v>111.91666666666667</v>
      </c>
      <c r="AD31" s="329">
        <f t="shared" si="9"/>
        <v>121</v>
      </c>
      <c r="AE31" s="343">
        <f t="shared" si="10"/>
        <v>118.91666666666667</v>
      </c>
      <c r="AF31" s="329">
        <f t="shared" si="11"/>
        <v>120</v>
      </c>
      <c r="AG31" s="342">
        <f t="shared" si="12"/>
        <v>120.83333333333333</v>
      </c>
      <c r="AH31" s="364">
        <v>44165</v>
      </c>
      <c r="AI31" s="714">
        <v>40000</v>
      </c>
      <c r="AJ31" s="714">
        <v>153840</v>
      </c>
      <c r="AK31" s="714">
        <v>153840</v>
      </c>
      <c r="AL31" s="454">
        <f>AI31-(AJ31-AK31)</f>
        <v>40000</v>
      </c>
      <c r="AM31" s="460">
        <f>AL31/H31/12</f>
        <v>476.1904761904762</v>
      </c>
      <c r="AN31" s="715">
        <v>476.19</v>
      </c>
      <c r="AO31" s="721">
        <v>0</v>
      </c>
      <c r="AP31" s="458">
        <f>AL31-AN31</f>
        <v>39523.81</v>
      </c>
    </row>
    <row r="32" spans="2:42">
      <c r="B32" s="417" t="s">
        <v>1160</v>
      </c>
      <c r="C32" s="337">
        <v>118</v>
      </c>
      <c r="D32" s="337">
        <v>1</v>
      </c>
      <c r="E32" s="346">
        <v>0</v>
      </c>
      <c r="G32" s="355" t="s">
        <v>904</v>
      </c>
      <c r="H32" s="337">
        <v>3</v>
      </c>
      <c r="I32" s="329">
        <f t="shared" si="0"/>
        <v>121</v>
      </c>
      <c r="J32" s="329">
        <v>120</v>
      </c>
      <c r="K32" s="329">
        <v>11</v>
      </c>
      <c r="L32" s="409">
        <v>30768</v>
      </c>
      <c r="M32" s="364">
        <v>44165</v>
      </c>
      <c r="N32" s="332">
        <f t="shared" si="17"/>
        <v>30768</v>
      </c>
      <c r="O32" s="332">
        <f t="shared" si="1"/>
        <v>854.66666666666663</v>
      </c>
      <c r="P32" s="332">
        <f t="shared" si="2"/>
        <v>0</v>
      </c>
      <c r="Q32" s="329">
        <f t="shared" si="3"/>
        <v>8546.6666666666169</v>
      </c>
      <c r="R32" s="332">
        <f>IF(Q32&gt;0,Q32,P32)</f>
        <v>8546.6666666666169</v>
      </c>
      <c r="S32" s="344">
        <v>1</v>
      </c>
      <c r="T32" s="332">
        <f>S32*SUM(P32:Q32)</f>
        <v>8546.6666666666169</v>
      </c>
      <c r="V32" s="332">
        <f>IF(AC32&gt;AD32,0,IF(AE32&lt;AF32,N32,IF(AND(AE32&gt;=AF32,AE32&lt;=AD32),(N32-R32),IF(AND(AF32&lt;=AC32,AD32&gt;=AC32),0,IF(AE32&gt;AD32,((AF32-AC32)*12)*O32,0)))))</f>
        <v>22221.333333333383</v>
      </c>
      <c r="W32" s="332">
        <f>V32*S32</f>
        <v>22221.333333333383</v>
      </c>
      <c r="X32" s="344">
        <v>1</v>
      </c>
      <c r="Y32" s="332">
        <f t="shared" si="6"/>
        <v>22221.333333333383</v>
      </c>
      <c r="Z32" s="332">
        <f t="shared" si="7"/>
        <v>0</v>
      </c>
      <c r="AA32" s="332">
        <f t="shared" si="20"/>
        <v>4273.3333333333085</v>
      </c>
      <c r="AB32" s="375">
        <v>0</v>
      </c>
      <c r="AC32" s="343">
        <f t="shared" si="8"/>
        <v>118</v>
      </c>
      <c r="AD32" s="329">
        <f t="shared" si="9"/>
        <v>121</v>
      </c>
      <c r="AE32" s="343">
        <f t="shared" si="10"/>
        <v>121</v>
      </c>
      <c r="AF32" s="329">
        <f t="shared" si="11"/>
        <v>120</v>
      </c>
      <c r="AG32" s="342">
        <f t="shared" si="12"/>
        <v>120.83333333333333</v>
      </c>
      <c r="AI32" s="714">
        <v>0</v>
      </c>
      <c r="AJ32" s="714">
        <v>30768</v>
      </c>
      <c r="AK32" s="714">
        <v>30768</v>
      </c>
      <c r="AL32" s="454">
        <f>AI32-(AJ32-AK32)</f>
        <v>0</v>
      </c>
      <c r="AM32" s="460">
        <f>AL32/H32/12</f>
        <v>0</v>
      </c>
    </row>
    <row r="33" spans="1:39">
      <c r="A33" s="418"/>
      <c r="B33" s="362" t="s">
        <v>1069</v>
      </c>
      <c r="C33" s="337">
        <v>113</v>
      </c>
      <c r="D33" s="337">
        <v>2</v>
      </c>
      <c r="E33" s="346">
        <v>0</v>
      </c>
      <c r="G33" s="355" t="s">
        <v>904</v>
      </c>
      <c r="H33" s="337">
        <v>5</v>
      </c>
      <c r="I33" s="329">
        <f t="shared" si="0"/>
        <v>118</v>
      </c>
      <c r="L33" s="448">
        <v>109368</v>
      </c>
      <c r="M33" s="364"/>
      <c r="N33" s="332">
        <f t="shared" si="17"/>
        <v>109368</v>
      </c>
      <c r="O33" s="332">
        <f t="shared" si="1"/>
        <v>1822.8</v>
      </c>
      <c r="P33" s="419">
        <v>0</v>
      </c>
      <c r="Q33" s="329">
        <f t="shared" si="3"/>
        <v>0</v>
      </c>
      <c r="R33" s="332">
        <f t="shared" si="4"/>
        <v>0</v>
      </c>
      <c r="S33" s="344">
        <v>1</v>
      </c>
      <c r="T33" s="332">
        <f t="shared" si="18"/>
        <v>0</v>
      </c>
      <c r="V33" s="332">
        <f t="shared" si="19"/>
        <v>109368</v>
      </c>
      <c r="W33" s="332">
        <f t="shared" si="5"/>
        <v>109368</v>
      </c>
      <c r="X33" s="344">
        <v>1</v>
      </c>
      <c r="Y33" s="332">
        <f t="shared" si="6"/>
        <v>109368</v>
      </c>
      <c r="Z33" s="332">
        <f t="shared" si="7"/>
        <v>109368</v>
      </c>
      <c r="AA33" s="332">
        <f t="shared" si="20"/>
        <v>0</v>
      </c>
      <c r="AB33" s="375">
        <f t="shared" ref="AB33" si="21">L33-Z33</f>
        <v>0</v>
      </c>
      <c r="AC33" s="343">
        <f t="shared" si="8"/>
        <v>113.08333333333333</v>
      </c>
      <c r="AD33" s="329">
        <f t="shared" si="9"/>
        <v>121</v>
      </c>
      <c r="AE33" s="343">
        <f t="shared" si="10"/>
        <v>118.08333333333333</v>
      </c>
      <c r="AF33" s="329">
        <f t="shared" si="11"/>
        <v>120</v>
      </c>
      <c r="AG33" s="342">
        <f t="shared" si="12"/>
        <v>-8.3333333333333329E-2</v>
      </c>
    </row>
    <row r="34" spans="1:39">
      <c r="A34" s="418"/>
      <c r="B34" s="362" t="s">
        <v>1068</v>
      </c>
      <c r="C34" s="337">
        <v>113</v>
      </c>
      <c r="D34" s="337">
        <v>12</v>
      </c>
      <c r="E34" s="346">
        <v>0</v>
      </c>
      <c r="G34" s="355" t="s">
        <v>904</v>
      </c>
      <c r="H34" s="337">
        <v>7</v>
      </c>
      <c r="I34" s="329">
        <f t="shared" si="0"/>
        <v>120</v>
      </c>
      <c r="L34" s="449">
        <v>258778</v>
      </c>
      <c r="N34" s="332">
        <f t="shared" si="17"/>
        <v>258778</v>
      </c>
      <c r="O34" s="332">
        <f t="shared" si="1"/>
        <v>3080.6904761904766</v>
      </c>
      <c r="P34" s="332">
        <f t="shared" si="2"/>
        <v>33887.595238095419</v>
      </c>
      <c r="Q34" s="329">
        <f t="shared" si="3"/>
        <v>0</v>
      </c>
      <c r="R34" s="332">
        <f t="shared" si="4"/>
        <v>33887.595238095419</v>
      </c>
      <c r="S34" s="344">
        <v>1</v>
      </c>
      <c r="T34" s="332">
        <f t="shared" si="18"/>
        <v>33887.595238095419</v>
      </c>
      <c r="V34" s="332">
        <f t="shared" si="19"/>
        <v>224890.40476190459</v>
      </c>
      <c r="W34" s="332">
        <f t="shared" si="5"/>
        <v>224890.40476190459</v>
      </c>
      <c r="X34" s="344">
        <v>1</v>
      </c>
      <c r="Y34" s="332">
        <f t="shared" si="6"/>
        <v>224890.40476190459</v>
      </c>
      <c r="Z34" s="332">
        <f t="shared" si="7"/>
        <v>258778</v>
      </c>
      <c r="AA34" s="332">
        <f t="shared" si="20"/>
        <v>16943.797619047706</v>
      </c>
      <c r="AB34" s="375">
        <f t="shared" ref="AB34:AB49" si="22">L34-Z34</f>
        <v>0</v>
      </c>
      <c r="AC34" s="343">
        <f t="shared" si="8"/>
        <v>113.91666666666667</v>
      </c>
      <c r="AD34" s="329">
        <f t="shared" si="9"/>
        <v>121</v>
      </c>
      <c r="AE34" s="343">
        <f t="shared" si="10"/>
        <v>120.91666666666667</v>
      </c>
      <c r="AF34" s="329">
        <f t="shared" si="11"/>
        <v>120</v>
      </c>
      <c r="AG34" s="342">
        <f t="shared" si="12"/>
        <v>-8.3333333333333329E-2</v>
      </c>
      <c r="AI34" s="454">
        <v>43500</v>
      </c>
      <c r="AJ34" s="454">
        <v>25553</v>
      </c>
      <c r="AK34" s="454"/>
      <c r="AL34" s="454">
        <f>AI34-AJ34</f>
        <v>17947</v>
      </c>
      <c r="AM34" s="329" t="s">
        <v>1183</v>
      </c>
    </row>
    <row r="35" spans="1:39">
      <c r="A35" s="418"/>
      <c r="B35" s="362" t="s">
        <v>1067</v>
      </c>
      <c r="C35" s="337">
        <v>115</v>
      </c>
      <c r="D35" s="337">
        <v>4</v>
      </c>
      <c r="E35" s="346">
        <v>0</v>
      </c>
      <c r="G35" s="355" t="s">
        <v>904</v>
      </c>
      <c r="H35" s="337">
        <v>7</v>
      </c>
      <c r="I35" s="329">
        <f t="shared" si="0"/>
        <v>122</v>
      </c>
      <c r="L35" s="448">
        <v>4972</v>
      </c>
      <c r="N35" s="332">
        <f t="shared" si="17"/>
        <v>4972</v>
      </c>
      <c r="O35" s="332">
        <f t="shared" si="1"/>
        <v>59.190476190476197</v>
      </c>
      <c r="P35" s="332">
        <f t="shared" si="2"/>
        <v>710.28571428571433</v>
      </c>
      <c r="Q35" s="329">
        <f t="shared" si="3"/>
        <v>0</v>
      </c>
      <c r="R35" s="332">
        <f t="shared" si="4"/>
        <v>710.28571428571433</v>
      </c>
      <c r="S35" s="344">
        <v>1</v>
      </c>
      <c r="T35" s="332">
        <f t="shared" si="18"/>
        <v>710.28571428571433</v>
      </c>
      <c r="V35" s="332">
        <f t="shared" si="19"/>
        <v>3373.8571428571431</v>
      </c>
      <c r="W35" s="332">
        <f t="shared" si="5"/>
        <v>3373.8571428571431</v>
      </c>
      <c r="X35" s="344">
        <v>1</v>
      </c>
      <c r="Y35" s="332">
        <f t="shared" si="6"/>
        <v>3373.8571428571431</v>
      </c>
      <c r="Z35" s="332">
        <f t="shared" si="7"/>
        <v>4084.1428571428573</v>
      </c>
      <c r="AA35" s="332">
        <f t="shared" si="20"/>
        <v>1242.9999999999998</v>
      </c>
      <c r="AB35" s="375">
        <f t="shared" si="22"/>
        <v>887.85714285714266</v>
      </c>
      <c r="AC35" s="343">
        <f t="shared" si="8"/>
        <v>115.25</v>
      </c>
      <c r="AD35" s="329">
        <f t="shared" si="9"/>
        <v>121</v>
      </c>
      <c r="AE35" s="343">
        <f t="shared" si="10"/>
        <v>122.25</v>
      </c>
      <c r="AF35" s="329">
        <f t="shared" si="11"/>
        <v>120</v>
      </c>
      <c r="AG35" s="342">
        <f t="shared" si="12"/>
        <v>-8.3333333333333329E-2</v>
      </c>
      <c r="AI35" s="454"/>
      <c r="AJ35" s="454"/>
      <c r="AK35" s="454"/>
      <c r="AL35" s="454"/>
    </row>
    <row r="36" spans="1:39">
      <c r="A36" s="418"/>
      <c r="B36" s="362" t="s">
        <v>1066</v>
      </c>
      <c r="C36" s="337">
        <v>115</v>
      </c>
      <c r="D36" s="337">
        <v>3</v>
      </c>
      <c r="E36" s="346">
        <v>0</v>
      </c>
      <c r="G36" s="355" t="s">
        <v>904</v>
      </c>
      <c r="H36" s="337">
        <v>7</v>
      </c>
      <c r="I36" s="329">
        <f t="shared" si="0"/>
        <v>122</v>
      </c>
      <c r="J36" s="329">
        <v>118</v>
      </c>
      <c r="K36" s="329">
        <v>7</v>
      </c>
      <c r="L36" s="448">
        <v>150526</v>
      </c>
      <c r="M36" s="364">
        <v>43317</v>
      </c>
      <c r="N36" s="332">
        <f t="shared" si="17"/>
        <v>150526</v>
      </c>
      <c r="O36" s="332">
        <f t="shared" si="1"/>
        <v>1791.9761904761906</v>
      </c>
      <c r="P36" s="332">
        <f t="shared" si="2"/>
        <v>0</v>
      </c>
      <c r="Q36" s="420">
        <v>0</v>
      </c>
      <c r="R36" s="332">
        <f t="shared" si="4"/>
        <v>0</v>
      </c>
      <c r="S36" s="344">
        <v>1</v>
      </c>
      <c r="T36" s="332">
        <f t="shared" si="18"/>
        <v>0</v>
      </c>
      <c r="V36" s="332">
        <f t="shared" si="19"/>
        <v>103934.61904761895</v>
      </c>
      <c r="W36" s="332">
        <f t="shared" si="5"/>
        <v>103934.61904761895</v>
      </c>
      <c r="X36" s="344">
        <v>1</v>
      </c>
      <c r="Y36" s="332">
        <f t="shared" si="6"/>
        <v>103934.61904761895</v>
      </c>
      <c r="Z36" s="332">
        <f t="shared" si="7"/>
        <v>0</v>
      </c>
      <c r="AA36" s="332">
        <f t="shared" si="20"/>
        <v>23295.690476190524</v>
      </c>
      <c r="AB36" s="375">
        <v>0</v>
      </c>
      <c r="AC36" s="343">
        <f t="shared" si="8"/>
        <v>115.16666666666667</v>
      </c>
      <c r="AD36" s="329">
        <f t="shared" si="9"/>
        <v>121</v>
      </c>
      <c r="AE36" s="343">
        <f t="shared" si="10"/>
        <v>122.16666666666667</v>
      </c>
      <c r="AF36" s="329">
        <f t="shared" si="11"/>
        <v>120</v>
      </c>
      <c r="AG36" s="342">
        <f t="shared" si="12"/>
        <v>118.5</v>
      </c>
      <c r="AI36" s="454"/>
      <c r="AJ36" s="454"/>
      <c r="AK36" s="454"/>
      <c r="AL36" s="454">
        <v>0</v>
      </c>
    </row>
    <row r="37" spans="1:39">
      <c r="A37" s="418"/>
      <c r="B37" s="362" t="s">
        <v>1065</v>
      </c>
      <c r="C37" s="337">
        <v>116</v>
      </c>
      <c r="D37" s="337">
        <v>7</v>
      </c>
      <c r="E37" s="346">
        <v>0</v>
      </c>
      <c r="G37" s="355" t="s">
        <v>904</v>
      </c>
      <c r="H37" s="337">
        <v>7</v>
      </c>
      <c r="I37" s="329">
        <f t="shared" si="0"/>
        <v>123</v>
      </c>
      <c r="L37" s="449">
        <v>157120</v>
      </c>
      <c r="N37" s="332">
        <f t="shared" si="17"/>
        <v>157120</v>
      </c>
      <c r="O37" s="332">
        <f t="shared" si="1"/>
        <v>1870.4761904761906</v>
      </c>
      <c r="P37" s="332">
        <f t="shared" si="2"/>
        <v>22445.714285714286</v>
      </c>
      <c r="Q37" s="329">
        <f t="shared" si="3"/>
        <v>0</v>
      </c>
      <c r="R37" s="332">
        <f t="shared" si="4"/>
        <v>22445.714285714286</v>
      </c>
      <c r="S37" s="344">
        <v>1</v>
      </c>
      <c r="T37" s="332">
        <f t="shared" si="18"/>
        <v>22445.714285714286</v>
      </c>
      <c r="V37" s="332">
        <f t="shared" si="19"/>
        <v>78560</v>
      </c>
      <c r="W37" s="332">
        <f t="shared" si="5"/>
        <v>78560</v>
      </c>
      <c r="X37" s="344">
        <v>1</v>
      </c>
      <c r="Y37" s="332">
        <f t="shared" si="6"/>
        <v>78560</v>
      </c>
      <c r="Z37" s="332">
        <f t="shared" si="7"/>
        <v>101005.71428571429</v>
      </c>
      <c r="AA37" s="332">
        <f t="shared" si="20"/>
        <v>67337.142857142855</v>
      </c>
      <c r="AB37" s="375">
        <f t="shared" si="22"/>
        <v>56114.28571428571</v>
      </c>
      <c r="AC37" s="343">
        <f t="shared" si="8"/>
        <v>116.5</v>
      </c>
      <c r="AD37" s="329">
        <f t="shared" si="9"/>
        <v>121</v>
      </c>
      <c r="AE37" s="343">
        <f t="shared" si="10"/>
        <v>123.5</v>
      </c>
      <c r="AF37" s="329">
        <f t="shared" si="11"/>
        <v>120</v>
      </c>
      <c r="AG37" s="342">
        <f t="shared" si="12"/>
        <v>-8.3333333333333329E-2</v>
      </c>
      <c r="AI37" s="454">
        <v>35000</v>
      </c>
      <c r="AJ37" s="454">
        <v>32093</v>
      </c>
      <c r="AK37" s="454"/>
      <c r="AL37" s="454">
        <f>AI37-AJ37</f>
        <v>2907</v>
      </c>
      <c r="AM37" s="329" t="s">
        <v>1184</v>
      </c>
    </row>
    <row r="38" spans="1:39">
      <c r="A38" s="418"/>
      <c r="B38" s="363" t="s">
        <v>1064</v>
      </c>
      <c r="C38" s="337">
        <v>116</v>
      </c>
      <c r="D38" s="337">
        <v>9</v>
      </c>
      <c r="E38" s="346">
        <v>0</v>
      </c>
      <c r="G38" s="355" t="s">
        <v>904</v>
      </c>
      <c r="H38" s="337">
        <v>5</v>
      </c>
      <c r="I38" s="329">
        <f t="shared" si="0"/>
        <v>121</v>
      </c>
      <c r="L38" s="448">
        <v>61488</v>
      </c>
      <c r="N38" s="332">
        <f t="shared" si="17"/>
        <v>61488</v>
      </c>
      <c r="O38" s="332">
        <f t="shared" si="1"/>
        <v>1024.8</v>
      </c>
      <c r="P38" s="332">
        <f t="shared" si="2"/>
        <v>12297.599999999999</v>
      </c>
      <c r="Q38" s="329">
        <f t="shared" si="3"/>
        <v>0</v>
      </c>
      <c r="R38" s="332">
        <f t="shared" si="4"/>
        <v>12297.599999999999</v>
      </c>
      <c r="S38" s="663">
        <v>1</v>
      </c>
      <c r="T38" s="332">
        <f t="shared" si="18"/>
        <v>12297.599999999999</v>
      </c>
      <c r="V38" s="332">
        <f t="shared" si="19"/>
        <v>40991.999999999942</v>
      </c>
      <c r="W38" s="332">
        <f t="shared" si="5"/>
        <v>40991.999999999942</v>
      </c>
      <c r="X38" s="344">
        <v>1</v>
      </c>
      <c r="Y38" s="332">
        <f t="shared" si="6"/>
        <v>40991.999999999942</v>
      </c>
      <c r="Z38" s="332">
        <f t="shared" si="7"/>
        <v>53289.59999999994</v>
      </c>
      <c r="AA38" s="332">
        <f t="shared" si="20"/>
        <v>14347.200000000059</v>
      </c>
      <c r="AB38" s="375">
        <f t="shared" si="22"/>
        <v>8198.4000000000597</v>
      </c>
      <c r="AC38" s="343">
        <f t="shared" si="8"/>
        <v>116.66666666666667</v>
      </c>
      <c r="AD38" s="329">
        <f t="shared" si="9"/>
        <v>121</v>
      </c>
      <c r="AE38" s="343">
        <f t="shared" si="10"/>
        <v>121.66666666666667</v>
      </c>
      <c r="AF38" s="329">
        <f t="shared" si="11"/>
        <v>120</v>
      </c>
      <c r="AG38" s="342">
        <f t="shared" si="12"/>
        <v>-8.3333333333333329E-2</v>
      </c>
      <c r="AI38" s="454"/>
      <c r="AJ38" s="454"/>
      <c r="AK38" s="454"/>
      <c r="AL38" s="454"/>
    </row>
    <row r="39" spans="1:39">
      <c r="A39" s="418"/>
      <c r="B39" s="362" t="s">
        <v>1063</v>
      </c>
      <c r="C39" s="337">
        <v>116</v>
      </c>
      <c r="D39" s="337">
        <v>12</v>
      </c>
      <c r="E39" s="346">
        <v>0</v>
      </c>
      <c r="G39" s="355" t="s">
        <v>904</v>
      </c>
      <c r="H39" s="337">
        <v>7</v>
      </c>
      <c r="I39" s="329">
        <f t="shared" si="0"/>
        <v>123</v>
      </c>
      <c r="L39" s="449">
        <v>124942</v>
      </c>
      <c r="N39" s="332">
        <f t="shared" si="17"/>
        <v>124942</v>
      </c>
      <c r="O39" s="332">
        <f t="shared" si="1"/>
        <v>1487.4047619047617</v>
      </c>
      <c r="P39" s="332">
        <f t="shared" si="2"/>
        <v>17848.857142857141</v>
      </c>
      <c r="Q39" s="329">
        <f t="shared" si="3"/>
        <v>0</v>
      </c>
      <c r="R39" s="332">
        <f t="shared" si="4"/>
        <v>17848.857142857141</v>
      </c>
      <c r="S39" s="344">
        <v>1</v>
      </c>
      <c r="T39" s="332">
        <f t="shared" si="18"/>
        <v>17848.857142857141</v>
      </c>
      <c r="V39" s="332">
        <f t="shared" si="19"/>
        <v>55033.976190476096</v>
      </c>
      <c r="W39" s="332">
        <f t="shared" si="5"/>
        <v>55033.976190476096</v>
      </c>
      <c r="X39" s="344">
        <v>1</v>
      </c>
      <c r="Y39" s="332">
        <f t="shared" si="6"/>
        <v>55033.976190476096</v>
      </c>
      <c r="Z39" s="332">
        <f t="shared" si="7"/>
        <v>72882.833333333241</v>
      </c>
      <c r="AA39" s="332">
        <f t="shared" si="20"/>
        <v>60983.595238095331</v>
      </c>
      <c r="AB39" s="375">
        <f t="shared" si="22"/>
        <v>52059.166666666759</v>
      </c>
      <c r="AC39" s="343">
        <f t="shared" si="8"/>
        <v>116.91666666666667</v>
      </c>
      <c r="AD39" s="329">
        <f t="shared" si="9"/>
        <v>121</v>
      </c>
      <c r="AE39" s="343">
        <f t="shared" si="10"/>
        <v>123.91666666666667</v>
      </c>
      <c r="AF39" s="329">
        <f t="shared" si="11"/>
        <v>120</v>
      </c>
      <c r="AG39" s="342">
        <f t="shared" si="12"/>
        <v>-8.3333333333333329E-2</v>
      </c>
      <c r="AI39" s="454"/>
      <c r="AJ39" s="454"/>
      <c r="AK39" s="454"/>
      <c r="AL39" s="454"/>
    </row>
    <row r="40" spans="1:39">
      <c r="A40" s="418"/>
      <c r="B40" s="362" t="s">
        <v>1062</v>
      </c>
      <c r="C40" s="337">
        <v>117</v>
      </c>
      <c r="D40" s="337">
        <v>12</v>
      </c>
      <c r="E40" s="346">
        <v>0</v>
      </c>
      <c r="G40" s="355" t="s">
        <v>904</v>
      </c>
      <c r="H40" s="337">
        <v>7</v>
      </c>
      <c r="I40" s="329">
        <f t="shared" si="0"/>
        <v>124</v>
      </c>
      <c r="L40" s="448">
        <v>9549</v>
      </c>
      <c r="N40" s="332">
        <f t="shared" si="17"/>
        <v>9549</v>
      </c>
      <c r="O40" s="332">
        <f t="shared" si="1"/>
        <v>113.67857142857143</v>
      </c>
      <c r="P40" s="332">
        <f t="shared" si="2"/>
        <v>1364.1428571428571</v>
      </c>
      <c r="Q40" s="329">
        <f t="shared" si="3"/>
        <v>0</v>
      </c>
      <c r="R40" s="332">
        <f t="shared" si="4"/>
        <v>1364.1428571428571</v>
      </c>
      <c r="S40" s="344">
        <v>1</v>
      </c>
      <c r="T40" s="332">
        <f t="shared" si="18"/>
        <v>1364.1428571428571</v>
      </c>
      <c r="V40" s="332">
        <f t="shared" si="19"/>
        <v>2841.9642857142794</v>
      </c>
      <c r="W40" s="332">
        <f t="shared" si="5"/>
        <v>2841.9642857142794</v>
      </c>
      <c r="X40" s="344">
        <v>1</v>
      </c>
      <c r="Y40" s="332">
        <f t="shared" si="6"/>
        <v>2841.9642857142794</v>
      </c>
      <c r="Z40" s="332">
        <f t="shared" si="7"/>
        <v>4206.1071428571368</v>
      </c>
      <c r="AA40" s="332">
        <f t="shared" si="20"/>
        <v>6024.9642857142917</v>
      </c>
      <c r="AB40" s="375">
        <f t="shared" si="22"/>
        <v>5342.8928571428632</v>
      </c>
      <c r="AC40" s="343">
        <f t="shared" si="8"/>
        <v>117.91666666666667</v>
      </c>
      <c r="AD40" s="329">
        <f t="shared" si="9"/>
        <v>121</v>
      </c>
      <c r="AE40" s="343">
        <f t="shared" si="10"/>
        <v>124.91666666666667</v>
      </c>
      <c r="AF40" s="329">
        <f t="shared" si="11"/>
        <v>120</v>
      </c>
      <c r="AG40" s="342">
        <f t="shared" si="12"/>
        <v>-8.3333333333333329E-2</v>
      </c>
      <c r="AI40" s="454"/>
      <c r="AJ40" s="454"/>
      <c r="AK40" s="454"/>
      <c r="AL40" s="454"/>
    </row>
    <row r="41" spans="1:39">
      <c r="A41" s="418"/>
      <c r="B41" s="362" t="s">
        <v>1061</v>
      </c>
      <c r="C41" s="337">
        <v>118</v>
      </c>
      <c r="D41" s="337">
        <v>7</v>
      </c>
      <c r="E41" s="346">
        <v>0</v>
      </c>
      <c r="G41" s="355" t="s">
        <v>904</v>
      </c>
      <c r="H41" s="337">
        <v>7</v>
      </c>
      <c r="I41" s="329">
        <f t="shared" si="0"/>
        <v>125</v>
      </c>
      <c r="L41" s="449">
        <v>323218</v>
      </c>
      <c r="N41" s="332">
        <f t="shared" si="17"/>
        <v>323218</v>
      </c>
      <c r="O41" s="332">
        <f t="shared" si="1"/>
        <v>3847.8333333333335</v>
      </c>
      <c r="P41" s="332">
        <f t="shared" si="2"/>
        <v>46174</v>
      </c>
      <c r="Q41" s="329">
        <f t="shared" si="3"/>
        <v>0</v>
      </c>
      <c r="R41" s="332">
        <f>IF(Q41&gt;0,Q41,P41)</f>
        <v>46174</v>
      </c>
      <c r="S41" s="344">
        <v>1</v>
      </c>
      <c r="T41" s="332">
        <f t="shared" si="18"/>
        <v>46174</v>
      </c>
      <c r="V41" s="332">
        <f t="shared" si="19"/>
        <v>69261</v>
      </c>
      <c r="W41" s="332">
        <f t="shared" si="5"/>
        <v>69261</v>
      </c>
      <c r="X41" s="344">
        <v>1</v>
      </c>
      <c r="Y41" s="332">
        <f t="shared" si="6"/>
        <v>69261</v>
      </c>
      <c r="Z41" s="332">
        <f t="shared" si="7"/>
        <v>115435</v>
      </c>
      <c r="AA41" s="332">
        <f t="shared" si="20"/>
        <v>230870</v>
      </c>
      <c r="AB41" s="375">
        <f t="shared" si="22"/>
        <v>207783</v>
      </c>
      <c r="AC41" s="343">
        <f t="shared" si="8"/>
        <v>118.5</v>
      </c>
      <c r="AD41" s="329">
        <f t="shared" si="9"/>
        <v>121</v>
      </c>
      <c r="AE41" s="343">
        <f t="shared" si="10"/>
        <v>125.5</v>
      </c>
      <c r="AF41" s="329">
        <f t="shared" si="11"/>
        <v>120</v>
      </c>
      <c r="AG41" s="342">
        <f t="shared" si="12"/>
        <v>-8.3333333333333329E-2</v>
      </c>
      <c r="AI41" s="454"/>
      <c r="AJ41" s="454"/>
      <c r="AK41" s="454"/>
      <c r="AL41" s="454"/>
    </row>
    <row r="42" spans="1:39">
      <c r="A42" s="418"/>
      <c r="B42" s="362" t="s">
        <v>1060</v>
      </c>
      <c r="C42" s="337">
        <v>118</v>
      </c>
      <c r="D42" s="337">
        <v>7</v>
      </c>
      <c r="E42" s="346">
        <v>0</v>
      </c>
      <c r="G42" s="355" t="s">
        <v>904</v>
      </c>
      <c r="H42" s="337">
        <v>7</v>
      </c>
      <c r="I42" s="329">
        <f t="shared" ref="I42:I48" si="23">C42+H42</f>
        <v>125</v>
      </c>
      <c r="L42" s="449">
        <v>173570</v>
      </c>
      <c r="N42" s="332">
        <f t="shared" ref="N42:N48" si="24">L42-L42*E42</f>
        <v>173570</v>
      </c>
      <c r="O42" s="332">
        <f>N42/H42/12</f>
        <v>2066.3095238095239</v>
      </c>
      <c r="P42" s="332">
        <f t="shared" si="2"/>
        <v>24795.714285714286</v>
      </c>
      <c r="Q42" s="329">
        <f t="shared" ref="Q42:Q48" si="25">IF(M42=0,0,IF(AND(AG42&gt;=AF42,AG42&lt;=AE42),((AG42-AF42)*12)*O42,0))</f>
        <v>0</v>
      </c>
      <c r="R42" s="332">
        <f t="shared" ref="R42:R48" si="26">IF(Q42&gt;0,Q42,P42)</f>
        <v>24795.714285714286</v>
      </c>
      <c r="S42" s="344">
        <v>1</v>
      </c>
      <c r="T42" s="332">
        <f t="shared" ref="T42:T46" si="27">S42*SUM(P42:Q42)</f>
        <v>24795.714285714286</v>
      </c>
      <c r="V42" s="332">
        <f t="shared" ref="V42:V48" si="28">IF(AC42&gt;AD42,0,IF(AE42&lt;AF42,N42,IF(AND(AE42&gt;=AF42,AE42&lt;=AD42),(N42-R42),IF(AND(AF42&lt;=AC42,AD42&gt;=AC42),0,IF(AE42&gt;AD42,((AF42-AC42)*12)*O42,0)))))</f>
        <v>37193.571428571428</v>
      </c>
      <c r="W42" s="332">
        <f t="shared" ref="W42:W48" si="29">V42*S42</f>
        <v>37193.571428571428</v>
      </c>
      <c r="X42" s="344">
        <v>1</v>
      </c>
      <c r="Y42" s="332">
        <f t="shared" ref="Y42:Y48" si="30">W42*X42</f>
        <v>37193.571428571428</v>
      </c>
      <c r="Z42" s="332">
        <f t="shared" ref="Z42:Z48" si="31">IF(M42&gt;0,0,Y42+T42*X42)*X42</f>
        <v>61989.28571428571</v>
      </c>
      <c r="AA42" s="332">
        <f t="shared" ref="AA42:AA48" si="32">IF(M42&gt;0,(L42-Y42)/2,IF(AC42&gt;=AF42,(((L42*S42)*X42)-Z42)/2,((((L42*S42)*X42)-Y42)+(((L42*S42)*X42)-Z42))/2))</f>
        <v>123978.57142857143</v>
      </c>
      <c r="AB42" s="375">
        <f t="shared" ref="AB42:AB48" si="33">L42-Z42</f>
        <v>111580.71428571429</v>
      </c>
      <c r="AC42" s="343">
        <f t="shared" si="8"/>
        <v>118.5</v>
      </c>
      <c r="AD42" s="329">
        <f t="shared" si="9"/>
        <v>121</v>
      </c>
      <c r="AE42" s="343">
        <f t="shared" si="10"/>
        <v>125.5</v>
      </c>
      <c r="AF42" s="329">
        <f t="shared" si="11"/>
        <v>120</v>
      </c>
      <c r="AG42" s="342">
        <f t="shared" si="12"/>
        <v>-8.3333333333333329E-2</v>
      </c>
      <c r="AI42" s="454"/>
      <c r="AJ42" s="454"/>
      <c r="AK42" s="454"/>
      <c r="AL42" s="454"/>
    </row>
    <row r="43" spans="1:39">
      <c r="A43" s="418"/>
      <c r="B43" s="362" t="s">
        <v>1339</v>
      </c>
      <c r="C43" s="337">
        <v>119</v>
      </c>
      <c r="D43" s="337">
        <v>3</v>
      </c>
      <c r="E43" s="346">
        <v>0</v>
      </c>
      <c r="G43" s="355" t="s">
        <v>904</v>
      </c>
      <c r="H43" s="337">
        <v>7</v>
      </c>
      <c r="I43" s="329">
        <f t="shared" ref="I43:I44" si="34">C43+H43</f>
        <v>126</v>
      </c>
      <c r="L43" s="449">
        <v>63853</v>
      </c>
      <c r="N43" s="332">
        <f t="shared" ref="N43:N44" si="35">L43-L43*E43</f>
        <v>63853</v>
      </c>
      <c r="O43" s="332">
        <f t="shared" ref="O43:O44" si="36">N43/H43/12</f>
        <v>760.15476190476193</v>
      </c>
      <c r="P43" s="332">
        <f t="shared" ref="P43:P48" si="37">IF(M43&gt;0,0,IF(OR(AC43&gt;AD43,AE43&lt;AF43),0,IF(AND(AE43&gt;=AF43,AE43&lt;=AD43),O43*((AE43-AF43)*12),IF(AND(AF43&lt;=AC43,AD43&gt;=AC43),((AD43-AC43)*12)*O43,IF(AE43&gt;AD43,12*O43,0)))))</f>
        <v>9121.8571428571431</v>
      </c>
      <c r="Q43" s="329">
        <f t="shared" ref="Q43:Q44" si="38">IF(M43=0,0,IF(AND(AG43&gt;=AF43,AG43&lt;=AE43),((AG43-AF43)*12)*O43,0))</f>
        <v>0</v>
      </c>
      <c r="R43" s="332">
        <f t="shared" ref="R43:R44" si="39">IF(Q43&gt;0,Q43,P43)</f>
        <v>9121.8571428571431</v>
      </c>
      <c r="S43" s="344">
        <v>1</v>
      </c>
      <c r="T43" s="332">
        <f t="shared" ref="T43:T44" si="40">S43*SUM(P43:Q43)</f>
        <v>9121.8571428571431</v>
      </c>
      <c r="V43" s="332">
        <f t="shared" ref="V43:V44" si="41">IF(AC43&gt;AD43,0,IF(AE43&lt;AF43,N43,IF(AND(AE43&gt;=AF43,AE43&lt;=AD43),(N43-R43),IF(AND(AF43&lt;=AC43,AD43&gt;=AC43),0,IF(AE43&gt;AD43,((AF43-AC43)*12)*O43,0)))))</f>
        <v>7601.5476190475756</v>
      </c>
      <c r="W43" s="332">
        <f t="shared" ref="W43:W44" si="42">V43*S43</f>
        <v>7601.5476190475756</v>
      </c>
      <c r="X43" s="344">
        <v>1</v>
      </c>
      <c r="Y43" s="332">
        <f t="shared" ref="Y43:Y44" si="43">W43*X43</f>
        <v>7601.5476190475756</v>
      </c>
      <c r="Z43" s="332">
        <f t="shared" ref="Z43:Z44" si="44">IF(M43&gt;0,0,Y43+T43*X43)*X43</f>
        <v>16723.40476190472</v>
      </c>
      <c r="AA43" s="332">
        <f t="shared" ref="AA43:AA44" si="45">IF(M43&gt;0,(L43-Y43)/2,IF(AC43&gt;=AF43,(((L43*S43)*X43)-Z43)/2,((((L43*S43)*X43)-Y43)+(((L43*S43)*X43)-Z43))/2))</f>
        <v>51690.523809523853</v>
      </c>
      <c r="AB43" s="375">
        <f t="shared" ref="AB43:AB44" si="46">L43-Z43</f>
        <v>47129.59523809528</v>
      </c>
      <c r="AC43" s="343">
        <f t="shared" si="8"/>
        <v>119.16666666666667</v>
      </c>
      <c r="AD43" s="329">
        <f t="shared" si="9"/>
        <v>121</v>
      </c>
      <c r="AE43" s="343">
        <f t="shared" si="10"/>
        <v>126.16666666666667</v>
      </c>
      <c r="AF43" s="329">
        <f t="shared" si="11"/>
        <v>120</v>
      </c>
      <c r="AG43" s="342">
        <f t="shared" si="12"/>
        <v>-8.3333333333333329E-2</v>
      </c>
      <c r="AI43" s="454"/>
      <c r="AJ43" s="454"/>
      <c r="AK43" s="454"/>
      <c r="AL43" s="454"/>
    </row>
    <row r="44" spans="1:39">
      <c r="A44" s="418"/>
      <c r="B44" s="362" t="s">
        <v>1340</v>
      </c>
      <c r="C44" s="337">
        <v>119</v>
      </c>
      <c r="D44" s="337">
        <v>4</v>
      </c>
      <c r="E44" s="346">
        <v>0</v>
      </c>
      <c r="G44" s="355" t="s">
        <v>904</v>
      </c>
      <c r="H44" s="337">
        <v>7</v>
      </c>
      <c r="I44" s="329">
        <f t="shared" si="34"/>
        <v>126</v>
      </c>
      <c r="L44" s="449">
        <v>3079</v>
      </c>
      <c r="N44" s="332">
        <f t="shared" si="35"/>
        <v>3079</v>
      </c>
      <c r="O44" s="332">
        <f t="shared" si="36"/>
        <v>36.654761904761905</v>
      </c>
      <c r="P44" s="332">
        <f t="shared" si="37"/>
        <v>439.85714285714289</v>
      </c>
      <c r="Q44" s="329">
        <f t="shared" si="38"/>
        <v>0</v>
      </c>
      <c r="R44" s="332">
        <f t="shared" si="39"/>
        <v>439.85714285714289</v>
      </c>
      <c r="S44" s="344">
        <v>1</v>
      </c>
      <c r="T44" s="332">
        <f t="shared" si="40"/>
        <v>439.85714285714289</v>
      </c>
      <c r="V44" s="332">
        <f t="shared" si="41"/>
        <v>329.89285714285717</v>
      </c>
      <c r="W44" s="332">
        <f t="shared" si="42"/>
        <v>329.89285714285717</v>
      </c>
      <c r="X44" s="344">
        <v>1</v>
      </c>
      <c r="Y44" s="332">
        <f t="shared" si="43"/>
        <v>329.89285714285717</v>
      </c>
      <c r="Z44" s="332">
        <f t="shared" si="44"/>
        <v>769.75</v>
      </c>
      <c r="AA44" s="332">
        <f t="shared" si="45"/>
        <v>2529.1785714285716</v>
      </c>
      <c r="AB44" s="375">
        <f t="shared" si="46"/>
        <v>2309.25</v>
      </c>
      <c r="AC44" s="343">
        <f t="shared" si="8"/>
        <v>119.25</v>
      </c>
      <c r="AD44" s="329">
        <f t="shared" si="9"/>
        <v>121</v>
      </c>
      <c r="AE44" s="343">
        <f t="shared" si="10"/>
        <v>126.25</v>
      </c>
      <c r="AF44" s="329">
        <f t="shared" si="11"/>
        <v>120</v>
      </c>
      <c r="AG44" s="342">
        <f t="shared" si="12"/>
        <v>-8.3333333333333329E-2</v>
      </c>
      <c r="AI44" s="454"/>
      <c r="AJ44" s="454"/>
      <c r="AK44" s="454"/>
      <c r="AL44" s="454"/>
    </row>
    <row r="45" spans="1:39">
      <c r="A45" s="418"/>
      <c r="B45" s="362" t="s">
        <v>1333</v>
      </c>
      <c r="C45" s="337">
        <v>119</v>
      </c>
      <c r="D45" s="337">
        <v>4</v>
      </c>
      <c r="E45" s="346">
        <v>0</v>
      </c>
      <c r="G45" s="355" t="s">
        <v>904</v>
      </c>
      <c r="H45" s="337">
        <v>7</v>
      </c>
      <c r="I45" s="329">
        <f t="shared" si="23"/>
        <v>126</v>
      </c>
      <c r="L45" s="449">
        <v>8041</v>
      </c>
      <c r="N45" s="332">
        <f t="shared" si="24"/>
        <v>8041</v>
      </c>
      <c r="O45" s="332">
        <f t="shared" ref="O45:O46" si="47">N45/H45/12</f>
        <v>95.726190476190482</v>
      </c>
      <c r="P45" s="332">
        <f t="shared" si="37"/>
        <v>1148.7142857142858</v>
      </c>
      <c r="Q45" s="329">
        <f t="shared" si="25"/>
        <v>0</v>
      </c>
      <c r="R45" s="332">
        <f t="shared" si="26"/>
        <v>1148.7142857142858</v>
      </c>
      <c r="S45" s="344">
        <v>1</v>
      </c>
      <c r="T45" s="332">
        <f t="shared" si="27"/>
        <v>1148.7142857142858</v>
      </c>
      <c r="V45" s="332">
        <f t="shared" si="28"/>
        <v>861.53571428571433</v>
      </c>
      <c r="W45" s="332">
        <f t="shared" si="29"/>
        <v>861.53571428571433</v>
      </c>
      <c r="X45" s="344">
        <v>1</v>
      </c>
      <c r="Y45" s="332">
        <f t="shared" si="30"/>
        <v>861.53571428571433</v>
      </c>
      <c r="Z45" s="332">
        <f t="shared" si="31"/>
        <v>2010.25</v>
      </c>
      <c r="AA45" s="332">
        <f t="shared" si="32"/>
        <v>6605.1071428571431</v>
      </c>
      <c r="AB45" s="375">
        <f t="shared" si="33"/>
        <v>6030.75</v>
      </c>
      <c r="AC45" s="343">
        <f t="shared" si="8"/>
        <v>119.25</v>
      </c>
      <c r="AD45" s="329">
        <f t="shared" si="9"/>
        <v>121</v>
      </c>
      <c r="AE45" s="343">
        <f t="shared" si="10"/>
        <v>126.25</v>
      </c>
      <c r="AF45" s="329">
        <f t="shared" si="11"/>
        <v>120</v>
      </c>
      <c r="AG45" s="342">
        <f t="shared" si="12"/>
        <v>-8.3333333333333329E-2</v>
      </c>
      <c r="AI45" s="454"/>
      <c r="AJ45" s="454"/>
      <c r="AK45" s="454"/>
      <c r="AL45" s="454"/>
    </row>
    <row r="46" spans="1:39">
      <c r="A46" s="418"/>
      <c r="B46" s="362" t="s">
        <v>1334</v>
      </c>
      <c r="C46" s="337">
        <v>119</v>
      </c>
      <c r="D46" s="337">
        <v>6</v>
      </c>
      <c r="E46" s="346">
        <v>0</v>
      </c>
      <c r="G46" s="355" t="s">
        <v>904</v>
      </c>
      <c r="H46" s="337">
        <v>7</v>
      </c>
      <c r="I46" s="329">
        <f t="shared" si="23"/>
        <v>126</v>
      </c>
      <c r="L46" s="449">
        <v>11604</v>
      </c>
      <c r="N46" s="332">
        <f t="shared" si="24"/>
        <v>11604</v>
      </c>
      <c r="O46" s="332">
        <f t="shared" si="47"/>
        <v>138.14285714285714</v>
      </c>
      <c r="P46" s="332">
        <f t="shared" si="37"/>
        <v>1657.7142857142858</v>
      </c>
      <c r="Q46" s="329">
        <f t="shared" si="25"/>
        <v>0</v>
      </c>
      <c r="R46" s="332">
        <f t="shared" si="26"/>
        <v>1657.7142857142858</v>
      </c>
      <c r="S46" s="344">
        <v>1</v>
      </c>
      <c r="T46" s="332">
        <f t="shared" si="27"/>
        <v>1657.7142857142858</v>
      </c>
      <c r="V46" s="332">
        <f t="shared" si="28"/>
        <v>966.99999999999216</v>
      </c>
      <c r="W46" s="332">
        <f t="shared" si="29"/>
        <v>966.99999999999216</v>
      </c>
      <c r="X46" s="344">
        <v>1</v>
      </c>
      <c r="Y46" s="332">
        <f t="shared" si="30"/>
        <v>966.99999999999216</v>
      </c>
      <c r="Z46" s="332">
        <f t="shared" si="31"/>
        <v>2624.714285714278</v>
      </c>
      <c r="AA46" s="332">
        <f t="shared" si="32"/>
        <v>9808.1428571428642</v>
      </c>
      <c r="AB46" s="375">
        <f t="shared" si="33"/>
        <v>8979.285714285721</v>
      </c>
      <c r="AC46" s="343">
        <f t="shared" si="8"/>
        <v>119.41666666666667</v>
      </c>
      <c r="AD46" s="329">
        <f t="shared" si="9"/>
        <v>121</v>
      </c>
      <c r="AE46" s="343">
        <f t="shared" si="10"/>
        <v>126.41666666666667</v>
      </c>
      <c r="AF46" s="329">
        <f t="shared" si="11"/>
        <v>120</v>
      </c>
      <c r="AG46" s="342">
        <f t="shared" si="12"/>
        <v>-8.3333333333333329E-2</v>
      </c>
      <c r="AI46" s="454"/>
      <c r="AJ46" s="454"/>
      <c r="AK46" s="454"/>
      <c r="AL46" s="454"/>
    </row>
    <row r="47" spans="1:39">
      <c r="A47" s="418"/>
      <c r="B47" s="362" t="s">
        <v>1335</v>
      </c>
      <c r="C47" s="337">
        <v>119</v>
      </c>
      <c r="D47" s="337">
        <v>8</v>
      </c>
      <c r="E47" s="346">
        <v>0</v>
      </c>
      <c r="G47" s="355" t="s">
        <v>904</v>
      </c>
      <c r="H47" s="337">
        <v>7</v>
      </c>
      <c r="I47" s="329">
        <f t="shared" si="23"/>
        <v>126</v>
      </c>
      <c r="L47" s="449">
        <v>184484</v>
      </c>
      <c r="N47" s="332">
        <f t="shared" si="24"/>
        <v>184484</v>
      </c>
      <c r="O47" s="332">
        <f>N47/H47/12</f>
        <v>2196.238095238095</v>
      </c>
      <c r="P47" s="332">
        <f t="shared" si="37"/>
        <v>26354.857142857138</v>
      </c>
      <c r="Q47" s="329">
        <f t="shared" si="25"/>
        <v>0</v>
      </c>
      <c r="R47" s="332">
        <f t="shared" si="26"/>
        <v>26354.857142857138</v>
      </c>
      <c r="S47" s="344">
        <v>1</v>
      </c>
      <c r="T47" s="332">
        <f t="shared" ref="T47:T48" si="48">S47*SUM(P47:Q47)</f>
        <v>26354.857142857138</v>
      </c>
      <c r="V47" s="332">
        <f t="shared" si="28"/>
        <v>10981.190476190599</v>
      </c>
      <c r="W47" s="332">
        <f t="shared" si="29"/>
        <v>10981.190476190599</v>
      </c>
      <c r="X47" s="344">
        <v>1</v>
      </c>
      <c r="Y47" s="332">
        <f t="shared" si="30"/>
        <v>10981.190476190599</v>
      </c>
      <c r="Z47" s="332">
        <f t="shared" si="31"/>
        <v>37336.047619047735</v>
      </c>
      <c r="AA47" s="332">
        <f t="shared" si="32"/>
        <v>160325.38095238083</v>
      </c>
      <c r="AB47" s="375">
        <f t="shared" si="33"/>
        <v>147147.95238095225</v>
      </c>
      <c r="AC47" s="343">
        <f t="shared" si="8"/>
        <v>119.58333333333333</v>
      </c>
      <c r="AD47" s="329">
        <f t="shared" si="9"/>
        <v>121</v>
      </c>
      <c r="AE47" s="343">
        <f t="shared" si="10"/>
        <v>126.58333333333333</v>
      </c>
      <c r="AF47" s="329">
        <f t="shared" si="11"/>
        <v>120</v>
      </c>
      <c r="AG47" s="342">
        <f t="shared" si="12"/>
        <v>-8.3333333333333329E-2</v>
      </c>
      <c r="AI47" s="454"/>
      <c r="AJ47" s="454"/>
      <c r="AK47" s="454"/>
      <c r="AL47" s="454"/>
    </row>
    <row r="48" spans="1:39">
      <c r="A48" s="713"/>
      <c r="B48" s="362" t="s">
        <v>1383</v>
      </c>
      <c r="C48" s="337">
        <v>120</v>
      </c>
      <c r="D48" s="337">
        <v>3</v>
      </c>
      <c r="E48" s="346">
        <v>0</v>
      </c>
      <c r="G48" s="355" t="s">
        <v>904</v>
      </c>
      <c r="H48" s="337">
        <v>7</v>
      </c>
      <c r="I48" s="329">
        <f t="shared" si="23"/>
        <v>127</v>
      </c>
      <c r="L48" s="449">
        <v>1959</v>
      </c>
      <c r="N48" s="332">
        <f t="shared" si="24"/>
        <v>1959</v>
      </c>
      <c r="O48" s="332">
        <f>N48/H48/12</f>
        <v>23.321428571428569</v>
      </c>
      <c r="P48" s="332">
        <f t="shared" si="37"/>
        <v>233.21428571428436</v>
      </c>
      <c r="Q48" s="329">
        <f t="shared" si="25"/>
        <v>0</v>
      </c>
      <c r="R48" s="332">
        <f t="shared" si="26"/>
        <v>233.21428571428436</v>
      </c>
      <c r="S48" s="344">
        <v>1</v>
      </c>
      <c r="T48" s="332">
        <f t="shared" si="48"/>
        <v>233.21428571428436</v>
      </c>
      <c r="V48" s="332">
        <f t="shared" si="28"/>
        <v>0</v>
      </c>
      <c r="W48" s="332">
        <f t="shared" si="29"/>
        <v>0</v>
      </c>
      <c r="X48" s="344">
        <v>1</v>
      </c>
      <c r="Y48" s="332">
        <f t="shared" si="30"/>
        <v>0</v>
      </c>
      <c r="Z48" s="332">
        <f t="shared" si="31"/>
        <v>233.21428571428436</v>
      </c>
      <c r="AA48" s="332">
        <f t="shared" si="32"/>
        <v>862.89285714285779</v>
      </c>
      <c r="AB48" s="375">
        <f t="shared" si="33"/>
        <v>1725.7857142857156</v>
      </c>
      <c r="AC48" s="343">
        <f t="shared" si="8"/>
        <v>120.16666666666667</v>
      </c>
      <c r="AD48" s="329">
        <f t="shared" si="9"/>
        <v>121</v>
      </c>
      <c r="AE48" s="343">
        <f t="shared" si="10"/>
        <v>127.16666666666667</v>
      </c>
      <c r="AF48" s="329">
        <f t="shared" si="11"/>
        <v>120</v>
      </c>
      <c r="AG48" s="342">
        <f t="shared" si="12"/>
        <v>-8.3333333333333329E-2</v>
      </c>
      <c r="AI48" s="454"/>
      <c r="AJ48" s="454"/>
      <c r="AK48" s="454"/>
      <c r="AL48" s="454"/>
    </row>
    <row r="49" spans="1:39">
      <c r="A49" s="713"/>
      <c r="B49" s="362" t="s">
        <v>1373</v>
      </c>
      <c r="C49" s="337">
        <v>120</v>
      </c>
      <c r="D49" s="337">
        <v>11</v>
      </c>
      <c r="E49" s="346">
        <v>0</v>
      </c>
      <c r="G49" s="355" t="s">
        <v>904</v>
      </c>
      <c r="H49" s="337">
        <v>7</v>
      </c>
      <c r="I49" s="329">
        <f t="shared" si="0"/>
        <v>127</v>
      </c>
      <c r="L49" s="449">
        <v>173102</v>
      </c>
      <c r="N49" s="332">
        <f t="shared" si="17"/>
        <v>173102</v>
      </c>
      <c r="O49" s="332">
        <f>N49/H49/12</f>
        <v>2060.738095238095</v>
      </c>
      <c r="P49" s="332">
        <f t="shared" ref="P49" si="49">IF(M49&gt;0,0,IF(OR(AC49&gt;AD49,AE49&lt;AF49),0,IF(AND(AE49&gt;=AF49,AE49&lt;=AD49),O49*((AE49-AF49)*12),IF(AND(AF49&lt;=AC49,AD49&gt;=AC49),((AD49-AC49)*12)*O49,IF(AE49&gt;AD49,12*O49,0)))))</f>
        <v>4121.4761904763072</v>
      </c>
      <c r="Q49" s="329">
        <f t="shared" si="3"/>
        <v>0</v>
      </c>
      <c r="R49" s="332">
        <f t="shared" si="4"/>
        <v>4121.4761904763072</v>
      </c>
      <c r="S49" s="344">
        <v>1</v>
      </c>
      <c r="T49" s="332">
        <f t="shared" si="18"/>
        <v>4121.4761904763072</v>
      </c>
      <c r="V49" s="332">
        <f t="shared" si="19"/>
        <v>0</v>
      </c>
      <c r="W49" s="332">
        <f t="shared" si="5"/>
        <v>0</v>
      </c>
      <c r="X49" s="344">
        <v>1</v>
      </c>
      <c r="Y49" s="332">
        <f t="shared" si="6"/>
        <v>0</v>
      </c>
      <c r="Z49" s="332">
        <f t="shared" si="7"/>
        <v>4121.4761904763072</v>
      </c>
      <c r="AA49" s="332">
        <f t="shared" si="20"/>
        <v>84490.26190476185</v>
      </c>
      <c r="AB49" s="375">
        <f t="shared" si="22"/>
        <v>168980.5238095237</v>
      </c>
      <c r="AC49" s="343">
        <f t="shared" si="8"/>
        <v>120.83333333333333</v>
      </c>
      <c r="AD49" s="329">
        <f t="shared" si="9"/>
        <v>121</v>
      </c>
      <c r="AE49" s="343">
        <f t="shared" si="10"/>
        <v>127.83333333333333</v>
      </c>
      <c r="AF49" s="329">
        <f t="shared" si="11"/>
        <v>120</v>
      </c>
      <c r="AG49" s="342">
        <f t="shared" si="12"/>
        <v>-8.3333333333333329E-2</v>
      </c>
      <c r="AI49" s="454"/>
      <c r="AJ49" s="454"/>
      <c r="AK49" s="454"/>
      <c r="AL49" s="454"/>
    </row>
    <row r="50" spans="1:39">
      <c r="L50" s="410"/>
      <c r="M50" s="360"/>
      <c r="N50" s="359"/>
      <c r="P50" s="359"/>
      <c r="Q50" s="360"/>
      <c r="R50" s="359"/>
      <c r="T50" s="333"/>
      <c r="V50" s="359"/>
      <c r="W50" s="359"/>
      <c r="Y50" s="359"/>
      <c r="Z50" s="359"/>
      <c r="AA50" s="359"/>
      <c r="AB50" s="403"/>
      <c r="AI50" s="454"/>
      <c r="AJ50" s="454"/>
      <c r="AK50" s="454"/>
      <c r="AL50" s="454"/>
    </row>
    <row r="51" spans="1:39" ht="16.5" thickBot="1">
      <c r="L51" s="411">
        <f>SUM(L13:L50)-L36-L31-L32</f>
        <v>1794387.645</v>
      </c>
      <c r="N51" s="332">
        <f>SUM(N13:N50)</f>
        <v>2129521.645</v>
      </c>
      <c r="P51" s="332">
        <f>SUM(P13:P50)</f>
        <v>212022.14833333361</v>
      </c>
      <c r="Q51" s="329">
        <f>SUM(Q13:Q50)</f>
        <v>8546.6666666666169</v>
      </c>
      <c r="R51" s="332">
        <f>SUM(R13:R50)</f>
        <v>220568.81500000024</v>
      </c>
      <c r="T51" s="358">
        <f>SUM(T13:T50)</f>
        <v>215827.32500000022</v>
      </c>
      <c r="V51" s="332">
        <f>SUM(V13:V50)</f>
        <v>1038091.9895238094</v>
      </c>
      <c r="W51" s="332">
        <f>SUM(W13:W50)</f>
        <v>980717.00952380942</v>
      </c>
      <c r="Y51" s="332">
        <f>SUM(Y13:Y50)</f>
        <v>980717.00952380942</v>
      </c>
      <c r="Z51" s="332">
        <f>SUM(Z13:Z50)</f>
        <v>908001.71547619055</v>
      </c>
      <c r="AA51" s="358">
        <f>SUM(AA13:AA50)</f>
        <v>867948.31250000023</v>
      </c>
      <c r="AB51" s="358">
        <f>SUM(AB13:AB50)</f>
        <v>824269.45952380949</v>
      </c>
      <c r="AI51" s="454"/>
      <c r="AJ51" s="454"/>
      <c r="AK51" s="454"/>
      <c r="AL51" s="454"/>
    </row>
    <row r="52" spans="1:39" ht="16.5" thickTop="1">
      <c r="I52" s="334" t="s">
        <v>902</v>
      </c>
      <c r="L52" s="412">
        <f>SUM(L13:L47)-L36</f>
        <v>1803934.645</v>
      </c>
      <c r="N52" s="332"/>
      <c r="P52" s="361"/>
      <c r="R52" s="332"/>
      <c r="T52" s="333"/>
      <c r="Y52" s="332"/>
      <c r="Z52" s="332"/>
      <c r="AA52" s="332"/>
      <c r="AB52" s="332"/>
      <c r="AI52" s="454"/>
      <c r="AJ52" s="454"/>
      <c r="AK52" s="454"/>
      <c r="AL52" s="454"/>
    </row>
    <row r="53" spans="1:39">
      <c r="I53" s="334"/>
      <c r="L53" s="332"/>
      <c r="N53" s="332"/>
      <c r="P53" s="361"/>
      <c r="R53" s="332"/>
      <c r="T53" s="333"/>
      <c r="Y53" s="332"/>
      <c r="Z53" s="332"/>
      <c r="AA53" s="332"/>
      <c r="AB53" s="332"/>
      <c r="AI53" s="454"/>
      <c r="AJ53" s="454"/>
      <c r="AK53" s="454"/>
      <c r="AL53" s="454"/>
    </row>
    <row r="54" spans="1:39">
      <c r="B54" s="337" t="s">
        <v>1059</v>
      </c>
      <c r="I54" s="334"/>
      <c r="L54" s="332"/>
      <c r="N54" s="332"/>
      <c r="R54" s="332"/>
      <c r="T54" s="333"/>
      <c r="Y54" s="332"/>
      <c r="Z54" s="332"/>
      <c r="AB54" s="374"/>
      <c r="AI54" s="454"/>
      <c r="AJ54" s="454"/>
      <c r="AK54" s="454"/>
      <c r="AL54" s="454"/>
    </row>
    <row r="55" spans="1:39" ht="16.5" customHeight="1">
      <c r="B55" s="337" t="s">
        <v>1058</v>
      </c>
      <c r="C55" s="337">
        <v>105</v>
      </c>
      <c r="D55" s="337">
        <v>2</v>
      </c>
      <c r="E55" s="346">
        <v>0</v>
      </c>
      <c r="G55" s="355" t="s">
        <v>904</v>
      </c>
      <c r="H55" s="329">
        <v>7</v>
      </c>
      <c r="I55" s="329">
        <f>C55+H55</f>
        <v>112</v>
      </c>
      <c r="L55" s="335">
        <v>17380</v>
      </c>
      <c r="N55" s="332">
        <f>L55-L55*E55</f>
        <v>17380</v>
      </c>
      <c r="O55" s="332">
        <f>N55/H55/12</f>
        <v>206.9047619047619</v>
      </c>
      <c r="P55" s="332">
        <f>IF(M55&gt;0,0,IF(OR(AC55&gt;AD55,AE55&lt;AF55),0,IF(AND(AE55&gt;=AF55,AE55&lt;=AD55),O55*((AE55-AF55)*12),IF(AND(AF55&lt;=AC55,AD55&gt;=AC55),((AD55-AC55)*12)*O55,IF(AE55&gt;AD55,12*O55,0)))))</f>
        <v>0</v>
      </c>
      <c r="Q55" s="329">
        <f>IF(M55=0,0,IF(AND(AG55&gt;=AF55,AG55&lt;=AE55),((AG55-AF55)*12)*O55,0))</f>
        <v>0</v>
      </c>
      <c r="R55" s="332">
        <f>IF(Q55&gt;0,Q55,P55)</f>
        <v>0</v>
      </c>
      <c r="S55" s="344">
        <v>1</v>
      </c>
      <c r="T55" s="332">
        <f>S55*SUM(P55:Q55)</f>
        <v>0</v>
      </c>
      <c r="V55" s="332">
        <f>IF(AC55&gt;AD55,0,IF(AE55&lt;AF55,N55,IF(AND(AE55&gt;=AF55,AE55&lt;=AD55),(N55-R55),IF(AND(AF55&lt;=AC55,AD55&gt;=AC55),0,IF(AE55&gt;AD55,((AF55-AC55)*12)*O55,0)))))</f>
        <v>17380</v>
      </c>
      <c r="W55" s="332">
        <f>V55*S55</f>
        <v>17380</v>
      </c>
      <c r="X55" s="344">
        <v>1</v>
      </c>
      <c r="Y55" s="332">
        <f>W55*X55</f>
        <v>17380</v>
      </c>
      <c r="Z55" s="332">
        <f>IF(M55&gt;0,0,Y55+T55*X55)*X55</f>
        <v>17380</v>
      </c>
      <c r="AA55" s="375">
        <f>IF(M55&gt;0,(L55-Y55)/2,IF(AC55&gt;=AF55,(((L55*S55)*X55)-Z55)/2,((((L55*S55)*X55)-Y55)+(((L55*S55)*X55)-Z55))/2))</f>
        <v>0</v>
      </c>
      <c r="AB55" s="375">
        <f>L55-Z55</f>
        <v>0</v>
      </c>
      <c r="AC55" s="343">
        <f>$C55+(($D55-1)/12)</f>
        <v>105.08333333333333</v>
      </c>
      <c r="AD55" s="329">
        <f>($N$5+1)-($N$2/12)</f>
        <v>121</v>
      </c>
      <c r="AE55" s="343">
        <f>$I55+(($D55-1)/12)</f>
        <v>112.08333333333333</v>
      </c>
      <c r="AF55" s="329">
        <f>$N$4+($N$3/12)</f>
        <v>120</v>
      </c>
      <c r="AG55" s="342">
        <f>$J55+(($K55-1)/12)</f>
        <v>-8.3333333333333329E-2</v>
      </c>
      <c r="AI55" s="454"/>
      <c r="AJ55" s="454"/>
      <c r="AK55" s="454"/>
      <c r="AL55" s="454"/>
    </row>
    <row r="56" spans="1:39" ht="16.5" customHeight="1">
      <c r="B56" s="413" t="s">
        <v>1162</v>
      </c>
      <c r="C56" s="337">
        <v>118</v>
      </c>
      <c r="D56" s="337">
        <v>1</v>
      </c>
      <c r="E56" s="346">
        <v>0</v>
      </c>
      <c r="G56" s="355" t="s">
        <v>904</v>
      </c>
      <c r="H56" s="329">
        <v>3</v>
      </c>
      <c r="I56" s="329">
        <f>C56+H56</f>
        <v>121</v>
      </c>
      <c r="L56" s="335">
        <v>5735.4000000000015</v>
      </c>
      <c r="N56" s="332">
        <f>L56-L56*E56</f>
        <v>5735.4000000000015</v>
      </c>
      <c r="O56" s="332">
        <f>N56/H56/12</f>
        <v>159.31666666666669</v>
      </c>
      <c r="P56" s="332">
        <f>IF(M56&gt;0,0,IF(OR(AC56&gt;AD56,AE56&lt;AF56),0,IF(AND(AE56&gt;=AF56,AE56&lt;=AD56),O56*((AE56-AF56)*12),IF(AND(AF56&lt;=AC56,AD56&gt;=AC56),((AD56-AC56)*12)*O56,IF(AE56&gt;AD56,12*O56,0)))))</f>
        <v>1911.8000000000002</v>
      </c>
      <c r="Q56" s="329">
        <f>IF(M56=0,0,IF(AND(AG56&gt;=AF56,AG56&lt;=AE56),((AG56-AF56)*12)*O56,0))</f>
        <v>0</v>
      </c>
      <c r="R56" s="332">
        <f>IF(Q56&gt;0,Q56,P56)</f>
        <v>1911.8000000000002</v>
      </c>
      <c r="S56" s="344">
        <v>1</v>
      </c>
      <c r="T56" s="332">
        <f>S56*SUM(P56:Q56)</f>
        <v>1911.8000000000002</v>
      </c>
      <c r="V56" s="332">
        <f>IF(AC56&gt;AD56,0,IF(AE56&lt;AF56,N56,IF(AND(AE56&gt;=AF56,AE56&lt;=AD56),(N56-R56),IF(AND(AF56&lt;=AC56,AD56&gt;=AC56),0,IF(AE56&gt;AD56,((AF56-AC56)*12)*O56,0)))))</f>
        <v>3823.6000000000013</v>
      </c>
      <c r="W56" s="332">
        <f>V56*S56</f>
        <v>3823.6000000000013</v>
      </c>
      <c r="X56" s="344">
        <v>1</v>
      </c>
      <c r="Y56" s="332">
        <f>W56*X56</f>
        <v>3823.6000000000013</v>
      </c>
      <c r="Z56" s="332">
        <f>IF(M56&gt;0,0,Y56+T56*X56)*X56</f>
        <v>5735.4000000000015</v>
      </c>
      <c r="AA56" s="375">
        <f>IF(M56&gt;0,(L56-Y56)/2,IF(AC56&gt;=AF56,(((L56*S56)*X56)-Z56)/2,((((L56*S56)*X56)-Y56)+(((L56*S56)*X56)-Z56))/2))</f>
        <v>955.90000000000009</v>
      </c>
      <c r="AB56" s="375">
        <f>L56-Z56</f>
        <v>0</v>
      </c>
      <c r="AC56" s="343">
        <f>$C56+(($D56-1)/12)</f>
        <v>118</v>
      </c>
      <c r="AD56" s="329">
        <f>($N$5+1)-($N$2/12)</f>
        <v>121</v>
      </c>
      <c r="AE56" s="343">
        <f>$I56+(($D56-1)/12)</f>
        <v>121</v>
      </c>
      <c r="AF56" s="329">
        <f>$N$4+($N$3/12)</f>
        <v>120</v>
      </c>
      <c r="AG56" s="342">
        <f>$J56+(($K56-1)/12)</f>
        <v>-8.3333333333333329E-2</v>
      </c>
      <c r="AI56" s="454"/>
      <c r="AJ56" s="454"/>
      <c r="AK56" s="454"/>
      <c r="AL56" s="454"/>
    </row>
    <row r="57" spans="1:39" ht="16.5" thickBot="1">
      <c r="A57" s="418"/>
      <c r="B57" s="337" t="s">
        <v>1057</v>
      </c>
      <c r="C57" s="421">
        <v>112</v>
      </c>
      <c r="D57" s="421">
        <v>12</v>
      </c>
      <c r="E57" s="422">
        <v>0</v>
      </c>
      <c r="F57" s="341"/>
      <c r="G57" s="355" t="s">
        <v>904</v>
      </c>
      <c r="H57" s="341">
        <v>7</v>
      </c>
      <c r="I57" s="329">
        <f>C57+H57</f>
        <v>119</v>
      </c>
      <c r="J57" s="341"/>
      <c r="K57" s="341"/>
      <c r="L57" s="664">
        <v>176919</v>
      </c>
      <c r="M57" s="357"/>
      <c r="N57" s="356">
        <f>L57-L57*E57</f>
        <v>176919</v>
      </c>
      <c r="O57" s="332">
        <f>N57/H57/12</f>
        <v>2106.1785714285716</v>
      </c>
      <c r="P57" s="356">
        <f>IF(M57&gt;0,0,IF(OR(AC57&gt;AD57,AE57&lt;AF57),0,IF(AND(AE57&gt;=AF57,AE57&lt;=AD57),O57*((AE57-AF57)*12),IF(AND(AF57&lt;=AC57,AD57&gt;=AC57),((AD57-AC57)*12)*O57,IF(AE57&gt;AD57,12*O57,0)))))</f>
        <v>0</v>
      </c>
      <c r="Q57" s="357">
        <f>IF(M57=0,0,IF(AND(AG57&gt;=AF57,AG57&lt;=AE57),((AG57-AF57)*12)*O57,0))</f>
        <v>0</v>
      </c>
      <c r="R57" s="356">
        <f>IF(Q57&gt;0,Q57,P57)</f>
        <v>0</v>
      </c>
      <c r="S57" s="344">
        <v>1</v>
      </c>
      <c r="T57" s="356">
        <f>S57*SUM(P57:Q57)</f>
        <v>0</v>
      </c>
      <c r="U57" s="341"/>
      <c r="V57" s="356">
        <f>IF(AC57&gt;AD57,0,IF(AE57&lt;AF57,N57,IF(AND(AE57&gt;=AF57,AE57&lt;=AD57),(N57-R57),IF(AND(AF57&lt;=AC57,AD57&gt;=AC57),0,IF(AE57&gt;AD57,((AF57-AC57)*12)*O57,0)))))</f>
        <v>176919</v>
      </c>
      <c r="W57" s="356">
        <f>V57*S57</f>
        <v>176919</v>
      </c>
      <c r="X57" s="344">
        <v>1</v>
      </c>
      <c r="Y57" s="356">
        <f>W57*X57</f>
        <v>176919</v>
      </c>
      <c r="Z57" s="356">
        <f>IF(M57&gt;0,0,Y57+T57*X57)*X57</f>
        <v>176919</v>
      </c>
      <c r="AA57" s="423">
        <f>IF(M57&gt;0,(L57-Y57)/2,IF(AC57&gt;=AF57,(((L57*S57)*X57)-Z57)/2,((((L57*S57)*X57)-Y57)+(((L57*S57)*X57)-Z57))/2))</f>
        <v>0</v>
      </c>
      <c r="AB57" s="423">
        <f>L57-Z57</f>
        <v>0</v>
      </c>
      <c r="AC57" s="343">
        <f>$C57+(($D57-1)/12)</f>
        <v>112.91666666666667</v>
      </c>
      <c r="AD57" s="329">
        <f>($N$5+1)-($N$2/12)</f>
        <v>121</v>
      </c>
      <c r="AE57" s="343">
        <f>$I57+(($D57-1)/12)</f>
        <v>119.91666666666667</v>
      </c>
      <c r="AF57" s="329">
        <f>$N$4+($N$3/12)</f>
        <v>120</v>
      </c>
      <c r="AG57" s="342">
        <f>$J57+(($K57-1)/12)</f>
        <v>-8.3333333333333329E-2</v>
      </c>
      <c r="AI57" s="454">
        <f>17500+36000</f>
        <v>53500</v>
      </c>
      <c r="AJ57" s="454">
        <f>26643+21668</f>
        <v>48311</v>
      </c>
      <c r="AK57" s="454"/>
      <c r="AL57" s="459">
        <f>AI57-AJ57</f>
        <v>5189</v>
      </c>
      <c r="AM57" s="329" t="s">
        <v>1185</v>
      </c>
    </row>
    <row r="58" spans="1:39">
      <c r="I58" s="334"/>
      <c r="L58" s="332"/>
      <c r="N58" s="332"/>
      <c r="R58" s="332"/>
      <c r="Y58" s="332"/>
      <c r="Z58" s="332"/>
      <c r="AI58" s="454"/>
      <c r="AJ58" s="454"/>
      <c r="AK58" s="454"/>
      <c r="AL58" s="454"/>
    </row>
    <row r="59" spans="1:39" ht="16.5" thickBot="1">
      <c r="B59" s="337" t="s">
        <v>1056</v>
      </c>
      <c r="I59" s="334"/>
      <c r="L59" s="340">
        <f>SUM(L55:L57)</f>
        <v>200034.4</v>
      </c>
      <c r="N59" s="332">
        <f>SUM(N55:N57)</f>
        <v>200034.4</v>
      </c>
      <c r="R59" s="332"/>
      <c r="T59" s="339">
        <f>SUM(T55:T57)</f>
        <v>1911.8000000000002</v>
      </c>
      <c r="V59" s="332">
        <f>SUM(V55:V57)</f>
        <v>198122.6</v>
      </c>
      <c r="W59" s="332">
        <f>SUM(W55:W57)</f>
        <v>198122.6</v>
      </c>
      <c r="Y59" s="332">
        <f>SUM(Y55:Y57)</f>
        <v>198122.6</v>
      </c>
      <c r="Z59" s="332">
        <f>SUM(Z55:Z57)</f>
        <v>200034.4</v>
      </c>
      <c r="AA59" s="339">
        <f>SUM(AA55:AA57)</f>
        <v>955.90000000000009</v>
      </c>
      <c r="AB59" s="339">
        <f>SUM(AB55:AB57)</f>
        <v>0</v>
      </c>
      <c r="AL59" s="458">
        <f>AL34+AL36+AL37+AL57</f>
        <v>26043</v>
      </c>
    </row>
    <row r="60" spans="1:39" ht="16.5" thickTop="1">
      <c r="B60" s="337"/>
      <c r="I60" s="334" t="s">
        <v>902</v>
      </c>
      <c r="L60" s="338">
        <f>SUM(L55:L57)</f>
        <v>200034.4</v>
      </c>
      <c r="N60" s="332"/>
      <c r="R60" s="332"/>
      <c r="T60" s="333"/>
      <c r="Y60" s="332"/>
      <c r="Z60" s="332"/>
      <c r="AA60" s="333"/>
      <c r="AB60" s="333"/>
      <c r="AL60" s="460">
        <f>AL59</f>
        <v>26043</v>
      </c>
      <c r="AM60" s="329" t="s">
        <v>1187</v>
      </c>
    </row>
    <row r="61" spans="1:39">
      <c r="B61" s="337" t="s">
        <v>1055</v>
      </c>
      <c r="I61" s="334"/>
      <c r="L61" s="332"/>
      <c r="N61" s="332"/>
      <c r="R61" s="332"/>
      <c r="T61" s="333"/>
      <c r="Y61" s="332"/>
      <c r="Z61" s="332"/>
      <c r="AA61" s="333"/>
      <c r="AB61" s="333"/>
    </row>
    <row r="62" spans="1:39">
      <c r="B62" s="337" t="s">
        <v>1054</v>
      </c>
      <c r="C62" s="337">
        <v>81</v>
      </c>
      <c r="D62" s="337">
        <v>4</v>
      </c>
      <c r="E62" s="346">
        <v>0</v>
      </c>
      <c r="G62" s="355" t="s">
        <v>904</v>
      </c>
      <c r="H62" s="337">
        <v>10</v>
      </c>
      <c r="I62" s="329">
        <f t="shared" ref="I62:I93" si="50">C62+H62</f>
        <v>91</v>
      </c>
      <c r="L62" s="335">
        <v>7384</v>
      </c>
      <c r="N62" s="332">
        <f t="shared" ref="N62:N93" si="51">L62-L62*E62</f>
        <v>7384</v>
      </c>
      <c r="O62" s="332">
        <f t="shared" ref="O62:O93" si="52">N62/H62/12</f>
        <v>61.533333333333331</v>
      </c>
      <c r="P62" s="332">
        <f t="shared" ref="P62:P93" si="53">IF(M62&gt;0,0,IF(OR(AC62&gt;AD62,AE62&lt;AF62),0,IF(AND(AE62&gt;=AF62,AE62&lt;=AD62),O62*((AE62-AF62)*12),IF(AND(AF62&lt;=AC62,AD62&gt;=AC62),((AD62-AC62)*12)*O62,IF(AE62&gt;AD62,12*O62,0)))))</f>
        <v>0</v>
      </c>
      <c r="Q62" s="329">
        <f t="shared" ref="Q62:Q93" si="54">IF(M62=0,0,IF(AND(AG62&gt;=AF62,AG62&lt;=AE62),((AG62-AF62)*12)*O62,0))</f>
        <v>0</v>
      </c>
      <c r="R62" s="332">
        <f t="shared" ref="R62:R93" si="55">IF(Q62&gt;0,Q62,P62)</f>
        <v>0</v>
      </c>
      <c r="S62" s="344">
        <v>1</v>
      </c>
      <c r="T62" s="332">
        <f t="shared" ref="T62:T93" si="56">S62*SUM(P62:Q62)</f>
        <v>0</v>
      </c>
      <c r="V62" s="332">
        <f t="shared" ref="V62:V93" si="57">IF(AC62&gt;AD62,0,IF(AE62&lt;AF62,N62,IF(AND(AE62&gt;=AF62,AE62&lt;=AD62),(N62-R62),IF(AND(AF62&lt;=AC62,AD62&gt;=AC62),0,IF(AE62&gt;AD62,((AF62-AC62)*12)*O62,0)))))</f>
        <v>7384</v>
      </c>
      <c r="W62" s="332">
        <f t="shared" ref="W62:W93" si="58">V62*S62</f>
        <v>7384</v>
      </c>
      <c r="X62" s="344">
        <v>1</v>
      </c>
      <c r="Y62" s="332">
        <f t="shared" ref="Y62:Y93" si="59">W62*X62</f>
        <v>7384</v>
      </c>
      <c r="Z62" s="332">
        <f t="shared" ref="Z62:Z93" si="60">IF(M62&gt;0,0,Y62+T62*X62)*X62</f>
        <v>7384</v>
      </c>
      <c r="AA62" s="332">
        <f t="shared" ref="AA62:AA93" si="61">IF(M62&gt;0,(L62-Y62)/2,IF(AC62&gt;=AF62,(((L62*S62)*X62)-Z62)/2,((((L62*S62)*X62)-Y62)+(((L62*S62)*X62)-Z62))/2))</f>
        <v>0</v>
      </c>
      <c r="AB62" s="332">
        <f>L62-Z62</f>
        <v>0</v>
      </c>
      <c r="AC62" s="343">
        <f t="shared" ref="AC62:AC93" si="62">$C62+(($D62-1)/12)</f>
        <v>81.25</v>
      </c>
      <c r="AD62" s="329">
        <f t="shared" ref="AD62:AD93" si="63">($N$5+1)-($N$2/12)</f>
        <v>121</v>
      </c>
      <c r="AE62" s="343">
        <f t="shared" ref="AE62:AE93" si="64">$I62+(($D62-1)/12)</f>
        <v>91.25</v>
      </c>
      <c r="AF62" s="329">
        <f t="shared" ref="AF62:AF93" si="65">$N$4+($N$3/12)</f>
        <v>120</v>
      </c>
      <c r="AG62" s="342">
        <f t="shared" ref="AG62:AG93" si="66">$J62+(($K62-1)/12)</f>
        <v>-8.3333333333333329E-2</v>
      </c>
    </row>
    <row r="63" spans="1:39">
      <c r="B63" s="337" t="s">
        <v>1053</v>
      </c>
      <c r="C63" s="337">
        <v>82</v>
      </c>
      <c r="D63" s="337">
        <v>1</v>
      </c>
      <c r="E63" s="346">
        <v>0</v>
      </c>
      <c r="G63" s="355" t="s">
        <v>904</v>
      </c>
      <c r="H63" s="337">
        <v>10</v>
      </c>
      <c r="I63" s="329">
        <f t="shared" si="50"/>
        <v>92</v>
      </c>
      <c r="L63" s="335">
        <v>583</v>
      </c>
      <c r="N63" s="332">
        <f t="shared" si="51"/>
        <v>583</v>
      </c>
      <c r="O63" s="332">
        <f t="shared" si="52"/>
        <v>4.8583333333333334</v>
      </c>
      <c r="P63" s="332">
        <f t="shared" si="53"/>
        <v>0</v>
      </c>
      <c r="Q63" s="329">
        <f t="shared" si="54"/>
        <v>0</v>
      </c>
      <c r="R63" s="332">
        <f t="shared" si="55"/>
        <v>0</v>
      </c>
      <c r="S63" s="344">
        <v>1</v>
      </c>
      <c r="T63" s="332">
        <f t="shared" si="56"/>
        <v>0</v>
      </c>
      <c r="V63" s="332">
        <f t="shared" si="57"/>
        <v>583</v>
      </c>
      <c r="W63" s="332">
        <f t="shared" si="58"/>
        <v>583</v>
      </c>
      <c r="X63" s="344">
        <v>1</v>
      </c>
      <c r="Y63" s="332">
        <f t="shared" si="59"/>
        <v>583</v>
      </c>
      <c r="Z63" s="332">
        <f t="shared" si="60"/>
        <v>583</v>
      </c>
      <c r="AA63" s="332">
        <f t="shared" si="61"/>
        <v>0</v>
      </c>
      <c r="AB63" s="332">
        <f t="shared" ref="AB63:AB126" si="67">L63-Z63</f>
        <v>0</v>
      </c>
      <c r="AC63" s="343">
        <f t="shared" si="62"/>
        <v>82</v>
      </c>
      <c r="AD63" s="329">
        <f t="shared" si="63"/>
        <v>121</v>
      </c>
      <c r="AE63" s="343">
        <f t="shared" si="64"/>
        <v>92</v>
      </c>
      <c r="AF63" s="329">
        <f t="shared" si="65"/>
        <v>120</v>
      </c>
      <c r="AG63" s="342">
        <f t="shared" si="66"/>
        <v>-8.3333333333333329E-2</v>
      </c>
    </row>
    <row r="64" spans="1:39">
      <c r="B64" s="337" t="s">
        <v>1053</v>
      </c>
      <c r="C64" s="337">
        <v>83</v>
      </c>
      <c r="D64" s="337">
        <v>1</v>
      </c>
      <c r="E64" s="346">
        <v>0</v>
      </c>
      <c r="G64" s="355" t="s">
        <v>904</v>
      </c>
      <c r="H64" s="337">
        <v>10</v>
      </c>
      <c r="I64" s="329">
        <f t="shared" si="50"/>
        <v>93</v>
      </c>
      <c r="L64" s="335">
        <v>4802</v>
      </c>
      <c r="N64" s="332">
        <f t="shared" si="51"/>
        <v>4802</v>
      </c>
      <c r="O64" s="332">
        <f t="shared" si="52"/>
        <v>40.016666666666666</v>
      </c>
      <c r="P64" s="332">
        <f t="shared" si="53"/>
        <v>0</v>
      </c>
      <c r="Q64" s="329">
        <f t="shared" si="54"/>
        <v>0</v>
      </c>
      <c r="R64" s="332">
        <f t="shared" si="55"/>
        <v>0</v>
      </c>
      <c r="S64" s="344">
        <v>1</v>
      </c>
      <c r="T64" s="332">
        <f t="shared" si="56"/>
        <v>0</v>
      </c>
      <c r="V64" s="332">
        <f t="shared" si="57"/>
        <v>4802</v>
      </c>
      <c r="W64" s="332">
        <f t="shared" si="58"/>
        <v>4802</v>
      </c>
      <c r="X64" s="344">
        <v>1</v>
      </c>
      <c r="Y64" s="332">
        <f t="shared" si="59"/>
        <v>4802</v>
      </c>
      <c r="Z64" s="332">
        <f t="shared" si="60"/>
        <v>4802</v>
      </c>
      <c r="AA64" s="332">
        <f t="shared" si="61"/>
        <v>0</v>
      </c>
      <c r="AB64" s="332">
        <f t="shared" si="67"/>
        <v>0</v>
      </c>
      <c r="AC64" s="343">
        <f t="shared" si="62"/>
        <v>83</v>
      </c>
      <c r="AD64" s="329">
        <f t="shared" si="63"/>
        <v>121</v>
      </c>
      <c r="AE64" s="343">
        <f t="shared" si="64"/>
        <v>93</v>
      </c>
      <c r="AF64" s="329">
        <f t="shared" si="65"/>
        <v>120</v>
      </c>
      <c r="AG64" s="342">
        <f t="shared" si="66"/>
        <v>-8.3333333333333329E-2</v>
      </c>
    </row>
    <row r="65" spans="2:33">
      <c r="B65" s="337" t="s">
        <v>1052</v>
      </c>
      <c r="C65" s="337">
        <v>84</v>
      </c>
      <c r="D65" s="337">
        <v>11</v>
      </c>
      <c r="E65" s="346">
        <v>0</v>
      </c>
      <c r="G65" s="355" t="s">
        <v>904</v>
      </c>
      <c r="H65" s="337">
        <v>10</v>
      </c>
      <c r="I65" s="329">
        <f t="shared" si="50"/>
        <v>94</v>
      </c>
      <c r="L65" s="335">
        <v>1156</v>
      </c>
      <c r="N65" s="332">
        <f t="shared" si="51"/>
        <v>1156</v>
      </c>
      <c r="O65" s="332">
        <f t="shared" si="52"/>
        <v>9.6333333333333329</v>
      </c>
      <c r="P65" s="332">
        <f t="shared" si="53"/>
        <v>0</v>
      </c>
      <c r="Q65" s="329">
        <f t="shared" si="54"/>
        <v>0</v>
      </c>
      <c r="R65" s="332">
        <f t="shared" si="55"/>
        <v>0</v>
      </c>
      <c r="S65" s="344">
        <v>1</v>
      </c>
      <c r="T65" s="332">
        <f t="shared" si="56"/>
        <v>0</v>
      </c>
      <c r="V65" s="332">
        <f t="shared" si="57"/>
        <v>1156</v>
      </c>
      <c r="W65" s="332">
        <f t="shared" si="58"/>
        <v>1156</v>
      </c>
      <c r="X65" s="344">
        <v>1</v>
      </c>
      <c r="Y65" s="332">
        <f t="shared" si="59"/>
        <v>1156</v>
      </c>
      <c r="Z65" s="332">
        <f t="shared" si="60"/>
        <v>1156</v>
      </c>
      <c r="AA65" s="332">
        <f t="shared" si="61"/>
        <v>0</v>
      </c>
      <c r="AB65" s="332">
        <f t="shared" si="67"/>
        <v>0</v>
      </c>
      <c r="AC65" s="343">
        <f t="shared" si="62"/>
        <v>84.833333333333329</v>
      </c>
      <c r="AD65" s="329">
        <f t="shared" si="63"/>
        <v>121</v>
      </c>
      <c r="AE65" s="343">
        <f t="shared" si="64"/>
        <v>94.833333333333329</v>
      </c>
      <c r="AF65" s="329">
        <f t="shared" si="65"/>
        <v>120</v>
      </c>
      <c r="AG65" s="342">
        <f t="shared" si="66"/>
        <v>-8.3333333333333329E-2</v>
      </c>
    </row>
    <row r="66" spans="2:33">
      <c r="B66" s="337" t="s">
        <v>1052</v>
      </c>
      <c r="C66" s="337">
        <v>85</v>
      </c>
      <c r="D66" s="337">
        <v>8</v>
      </c>
      <c r="E66" s="346">
        <v>0</v>
      </c>
      <c r="G66" s="355" t="s">
        <v>904</v>
      </c>
      <c r="H66" s="337">
        <v>10</v>
      </c>
      <c r="I66" s="329">
        <f t="shared" si="50"/>
        <v>95</v>
      </c>
      <c r="L66" s="335">
        <v>5454</v>
      </c>
      <c r="N66" s="332">
        <f t="shared" si="51"/>
        <v>5454</v>
      </c>
      <c r="O66" s="332">
        <f t="shared" si="52"/>
        <v>45.449999999999996</v>
      </c>
      <c r="P66" s="332">
        <f t="shared" si="53"/>
        <v>0</v>
      </c>
      <c r="Q66" s="329">
        <f t="shared" si="54"/>
        <v>0</v>
      </c>
      <c r="R66" s="332">
        <f t="shared" si="55"/>
        <v>0</v>
      </c>
      <c r="S66" s="344">
        <v>1</v>
      </c>
      <c r="T66" s="332">
        <f t="shared" si="56"/>
        <v>0</v>
      </c>
      <c r="V66" s="332">
        <f t="shared" si="57"/>
        <v>5454</v>
      </c>
      <c r="W66" s="332">
        <f t="shared" si="58"/>
        <v>5454</v>
      </c>
      <c r="X66" s="344">
        <v>1</v>
      </c>
      <c r="Y66" s="332">
        <f t="shared" si="59"/>
        <v>5454</v>
      </c>
      <c r="Z66" s="332">
        <f t="shared" si="60"/>
        <v>5454</v>
      </c>
      <c r="AA66" s="332">
        <f t="shared" si="61"/>
        <v>0</v>
      </c>
      <c r="AB66" s="332">
        <f t="shared" si="67"/>
        <v>0</v>
      </c>
      <c r="AC66" s="343">
        <f t="shared" si="62"/>
        <v>85.583333333333329</v>
      </c>
      <c r="AD66" s="329">
        <f t="shared" si="63"/>
        <v>121</v>
      </c>
      <c r="AE66" s="343">
        <f t="shared" si="64"/>
        <v>95.583333333333329</v>
      </c>
      <c r="AF66" s="329">
        <f t="shared" si="65"/>
        <v>120</v>
      </c>
      <c r="AG66" s="342">
        <f t="shared" si="66"/>
        <v>-8.3333333333333329E-2</v>
      </c>
    </row>
    <row r="67" spans="2:33" ht="15" customHeight="1">
      <c r="B67" s="337" t="s">
        <v>1051</v>
      </c>
      <c r="C67" s="337">
        <v>86</v>
      </c>
      <c r="D67" s="337">
        <v>6</v>
      </c>
      <c r="E67" s="346">
        <v>0</v>
      </c>
      <c r="G67" s="355" t="s">
        <v>904</v>
      </c>
      <c r="H67" s="337">
        <v>10</v>
      </c>
      <c r="I67" s="329">
        <f t="shared" si="50"/>
        <v>96</v>
      </c>
      <c r="L67" s="335">
        <v>2857</v>
      </c>
      <c r="N67" s="332">
        <f t="shared" si="51"/>
        <v>2857</v>
      </c>
      <c r="O67" s="332">
        <f t="shared" si="52"/>
        <v>23.808333333333334</v>
      </c>
      <c r="P67" s="332">
        <f t="shared" si="53"/>
        <v>0</v>
      </c>
      <c r="Q67" s="329">
        <f t="shared" si="54"/>
        <v>0</v>
      </c>
      <c r="R67" s="332">
        <f t="shared" si="55"/>
        <v>0</v>
      </c>
      <c r="S67" s="344">
        <v>1</v>
      </c>
      <c r="T67" s="332">
        <f t="shared" si="56"/>
        <v>0</v>
      </c>
      <c r="V67" s="332">
        <f t="shared" si="57"/>
        <v>2857</v>
      </c>
      <c r="W67" s="332">
        <f t="shared" si="58"/>
        <v>2857</v>
      </c>
      <c r="X67" s="344">
        <v>1</v>
      </c>
      <c r="Y67" s="332">
        <f t="shared" si="59"/>
        <v>2857</v>
      </c>
      <c r="Z67" s="332">
        <f t="shared" si="60"/>
        <v>2857</v>
      </c>
      <c r="AA67" s="332">
        <f t="shared" si="61"/>
        <v>0</v>
      </c>
      <c r="AB67" s="332">
        <f t="shared" si="67"/>
        <v>0</v>
      </c>
      <c r="AC67" s="343">
        <f t="shared" si="62"/>
        <v>86.416666666666671</v>
      </c>
      <c r="AD67" s="329">
        <f t="shared" si="63"/>
        <v>121</v>
      </c>
      <c r="AE67" s="343">
        <f t="shared" si="64"/>
        <v>96.416666666666671</v>
      </c>
      <c r="AF67" s="329">
        <f t="shared" si="65"/>
        <v>120</v>
      </c>
      <c r="AG67" s="342">
        <f t="shared" si="66"/>
        <v>-8.3333333333333329E-2</v>
      </c>
    </row>
    <row r="68" spans="2:33">
      <c r="B68" s="337" t="s">
        <v>1050</v>
      </c>
      <c r="C68" s="337">
        <v>87</v>
      </c>
      <c r="D68" s="337">
        <v>5</v>
      </c>
      <c r="E68" s="346">
        <v>0</v>
      </c>
      <c r="G68" s="355" t="s">
        <v>904</v>
      </c>
      <c r="H68" s="337">
        <v>10</v>
      </c>
      <c r="I68" s="329">
        <f t="shared" si="50"/>
        <v>97</v>
      </c>
      <c r="L68" s="335">
        <v>830</v>
      </c>
      <c r="N68" s="332">
        <f t="shared" si="51"/>
        <v>830</v>
      </c>
      <c r="O68" s="332">
        <f t="shared" si="52"/>
        <v>6.916666666666667</v>
      </c>
      <c r="P68" s="332">
        <f t="shared" si="53"/>
        <v>0</v>
      </c>
      <c r="Q68" s="329">
        <f t="shared" si="54"/>
        <v>0</v>
      </c>
      <c r="R68" s="332">
        <f t="shared" si="55"/>
        <v>0</v>
      </c>
      <c r="S68" s="344">
        <v>1</v>
      </c>
      <c r="T68" s="332">
        <f t="shared" si="56"/>
        <v>0</v>
      </c>
      <c r="V68" s="332">
        <f t="shared" si="57"/>
        <v>830</v>
      </c>
      <c r="W68" s="332">
        <f t="shared" si="58"/>
        <v>830</v>
      </c>
      <c r="X68" s="344">
        <v>1</v>
      </c>
      <c r="Y68" s="332">
        <f t="shared" si="59"/>
        <v>830</v>
      </c>
      <c r="Z68" s="332">
        <f t="shared" si="60"/>
        <v>830</v>
      </c>
      <c r="AA68" s="332">
        <f t="shared" si="61"/>
        <v>0</v>
      </c>
      <c r="AB68" s="332">
        <f t="shared" si="67"/>
        <v>0</v>
      </c>
      <c r="AC68" s="343">
        <f t="shared" si="62"/>
        <v>87.333333333333329</v>
      </c>
      <c r="AD68" s="329">
        <f t="shared" si="63"/>
        <v>121</v>
      </c>
      <c r="AE68" s="343">
        <f t="shared" si="64"/>
        <v>97.333333333333329</v>
      </c>
      <c r="AF68" s="329">
        <f t="shared" si="65"/>
        <v>120</v>
      </c>
      <c r="AG68" s="342">
        <f t="shared" si="66"/>
        <v>-8.3333333333333329E-2</v>
      </c>
    </row>
    <row r="69" spans="2:33">
      <c r="B69" s="337" t="s">
        <v>1049</v>
      </c>
      <c r="C69" s="337">
        <v>87</v>
      </c>
      <c r="D69" s="337">
        <v>5</v>
      </c>
      <c r="E69" s="346">
        <v>0</v>
      </c>
      <c r="G69" s="355" t="s">
        <v>904</v>
      </c>
      <c r="H69" s="337">
        <v>10</v>
      </c>
      <c r="I69" s="329">
        <f t="shared" si="50"/>
        <v>97</v>
      </c>
      <c r="L69" s="335">
        <v>4312</v>
      </c>
      <c r="N69" s="332">
        <f t="shared" si="51"/>
        <v>4312</v>
      </c>
      <c r="O69" s="332">
        <f t="shared" si="52"/>
        <v>35.93333333333333</v>
      </c>
      <c r="P69" s="332">
        <f t="shared" si="53"/>
        <v>0</v>
      </c>
      <c r="Q69" s="329">
        <f t="shared" si="54"/>
        <v>0</v>
      </c>
      <c r="R69" s="332">
        <f t="shared" si="55"/>
        <v>0</v>
      </c>
      <c r="S69" s="344">
        <v>1</v>
      </c>
      <c r="T69" s="332">
        <f t="shared" si="56"/>
        <v>0</v>
      </c>
      <c r="V69" s="332">
        <f t="shared" si="57"/>
        <v>4312</v>
      </c>
      <c r="W69" s="332">
        <f t="shared" si="58"/>
        <v>4312</v>
      </c>
      <c r="X69" s="344">
        <v>1</v>
      </c>
      <c r="Y69" s="332">
        <f t="shared" si="59"/>
        <v>4312</v>
      </c>
      <c r="Z69" s="332">
        <f t="shared" si="60"/>
        <v>4312</v>
      </c>
      <c r="AA69" s="332">
        <f t="shared" si="61"/>
        <v>0</v>
      </c>
      <c r="AB69" s="332">
        <f t="shared" si="67"/>
        <v>0</v>
      </c>
      <c r="AC69" s="343">
        <f t="shared" si="62"/>
        <v>87.333333333333329</v>
      </c>
      <c r="AD69" s="329">
        <f t="shared" si="63"/>
        <v>121</v>
      </c>
      <c r="AE69" s="343">
        <f t="shared" si="64"/>
        <v>97.333333333333329</v>
      </c>
      <c r="AF69" s="329">
        <f t="shared" si="65"/>
        <v>120</v>
      </c>
      <c r="AG69" s="342">
        <f t="shared" si="66"/>
        <v>-8.3333333333333329E-2</v>
      </c>
    </row>
    <row r="70" spans="2:33">
      <c r="B70" s="337" t="s">
        <v>1048</v>
      </c>
      <c r="C70" s="337">
        <v>87</v>
      </c>
      <c r="D70" s="337">
        <v>5</v>
      </c>
      <c r="E70" s="346">
        <v>0</v>
      </c>
      <c r="G70" s="355" t="s">
        <v>904</v>
      </c>
      <c r="H70" s="337">
        <v>10</v>
      </c>
      <c r="I70" s="329">
        <f t="shared" si="50"/>
        <v>97</v>
      </c>
      <c r="L70" s="335">
        <v>1742</v>
      </c>
      <c r="N70" s="332">
        <f t="shared" si="51"/>
        <v>1742</v>
      </c>
      <c r="O70" s="332">
        <f t="shared" si="52"/>
        <v>14.516666666666666</v>
      </c>
      <c r="P70" s="332">
        <f t="shared" si="53"/>
        <v>0</v>
      </c>
      <c r="Q70" s="329">
        <f t="shared" si="54"/>
        <v>0</v>
      </c>
      <c r="R70" s="332">
        <f t="shared" si="55"/>
        <v>0</v>
      </c>
      <c r="S70" s="344">
        <v>1</v>
      </c>
      <c r="T70" s="332">
        <f t="shared" si="56"/>
        <v>0</v>
      </c>
      <c r="V70" s="332">
        <f t="shared" si="57"/>
        <v>1742</v>
      </c>
      <c r="W70" s="332">
        <f t="shared" si="58"/>
        <v>1742</v>
      </c>
      <c r="X70" s="344">
        <v>1</v>
      </c>
      <c r="Y70" s="332">
        <f t="shared" si="59"/>
        <v>1742</v>
      </c>
      <c r="Z70" s="332">
        <f t="shared" si="60"/>
        <v>1742</v>
      </c>
      <c r="AA70" s="332">
        <f t="shared" si="61"/>
        <v>0</v>
      </c>
      <c r="AB70" s="332">
        <f t="shared" si="67"/>
        <v>0</v>
      </c>
      <c r="AC70" s="343">
        <f t="shared" si="62"/>
        <v>87.333333333333329</v>
      </c>
      <c r="AD70" s="329">
        <f t="shared" si="63"/>
        <v>121</v>
      </c>
      <c r="AE70" s="343">
        <f t="shared" si="64"/>
        <v>97.333333333333329</v>
      </c>
      <c r="AF70" s="329">
        <f t="shared" si="65"/>
        <v>120</v>
      </c>
      <c r="AG70" s="342">
        <f t="shared" si="66"/>
        <v>-8.3333333333333329E-2</v>
      </c>
    </row>
    <row r="71" spans="2:33">
      <c r="B71" s="337" t="s">
        <v>1047</v>
      </c>
      <c r="C71" s="337">
        <v>87</v>
      </c>
      <c r="D71" s="337">
        <v>7</v>
      </c>
      <c r="E71" s="346">
        <v>0</v>
      </c>
      <c r="G71" s="355" t="s">
        <v>904</v>
      </c>
      <c r="H71" s="337">
        <v>10</v>
      </c>
      <c r="I71" s="329">
        <f t="shared" si="50"/>
        <v>97</v>
      </c>
      <c r="L71" s="335">
        <v>2555</v>
      </c>
      <c r="N71" s="332">
        <f t="shared" si="51"/>
        <v>2555</v>
      </c>
      <c r="O71" s="332">
        <f t="shared" si="52"/>
        <v>21.291666666666668</v>
      </c>
      <c r="P71" s="332">
        <f t="shared" si="53"/>
        <v>0</v>
      </c>
      <c r="Q71" s="329">
        <f t="shared" si="54"/>
        <v>0</v>
      </c>
      <c r="R71" s="332">
        <f t="shared" si="55"/>
        <v>0</v>
      </c>
      <c r="S71" s="344">
        <v>1</v>
      </c>
      <c r="T71" s="332">
        <f t="shared" si="56"/>
        <v>0</v>
      </c>
      <c r="V71" s="332">
        <f t="shared" si="57"/>
        <v>2555</v>
      </c>
      <c r="W71" s="332">
        <f t="shared" si="58"/>
        <v>2555</v>
      </c>
      <c r="X71" s="344">
        <v>1</v>
      </c>
      <c r="Y71" s="332">
        <f t="shared" si="59"/>
        <v>2555</v>
      </c>
      <c r="Z71" s="332">
        <f t="shared" si="60"/>
        <v>2555</v>
      </c>
      <c r="AA71" s="332">
        <f t="shared" si="61"/>
        <v>0</v>
      </c>
      <c r="AB71" s="332">
        <f t="shared" si="67"/>
        <v>0</v>
      </c>
      <c r="AC71" s="343">
        <f t="shared" si="62"/>
        <v>87.5</v>
      </c>
      <c r="AD71" s="329">
        <f t="shared" si="63"/>
        <v>121</v>
      </c>
      <c r="AE71" s="343">
        <f t="shared" si="64"/>
        <v>97.5</v>
      </c>
      <c r="AF71" s="329">
        <f t="shared" si="65"/>
        <v>120</v>
      </c>
      <c r="AG71" s="342">
        <f t="shared" si="66"/>
        <v>-8.3333333333333329E-2</v>
      </c>
    </row>
    <row r="72" spans="2:33">
      <c r="B72" s="337" t="s">
        <v>1046</v>
      </c>
      <c r="C72" s="337">
        <v>88</v>
      </c>
      <c r="D72" s="337">
        <v>5</v>
      </c>
      <c r="E72" s="346">
        <v>0</v>
      </c>
      <c r="G72" s="355" t="s">
        <v>904</v>
      </c>
      <c r="H72" s="337">
        <v>10</v>
      </c>
      <c r="I72" s="329">
        <f t="shared" si="50"/>
        <v>98</v>
      </c>
      <c r="L72" s="335">
        <v>508</v>
      </c>
      <c r="N72" s="332">
        <f t="shared" si="51"/>
        <v>508</v>
      </c>
      <c r="O72" s="332">
        <f t="shared" si="52"/>
        <v>4.2333333333333334</v>
      </c>
      <c r="P72" s="332">
        <f t="shared" si="53"/>
        <v>0</v>
      </c>
      <c r="Q72" s="329">
        <f t="shared" si="54"/>
        <v>0</v>
      </c>
      <c r="R72" s="332">
        <f t="shared" si="55"/>
        <v>0</v>
      </c>
      <c r="S72" s="344">
        <v>1</v>
      </c>
      <c r="T72" s="332">
        <f t="shared" si="56"/>
        <v>0</v>
      </c>
      <c r="V72" s="332">
        <f t="shared" si="57"/>
        <v>508</v>
      </c>
      <c r="W72" s="332">
        <f t="shared" si="58"/>
        <v>508</v>
      </c>
      <c r="X72" s="344">
        <v>1</v>
      </c>
      <c r="Y72" s="332">
        <f t="shared" si="59"/>
        <v>508</v>
      </c>
      <c r="Z72" s="332">
        <f t="shared" si="60"/>
        <v>508</v>
      </c>
      <c r="AA72" s="332">
        <f t="shared" si="61"/>
        <v>0</v>
      </c>
      <c r="AB72" s="332">
        <f t="shared" si="67"/>
        <v>0</v>
      </c>
      <c r="AC72" s="343">
        <f t="shared" si="62"/>
        <v>88.333333333333329</v>
      </c>
      <c r="AD72" s="329">
        <f t="shared" si="63"/>
        <v>121</v>
      </c>
      <c r="AE72" s="343">
        <f t="shared" si="64"/>
        <v>98.333333333333329</v>
      </c>
      <c r="AF72" s="329">
        <f t="shared" si="65"/>
        <v>120</v>
      </c>
      <c r="AG72" s="342">
        <f t="shared" si="66"/>
        <v>-8.3333333333333329E-2</v>
      </c>
    </row>
    <row r="73" spans="2:33">
      <c r="B73" s="337" t="s">
        <v>1045</v>
      </c>
      <c r="C73" s="337">
        <v>88</v>
      </c>
      <c r="D73" s="337">
        <v>5</v>
      </c>
      <c r="E73" s="346">
        <v>0</v>
      </c>
      <c r="G73" s="355" t="s">
        <v>904</v>
      </c>
      <c r="H73" s="337">
        <v>10</v>
      </c>
      <c r="I73" s="329">
        <f t="shared" si="50"/>
        <v>98</v>
      </c>
      <c r="L73" s="335">
        <v>1039</v>
      </c>
      <c r="N73" s="332">
        <f t="shared" si="51"/>
        <v>1039</v>
      </c>
      <c r="O73" s="332">
        <f t="shared" si="52"/>
        <v>8.6583333333333332</v>
      </c>
      <c r="P73" s="332">
        <f t="shared" si="53"/>
        <v>0</v>
      </c>
      <c r="Q73" s="329">
        <f t="shared" si="54"/>
        <v>0</v>
      </c>
      <c r="R73" s="332">
        <f t="shared" si="55"/>
        <v>0</v>
      </c>
      <c r="S73" s="344">
        <v>1</v>
      </c>
      <c r="T73" s="332">
        <f t="shared" si="56"/>
        <v>0</v>
      </c>
      <c r="V73" s="332">
        <f t="shared" si="57"/>
        <v>1039</v>
      </c>
      <c r="W73" s="332">
        <f t="shared" si="58"/>
        <v>1039</v>
      </c>
      <c r="X73" s="344">
        <v>1</v>
      </c>
      <c r="Y73" s="332">
        <f t="shared" si="59"/>
        <v>1039</v>
      </c>
      <c r="Z73" s="332">
        <f t="shared" si="60"/>
        <v>1039</v>
      </c>
      <c r="AA73" s="332">
        <f t="shared" si="61"/>
        <v>0</v>
      </c>
      <c r="AB73" s="332">
        <f t="shared" si="67"/>
        <v>0</v>
      </c>
      <c r="AC73" s="343">
        <f t="shared" si="62"/>
        <v>88.333333333333329</v>
      </c>
      <c r="AD73" s="329">
        <f t="shared" si="63"/>
        <v>121</v>
      </c>
      <c r="AE73" s="343">
        <f t="shared" si="64"/>
        <v>98.333333333333329</v>
      </c>
      <c r="AF73" s="329">
        <f t="shared" si="65"/>
        <v>120</v>
      </c>
      <c r="AG73" s="342">
        <f t="shared" si="66"/>
        <v>-8.3333333333333329E-2</v>
      </c>
    </row>
    <row r="74" spans="2:33">
      <c r="B74" s="337" t="s">
        <v>1044</v>
      </c>
      <c r="C74" s="337">
        <v>88</v>
      </c>
      <c r="D74" s="337">
        <v>5</v>
      </c>
      <c r="E74" s="346">
        <v>0</v>
      </c>
      <c r="G74" s="355" t="s">
        <v>904</v>
      </c>
      <c r="H74" s="337">
        <v>10</v>
      </c>
      <c r="I74" s="329">
        <f t="shared" si="50"/>
        <v>98</v>
      </c>
      <c r="L74" s="335">
        <v>2173</v>
      </c>
      <c r="N74" s="332">
        <f t="shared" si="51"/>
        <v>2173</v>
      </c>
      <c r="O74" s="332">
        <f t="shared" si="52"/>
        <v>18.108333333333334</v>
      </c>
      <c r="P74" s="332">
        <f t="shared" si="53"/>
        <v>0</v>
      </c>
      <c r="Q74" s="329">
        <f t="shared" si="54"/>
        <v>0</v>
      </c>
      <c r="R74" s="332">
        <f t="shared" si="55"/>
        <v>0</v>
      </c>
      <c r="S74" s="344">
        <v>1</v>
      </c>
      <c r="T74" s="332">
        <f t="shared" si="56"/>
        <v>0</v>
      </c>
      <c r="V74" s="332">
        <f t="shared" si="57"/>
        <v>2173</v>
      </c>
      <c r="W74" s="332">
        <f t="shared" si="58"/>
        <v>2173</v>
      </c>
      <c r="X74" s="344">
        <v>1</v>
      </c>
      <c r="Y74" s="332">
        <f t="shared" si="59"/>
        <v>2173</v>
      </c>
      <c r="Z74" s="332">
        <f t="shared" si="60"/>
        <v>2173</v>
      </c>
      <c r="AA74" s="332">
        <f t="shared" si="61"/>
        <v>0</v>
      </c>
      <c r="AB74" s="332">
        <f t="shared" si="67"/>
        <v>0</v>
      </c>
      <c r="AC74" s="343">
        <f t="shared" si="62"/>
        <v>88.333333333333329</v>
      </c>
      <c r="AD74" s="329">
        <f t="shared" si="63"/>
        <v>121</v>
      </c>
      <c r="AE74" s="343">
        <f t="shared" si="64"/>
        <v>98.333333333333329</v>
      </c>
      <c r="AF74" s="329">
        <f t="shared" si="65"/>
        <v>120</v>
      </c>
      <c r="AG74" s="342">
        <f t="shared" si="66"/>
        <v>-8.3333333333333329E-2</v>
      </c>
    </row>
    <row r="75" spans="2:33">
      <c r="B75" s="337" t="s">
        <v>1043</v>
      </c>
      <c r="C75" s="337">
        <v>88</v>
      </c>
      <c r="D75" s="337">
        <v>5</v>
      </c>
      <c r="E75" s="346">
        <v>0</v>
      </c>
      <c r="G75" s="355" t="s">
        <v>904</v>
      </c>
      <c r="H75" s="337">
        <v>10</v>
      </c>
      <c r="I75" s="329">
        <f t="shared" si="50"/>
        <v>98</v>
      </c>
      <c r="L75" s="335">
        <v>251</v>
      </c>
      <c r="N75" s="332">
        <f t="shared" si="51"/>
        <v>251</v>
      </c>
      <c r="O75" s="332">
        <f t="shared" si="52"/>
        <v>2.0916666666666668</v>
      </c>
      <c r="P75" s="332">
        <f t="shared" si="53"/>
        <v>0</v>
      </c>
      <c r="Q75" s="329">
        <f t="shared" si="54"/>
        <v>0</v>
      </c>
      <c r="R75" s="332">
        <f t="shared" si="55"/>
        <v>0</v>
      </c>
      <c r="S75" s="344">
        <v>1</v>
      </c>
      <c r="T75" s="332">
        <f t="shared" si="56"/>
        <v>0</v>
      </c>
      <c r="V75" s="332">
        <f t="shared" si="57"/>
        <v>251</v>
      </c>
      <c r="W75" s="332">
        <f t="shared" si="58"/>
        <v>251</v>
      </c>
      <c r="X75" s="344">
        <v>1</v>
      </c>
      <c r="Y75" s="332">
        <f t="shared" si="59"/>
        <v>251</v>
      </c>
      <c r="Z75" s="332">
        <f t="shared" si="60"/>
        <v>251</v>
      </c>
      <c r="AA75" s="332">
        <f t="shared" si="61"/>
        <v>0</v>
      </c>
      <c r="AB75" s="332">
        <f t="shared" si="67"/>
        <v>0</v>
      </c>
      <c r="AC75" s="343">
        <f t="shared" si="62"/>
        <v>88.333333333333329</v>
      </c>
      <c r="AD75" s="329">
        <f t="shared" si="63"/>
        <v>121</v>
      </c>
      <c r="AE75" s="343">
        <f t="shared" si="64"/>
        <v>98.333333333333329</v>
      </c>
      <c r="AF75" s="329">
        <f t="shared" si="65"/>
        <v>120</v>
      </c>
      <c r="AG75" s="342">
        <f t="shared" si="66"/>
        <v>-8.3333333333333329E-2</v>
      </c>
    </row>
    <row r="76" spans="2:33">
      <c r="B76" s="337" t="s">
        <v>1040</v>
      </c>
      <c r="C76" s="337">
        <v>88</v>
      </c>
      <c r="D76" s="337">
        <v>6</v>
      </c>
      <c r="E76" s="346">
        <v>0</v>
      </c>
      <c r="G76" s="355" t="s">
        <v>904</v>
      </c>
      <c r="H76" s="337">
        <v>10</v>
      </c>
      <c r="I76" s="329">
        <f t="shared" si="50"/>
        <v>98</v>
      </c>
      <c r="L76" s="335">
        <v>1202</v>
      </c>
      <c r="N76" s="332">
        <f t="shared" si="51"/>
        <v>1202</v>
      </c>
      <c r="O76" s="332">
        <f t="shared" si="52"/>
        <v>10.016666666666667</v>
      </c>
      <c r="P76" s="332">
        <f t="shared" si="53"/>
        <v>0</v>
      </c>
      <c r="Q76" s="329">
        <f t="shared" si="54"/>
        <v>0</v>
      </c>
      <c r="R76" s="332">
        <f t="shared" si="55"/>
        <v>0</v>
      </c>
      <c r="S76" s="344">
        <v>1</v>
      </c>
      <c r="T76" s="332">
        <f t="shared" si="56"/>
        <v>0</v>
      </c>
      <c r="V76" s="332">
        <f t="shared" si="57"/>
        <v>1202</v>
      </c>
      <c r="W76" s="332">
        <f t="shared" si="58"/>
        <v>1202</v>
      </c>
      <c r="X76" s="344">
        <v>1</v>
      </c>
      <c r="Y76" s="332">
        <f t="shared" si="59"/>
        <v>1202</v>
      </c>
      <c r="Z76" s="332">
        <f t="shared" si="60"/>
        <v>1202</v>
      </c>
      <c r="AA76" s="332">
        <f t="shared" si="61"/>
        <v>0</v>
      </c>
      <c r="AB76" s="332">
        <f t="shared" si="67"/>
        <v>0</v>
      </c>
      <c r="AC76" s="343">
        <f t="shared" si="62"/>
        <v>88.416666666666671</v>
      </c>
      <c r="AD76" s="329">
        <f t="shared" si="63"/>
        <v>121</v>
      </c>
      <c r="AE76" s="343">
        <f t="shared" si="64"/>
        <v>98.416666666666671</v>
      </c>
      <c r="AF76" s="329">
        <f t="shared" si="65"/>
        <v>120</v>
      </c>
      <c r="AG76" s="342">
        <f t="shared" si="66"/>
        <v>-8.3333333333333329E-2</v>
      </c>
    </row>
    <row r="77" spans="2:33">
      <c r="B77" s="337" t="s">
        <v>1032</v>
      </c>
      <c r="C77" s="337">
        <v>88</v>
      </c>
      <c r="D77" s="337">
        <v>7</v>
      </c>
      <c r="E77" s="346">
        <v>0</v>
      </c>
      <c r="G77" s="355" t="s">
        <v>904</v>
      </c>
      <c r="H77" s="337">
        <v>10</v>
      </c>
      <c r="I77" s="329">
        <f t="shared" si="50"/>
        <v>98</v>
      </c>
      <c r="L77" s="335">
        <v>508</v>
      </c>
      <c r="N77" s="332">
        <f t="shared" si="51"/>
        <v>508</v>
      </c>
      <c r="O77" s="332">
        <f t="shared" si="52"/>
        <v>4.2333333333333334</v>
      </c>
      <c r="P77" s="332">
        <f t="shared" si="53"/>
        <v>0</v>
      </c>
      <c r="Q77" s="329">
        <f t="shared" si="54"/>
        <v>0</v>
      </c>
      <c r="R77" s="332">
        <f t="shared" si="55"/>
        <v>0</v>
      </c>
      <c r="S77" s="344">
        <v>1</v>
      </c>
      <c r="T77" s="332">
        <f t="shared" si="56"/>
        <v>0</v>
      </c>
      <c r="V77" s="332">
        <f t="shared" si="57"/>
        <v>508</v>
      </c>
      <c r="W77" s="332">
        <f t="shared" si="58"/>
        <v>508</v>
      </c>
      <c r="X77" s="344">
        <v>1</v>
      </c>
      <c r="Y77" s="332">
        <f t="shared" si="59"/>
        <v>508</v>
      </c>
      <c r="Z77" s="332">
        <f t="shared" si="60"/>
        <v>508</v>
      </c>
      <c r="AA77" s="332">
        <f t="shared" si="61"/>
        <v>0</v>
      </c>
      <c r="AB77" s="332">
        <f t="shared" si="67"/>
        <v>0</v>
      </c>
      <c r="AC77" s="343">
        <f t="shared" si="62"/>
        <v>88.5</v>
      </c>
      <c r="AD77" s="329">
        <f t="shared" si="63"/>
        <v>121</v>
      </c>
      <c r="AE77" s="343">
        <f t="shared" si="64"/>
        <v>98.5</v>
      </c>
      <c r="AF77" s="329">
        <f t="shared" si="65"/>
        <v>120</v>
      </c>
      <c r="AG77" s="342">
        <f t="shared" si="66"/>
        <v>-8.3333333333333329E-2</v>
      </c>
    </row>
    <row r="78" spans="2:33">
      <c r="B78" s="337" t="s">
        <v>1042</v>
      </c>
      <c r="C78" s="337">
        <v>88</v>
      </c>
      <c r="D78" s="337">
        <v>7</v>
      </c>
      <c r="E78" s="346">
        <v>0</v>
      </c>
      <c r="G78" s="355" t="s">
        <v>904</v>
      </c>
      <c r="H78" s="337">
        <v>10</v>
      </c>
      <c r="I78" s="329">
        <f t="shared" si="50"/>
        <v>98</v>
      </c>
      <c r="L78" s="335">
        <v>601</v>
      </c>
      <c r="N78" s="332">
        <f t="shared" si="51"/>
        <v>601</v>
      </c>
      <c r="O78" s="332">
        <f t="shared" si="52"/>
        <v>5.0083333333333337</v>
      </c>
      <c r="P78" s="332">
        <f t="shared" si="53"/>
        <v>0</v>
      </c>
      <c r="Q78" s="329">
        <f t="shared" si="54"/>
        <v>0</v>
      </c>
      <c r="R78" s="332">
        <f t="shared" si="55"/>
        <v>0</v>
      </c>
      <c r="S78" s="344">
        <v>1</v>
      </c>
      <c r="T78" s="332">
        <f t="shared" si="56"/>
        <v>0</v>
      </c>
      <c r="V78" s="332">
        <f t="shared" si="57"/>
        <v>601</v>
      </c>
      <c r="W78" s="332">
        <f t="shared" si="58"/>
        <v>601</v>
      </c>
      <c r="X78" s="344">
        <v>1</v>
      </c>
      <c r="Y78" s="332">
        <f t="shared" si="59"/>
        <v>601</v>
      </c>
      <c r="Z78" s="332">
        <f t="shared" si="60"/>
        <v>601</v>
      </c>
      <c r="AA78" s="332">
        <f t="shared" si="61"/>
        <v>0</v>
      </c>
      <c r="AB78" s="332">
        <f t="shared" si="67"/>
        <v>0</v>
      </c>
      <c r="AC78" s="343">
        <f t="shared" si="62"/>
        <v>88.5</v>
      </c>
      <c r="AD78" s="329">
        <f t="shared" si="63"/>
        <v>121</v>
      </c>
      <c r="AE78" s="343">
        <f t="shared" si="64"/>
        <v>98.5</v>
      </c>
      <c r="AF78" s="329">
        <f t="shared" si="65"/>
        <v>120</v>
      </c>
      <c r="AG78" s="342">
        <f t="shared" si="66"/>
        <v>-8.3333333333333329E-2</v>
      </c>
    </row>
    <row r="79" spans="2:33">
      <c r="B79" s="337" t="s">
        <v>1035</v>
      </c>
      <c r="C79" s="337">
        <v>88</v>
      </c>
      <c r="D79" s="337">
        <v>8</v>
      </c>
      <c r="E79" s="346">
        <v>0</v>
      </c>
      <c r="G79" s="355" t="s">
        <v>904</v>
      </c>
      <c r="H79" s="337">
        <v>10</v>
      </c>
      <c r="I79" s="329">
        <f t="shared" si="50"/>
        <v>98</v>
      </c>
      <c r="L79" s="335">
        <v>301</v>
      </c>
      <c r="N79" s="332">
        <f t="shared" si="51"/>
        <v>301</v>
      </c>
      <c r="O79" s="332">
        <f t="shared" si="52"/>
        <v>2.5083333333333333</v>
      </c>
      <c r="P79" s="332">
        <f t="shared" si="53"/>
        <v>0</v>
      </c>
      <c r="Q79" s="329">
        <f t="shared" si="54"/>
        <v>0</v>
      </c>
      <c r="R79" s="332">
        <f t="shared" si="55"/>
        <v>0</v>
      </c>
      <c r="S79" s="344">
        <v>1</v>
      </c>
      <c r="T79" s="332">
        <f t="shared" si="56"/>
        <v>0</v>
      </c>
      <c r="V79" s="332">
        <f t="shared" si="57"/>
        <v>301</v>
      </c>
      <c r="W79" s="332">
        <f t="shared" si="58"/>
        <v>301</v>
      </c>
      <c r="X79" s="344">
        <v>1</v>
      </c>
      <c r="Y79" s="332">
        <f t="shared" si="59"/>
        <v>301</v>
      </c>
      <c r="Z79" s="332">
        <f t="shared" si="60"/>
        <v>301</v>
      </c>
      <c r="AA79" s="332">
        <f t="shared" si="61"/>
        <v>0</v>
      </c>
      <c r="AB79" s="332">
        <f t="shared" si="67"/>
        <v>0</v>
      </c>
      <c r="AC79" s="343">
        <f t="shared" si="62"/>
        <v>88.583333333333329</v>
      </c>
      <c r="AD79" s="329">
        <f t="shared" si="63"/>
        <v>121</v>
      </c>
      <c r="AE79" s="343">
        <f t="shared" si="64"/>
        <v>98.583333333333329</v>
      </c>
      <c r="AF79" s="329">
        <f t="shared" si="65"/>
        <v>120</v>
      </c>
      <c r="AG79" s="342">
        <f t="shared" si="66"/>
        <v>-8.3333333333333329E-2</v>
      </c>
    </row>
    <row r="80" spans="2:33">
      <c r="B80" s="337" t="s">
        <v>1024</v>
      </c>
      <c r="C80" s="337">
        <v>88</v>
      </c>
      <c r="D80" s="337">
        <v>8</v>
      </c>
      <c r="E80" s="346">
        <v>0</v>
      </c>
      <c r="G80" s="355" t="s">
        <v>904</v>
      </c>
      <c r="H80" s="337">
        <v>10</v>
      </c>
      <c r="I80" s="329">
        <f t="shared" si="50"/>
        <v>98</v>
      </c>
      <c r="L80" s="335">
        <v>730</v>
      </c>
      <c r="N80" s="332">
        <f t="shared" si="51"/>
        <v>730</v>
      </c>
      <c r="O80" s="332">
        <f t="shared" si="52"/>
        <v>6.083333333333333</v>
      </c>
      <c r="P80" s="332">
        <f t="shared" si="53"/>
        <v>0</v>
      </c>
      <c r="Q80" s="329">
        <f t="shared" si="54"/>
        <v>0</v>
      </c>
      <c r="R80" s="332">
        <f t="shared" si="55"/>
        <v>0</v>
      </c>
      <c r="S80" s="344">
        <v>1</v>
      </c>
      <c r="T80" s="332">
        <f t="shared" si="56"/>
        <v>0</v>
      </c>
      <c r="V80" s="332">
        <f t="shared" si="57"/>
        <v>730</v>
      </c>
      <c r="W80" s="332">
        <f t="shared" si="58"/>
        <v>730</v>
      </c>
      <c r="X80" s="344">
        <v>1</v>
      </c>
      <c r="Y80" s="332">
        <f t="shared" si="59"/>
        <v>730</v>
      </c>
      <c r="Z80" s="332">
        <f t="shared" si="60"/>
        <v>730</v>
      </c>
      <c r="AA80" s="332">
        <f t="shared" si="61"/>
        <v>0</v>
      </c>
      <c r="AB80" s="332">
        <f t="shared" si="67"/>
        <v>0</v>
      </c>
      <c r="AC80" s="343">
        <f t="shared" si="62"/>
        <v>88.583333333333329</v>
      </c>
      <c r="AD80" s="329">
        <f t="shared" si="63"/>
        <v>121</v>
      </c>
      <c r="AE80" s="343">
        <f t="shared" si="64"/>
        <v>98.583333333333329</v>
      </c>
      <c r="AF80" s="329">
        <f t="shared" si="65"/>
        <v>120</v>
      </c>
      <c r="AG80" s="342">
        <f t="shared" si="66"/>
        <v>-8.3333333333333329E-2</v>
      </c>
    </row>
    <row r="81" spans="2:33">
      <c r="B81" s="337" t="s">
        <v>1015</v>
      </c>
      <c r="C81" s="337">
        <v>89</v>
      </c>
      <c r="D81" s="337">
        <v>3</v>
      </c>
      <c r="E81" s="346">
        <v>0</v>
      </c>
      <c r="G81" s="355" t="s">
        <v>904</v>
      </c>
      <c r="H81" s="337">
        <v>10</v>
      </c>
      <c r="I81" s="329">
        <f t="shared" si="50"/>
        <v>99</v>
      </c>
      <c r="L81" s="335">
        <v>1611</v>
      </c>
      <c r="N81" s="332">
        <f t="shared" si="51"/>
        <v>1611</v>
      </c>
      <c r="O81" s="332">
        <f t="shared" si="52"/>
        <v>13.424999999999999</v>
      </c>
      <c r="P81" s="332">
        <f t="shared" si="53"/>
        <v>0</v>
      </c>
      <c r="Q81" s="329">
        <f t="shared" si="54"/>
        <v>0</v>
      </c>
      <c r="R81" s="332">
        <f t="shared" si="55"/>
        <v>0</v>
      </c>
      <c r="S81" s="344">
        <v>1</v>
      </c>
      <c r="T81" s="332">
        <f t="shared" si="56"/>
        <v>0</v>
      </c>
      <c r="V81" s="332">
        <f t="shared" si="57"/>
        <v>1611</v>
      </c>
      <c r="W81" s="332">
        <f t="shared" si="58"/>
        <v>1611</v>
      </c>
      <c r="X81" s="344">
        <v>1</v>
      </c>
      <c r="Y81" s="332">
        <f t="shared" si="59"/>
        <v>1611</v>
      </c>
      <c r="Z81" s="332">
        <f t="shared" si="60"/>
        <v>1611</v>
      </c>
      <c r="AA81" s="332">
        <f t="shared" si="61"/>
        <v>0</v>
      </c>
      <c r="AB81" s="332">
        <f t="shared" si="67"/>
        <v>0</v>
      </c>
      <c r="AC81" s="343">
        <f t="shared" si="62"/>
        <v>89.166666666666671</v>
      </c>
      <c r="AD81" s="329">
        <f t="shared" si="63"/>
        <v>121</v>
      </c>
      <c r="AE81" s="343">
        <f t="shared" si="64"/>
        <v>99.166666666666671</v>
      </c>
      <c r="AF81" s="329">
        <f t="shared" si="65"/>
        <v>120</v>
      </c>
      <c r="AG81" s="342">
        <f t="shared" si="66"/>
        <v>-8.3333333333333329E-2</v>
      </c>
    </row>
    <row r="82" spans="2:33">
      <c r="B82" s="337" t="s">
        <v>1041</v>
      </c>
      <c r="C82" s="337">
        <v>89</v>
      </c>
      <c r="D82" s="337">
        <v>4</v>
      </c>
      <c r="E82" s="346">
        <v>0</v>
      </c>
      <c r="G82" s="355" t="s">
        <v>904</v>
      </c>
      <c r="H82" s="337">
        <v>10</v>
      </c>
      <c r="I82" s="329">
        <f t="shared" si="50"/>
        <v>99</v>
      </c>
      <c r="L82" s="335">
        <v>2162</v>
      </c>
      <c r="N82" s="332">
        <f t="shared" si="51"/>
        <v>2162</v>
      </c>
      <c r="O82" s="332">
        <f t="shared" si="52"/>
        <v>18.016666666666666</v>
      </c>
      <c r="P82" s="332">
        <f t="shared" si="53"/>
        <v>0</v>
      </c>
      <c r="Q82" s="329">
        <f t="shared" si="54"/>
        <v>0</v>
      </c>
      <c r="R82" s="332">
        <f t="shared" si="55"/>
        <v>0</v>
      </c>
      <c r="S82" s="344">
        <v>1</v>
      </c>
      <c r="T82" s="332">
        <f t="shared" si="56"/>
        <v>0</v>
      </c>
      <c r="V82" s="332">
        <f t="shared" si="57"/>
        <v>2162</v>
      </c>
      <c r="W82" s="332">
        <f t="shared" si="58"/>
        <v>2162</v>
      </c>
      <c r="X82" s="344">
        <v>1</v>
      </c>
      <c r="Y82" s="332">
        <f t="shared" si="59"/>
        <v>2162</v>
      </c>
      <c r="Z82" s="332">
        <f t="shared" si="60"/>
        <v>2162</v>
      </c>
      <c r="AA82" s="332">
        <f t="shared" si="61"/>
        <v>0</v>
      </c>
      <c r="AB82" s="332">
        <f t="shared" si="67"/>
        <v>0</v>
      </c>
      <c r="AC82" s="343">
        <f t="shared" si="62"/>
        <v>89.25</v>
      </c>
      <c r="AD82" s="329">
        <f t="shared" si="63"/>
        <v>121</v>
      </c>
      <c r="AE82" s="343">
        <f t="shared" si="64"/>
        <v>99.25</v>
      </c>
      <c r="AF82" s="329">
        <f t="shared" si="65"/>
        <v>120</v>
      </c>
      <c r="AG82" s="342">
        <f t="shared" si="66"/>
        <v>-8.3333333333333329E-2</v>
      </c>
    </row>
    <row r="83" spans="2:33">
      <c r="B83" s="337" t="s">
        <v>1021</v>
      </c>
      <c r="C83" s="337">
        <v>89</v>
      </c>
      <c r="D83" s="337">
        <v>4</v>
      </c>
      <c r="E83" s="346">
        <v>0</v>
      </c>
      <c r="G83" s="355" t="s">
        <v>904</v>
      </c>
      <c r="H83" s="337">
        <v>10</v>
      </c>
      <c r="I83" s="329">
        <f t="shared" si="50"/>
        <v>99</v>
      </c>
      <c r="L83" s="335">
        <v>3081</v>
      </c>
      <c r="N83" s="332">
        <f t="shared" si="51"/>
        <v>3081</v>
      </c>
      <c r="O83" s="332">
        <f t="shared" si="52"/>
        <v>25.675000000000001</v>
      </c>
      <c r="P83" s="332">
        <f t="shared" si="53"/>
        <v>0</v>
      </c>
      <c r="Q83" s="329">
        <f t="shared" si="54"/>
        <v>0</v>
      </c>
      <c r="R83" s="332">
        <f t="shared" si="55"/>
        <v>0</v>
      </c>
      <c r="S83" s="344">
        <v>1</v>
      </c>
      <c r="T83" s="332">
        <f t="shared" si="56"/>
        <v>0</v>
      </c>
      <c r="V83" s="332">
        <f t="shared" si="57"/>
        <v>3081</v>
      </c>
      <c r="W83" s="332">
        <f t="shared" si="58"/>
        <v>3081</v>
      </c>
      <c r="X83" s="344">
        <v>1</v>
      </c>
      <c r="Y83" s="332">
        <f t="shared" si="59"/>
        <v>3081</v>
      </c>
      <c r="Z83" s="332">
        <f t="shared" si="60"/>
        <v>3081</v>
      </c>
      <c r="AA83" s="332">
        <f t="shared" si="61"/>
        <v>0</v>
      </c>
      <c r="AB83" s="332">
        <f t="shared" si="67"/>
        <v>0</v>
      </c>
      <c r="AC83" s="343">
        <f t="shared" si="62"/>
        <v>89.25</v>
      </c>
      <c r="AD83" s="329">
        <f t="shared" si="63"/>
        <v>121</v>
      </c>
      <c r="AE83" s="343">
        <f t="shared" si="64"/>
        <v>99.25</v>
      </c>
      <c r="AF83" s="329">
        <f t="shared" si="65"/>
        <v>120</v>
      </c>
      <c r="AG83" s="342">
        <f t="shared" si="66"/>
        <v>-8.3333333333333329E-2</v>
      </c>
    </row>
    <row r="84" spans="2:33">
      <c r="B84" s="337" t="s">
        <v>1024</v>
      </c>
      <c r="C84" s="337">
        <v>89</v>
      </c>
      <c r="D84" s="337">
        <v>5</v>
      </c>
      <c r="E84" s="346">
        <v>0</v>
      </c>
      <c r="G84" s="355" t="s">
        <v>904</v>
      </c>
      <c r="H84" s="337">
        <v>10</v>
      </c>
      <c r="I84" s="329">
        <f t="shared" si="50"/>
        <v>99</v>
      </c>
      <c r="L84" s="335">
        <v>805</v>
      </c>
      <c r="N84" s="332">
        <f t="shared" si="51"/>
        <v>805</v>
      </c>
      <c r="O84" s="332">
        <f t="shared" si="52"/>
        <v>6.708333333333333</v>
      </c>
      <c r="P84" s="332">
        <f t="shared" si="53"/>
        <v>0</v>
      </c>
      <c r="Q84" s="329">
        <f t="shared" si="54"/>
        <v>0</v>
      </c>
      <c r="R84" s="332">
        <f t="shared" si="55"/>
        <v>0</v>
      </c>
      <c r="S84" s="344">
        <v>1</v>
      </c>
      <c r="T84" s="332">
        <f t="shared" si="56"/>
        <v>0</v>
      </c>
      <c r="V84" s="332">
        <f t="shared" si="57"/>
        <v>805</v>
      </c>
      <c r="W84" s="332">
        <f t="shared" si="58"/>
        <v>805</v>
      </c>
      <c r="X84" s="344">
        <v>1</v>
      </c>
      <c r="Y84" s="332">
        <f t="shared" si="59"/>
        <v>805</v>
      </c>
      <c r="Z84" s="332">
        <f t="shared" si="60"/>
        <v>805</v>
      </c>
      <c r="AA84" s="332">
        <f t="shared" si="61"/>
        <v>0</v>
      </c>
      <c r="AB84" s="332">
        <f t="shared" si="67"/>
        <v>0</v>
      </c>
      <c r="AC84" s="343">
        <f t="shared" si="62"/>
        <v>89.333333333333329</v>
      </c>
      <c r="AD84" s="329">
        <f t="shared" si="63"/>
        <v>121</v>
      </c>
      <c r="AE84" s="343">
        <f t="shared" si="64"/>
        <v>99.333333333333329</v>
      </c>
      <c r="AF84" s="329">
        <f t="shared" si="65"/>
        <v>120</v>
      </c>
      <c r="AG84" s="342">
        <f t="shared" si="66"/>
        <v>-8.3333333333333329E-2</v>
      </c>
    </row>
    <row r="85" spans="2:33">
      <c r="B85" s="337" t="s">
        <v>1024</v>
      </c>
      <c r="C85" s="337">
        <v>89</v>
      </c>
      <c r="D85" s="337">
        <v>6</v>
      </c>
      <c r="E85" s="346">
        <v>0</v>
      </c>
      <c r="G85" s="355" t="s">
        <v>904</v>
      </c>
      <c r="H85" s="337">
        <v>10</v>
      </c>
      <c r="I85" s="329">
        <f t="shared" si="50"/>
        <v>99</v>
      </c>
      <c r="L85" s="335">
        <v>805</v>
      </c>
      <c r="N85" s="332">
        <f t="shared" si="51"/>
        <v>805</v>
      </c>
      <c r="O85" s="332">
        <f t="shared" si="52"/>
        <v>6.708333333333333</v>
      </c>
      <c r="P85" s="332">
        <f t="shared" si="53"/>
        <v>0</v>
      </c>
      <c r="Q85" s="329">
        <f t="shared" si="54"/>
        <v>0</v>
      </c>
      <c r="R85" s="332">
        <f t="shared" si="55"/>
        <v>0</v>
      </c>
      <c r="S85" s="344">
        <v>1</v>
      </c>
      <c r="T85" s="332">
        <f t="shared" si="56"/>
        <v>0</v>
      </c>
      <c r="V85" s="332">
        <f t="shared" si="57"/>
        <v>805</v>
      </c>
      <c r="W85" s="332">
        <f t="shared" si="58"/>
        <v>805</v>
      </c>
      <c r="X85" s="344">
        <v>1</v>
      </c>
      <c r="Y85" s="332">
        <f t="shared" si="59"/>
        <v>805</v>
      </c>
      <c r="Z85" s="332">
        <f t="shared" si="60"/>
        <v>805</v>
      </c>
      <c r="AA85" s="332">
        <f t="shared" si="61"/>
        <v>0</v>
      </c>
      <c r="AB85" s="332">
        <f t="shared" si="67"/>
        <v>0</v>
      </c>
      <c r="AC85" s="343">
        <f t="shared" si="62"/>
        <v>89.416666666666671</v>
      </c>
      <c r="AD85" s="329">
        <f t="shared" si="63"/>
        <v>121</v>
      </c>
      <c r="AE85" s="343">
        <f t="shared" si="64"/>
        <v>99.416666666666671</v>
      </c>
      <c r="AF85" s="329">
        <f t="shared" si="65"/>
        <v>120</v>
      </c>
      <c r="AG85" s="342">
        <f t="shared" si="66"/>
        <v>-8.3333333333333329E-2</v>
      </c>
    </row>
    <row r="86" spans="2:33">
      <c r="B86" s="337" t="s">
        <v>1029</v>
      </c>
      <c r="C86" s="337">
        <v>89</v>
      </c>
      <c r="D86" s="337">
        <v>6</v>
      </c>
      <c r="E86" s="346">
        <v>0</v>
      </c>
      <c r="G86" s="355" t="s">
        <v>904</v>
      </c>
      <c r="H86" s="337">
        <v>10</v>
      </c>
      <c r="I86" s="329">
        <f t="shared" si="50"/>
        <v>99</v>
      </c>
      <c r="L86" s="335">
        <v>1402</v>
      </c>
      <c r="N86" s="332">
        <f t="shared" si="51"/>
        <v>1402</v>
      </c>
      <c r="O86" s="332">
        <f t="shared" si="52"/>
        <v>11.683333333333332</v>
      </c>
      <c r="P86" s="332">
        <f t="shared" si="53"/>
        <v>0</v>
      </c>
      <c r="Q86" s="329">
        <f t="shared" si="54"/>
        <v>0</v>
      </c>
      <c r="R86" s="332">
        <f t="shared" si="55"/>
        <v>0</v>
      </c>
      <c r="S86" s="344">
        <v>1</v>
      </c>
      <c r="T86" s="332">
        <f t="shared" si="56"/>
        <v>0</v>
      </c>
      <c r="V86" s="332">
        <f t="shared" si="57"/>
        <v>1402</v>
      </c>
      <c r="W86" s="332">
        <f t="shared" si="58"/>
        <v>1402</v>
      </c>
      <c r="X86" s="344">
        <v>1</v>
      </c>
      <c r="Y86" s="332">
        <f t="shared" si="59"/>
        <v>1402</v>
      </c>
      <c r="Z86" s="332">
        <f t="shared" si="60"/>
        <v>1402</v>
      </c>
      <c r="AA86" s="332">
        <f t="shared" si="61"/>
        <v>0</v>
      </c>
      <c r="AB86" s="332">
        <f t="shared" si="67"/>
        <v>0</v>
      </c>
      <c r="AC86" s="343">
        <f t="shared" si="62"/>
        <v>89.416666666666671</v>
      </c>
      <c r="AD86" s="329">
        <f t="shared" si="63"/>
        <v>121</v>
      </c>
      <c r="AE86" s="343">
        <f t="shared" si="64"/>
        <v>99.416666666666671</v>
      </c>
      <c r="AF86" s="329">
        <f t="shared" si="65"/>
        <v>120</v>
      </c>
      <c r="AG86" s="342">
        <f t="shared" si="66"/>
        <v>-8.3333333333333329E-2</v>
      </c>
    </row>
    <row r="87" spans="2:33">
      <c r="B87" s="337" t="s">
        <v>1025</v>
      </c>
      <c r="C87" s="337">
        <v>89</v>
      </c>
      <c r="D87" s="337">
        <v>7</v>
      </c>
      <c r="E87" s="346">
        <v>0</v>
      </c>
      <c r="G87" s="355" t="s">
        <v>904</v>
      </c>
      <c r="H87" s="337">
        <v>10</v>
      </c>
      <c r="I87" s="329">
        <f t="shared" si="50"/>
        <v>99</v>
      </c>
      <c r="L87" s="335">
        <v>1334</v>
      </c>
      <c r="N87" s="332">
        <f t="shared" si="51"/>
        <v>1334</v>
      </c>
      <c r="O87" s="332">
        <f t="shared" si="52"/>
        <v>11.116666666666667</v>
      </c>
      <c r="P87" s="332">
        <f t="shared" si="53"/>
        <v>0</v>
      </c>
      <c r="Q87" s="329">
        <f t="shared" si="54"/>
        <v>0</v>
      </c>
      <c r="R87" s="332">
        <f t="shared" si="55"/>
        <v>0</v>
      </c>
      <c r="S87" s="344">
        <v>1</v>
      </c>
      <c r="T87" s="332">
        <f t="shared" si="56"/>
        <v>0</v>
      </c>
      <c r="V87" s="332">
        <f t="shared" si="57"/>
        <v>1334</v>
      </c>
      <c r="W87" s="332">
        <f t="shared" si="58"/>
        <v>1334</v>
      </c>
      <c r="X87" s="344">
        <v>1</v>
      </c>
      <c r="Y87" s="332">
        <f t="shared" si="59"/>
        <v>1334</v>
      </c>
      <c r="Z87" s="332">
        <f t="shared" si="60"/>
        <v>1334</v>
      </c>
      <c r="AA87" s="332">
        <f t="shared" si="61"/>
        <v>0</v>
      </c>
      <c r="AB87" s="332">
        <f t="shared" si="67"/>
        <v>0</v>
      </c>
      <c r="AC87" s="343">
        <f t="shared" si="62"/>
        <v>89.5</v>
      </c>
      <c r="AD87" s="329">
        <f t="shared" si="63"/>
        <v>121</v>
      </c>
      <c r="AE87" s="343">
        <f t="shared" si="64"/>
        <v>99.5</v>
      </c>
      <c r="AF87" s="329">
        <f t="shared" si="65"/>
        <v>120</v>
      </c>
      <c r="AG87" s="342">
        <f t="shared" si="66"/>
        <v>-8.3333333333333329E-2</v>
      </c>
    </row>
    <row r="88" spans="2:33">
      <c r="B88" s="337" t="s">
        <v>1040</v>
      </c>
      <c r="C88" s="337">
        <v>89</v>
      </c>
      <c r="D88" s="337">
        <v>7</v>
      </c>
      <c r="E88" s="346">
        <v>0</v>
      </c>
      <c r="G88" s="355" t="s">
        <v>904</v>
      </c>
      <c r="H88" s="337">
        <v>10</v>
      </c>
      <c r="I88" s="329">
        <f t="shared" si="50"/>
        <v>99</v>
      </c>
      <c r="L88" s="335">
        <v>1232</v>
      </c>
      <c r="N88" s="332">
        <f t="shared" si="51"/>
        <v>1232</v>
      </c>
      <c r="O88" s="332">
        <f t="shared" si="52"/>
        <v>10.266666666666667</v>
      </c>
      <c r="P88" s="332">
        <f t="shared" si="53"/>
        <v>0</v>
      </c>
      <c r="Q88" s="329">
        <f t="shared" si="54"/>
        <v>0</v>
      </c>
      <c r="R88" s="332">
        <f t="shared" si="55"/>
        <v>0</v>
      </c>
      <c r="S88" s="344">
        <v>1</v>
      </c>
      <c r="T88" s="332">
        <f t="shared" si="56"/>
        <v>0</v>
      </c>
      <c r="V88" s="332">
        <f t="shared" si="57"/>
        <v>1232</v>
      </c>
      <c r="W88" s="332">
        <f t="shared" si="58"/>
        <v>1232</v>
      </c>
      <c r="X88" s="344">
        <v>1</v>
      </c>
      <c r="Y88" s="332">
        <f t="shared" si="59"/>
        <v>1232</v>
      </c>
      <c r="Z88" s="332">
        <f t="shared" si="60"/>
        <v>1232</v>
      </c>
      <c r="AA88" s="332">
        <f t="shared" si="61"/>
        <v>0</v>
      </c>
      <c r="AB88" s="332">
        <f t="shared" si="67"/>
        <v>0</v>
      </c>
      <c r="AC88" s="343">
        <f t="shared" si="62"/>
        <v>89.5</v>
      </c>
      <c r="AD88" s="329">
        <f t="shared" si="63"/>
        <v>121</v>
      </c>
      <c r="AE88" s="343">
        <f t="shared" si="64"/>
        <v>99.5</v>
      </c>
      <c r="AF88" s="329">
        <f t="shared" si="65"/>
        <v>120</v>
      </c>
      <c r="AG88" s="342">
        <f t="shared" si="66"/>
        <v>-8.3333333333333329E-2</v>
      </c>
    </row>
    <row r="89" spans="2:33">
      <c r="B89" s="337" t="s">
        <v>1029</v>
      </c>
      <c r="C89" s="337">
        <v>89</v>
      </c>
      <c r="D89" s="337">
        <v>8</v>
      </c>
      <c r="E89" s="346">
        <v>0</v>
      </c>
      <c r="G89" s="355" t="s">
        <v>904</v>
      </c>
      <c r="H89" s="337">
        <v>10</v>
      </c>
      <c r="I89" s="329">
        <f t="shared" si="50"/>
        <v>99</v>
      </c>
      <c r="L89" s="335">
        <v>1297</v>
      </c>
      <c r="N89" s="332">
        <f t="shared" si="51"/>
        <v>1297</v>
      </c>
      <c r="O89" s="332">
        <f t="shared" si="52"/>
        <v>10.808333333333332</v>
      </c>
      <c r="P89" s="332">
        <f t="shared" si="53"/>
        <v>0</v>
      </c>
      <c r="Q89" s="329">
        <f t="shared" si="54"/>
        <v>0</v>
      </c>
      <c r="R89" s="332">
        <f t="shared" si="55"/>
        <v>0</v>
      </c>
      <c r="S89" s="344">
        <v>1</v>
      </c>
      <c r="T89" s="332">
        <f t="shared" si="56"/>
        <v>0</v>
      </c>
      <c r="V89" s="332">
        <f t="shared" si="57"/>
        <v>1297</v>
      </c>
      <c r="W89" s="332">
        <f t="shared" si="58"/>
        <v>1297</v>
      </c>
      <c r="X89" s="344">
        <v>1</v>
      </c>
      <c r="Y89" s="332">
        <f t="shared" si="59"/>
        <v>1297</v>
      </c>
      <c r="Z89" s="332">
        <f t="shared" si="60"/>
        <v>1297</v>
      </c>
      <c r="AA89" s="332">
        <f t="shared" si="61"/>
        <v>0</v>
      </c>
      <c r="AB89" s="332">
        <f t="shared" si="67"/>
        <v>0</v>
      </c>
      <c r="AC89" s="343">
        <f t="shared" si="62"/>
        <v>89.583333333333329</v>
      </c>
      <c r="AD89" s="329">
        <f t="shared" si="63"/>
        <v>121</v>
      </c>
      <c r="AE89" s="343">
        <f t="shared" si="64"/>
        <v>99.583333333333329</v>
      </c>
      <c r="AF89" s="329">
        <f t="shared" si="65"/>
        <v>120</v>
      </c>
      <c r="AG89" s="342">
        <f t="shared" si="66"/>
        <v>-8.3333333333333329E-2</v>
      </c>
    </row>
    <row r="90" spans="2:33">
      <c r="B90" s="337" t="s">
        <v>1039</v>
      </c>
      <c r="C90" s="337">
        <v>89</v>
      </c>
      <c r="D90" s="337">
        <v>9</v>
      </c>
      <c r="E90" s="346">
        <v>0</v>
      </c>
      <c r="G90" s="355" t="s">
        <v>904</v>
      </c>
      <c r="H90" s="337">
        <v>10</v>
      </c>
      <c r="I90" s="329">
        <f t="shared" si="50"/>
        <v>99</v>
      </c>
      <c r="L90" s="335">
        <v>3477</v>
      </c>
      <c r="N90" s="332">
        <f t="shared" si="51"/>
        <v>3477</v>
      </c>
      <c r="O90" s="332">
        <f t="shared" si="52"/>
        <v>28.974999999999998</v>
      </c>
      <c r="P90" s="332">
        <f t="shared" si="53"/>
        <v>0</v>
      </c>
      <c r="Q90" s="329">
        <f t="shared" si="54"/>
        <v>0</v>
      </c>
      <c r="R90" s="332">
        <f t="shared" si="55"/>
        <v>0</v>
      </c>
      <c r="S90" s="344">
        <v>1</v>
      </c>
      <c r="T90" s="332">
        <f t="shared" si="56"/>
        <v>0</v>
      </c>
      <c r="V90" s="332">
        <f t="shared" si="57"/>
        <v>3477</v>
      </c>
      <c r="W90" s="332">
        <f t="shared" si="58"/>
        <v>3477</v>
      </c>
      <c r="X90" s="344">
        <v>1</v>
      </c>
      <c r="Y90" s="332">
        <f t="shared" si="59"/>
        <v>3477</v>
      </c>
      <c r="Z90" s="332">
        <f t="shared" si="60"/>
        <v>3477</v>
      </c>
      <c r="AA90" s="332">
        <f t="shared" si="61"/>
        <v>0</v>
      </c>
      <c r="AB90" s="332">
        <f t="shared" si="67"/>
        <v>0</v>
      </c>
      <c r="AC90" s="343">
        <f t="shared" si="62"/>
        <v>89.666666666666671</v>
      </c>
      <c r="AD90" s="329">
        <f t="shared" si="63"/>
        <v>121</v>
      </c>
      <c r="AE90" s="343">
        <f t="shared" si="64"/>
        <v>99.666666666666671</v>
      </c>
      <c r="AF90" s="329">
        <f t="shared" si="65"/>
        <v>120</v>
      </c>
      <c r="AG90" s="342">
        <f t="shared" si="66"/>
        <v>-8.3333333333333329E-2</v>
      </c>
    </row>
    <row r="91" spans="2:33">
      <c r="B91" s="337" t="s">
        <v>1021</v>
      </c>
      <c r="C91" s="337">
        <v>90</v>
      </c>
      <c r="D91" s="337">
        <v>5</v>
      </c>
      <c r="E91" s="346">
        <v>0</v>
      </c>
      <c r="G91" s="355" t="s">
        <v>904</v>
      </c>
      <c r="H91" s="337">
        <v>10</v>
      </c>
      <c r="I91" s="329">
        <f t="shared" si="50"/>
        <v>100</v>
      </c>
      <c r="L91" s="335">
        <v>3106</v>
      </c>
      <c r="N91" s="332">
        <f t="shared" si="51"/>
        <v>3106</v>
      </c>
      <c r="O91" s="332">
        <f t="shared" si="52"/>
        <v>25.883333333333336</v>
      </c>
      <c r="P91" s="332">
        <f t="shared" si="53"/>
        <v>0</v>
      </c>
      <c r="Q91" s="329">
        <f t="shared" si="54"/>
        <v>0</v>
      </c>
      <c r="R91" s="332">
        <f t="shared" si="55"/>
        <v>0</v>
      </c>
      <c r="S91" s="344">
        <v>1</v>
      </c>
      <c r="T91" s="332">
        <f t="shared" si="56"/>
        <v>0</v>
      </c>
      <c r="V91" s="332">
        <f t="shared" si="57"/>
        <v>3106</v>
      </c>
      <c r="W91" s="332">
        <f t="shared" si="58"/>
        <v>3106</v>
      </c>
      <c r="X91" s="344">
        <v>1</v>
      </c>
      <c r="Y91" s="332">
        <f t="shared" si="59"/>
        <v>3106</v>
      </c>
      <c r="Z91" s="332">
        <f t="shared" si="60"/>
        <v>3106</v>
      </c>
      <c r="AA91" s="332">
        <f t="shared" si="61"/>
        <v>0</v>
      </c>
      <c r="AB91" s="332">
        <f t="shared" si="67"/>
        <v>0</v>
      </c>
      <c r="AC91" s="343">
        <f t="shared" si="62"/>
        <v>90.333333333333329</v>
      </c>
      <c r="AD91" s="329">
        <f t="shared" si="63"/>
        <v>121</v>
      </c>
      <c r="AE91" s="343">
        <f t="shared" si="64"/>
        <v>100.33333333333333</v>
      </c>
      <c r="AF91" s="329">
        <f t="shared" si="65"/>
        <v>120</v>
      </c>
      <c r="AG91" s="342">
        <f t="shared" si="66"/>
        <v>-8.3333333333333329E-2</v>
      </c>
    </row>
    <row r="92" spans="2:33">
      <c r="B92" s="337" t="s">
        <v>1026</v>
      </c>
      <c r="C92" s="337">
        <v>90</v>
      </c>
      <c r="D92" s="337">
        <v>5</v>
      </c>
      <c r="E92" s="346">
        <v>0</v>
      </c>
      <c r="G92" s="355" t="s">
        <v>904</v>
      </c>
      <c r="H92" s="337">
        <v>10</v>
      </c>
      <c r="I92" s="329">
        <f t="shared" si="50"/>
        <v>100</v>
      </c>
      <c r="L92" s="335">
        <v>2645</v>
      </c>
      <c r="N92" s="332">
        <f t="shared" si="51"/>
        <v>2645</v>
      </c>
      <c r="O92" s="332">
        <f t="shared" si="52"/>
        <v>22.041666666666668</v>
      </c>
      <c r="P92" s="332">
        <f t="shared" si="53"/>
        <v>0</v>
      </c>
      <c r="Q92" s="329">
        <f t="shared" si="54"/>
        <v>0</v>
      </c>
      <c r="R92" s="332">
        <f t="shared" si="55"/>
        <v>0</v>
      </c>
      <c r="S92" s="344">
        <v>1</v>
      </c>
      <c r="T92" s="332">
        <f t="shared" si="56"/>
        <v>0</v>
      </c>
      <c r="V92" s="332">
        <f t="shared" si="57"/>
        <v>2645</v>
      </c>
      <c r="W92" s="332">
        <f t="shared" si="58"/>
        <v>2645</v>
      </c>
      <c r="X92" s="344">
        <v>1</v>
      </c>
      <c r="Y92" s="332">
        <f t="shared" si="59"/>
        <v>2645</v>
      </c>
      <c r="Z92" s="332">
        <f t="shared" si="60"/>
        <v>2645</v>
      </c>
      <c r="AA92" s="332">
        <f t="shared" si="61"/>
        <v>0</v>
      </c>
      <c r="AB92" s="332">
        <f t="shared" si="67"/>
        <v>0</v>
      </c>
      <c r="AC92" s="343">
        <f t="shared" si="62"/>
        <v>90.333333333333329</v>
      </c>
      <c r="AD92" s="329">
        <f t="shared" si="63"/>
        <v>121</v>
      </c>
      <c r="AE92" s="343">
        <f t="shared" si="64"/>
        <v>100.33333333333333</v>
      </c>
      <c r="AF92" s="329">
        <f t="shared" si="65"/>
        <v>120</v>
      </c>
      <c r="AG92" s="342">
        <f t="shared" si="66"/>
        <v>-8.3333333333333329E-2</v>
      </c>
    </row>
    <row r="93" spans="2:33">
      <c r="B93" s="337" t="s">
        <v>1038</v>
      </c>
      <c r="C93" s="337">
        <v>91</v>
      </c>
      <c r="D93" s="337">
        <v>4</v>
      </c>
      <c r="E93" s="346">
        <v>0</v>
      </c>
      <c r="G93" s="355" t="s">
        <v>904</v>
      </c>
      <c r="H93" s="337">
        <v>10</v>
      </c>
      <c r="I93" s="329">
        <f t="shared" si="50"/>
        <v>101</v>
      </c>
      <c r="L93" s="335">
        <v>4370</v>
      </c>
      <c r="N93" s="332">
        <f t="shared" si="51"/>
        <v>4370</v>
      </c>
      <c r="O93" s="332">
        <f t="shared" si="52"/>
        <v>36.416666666666664</v>
      </c>
      <c r="P93" s="332">
        <f t="shared" si="53"/>
        <v>0</v>
      </c>
      <c r="Q93" s="329">
        <f t="shared" si="54"/>
        <v>0</v>
      </c>
      <c r="R93" s="332">
        <f t="shared" si="55"/>
        <v>0</v>
      </c>
      <c r="S93" s="344">
        <v>1</v>
      </c>
      <c r="T93" s="332">
        <f t="shared" si="56"/>
        <v>0</v>
      </c>
      <c r="V93" s="332">
        <f t="shared" si="57"/>
        <v>4370</v>
      </c>
      <c r="W93" s="332">
        <f t="shared" si="58"/>
        <v>4370</v>
      </c>
      <c r="X93" s="344">
        <v>1</v>
      </c>
      <c r="Y93" s="332">
        <f t="shared" si="59"/>
        <v>4370</v>
      </c>
      <c r="Z93" s="332">
        <f t="shared" si="60"/>
        <v>4370</v>
      </c>
      <c r="AA93" s="332">
        <f t="shared" si="61"/>
        <v>0</v>
      </c>
      <c r="AB93" s="332">
        <f t="shared" si="67"/>
        <v>0</v>
      </c>
      <c r="AC93" s="343">
        <f t="shared" si="62"/>
        <v>91.25</v>
      </c>
      <c r="AD93" s="329">
        <f t="shared" si="63"/>
        <v>121</v>
      </c>
      <c r="AE93" s="343">
        <f t="shared" si="64"/>
        <v>101.25</v>
      </c>
      <c r="AF93" s="329">
        <f t="shared" si="65"/>
        <v>120</v>
      </c>
      <c r="AG93" s="342">
        <f t="shared" si="66"/>
        <v>-8.3333333333333329E-2</v>
      </c>
    </row>
    <row r="94" spans="2:33">
      <c r="B94" s="337" t="s">
        <v>1026</v>
      </c>
      <c r="C94" s="337">
        <v>91</v>
      </c>
      <c r="D94" s="337">
        <v>6</v>
      </c>
      <c r="E94" s="346">
        <v>0</v>
      </c>
      <c r="G94" s="355" t="s">
        <v>904</v>
      </c>
      <c r="H94" s="337">
        <v>10</v>
      </c>
      <c r="I94" s="329">
        <f t="shared" ref="I94:I125" si="68">C94+H94</f>
        <v>101</v>
      </c>
      <c r="L94" s="335">
        <v>2579</v>
      </c>
      <c r="N94" s="332">
        <f t="shared" ref="N94:N125" si="69">L94-L94*E94</f>
        <v>2579</v>
      </c>
      <c r="O94" s="332">
        <f t="shared" ref="O94:O125" si="70">N94/H94/12</f>
        <v>21.491666666666664</v>
      </c>
      <c r="P94" s="332">
        <f t="shared" ref="P94:P125" si="71">IF(M94&gt;0,0,IF(OR(AC94&gt;AD94,AE94&lt;AF94),0,IF(AND(AE94&gt;=AF94,AE94&lt;=AD94),O94*((AE94-AF94)*12),IF(AND(AF94&lt;=AC94,AD94&gt;=AC94),((AD94-AC94)*12)*O94,IF(AE94&gt;AD94,12*O94,0)))))</f>
        <v>0</v>
      </c>
      <c r="Q94" s="329">
        <f t="shared" ref="Q94:Q125" si="72">IF(M94=0,0,IF(AND(AG94&gt;=AF94,AG94&lt;=AE94),((AG94-AF94)*12)*O94,0))</f>
        <v>0</v>
      </c>
      <c r="R94" s="332">
        <f t="shared" ref="R94:R125" si="73">IF(Q94&gt;0,Q94,P94)</f>
        <v>0</v>
      </c>
      <c r="S94" s="344">
        <v>1</v>
      </c>
      <c r="T94" s="332">
        <f t="shared" ref="T94:T125" si="74">S94*SUM(P94:Q94)</f>
        <v>0</v>
      </c>
      <c r="V94" s="332">
        <f t="shared" ref="V94:V125" si="75">IF(AC94&gt;AD94,0,IF(AE94&lt;AF94,N94,IF(AND(AE94&gt;=AF94,AE94&lt;=AD94),(N94-R94),IF(AND(AF94&lt;=AC94,AD94&gt;=AC94),0,IF(AE94&gt;AD94,((AF94-AC94)*12)*O94,0)))))</f>
        <v>2579</v>
      </c>
      <c r="W94" s="332">
        <f t="shared" ref="W94:W125" si="76">V94*S94</f>
        <v>2579</v>
      </c>
      <c r="X94" s="344">
        <v>1</v>
      </c>
      <c r="Y94" s="332">
        <f t="shared" ref="Y94:Y125" si="77">W94*X94</f>
        <v>2579</v>
      </c>
      <c r="Z94" s="332">
        <f t="shared" ref="Z94:Z125" si="78">IF(M94&gt;0,0,Y94+T94*X94)*X94</f>
        <v>2579</v>
      </c>
      <c r="AA94" s="332">
        <f t="shared" ref="AA94:AA125" si="79">IF(M94&gt;0,(L94-Y94)/2,IF(AC94&gt;=AF94,(((L94*S94)*X94)-Z94)/2,((((L94*S94)*X94)-Y94)+(((L94*S94)*X94)-Z94))/2))</f>
        <v>0</v>
      </c>
      <c r="AB94" s="332">
        <f t="shared" si="67"/>
        <v>0</v>
      </c>
      <c r="AC94" s="343">
        <f t="shared" ref="AC94:AC125" si="80">$C94+(($D94-1)/12)</f>
        <v>91.416666666666671</v>
      </c>
      <c r="AD94" s="329">
        <f t="shared" ref="AD94:AD125" si="81">($N$5+1)-($N$2/12)</f>
        <v>121</v>
      </c>
      <c r="AE94" s="343">
        <f t="shared" ref="AE94:AE125" si="82">$I94+(($D94-1)/12)</f>
        <v>101.41666666666667</v>
      </c>
      <c r="AF94" s="329">
        <f t="shared" ref="AF94:AF125" si="83">$N$4+($N$3/12)</f>
        <v>120</v>
      </c>
      <c r="AG94" s="342">
        <f t="shared" ref="AG94:AG125" si="84">$J94+(($K94-1)/12)</f>
        <v>-8.3333333333333329E-2</v>
      </c>
    </row>
    <row r="95" spans="2:33">
      <c r="B95" s="337" t="s">
        <v>1021</v>
      </c>
      <c r="C95" s="337">
        <v>91</v>
      </c>
      <c r="D95" s="337">
        <v>6</v>
      </c>
      <c r="E95" s="346">
        <v>0</v>
      </c>
      <c r="G95" s="355" t="s">
        <v>904</v>
      </c>
      <c r="H95" s="337">
        <v>10</v>
      </c>
      <c r="I95" s="329">
        <f t="shared" si="68"/>
        <v>101</v>
      </c>
      <c r="L95" s="335">
        <v>3010</v>
      </c>
      <c r="N95" s="332">
        <f t="shared" si="69"/>
        <v>3010</v>
      </c>
      <c r="O95" s="332">
        <f t="shared" si="70"/>
        <v>25.083333333333332</v>
      </c>
      <c r="P95" s="332">
        <f t="shared" si="71"/>
        <v>0</v>
      </c>
      <c r="Q95" s="329">
        <f t="shared" si="72"/>
        <v>0</v>
      </c>
      <c r="R95" s="332">
        <f t="shared" si="73"/>
        <v>0</v>
      </c>
      <c r="S95" s="344">
        <v>1</v>
      </c>
      <c r="T95" s="332">
        <f t="shared" si="74"/>
        <v>0</v>
      </c>
      <c r="V95" s="332">
        <f t="shared" si="75"/>
        <v>3010</v>
      </c>
      <c r="W95" s="332">
        <f t="shared" si="76"/>
        <v>3010</v>
      </c>
      <c r="X95" s="344">
        <v>1</v>
      </c>
      <c r="Y95" s="332">
        <f t="shared" si="77"/>
        <v>3010</v>
      </c>
      <c r="Z95" s="332">
        <f t="shared" si="78"/>
        <v>3010</v>
      </c>
      <c r="AA95" s="332">
        <f t="shared" si="79"/>
        <v>0</v>
      </c>
      <c r="AB95" s="332">
        <f t="shared" si="67"/>
        <v>0</v>
      </c>
      <c r="AC95" s="343">
        <f t="shared" si="80"/>
        <v>91.416666666666671</v>
      </c>
      <c r="AD95" s="329">
        <f t="shared" si="81"/>
        <v>121</v>
      </c>
      <c r="AE95" s="343">
        <f t="shared" si="82"/>
        <v>101.41666666666667</v>
      </c>
      <c r="AF95" s="329">
        <f t="shared" si="83"/>
        <v>120</v>
      </c>
      <c r="AG95" s="342">
        <f t="shared" si="84"/>
        <v>-8.3333333333333329E-2</v>
      </c>
    </row>
    <row r="96" spans="2:33">
      <c r="B96" s="337" t="s">
        <v>1029</v>
      </c>
      <c r="C96" s="337">
        <v>92</v>
      </c>
      <c r="D96" s="337">
        <v>4</v>
      </c>
      <c r="E96" s="346">
        <v>0</v>
      </c>
      <c r="G96" s="355" t="s">
        <v>904</v>
      </c>
      <c r="H96" s="337">
        <v>10</v>
      </c>
      <c r="I96" s="329">
        <f t="shared" si="68"/>
        <v>102</v>
      </c>
      <c r="L96" s="335">
        <v>1364</v>
      </c>
      <c r="N96" s="332">
        <f t="shared" si="69"/>
        <v>1364</v>
      </c>
      <c r="O96" s="332">
        <f t="shared" si="70"/>
        <v>11.366666666666667</v>
      </c>
      <c r="P96" s="332">
        <f t="shared" si="71"/>
        <v>0</v>
      </c>
      <c r="Q96" s="329">
        <f t="shared" si="72"/>
        <v>0</v>
      </c>
      <c r="R96" s="332">
        <f t="shared" si="73"/>
        <v>0</v>
      </c>
      <c r="S96" s="344">
        <v>1</v>
      </c>
      <c r="T96" s="332">
        <f t="shared" si="74"/>
        <v>0</v>
      </c>
      <c r="V96" s="332">
        <f t="shared" si="75"/>
        <v>1364</v>
      </c>
      <c r="W96" s="332">
        <f t="shared" si="76"/>
        <v>1364</v>
      </c>
      <c r="X96" s="344">
        <v>1</v>
      </c>
      <c r="Y96" s="332">
        <f t="shared" si="77"/>
        <v>1364</v>
      </c>
      <c r="Z96" s="332">
        <f t="shared" si="78"/>
        <v>1364</v>
      </c>
      <c r="AA96" s="332">
        <f t="shared" si="79"/>
        <v>0</v>
      </c>
      <c r="AB96" s="332">
        <f t="shared" si="67"/>
        <v>0</v>
      </c>
      <c r="AC96" s="343">
        <f t="shared" si="80"/>
        <v>92.25</v>
      </c>
      <c r="AD96" s="329">
        <f t="shared" si="81"/>
        <v>121</v>
      </c>
      <c r="AE96" s="343">
        <f t="shared" si="82"/>
        <v>102.25</v>
      </c>
      <c r="AF96" s="329">
        <f t="shared" si="83"/>
        <v>120</v>
      </c>
      <c r="AG96" s="342">
        <f t="shared" si="84"/>
        <v>-8.3333333333333329E-2</v>
      </c>
    </row>
    <row r="97" spans="2:33">
      <c r="B97" s="337" t="s">
        <v>1037</v>
      </c>
      <c r="C97" s="337">
        <v>92</v>
      </c>
      <c r="D97" s="337">
        <v>4</v>
      </c>
      <c r="E97" s="346">
        <v>0</v>
      </c>
      <c r="G97" s="355" t="s">
        <v>904</v>
      </c>
      <c r="H97" s="337">
        <v>10</v>
      </c>
      <c r="I97" s="329">
        <f t="shared" si="68"/>
        <v>102</v>
      </c>
      <c r="L97" s="335">
        <v>2769</v>
      </c>
      <c r="N97" s="332">
        <f t="shared" si="69"/>
        <v>2769</v>
      </c>
      <c r="O97" s="332">
        <f t="shared" si="70"/>
        <v>23.074999999999999</v>
      </c>
      <c r="P97" s="332">
        <f t="shared" si="71"/>
        <v>0</v>
      </c>
      <c r="Q97" s="329">
        <f t="shared" si="72"/>
        <v>0</v>
      </c>
      <c r="R97" s="332">
        <f t="shared" si="73"/>
        <v>0</v>
      </c>
      <c r="S97" s="344">
        <v>1</v>
      </c>
      <c r="T97" s="332">
        <f t="shared" si="74"/>
        <v>0</v>
      </c>
      <c r="V97" s="332">
        <f t="shared" si="75"/>
        <v>2769</v>
      </c>
      <c r="W97" s="332">
        <f t="shared" si="76"/>
        <v>2769</v>
      </c>
      <c r="X97" s="344">
        <v>1</v>
      </c>
      <c r="Y97" s="332">
        <f t="shared" si="77"/>
        <v>2769</v>
      </c>
      <c r="Z97" s="332">
        <f t="shared" si="78"/>
        <v>2769</v>
      </c>
      <c r="AA97" s="332">
        <f t="shared" si="79"/>
        <v>0</v>
      </c>
      <c r="AB97" s="332">
        <f t="shared" si="67"/>
        <v>0</v>
      </c>
      <c r="AC97" s="343">
        <f t="shared" si="80"/>
        <v>92.25</v>
      </c>
      <c r="AD97" s="329">
        <f t="shared" si="81"/>
        <v>121</v>
      </c>
      <c r="AE97" s="343">
        <f t="shared" si="82"/>
        <v>102.25</v>
      </c>
      <c r="AF97" s="329">
        <f t="shared" si="83"/>
        <v>120</v>
      </c>
      <c r="AG97" s="342">
        <f t="shared" si="84"/>
        <v>-8.3333333333333329E-2</v>
      </c>
    </row>
    <row r="98" spans="2:33">
      <c r="B98" s="337" t="s">
        <v>1036</v>
      </c>
      <c r="C98" s="337">
        <v>92</v>
      </c>
      <c r="D98" s="337">
        <v>5</v>
      </c>
      <c r="E98" s="346">
        <v>0</v>
      </c>
      <c r="G98" s="355" t="s">
        <v>904</v>
      </c>
      <c r="H98" s="337">
        <v>10</v>
      </c>
      <c r="I98" s="329">
        <f t="shared" si="68"/>
        <v>102</v>
      </c>
      <c r="L98" s="335">
        <v>1466</v>
      </c>
      <c r="N98" s="332">
        <f t="shared" si="69"/>
        <v>1466</v>
      </c>
      <c r="O98" s="332">
        <f t="shared" si="70"/>
        <v>12.216666666666667</v>
      </c>
      <c r="P98" s="332">
        <f t="shared" si="71"/>
        <v>0</v>
      </c>
      <c r="Q98" s="329">
        <f t="shared" si="72"/>
        <v>0</v>
      </c>
      <c r="R98" s="332">
        <f t="shared" si="73"/>
        <v>0</v>
      </c>
      <c r="S98" s="344">
        <v>1</v>
      </c>
      <c r="T98" s="332">
        <f t="shared" si="74"/>
        <v>0</v>
      </c>
      <c r="V98" s="332">
        <f t="shared" si="75"/>
        <v>1466</v>
      </c>
      <c r="W98" s="332">
        <f t="shared" si="76"/>
        <v>1466</v>
      </c>
      <c r="X98" s="344">
        <v>1</v>
      </c>
      <c r="Y98" s="332">
        <f t="shared" si="77"/>
        <v>1466</v>
      </c>
      <c r="Z98" s="332">
        <f t="shared" si="78"/>
        <v>1466</v>
      </c>
      <c r="AA98" s="332">
        <f t="shared" si="79"/>
        <v>0</v>
      </c>
      <c r="AB98" s="332">
        <f t="shared" si="67"/>
        <v>0</v>
      </c>
      <c r="AC98" s="343">
        <f t="shared" si="80"/>
        <v>92.333333333333329</v>
      </c>
      <c r="AD98" s="329">
        <f t="shared" si="81"/>
        <v>121</v>
      </c>
      <c r="AE98" s="343">
        <f t="shared" si="82"/>
        <v>102.33333333333333</v>
      </c>
      <c r="AF98" s="329">
        <f t="shared" si="83"/>
        <v>120</v>
      </c>
      <c r="AG98" s="342">
        <f t="shared" si="84"/>
        <v>-8.3333333333333329E-2</v>
      </c>
    </row>
    <row r="99" spans="2:33">
      <c r="B99" s="337" t="s">
        <v>1035</v>
      </c>
      <c r="C99" s="337">
        <v>92</v>
      </c>
      <c r="D99" s="337">
        <v>5</v>
      </c>
      <c r="E99" s="346">
        <v>0</v>
      </c>
      <c r="G99" s="355" t="s">
        <v>904</v>
      </c>
      <c r="H99" s="337">
        <v>10</v>
      </c>
      <c r="I99" s="329">
        <f t="shared" si="68"/>
        <v>102</v>
      </c>
      <c r="L99" s="335">
        <v>334</v>
      </c>
      <c r="N99" s="332">
        <f t="shared" si="69"/>
        <v>334</v>
      </c>
      <c r="O99" s="332">
        <f t="shared" si="70"/>
        <v>2.7833333333333332</v>
      </c>
      <c r="P99" s="332">
        <f t="shared" si="71"/>
        <v>0</v>
      </c>
      <c r="Q99" s="329">
        <f t="shared" si="72"/>
        <v>0</v>
      </c>
      <c r="R99" s="332">
        <f t="shared" si="73"/>
        <v>0</v>
      </c>
      <c r="S99" s="344">
        <v>1</v>
      </c>
      <c r="T99" s="332">
        <f t="shared" si="74"/>
        <v>0</v>
      </c>
      <c r="V99" s="332">
        <f t="shared" si="75"/>
        <v>334</v>
      </c>
      <c r="W99" s="332">
        <f t="shared" si="76"/>
        <v>334</v>
      </c>
      <c r="X99" s="344">
        <v>1</v>
      </c>
      <c r="Y99" s="332">
        <f t="shared" si="77"/>
        <v>334</v>
      </c>
      <c r="Z99" s="332">
        <f t="shared" si="78"/>
        <v>334</v>
      </c>
      <c r="AA99" s="332">
        <f t="shared" si="79"/>
        <v>0</v>
      </c>
      <c r="AB99" s="332">
        <f t="shared" si="67"/>
        <v>0</v>
      </c>
      <c r="AC99" s="343">
        <f t="shared" si="80"/>
        <v>92.333333333333329</v>
      </c>
      <c r="AD99" s="329">
        <f t="shared" si="81"/>
        <v>121</v>
      </c>
      <c r="AE99" s="343">
        <f t="shared" si="82"/>
        <v>102.33333333333333</v>
      </c>
      <c r="AF99" s="329">
        <f t="shared" si="83"/>
        <v>120</v>
      </c>
      <c r="AG99" s="342">
        <f t="shared" si="84"/>
        <v>-8.3333333333333329E-2</v>
      </c>
    </row>
    <row r="100" spans="2:33">
      <c r="B100" s="337" t="s">
        <v>1015</v>
      </c>
      <c r="C100" s="337">
        <v>92</v>
      </c>
      <c r="D100" s="337">
        <v>5</v>
      </c>
      <c r="E100" s="346">
        <v>0</v>
      </c>
      <c r="G100" s="355" t="s">
        <v>904</v>
      </c>
      <c r="H100" s="337">
        <v>10</v>
      </c>
      <c r="I100" s="329">
        <f t="shared" si="68"/>
        <v>102</v>
      </c>
      <c r="L100" s="335">
        <v>1453</v>
      </c>
      <c r="N100" s="332">
        <f t="shared" si="69"/>
        <v>1453</v>
      </c>
      <c r="O100" s="332">
        <f t="shared" si="70"/>
        <v>12.108333333333334</v>
      </c>
      <c r="P100" s="332">
        <f t="shared" si="71"/>
        <v>0</v>
      </c>
      <c r="Q100" s="329">
        <f t="shared" si="72"/>
        <v>0</v>
      </c>
      <c r="R100" s="332">
        <f t="shared" si="73"/>
        <v>0</v>
      </c>
      <c r="S100" s="344">
        <v>1</v>
      </c>
      <c r="T100" s="332">
        <f t="shared" si="74"/>
        <v>0</v>
      </c>
      <c r="V100" s="332">
        <f t="shared" si="75"/>
        <v>1453</v>
      </c>
      <c r="W100" s="332">
        <f t="shared" si="76"/>
        <v>1453</v>
      </c>
      <c r="X100" s="344">
        <v>1</v>
      </c>
      <c r="Y100" s="332">
        <f t="shared" si="77"/>
        <v>1453</v>
      </c>
      <c r="Z100" s="332">
        <f t="shared" si="78"/>
        <v>1453</v>
      </c>
      <c r="AA100" s="332">
        <f t="shared" si="79"/>
        <v>0</v>
      </c>
      <c r="AB100" s="332">
        <f t="shared" si="67"/>
        <v>0</v>
      </c>
      <c r="AC100" s="343">
        <f t="shared" si="80"/>
        <v>92.333333333333329</v>
      </c>
      <c r="AD100" s="329">
        <f t="shared" si="81"/>
        <v>121</v>
      </c>
      <c r="AE100" s="343">
        <f t="shared" si="82"/>
        <v>102.33333333333333</v>
      </c>
      <c r="AF100" s="329">
        <f t="shared" si="83"/>
        <v>120</v>
      </c>
      <c r="AG100" s="342">
        <f t="shared" si="84"/>
        <v>-8.3333333333333329E-2</v>
      </c>
    </row>
    <row r="101" spans="2:33">
      <c r="B101" s="337" t="s">
        <v>1034</v>
      </c>
      <c r="C101" s="337">
        <v>93</v>
      </c>
      <c r="D101" s="337">
        <v>4</v>
      </c>
      <c r="E101" s="346">
        <v>0</v>
      </c>
      <c r="G101" s="355" t="s">
        <v>904</v>
      </c>
      <c r="H101" s="337">
        <v>10</v>
      </c>
      <c r="I101" s="329">
        <f t="shared" si="68"/>
        <v>103</v>
      </c>
      <c r="L101" s="335">
        <v>3506</v>
      </c>
      <c r="N101" s="332">
        <f t="shared" si="69"/>
        <v>3506</v>
      </c>
      <c r="O101" s="332">
        <f t="shared" si="70"/>
        <v>29.216666666666669</v>
      </c>
      <c r="P101" s="332">
        <f t="shared" si="71"/>
        <v>0</v>
      </c>
      <c r="Q101" s="329">
        <f t="shared" si="72"/>
        <v>0</v>
      </c>
      <c r="R101" s="332">
        <f t="shared" si="73"/>
        <v>0</v>
      </c>
      <c r="S101" s="344">
        <v>1</v>
      </c>
      <c r="T101" s="332">
        <f t="shared" si="74"/>
        <v>0</v>
      </c>
      <c r="V101" s="332">
        <f t="shared" si="75"/>
        <v>3506</v>
      </c>
      <c r="W101" s="332">
        <f t="shared" si="76"/>
        <v>3506</v>
      </c>
      <c r="X101" s="344">
        <v>1</v>
      </c>
      <c r="Y101" s="332">
        <f t="shared" si="77"/>
        <v>3506</v>
      </c>
      <c r="Z101" s="332">
        <f t="shared" si="78"/>
        <v>3506</v>
      </c>
      <c r="AA101" s="332">
        <f t="shared" si="79"/>
        <v>0</v>
      </c>
      <c r="AB101" s="332">
        <f t="shared" si="67"/>
        <v>0</v>
      </c>
      <c r="AC101" s="343">
        <f t="shared" si="80"/>
        <v>93.25</v>
      </c>
      <c r="AD101" s="329">
        <f t="shared" si="81"/>
        <v>121</v>
      </c>
      <c r="AE101" s="343">
        <f t="shared" si="82"/>
        <v>103.25</v>
      </c>
      <c r="AF101" s="329">
        <f t="shared" si="83"/>
        <v>120</v>
      </c>
      <c r="AG101" s="342">
        <f t="shared" si="84"/>
        <v>-8.3333333333333329E-2</v>
      </c>
    </row>
    <row r="102" spans="2:33">
      <c r="B102" s="337" t="s">
        <v>1025</v>
      </c>
      <c r="C102" s="337">
        <v>93</v>
      </c>
      <c r="D102" s="337">
        <v>4</v>
      </c>
      <c r="E102" s="346">
        <v>0</v>
      </c>
      <c r="G102" s="355" t="s">
        <v>904</v>
      </c>
      <c r="H102" s="337">
        <v>10</v>
      </c>
      <c r="I102" s="329">
        <f t="shared" si="68"/>
        <v>103</v>
      </c>
      <c r="L102" s="335">
        <v>1818</v>
      </c>
      <c r="N102" s="332">
        <f t="shared" si="69"/>
        <v>1818</v>
      </c>
      <c r="O102" s="332">
        <f t="shared" si="70"/>
        <v>15.15</v>
      </c>
      <c r="P102" s="332">
        <f t="shared" si="71"/>
        <v>0</v>
      </c>
      <c r="Q102" s="329">
        <f t="shared" si="72"/>
        <v>0</v>
      </c>
      <c r="R102" s="332">
        <f t="shared" si="73"/>
        <v>0</v>
      </c>
      <c r="S102" s="344">
        <v>1</v>
      </c>
      <c r="T102" s="332">
        <f t="shared" si="74"/>
        <v>0</v>
      </c>
      <c r="V102" s="332">
        <f t="shared" si="75"/>
        <v>1818</v>
      </c>
      <c r="W102" s="332">
        <f t="shared" si="76"/>
        <v>1818</v>
      </c>
      <c r="X102" s="344">
        <v>1</v>
      </c>
      <c r="Y102" s="332">
        <f t="shared" si="77"/>
        <v>1818</v>
      </c>
      <c r="Z102" s="332">
        <f t="shared" si="78"/>
        <v>1818</v>
      </c>
      <c r="AA102" s="332">
        <f t="shared" si="79"/>
        <v>0</v>
      </c>
      <c r="AB102" s="332">
        <f t="shared" si="67"/>
        <v>0</v>
      </c>
      <c r="AC102" s="343">
        <f t="shared" si="80"/>
        <v>93.25</v>
      </c>
      <c r="AD102" s="329">
        <f t="shared" si="81"/>
        <v>121</v>
      </c>
      <c r="AE102" s="343">
        <f t="shared" si="82"/>
        <v>103.25</v>
      </c>
      <c r="AF102" s="329">
        <f t="shared" si="83"/>
        <v>120</v>
      </c>
      <c r="AG102" s="342">
        <f t="shared" si="84"/>
        <v>-8.3333333333333329E-2</v>
      </c>
    </row>
    <row r="103" spans="2:33">
      <c r="B103" s="337" t="s">
        <v>1027</v>
      </c>
      <c r="C103" s="337">
        <v>93</v>
      </c>
      <c r="D103" s="337">
        <v>4</v>
      </c>
      <c r="E103" s="346">
        <v>0</v>
      </c>
      <c r="G103" s="355" t="s">
        <v>904</v>
      </c>
      <c r="H103" s="337">
        <v>10</v>
      </c>
      <c r="I103" s="329">
        <f t="shared" si="68"/>
        <v>103</v>
      </c>
      <c r="L103" s="335">
        <v>3246</v>
      </c>
      <c r="N103" s="332">
        <f t="shared" si="69"/>
        <v>3246</v>
      </c>
      <c r="O103" s="332">
        <f t="shared" si="70"/>
        <v>27.05</v>
      </c>
      <c r="P103" s="332">
        <f t="shared" si="71"/>
        <v>0</v>
      </c>
      <c r="Q103" s="329">
        <f t="shared" si="72"/>
        <v>0</v>
      </c>
      <c r="R103" s="332">
        <f t="shared" si="73"/>
        <v>0</v>
      </c>
      <c r="S103" s="344">
        <v>1</v>
      </c>
      <c r="T103" s="332">
        <f t="shared" si="74"/>
        <v>0</v>
      </c>
      <c r="V103" s="332">
        <f t="shared" si="75"/>
        <v>3246</v>
      </c>
      <c r="W103" s="332">
        <f t="shared" si="76"/>
        <v>3246</v>
      </c>
      <c r="X103" s="344">
        <v>1</v>
      </c>
      <c r="Y103" s="332">
        <f t="shared" si="77"/>
        <v>3246</v>
      </c>
      <c r="Z103" s="332">
        <f t="shared" si="78"/>
        <v>3246</v>
      </c>
      <c r="AA103" s="332">
        <f t="shared" si="79"/>
        <v>0</v>
      </c>
      <c r="AB103" s="332">
        <f t="shared" si="67"/>
        <v>0</v>
      </c>
      <c r="AC103" s="343">
        <f t="shared" si="80"/>
        <v>93.25</v>
      </c>
      <c r="AD103" s="329">
        <f t="shared" si="81"/>
        <v>121</v>
      </c>
      <c r="AE103" s="343">
        <f t="shared" si="82"/>
        <v>103.25</v>
      </c>
      <c r="AF103" s="329">
        <f t="shared" si="83"/>
        <v>120</v>
      </c>
      <c r="AG103" s="342">
        <f t="shared" si="84"/>
        <v>-8.3333333333333329E-2</v>
      </c>
    </row>
    <row r="104" spans="2:33">
      <c r="B104" s="337" t="s">
        <v>1026</v>
      </c>
      <c r="C104" s="337">
        <v>93</v>
      </c>
      <c r="D104" s="337">
        <v>5</v>
      </c>
      <c r="E104" s="346">
        <v>0</v>
      </c>
      <c r="G104" s="355" t="s">
        <v>904</v>
      </c>
      <c r="H104" s="337">
        <v>10</v>
      </c>
      <c r="I104" s="329">
        <f t="shared" si="68"/>
        <v>103</v>
      </c>
      <c r="L104" s="335">
        <v>2705</v>
      </c>
      <c r="N104" s="332">
        <f t="shared" si="69"/>
        <v>2705</v>
      </c>
      <c r="O104" s="332">
        <f t="shared" si="70"/>
        <v>22.541666666666668</v>
      </c>
      <c r="P104" s="332">
        <f t="shared" si="71"/>
        <v>0</v>
      </c>
      <c r="Q104" s="329">
        <f t="shared" si="72"/>
        <v>0</v>
      </c>
      <c r="R104" s="332">
        <f t="shared" si="73"/>
        <v>0</v>
      </c>
      <c r="S104" s="344">
        <v>1</v>
      </c>
      <c r="T104" s="332">
        <f t="shared" si="74"/>
        <v>0</v>
      </c>
      <c r="V104" s="332">
        <f t="shared" si="75"/>
        <v>2705</v>
      </c>
      <c r="W104" s="332">
        <f t="shared" si="76"/>
        <v>2705</v>
      </c>
      <c r="X104" s="344">
        <v>1</v>
      </c>
      <c r="Y104" s="332">
        <f t="shared" si="77"/>
        <v>2705</v>
      </c>
      <c r="Z104" s="332">
        <f t="shared" si="78"/>
        <v>2705</v>
      </c>
      <c r="AA104" s="332">
        <f t="shared" si="79"/>
        <v>0</v>
      </c>
      <c r="AB104" s="332">
        <f t="shared" si="67"/>
        <v>0</v>
      </c>
      <c r="AC104" s="343">
        <f t="shared" si="80"/>
        <v>93.333333333333329</v>
      </c>
      <c r="AD104" s="329">
        <f t="shared" si="81"/>
        <v>121</v>
      </c>
      <c r="AE104" s="343">
        <f t="shared" si="82"/>
        <v>103.33333333333333</v>
      </c>
      <c r="AF104" s="329">
        <f t="shared" si="83"/>
        <v>120</v>
      </c>
      <c r="AG104" s="342">
        <f t="shared" si="84"/>
        <v>-8.3333333333333329E-2</v>
      </c>
    </row>
    <row r="105" spans="2:33">
      <c r="B105" s="337" t="s">
        <v>1021</v>
      </c>
      <c r="C105" s="337">
        <v>93</v>
      </c>
      <c r="D105" s="337">
        <v>5</v>
      </c>
      <c r="E105" s="346">
        <v>0</v>
      </c>
      <c r="G105" s="355" t="s">
        <v>904</v>
      </c>
      <c r="H105" s="337">
        <v>10</v>
      </c>
      <c r="I105" s="329">
        <f t="shared" si="68"/>
        <v>103</v>
      </c>
      <c r="L105" s="335">
        <v>2867</v>
      </c>
      <c r="N105" s="332">
        <f t="shared" si="69"/>
        <v>2867</v>
      </c>
      <c r="O105" s="332">
        <f t="shared" si="70"/>
        <v>23.891666666666666</v>
      </c>
      <c r="P105" s="332">
        <f t="shared" si="71"/>
        <v>0</v>
      </c>
      <c r="Q105" s="329">
        <f t="shared" si="72"/>
        <v>0</v>
      </c>
      <c r="R105" s="332">
        <f t="shared" si="73"/>
        <v>0</v>
      </c>
      <c r="S105" s="344">
        <v>1</v>
      </c>
      <c r="T105" s="332">
        <f t="shared" si="74"/>
        <v>0</v>
      </c>
      <c r="V105" s="332">
        <f t="shared" si="75"/>
        <v>2867</v>
      </c>
      <c r="W105" s="332">
        <f t="shared" si="76"/>
        <v>2867</v>
      </c>
      <c r="X105" s="344">
        <v>1</v>
      </c>
      <c r="Y105" s="332">
        <f t="shared" si="77"/>
        <v>2867</v>
      </c>
      <c r="Z105" s="332">
        <f t="shared" si="78"/>
        <v>2867</v>
      </c>
      <c r="AA105" s="332">
        <f t="shared" si="79"/>
        <v>0</v>
      </c>
      <c r="AB105" s="332">
        <f t="shared" si="67"/>
        <v>0</v>
      </c>
      <c r="AC105" s="343">
        <f t="shared" si="80"/>
        <v>93.333333333333329</v>
      </c>
      <c r="AD105" s="329">
        <f t="shared" si="81"/>
        <v>121</v>
      </c>
      <c r="AE105" s="343">
        <f t="shared" si="82"/>
        <v>103.33333333333333</v>
      </c>
      <c r="AF105" s="329">
        <f t="shared" si="83"/>
        <v>120</v>
      </c>
      <c r="AG105" s="342">
        <f t="shared" si="84"/>
        <v>-8.3333333333333329E-2</v>
      </c>
    </row>
    <row r="106" spans="2:33">
      <c r="B106" s="337" t="s">
        <v>1015</v>
      </c>
      <c r="C106" s="337">
        <v>93</v>
      </c>
      <c r="D106" s="337">
        <v>5</v>
      </c>
      <c r="E106" s="346">
        <v>0</v>
      </c>
      <c r="G106" s="355" t="s">
        <v>904</v>
      </c>
      <c r="H106" s="337">
        <v>10</v>
      </c>
      <c r="I106" s="329">
        <f t="shared" si="68"/>
        <v>103</v>
      </c>
      <c r="L106" s="335">
        <v>1331</v>
      </c>
      <c r="N106" s="332">
        <f t="shared" si="69"/>
        <v>1331</v>
      </c>
      <c r="O106" s="332">
        <f t="shared" si="70"/>
        <v>11.091666666666667</v>
      </c>
      <c r="P106" s="332">
        <f t="shared" si="71"/>
        <v>0</v>
      </c>
      <c r="Q106" s="329">
        <f t="shared" si="72"/>
        <v>0</v>
      </c>
      <c r="R106" s="332">
        <f t="shared" si="73"/>
        <v>0</v>
      </c>
      <c r="S106" s="344">
        <v>1</v>
      </c>
      <c r="T106" s="332">
        <f t="shared" si="74"/>
        <v>0</v>
      </c>
      <c r="V106" s="332">
        <f t="shared" si="75"/>
        <v>1331</v>
      </c>
      <c r="W106" s="332">
        <f t="shared" si="76"/>
        <v>1331</v>
      </c>
      <c r="X106" s="344">
        <v>1</v>
      </c>
      <c r="Y106" s="332">
        <f t="shared" si="77"/>
        <v>1331</v>
      </c>
      <c r="Z106" s="332">
        <f t="shared" si="78"/>
        <v>1331</v>
      </c>
      <c r="AA106" s="332">
        <f t="shared" si="79"/>
        <v>0</v>
      </c>
      <c r="AB106" s="332">
        <f t="shared" si="67"/>
        <v>0</v>
      </c>
      <c r="AC106" s="343">
        <f t="shared" si="80"/>
        <v>93.333333333333329</v>
      </c>
      <c r="AD106" s="329">
        <f t="shared" si="81"/>
        <v>121</v>
      </c>
      <c r="AE106" s="343">
        <f t="shared" si="82"/>
        <v>103.33333333333333</v>
      </c>
      <c r="AF106" s="329">
        <f t="shared" si="83"/>
        <v>120</v>
      </c>
      <c r="AG106" s="342">
        <f t="shared" si="84"/>
        <v>-8.3333333333333329E-2</v>
      </c>
    </row>
    <row r="107" spans="2:33">
      <c r="B107" s="337" t="s">
        <v>1024</v>
      </c>
      <c r="C107" s="337">
        <v>94</v>
      </c>
      <c r="D107" s="337">
        <v>6</v>
      </c>
      <c r="E107" s="346">
        <v>0</v>
      </c>
      <c r="G107" s="355" t="s">
        <v>904</v>
      </c>
      <c r="H107" s="337">
        <v>10</v>
      </c>
      <c r="I107" s="329">
        <f t="shared" si="68"/>
        <v>104</v>
      </c>
      <c r="L107" s="335">
        <v>432</v>
      </c>
      <c r="N107" s="332">
        <f t="shared" si="69"/>
        <v>432</v>
      </c>
      <c r="O107" s="332">
        <f t="shared" si="70"/>
        <v>3.6</v>
      </c>
      <c r="P107" s="332">
        <f t="shared" si="71"/>
        <v>0</v>
      </c>
      <c r="Q107" s="329">
        <f t="shared" si="72"/>
        <v>0</v>
      </c>
      <c r="R107" s="332">
        <f t="shared" si="73"/>
        <v>0</v>
      </c>
      <c r="S107" s="344">
        <v>1</v>
      </c>
      <c r="T107" s="332">
        <f t="shared" si="74"/>
        <v>0</v>
      </c>
      <c r="V107" s="332">
        <f t="shared" si="75"/>
        <v>432</v>
      </c>
      <c r="W107" s="332">
        <f t="shared" si="76"/>
        <v>432</v>
      </c>
      <c r="X107" s="344">
        <v>1</v>
      </c>
      <c r="Y107" s="332">
        <f t="shared" si="77"/>
        <v>432</v>
      </c>
      <c r="Z107" s="332">
        <f t="shared" si="78"/>
        <v>432</v>
      </c>
      <c r="AA107" s="332">
        <f t="shared" si="79"/>
        <v>0</v>
      </c>
      <c r="AB107" s="332">
        <f t="shared" si="67"/>
        <v>0</v>
      </c>
      <c r="AC107" s="343">
        <f t="shared" si="80"/>
        <v>94.416666666666671</v>
      </c>
      <c r="AD107" s="329">
        <f t="shared" si="81"/>
        <v>121</v>
      </c>
      <c r="AE107" s="343">
        <f t="shared" si="82"/>
        <v>104.41666666666667</v>
      </c>
      <c r="AF107" s="329">
        <f t="shared" si="83"/>
        <v>120</v>
      </c>
      <c r="AG107" s="342">
        <f t="shared" si="84"/>
        <v>-8.3333333333333329E-2</v>
      </c>
    </row>
    <row r="108" spans="2:33">
      <c r="B108" s="337" t="s">
        <v>1033</v>
      </c>
      <c r="C108" s="337">
        <v>94</v>
      </c>
      <c r="D108" s="337">
        <v>6</v>
      </c>
      <c r="E108" s="346">
        <v>0</v>
      </c>
      <c r="G108" s="355" t="s">
        <v>904</v>
      </c>
      <c r="H108" s="337">
        <v>10</v>
      </c>
      <c r="I108" s="329">
        <f t="shared" si="68"/>
        <v>104</v>
      </c>
      <c r="L108" s="335">
        <v>756</v>
      </c>
      <c r="N108" s="332">
        <f t="shared" si="69"/>
        <v>756</v>
      </c>
      <c r="O108" s="332">
        <f t="shared" si="70"/>
        <v>6.3</v>
      </c>
      <c r="P108" s="332">
        <f t="shared" si="71"/>
        <v>0</v>
      </c>
      <c r="Q108" s="329">
        <f t="shared" si="72"/>
        <v>0</v>
      </c>
      <c r="R108" s="332">
        <f t="shared" si="73"/>
        <v>0</v>
      </c>
      <c r="S108" s="344">
        <v>1</v>
      </c>
      <c r="T108" s="332">
        <f t="shared" si="74"/>
        <v>0</v>
      </c>
      <c r="V108" s="332">
        <f t="shared" si="75"/>
        <v>756</v>
      </c>
      <c r="W108" s="332">
        <f t="shared" si="76"/>
        <v>756</v>
      </c>
      <c r="X108" s="344">
        <v>1</v>
      </c>
      <c r="Y108" s="332">
        <f t="shared" si="77"/>
        <v>756</v>
      </c>
      <c r="Z108" s="332">
        <f t="shared" si="78"/>
        <v>756</v>
      </c>
      <c r="AA108" s="332">
        <f t="shared" si="79"/>
        <v>0</v>
      </c>
      <c r="AB108" s="332">
        <f t="shared" si="67"/>
        <v>0</v>
      </c>
      <c r="AC108" s="343">
        <f t="shared" si="80"/>
        <v>94.416666666666671</v>
      </c>
      <c r="AD108" s="329">
        <f t="shared" si="81"/>
        <v>121</v>
      </c>
      <c r="AE108" s="343">
        <f t="shared" si="82"/>
        <v>104.41666666666667</v>
      </c>
      <c r="AF108" s="329">
        <f t="shared" si="83"/>
        <v>120</v>
      </c>
      <c r="AG108" s="342">
        <f t="shared" si="84"/>
        <v>-8.3333333333333329E-2</v>
      </c>
    </row>
    <row r="109" spans="2:33">
      <c r="B109" s="337" t="s">
        <v>1032</v>
      </c>
      <c r="C109" s="337">
        <v>94</v>
      </c>
      <c r="D109" s="337">
        <v>6</v>
      </c>
      <c r="E109" s="346">
        <v>0</v>
      </c>
      <c r="G109" s="355" t="s">
        <v>904</v>
      </c>
      <c r="H109" s="337">
        <v>10</v>
      </c>
      <c r="I109" s="329">
        <f t="shared" si="68"/>
        <v>104</v>
      </c>
      <c r="L109" s="335">
        <v>367</v>
      </c>
      <c r="N109" s="332">
        <f t="shared" si="69"/>
        <v>367</v>
      </c>
      <c r="O109" s="332">
        <f t="shared" si="70"/>
        <v>3.0583333333333336</v>
      </c>
      <c r="P109" s="332">
        <f t="shared" si="71"/>
        <v>0</v>
      </c>
      <c r="Q109" s="329">
        <f t="shared" si="72"/>
        <v>0</v>
      </c>
      <c r="R109" s="332">
        <f t="shared" si="73"/>
        <v>0</v>
      </c>
      <c r="S109" s="344">
        <v>1</v>
      </c>
      <c r="T109" s="332">
        <f t="shared" si="74"/>
        <v>0</v>
      </c>
      <c r="V109" s="332">
        <f t="shared" si="75"/>
        <v>367</v>
      </c>
      <c r="W109" s="332">
        <f t="shared" si="76"/>
        <v>367</v>
      </c>
      <c r="X109" s="344">
        <v>1</v>
      </c>
      <c r="Y109" s="332">
        <f t="shared" si="77"/>
        <v>367</v>
      </c>
      <c r="Z109" s="332">
        <f t="shared" si="78"/>
        <v>367</v>
      </c>
      <c r="AA109" s="332">
        <f t="shared" si="79"/>
        <v>0</v>
      </c>
      <c r="AB109" s="332">
        <f t="shared" si="67"/>
        <v>0</v>
      </c>
      <c r="AC109" s="343">
        <f t="shared" si="80"/>
        <v>94.416666666666671</v>
      </c>
      <c r="AD109" s="329">
        <f t="shared" si="81"/>
        <v>121</v>
      </c>
      <c r="AE109" s="343">
        <f t="shared" si="82"/>
        <v>104.41666666666667</v>
      </c>
      <c r="AF109" s="329">
        <f t="shared" si="83"/>
        <v>120</v>
      </c>
      <c r="AG109" s="342">
        <f t="shared" si="84"/>
        <v>-8.3333333333333329E-2</v>
      </c>
    </row>
    <row r="110" spans="2:33">
      <c r="B110" s="337" t="s">
        <v>1031</v>
      </c>
      <c r="C110" s="337">
        <v>94</v>
      </c>
      <c r="D110" s="337">
        <v>6</v>
      </c>
      <c r="E110" s="346">
        <v>0</v>
      </c>
      <c r="G110" s="355" t="s">
        <v>904</v>
      </c>
      <c r="H110" s="337">
        <v>10</v>
      </c>
      <c r="I110" s="329">
        <f t="shared" si="68"/>
        <v>104</v>
      </c>
      <c r="L110" s="335">
        <v>1890</v>
      </c>
      <c r="N110" s="332">
        <f t="shared" si="69"/>
        <v>1890</v>
      </c>
      <c r="O110" s="332">
        <f t="shared" si="70"/>
        <v>15.75</v>
      </c>
      <c r="P110" s="332">
        <f t="shared" si="71"/>
        <v>0</v>
      </c>
      <c r="Q110" s="329">
        <f t="shared" si="72"/>
        <v>0</v>
      </c>
      <c r="R110" s="332">
        <f t="shared" si="73"/>
        <v>0</v>
      </c>
      <c r="S110" s="344">
        <v>1</v>
      </c>
      <c r="T110" s="332">
        <f t="shared" si="74"/>
        <v>0</v>
      </c>
      <c r="V110" s="332">
        <f t="shared" si="75"/>
        <v>1890</v>
      </c>
      <c r="W110" s="332">
        <f t="shared" si="76"/>
        <v>1890</v>
      </c>
      <c r="X110" s="344">
        <v>1</v>
      </c>
      <c r="Y110" s="332">
        <f t="shared" si="77"/>
        <v>1890</v>
      </c>
      <c r="Z110" s="332">
        <f t="shared" si="78"/>
        <v>1890</v>
      </c>
      <c r="AA110" s="332">
        <f t="shared" si="79"/>
        <v>0</v>
      </c>
      <c r="AB110" s="332">
        <f t="shared" si="67"/>
        <v>0</v>
      </c>
      <c r="AC110" s="343">
        <f t="shared" si="80"/>
        <v>94.416666666666671</v>
      </c>
      <c r="AD110" s="329">
        <f t="shared" si="81"/>
        <v>121</v>
      </c>
      <c r="AE110" s="343">
        <f t="shared" si="82"/>
        <v>104.41666666666667</v>
      </c>
      <c r="AF110" s="329">
        <f t="shared" si="83"/>
        <v>120</v>
      </c>
      <c r="AG110" s="342">
        <f t="shared" si="84"/>
        <v>-8.3333333333333329E-2</v>
      </c>
    </row>
    <row r="111" spans="2:33">
      <c r="B111" s="337" t="s">
        <v>1024</v>
      </c>
      <c r="C111" s="337">
        <v>94</v>
      </c>
      <c r="D111" s="337">
        <v>7</v>
      </c>
      <c r="E111" s="346">
        <v>0</v>
      </c>
      <c r="G111" s="355" t="s">
        <v>904</v>
      </c>
      <c r="H111" s="337">
        <v>10</v>
      </c>
      <c r="I111" s="329">
        <f t="shared" si="68"/>
        <v>104</v>
      </c>
      <c r="L111" s="335">
        <v>665</v>
      </c>
      <c r="N111" s="332">
        <f t="shared" si="69"/>
        <v>665</v>
      </c>
      <c r="O111" s="332">
        <f t="shared" si="70"/>
        <v>5.541666666666667</v>
      </c>
      <c r="P111" s="332">
        <f t="shared" si="71"/>
        <v>0</v>
      </c>
      <c r="Q111" s="329">
        <f t="shared" si="72"/>
        <v>0</v>
      </c>
      <c r="R111" s="332">
        <f t="shared" si="73"/>
        <v>0</v>
      </c>
      <c r="S111" s="344">
        <v>1</v>
      </c>
      <c r="T111" s="332">
        <f t="shared" si="74"/>
        <v>0</v>
      </c>
      <c r="V111" s="332">
        <f t="shared" si="75"/>
        <v>665</v>
      </c>
      <c r="W111" s="332">
        <f t="shared" si="76"/>
        <v>665</v>
      </c>
      <c r="X111" s="344">
        <v>1</v>
      </c>
      <c r="Y111" s="332">
        <f t="shared" si="77"/>
        <v>665</v>
      </c>
      <c r="Z111" s="332">
        <f t="shared" si="78"/>
        <v>665</v>
      </c>
      <c r="AA111" s="332">
        <f t="shared" si="79"/>
        <v>0</v>
      </c>
      <c r="AB111" s="332">
        <f t="shared" si="67"/>
        <v>0</v>
      </c>
      <c r="AC111" s="343">
        <f t="shared" si="80"/>
        <v>94.5</v>
      </c>
      <c r="AD111" s="329">
        <f t="shared" si="81"/>
        <v>121</v>
      </c>
      <c r="AE111" s="343">
        <f t="shared" si="82"/>
        <v>104.5</v>
      </c>
      <c r="AF111" s="329">
        <f t="shared" si="83"/>
        <v>120</v>
      </c>
      <c r="AG111" s="342">
        <f t="shared" si="84"/>
        <v>-8.3333333333333329E-2</v>
      </c>
    </row>
    <row r="112" spans="2:33">
      <c r="B112" s="337" t="s">
        <v>1030</v>
      </c>
      <c r="C112" s="337">
        <v>94</v>
      </c>
      <c r="D112" s="337">
        <v>7</v>
      </c>
      <c r="E112" s="346">
        <v>0</v>
      </c>
      <c r="G112" s="355" t="s">
        <v>904</v>
      </c>
      <c r="H112" s="337">
        <v>10</v>
      </c>
      <c r="I112" s="329">
        <f t="shared" si="68"/>
        <v>104</v>
      </c>
      <c r="L112" s="335">
        <v>1642</v>
      </c>
      <c r="N112" s="332">
        <f t="shared" si="69"/>
        <v>1642</v>
      </c>
      <c r="O112" s="332">
        <f t="shared" si="70"/>
        <v>13.683333333333332</v>
      </c>
      <c r="P112" s="332">
        <f t="shared" si="71"/>
        <v>0</v>
      </c>
      <c r="Q112" s="329">
        <f t="shared" si="72"/>
        <v>0</v>
      </c>
      <c r="R112" s="332">
        <f t="shared" si="73"/>
        <v>0</v>
      </c>
      <c r="S112" s="344">
        <v>1</v>
      </c>
      <c r="T112" s="332">
        <f t="shared" si="74"/>
        <v>0</v>
      </c>
      <c r="V112" s="332">
        <f t="shared" si="75"/>
        <v>1642</v>
      </c>
      <c r="W112" s="332">
        <f t="shared" si="76"/>
        <v>1642</v>
      </c>
      <c r="X112" s="344">
        <v>1</v>
      </c>
      <c r="Y112" s="332">
        <f t="shared" si="77"/>
        <v>1642</v>
      </c>
      <c r="Z112" s="332">
        <f t="shared" si="78"/>
        <v>1642</v>
      </c>
      <c r="AA112" s="332">
        <f t="shared" si="79"/>
        <v>0</v>
      </c>
      <c r="AB112" s="332">
        <f t="shared" si="67"/>
        <v>0</v>
      </c>
      <c r="AC112" s="343">
        <f t="shared" si="80"/>
        <v>94.5</v>
      </c>
      <c r="AD112" s="329">
        <f t="shared" si="81"/>
        <v>121</v>
      </c>
      <c r="AE112" s="343">
        <f t="shared" si="82"/>
        <v>104.5</v>
      </c>
      <c r="AF112" s="329">
        <f t="shared" si="83"/>
        <v>120</v>
      </c>
      <c r="AG112" s="342">
        <f t="shared" si="84"/>
        <v>-8.3333333333333329E-2</v>
      </c>
    </row>
    <row r="113" spans="2:33">
      <c r="B113" s="337" t="s">
        <v>1029</v>
      </c>
      <c r="C113" s="337">
        <v>94</v>
      </c>
      <c r="D113" s="337">
        <v>7</v>
      </c>
      <c r="E113" s="346">
        <v>0</v>
      </c>
      <c r="G113" s="355" t="s">
        <v>904</v>
      </c>
      <c r="H113" s="337">
        <v>10</v>
      </c>
      <c r="I113" s="329">
        <f t="shared" si="68"/>
        <v>104</v>
      </c>
      <c r="L113" s="335">
        <v>1377</v>
      </c>
      <c r="N113" s="332">
        <f t="shared" si="69"/>
        <v>1377</v>
      </c>
      <c r="O113" s="332">
        <f t="shared" si="70"/>
        <v>11.475</v>
      </c>
      <c r="P113" s="332">
        <f t="shared" si="71"/>
        <v>0</v>
      </c>
      <c r="Q113" s="329">
        <f t="shared" si="72"/>
        <v>0</v>
      </c>
      <c r="R113" s="332">
        <f t="shared" si="73"/>
        <v>0</v>
      </c>
      <c r="S113" s="344">
        <v>1</v>
      </c>
      <c r="T113" s="332">
        <f t="shared" si="74"/>
        <v>0</v>
      </c>
      <c r="V113" s="332">
        <f t="shared" si="75"/>
        <v>1377</v>
      </c>
      <c r="W113" s="332">
        <f t="shared" si="76"/>
        <v>1377</v>
      </c>
      <c r="X113" s="344">
        <v>1</v>
      </c>
      <c r="Y113" s="332">
        <f t="shared" si="77"/>
        <v>1377</v>
      </c>
      <c r="Z113" s="332">
        <f t="shared" si="78"/>
        <v>1377</v>
      </c>
      <c r="AA113" s="332">
        <f t="shared" si="79"/>
        <v>0</v>
      </c>
      <c r="AB113" s="332">
        <f t="shared" si="67"/>
        <v>0</v>
      </c>
      <c r="AC113" s="343">
        <f t="shared" si="80"/>
        <v>94.5</v>
      </c>
      <c r="AD113" s="329">
        <f t="shared" si="81"/>
        <v>121</v>
      </c>
      <c r="AE113" s="343">
        <f t="shared" si="82"/>
        <v>104.5</v>
      </c>
      <c r="AF113" s="329">
        <f t="shared" si="83"/>
        <v>120</v>
      </c>
      <c r="AG113" s="342">
        <f t="shared" si="84"/>
        <v>-8.3333333333333329E-2</v>
      </c>
    </row>
    <row r="114" spans="2:33">
      <c r="B114" s="337" t="s">
        <v>1028</v>
      </c>
      <c r="C114" s="337">
        <v>95</v>
      </c>
      <c r="D114" s="337">
        <v>4</v>
      </c>
      <c r="E114" s="346">
        <v>0</v>
      </c>
      <c r="G114" s="355" t="s">
        <v>904</v>
      </c>
      <c r="H114" s="337">
        <v>10</v>
      </c>
      <c r="I114" s="329">
        <f t="shared" si="68"/>
        <v>105</v>
      </c>
      <c r="L114" s="335">
        <v>2554</v>
      </c>
      <c r="N114" s="332">
        <f t="shared" si="69"/>
        <v>2554</v>
      </c>
      <c r="O114" s="332">
        <f t="shared" si="70"/>
        <v>21.283333333333335</v>
      </c>
      <c r="P114" s="332">
        <f t="shared" si="71"/>
        <v>0</v>
      </c>
      <c r="Q114" s="329">
        <f t="shared" si="72"/>
        <v>0</v>
      </c>
      <c r="R114" s="332">
        <f t="shared" si="73"/>
        <v>0</v>
      </c>
      <c r="S114" s="344">
        <v>1</v>
      </c>
      <c r="T114" s="332">
        <f t="shared" si="74"/>
        <v>0</v>
      </c>
      <c r="V114" s="332">
        <f t="shared" si="75"/>
        <v>2554</v>
      </c>
      <c r="W114" s="332">
        <f t="shared" si="76"/>
        <v>2554</v>
      </c>
      <c r="X114" s="344">
        <v>1</v>
      </c>
      <c r="Y114" s="332">
        <f t="shared" si="77"/>
        <v>2554</v>
      </c>
      <c r="Z114" s="332">
        <f t="shared" si="78"/>
        <v>2554</v>
      </c>
      <c r="AA114" s="332">
        <f t="shared" si="79"/>
        <v>0</v>
      </c>
      <c r="AB114" s="332">
        <f t="shared" si="67"/>
        <v>0</v>
      </c>
      <c r="AC114" s="343">
        <f t="shared" si="80"/>
        <v>95.25</v>
      </c>
      <c r="AD114" s="329">
        <f t="shared" si="81"/>
        <v>121</v>
      </c>
      <c r="AE114" s="343">
        <f t="shared" si="82"/>
        <v>105.25</v>
      </c>
      <c r="AF114" s="329">
        <f t="shared" si="83"/>
        <v>120</v>
      </c>
      <c r="AG114" s="342">
        <f t="shared" si="84"/>
        <v>-8.3333333333333329E-2</v>
      </c>
    </row>
    <row r="115" spans="2:33">
      <c r="B115" s="337" t="s">
        <v>1027</v>
      </c>
      <c r="C115" s="337">
        <v>95</v>
      </c>
      <c r="D115" s="337">
        <v>6</v>
      </c>
      <c r="E115" s="346">
        <v>0</v>
      </c>
      <c r="G115" s="355" t="s">
        <v>904</v>
      </c>
      <c r="H115" s="337">
        <v>10</v>
      </c>
      <c r="I115" s="329">
        <f t="shared" si="68"/>
        <v>105</v>
      </c>
      <c r="L115" s="335">
        <v>3376</v>
      </c>
      <c r="N115" s="332">
        <f t="shared" si="69"/>
        <v>3376</v>
      </c>
      <c r="O115" s="332">
        <f t="shared" si="70"/>
        <v>28.133333333333336</v>
      </c>
      <c r="P115" s="332">
        <f t="shared" si="71"/>
        <v>0</v>
      </c>
      <c r="Q115" s="329">
        <f t="shared" si="72"/>
        <v>0</v>
      </c>
      <c r="R115" s="332">
        <f t="shared" si="73"/>
        <v>0</v>
      </c>
      <c r="S115" s="344">
        <v>1</v>
      </c>
      <c r="T115" s="332">
        <f t="shared" si="74"/>
        <v>0</v>
      </c>
      <c r="V115" s="332">
        <f t="shared" si="75"/>
        <v>3376</v>
      </c>
      <c r="W115" s="332">
        <f t="shared" si="76"/>
        <v>3376</v>
      </c>
      <c r="X115" s="344">
        <v>1</v>
      </c>
      <c r="Y115" s="332">
        <f t="shared" si="77"/>
        <v>3376</v>
      </c>
      <c r="Z115" s="332">
        <f t="shared" si="78"/>
        <v>3376</v>
      </c>
      <c r="AA115" s="332">
        <f t="shared" si="79"/>
        <v>0</v>
      </c>
      <c r="AB115" s="332">
        <f t="shared" si="67"/>
        <v>0</v>
      </c>
      <c r="AC115" s="343">
        <f t="shared" si="80"/>
        <v>95.416666666666671</v>
      </c>
      <c r="AD115" s="329">
        <f t="shared" si="81"/>
        <v>121</v>
      </c>
      <c r="AE115" s="343">
        <f t="shared" si="82"/>
        <v>105.41666666666667</v>
      </c>
      <c r="AF115" s="329">
        <f t="shared" si="83"/>
        <v>120</v>
      </c>
      <c r="AG115" s="342">
        <f t="shared" si="84"/>
        <v>-8.3333333333333329E-2</v>
      </c>
    </row>
    <row r="116" spans="2:33">
      <c r="B116" s="337" t="s">
        <v>1015</v>
      </c>
      <c r="C116" s="337">
        <v>95</v>
      </c>
      <c r="D116" s="337">
        <v>6</v>
      </c>
      <c r="E116" s="346">
        <v>0</v>
      </c>
      <c r="G116" s="355" t="s">
        <v>904</v>
      </c>
      <c r="H116" s="337">
        <v>10</v>
      </c>
      <c r="I116" s="329">
        <f t="shared" si="68"/>
        <v>105</v>
      </c>
      <c r="L116" s="335">
        <v>1623</v>
      </c>
      <c r="N116" s="332">
        <f t="shared" si="69"/>
        <v>1623</v>
      </c>
      <c r="O116" s="332">
        <f t="shared" si="70"/>
        <v>13.525</v>
      </c>
      <c r="P116" s="332">
        <f t="shared" si="71"/>
        <v>0</v>
      </c>
      <c r="Q116" s="329">
        <f t="shared" si="72"/>
        <v>0</v>
      </c>
      <c r="R116" s="332">
        <f t="shared" si="73"/>
        <v>0</v>
      </c>
      <c r="S116" s="344">
        <v>1</v>
      </c>
      <c r="T116" s="332">
        <f t="shared" si="74"/>
        <v>0</v>
      </c>
      <c r="V116" s="332">
        <f t="shared" si="75"/>
        <v>1623</v>
      </c>
      <c r="W116" s="332">
        <f t="shared" si="76"/>
        <v>1623</v>
      </c>
      <c r="X116" s="344">
        <v>1</v>
      </c>
      <c r="Y116" s="332">
        <f t="shared" si="77"/>
        <v>1623</v>
      </c>
      <c r="Z116" s="332">
        <f t="shared" si="78"/>
        <v>1623</v>
      </c>
      <c r="AA116" s="332">
        <f t="shared" si="79"/>
        <v>0</v>
      </c>
      <c r="AB116" s="332">
        <f t="shared" si="67"/>
        <v>0</v>
      </c>
      <c r="AC116" s="343">
        <f t="shared" si="80"/>
        <v>95.416666666666671</v>
      </c>
      <c r="AD116" s="329">
        <f t="shared" si="81"/>
        <v>121</v>
      </c>
      <c r="AE116" s="343">
        <f t="shared" si="82"/>
        <v>105.41666666666667</v>
      </c>
      <c r="AF116" s="329">
        <f t="shared" si="83"/>
        <v>120</v>
      </c>
      <c r="AG116" s="342">
        <f t="shared" si="84"/>
        <v>-8.3333333333333329E-2</v>
      </c>
    </row>
    <row r="117" spans="2:33">
      <c r="B117" s="337" t="s">
        <v>1021</v>
      </c>
      <c r="C117" s="337">
        <v>96</v>
      </c>
      <c r="D117" s="337">
        <v>4</v>
      </c>
      <c r="E117" s="346">
        <v>0</v>
      </c>
      <c r="G117" s="355" t="s">
        <v>904</v>
      </c>
      <c r="H117" s="337">
        <v>10</v>
      </c>
      <c r="I117" s="329">
        <f t="shared" si="68"/>
        <v>106</v>
      </c>
      <c r="L117" s="335">
        <v>3246</v>
      </c>
      <c r="N117" s="332">
        <f t="shared" si="69"/>
        <v>3246</v>
      </c>
      <c r="O117" s="332">
        <f t="shared" si="70"/>
        <v>27.05</v>
      </c>
      <c r="P117" s="332">
        <f t="shared" si="71"/>
        <v>0</v>
      </c>
      <c r="Q117" s="329">
        <f t="shared" si="72"/>
        <v>0</v>
      </c>
      <c r="R117" s="332">
        <f t="shared" si="73"/>
        <v>0</v>
      </c>
      <c r="S117" s="344">
        <v>1</v>
      </c>
      <c r="T117" s="332">
        <f t="shared" si="74"/>
        <v>0</v>
      </c>
      <c r="V117" s="332">
        <f t="shared" si="75"/>
        <v>3246</v>
      </c>
      <c r="W117" s="332">
        <f t="shared" si="76"/>
        <v>3246</v>
      </c>
      <c r="X117" s="344">
        <v>1</v>
      </c>
      <c r="Y117" s="332">
        <f t="shared" si="77"/>
        <v>3246</v>
      </c>
      <c r="Z117" s="332">
        <f t="shared" si="78"/>
        <v>3246</v>
      </c>
      <c r="AA117" s="332">
        <f t="shared" si="79"/>
        <v>0</v>
      </c>
      <c r="AB117" s="332">
        <f t="shared" si="67"/>
        <v>0</v>
      </c>
      <c r="AC117" s="343">
        <f t="shared" si="80"/>
        <v>96.25</v>
      </c>
      <c r="AD117" s="329">
        <f t="shared" si="81"/>
        <v>121</v>
      </c>
      <c r="AE117" s="343">
        <f t="shared" si="82"/>
        <v>106.25</v>
      </c>
      <c r="AF117" s="329">
        <f t="shared" si="83"/>
        <v>120</v>
      </c>
      <c r="AG117" s="342">
        <f t="shared" si="84"/>
        <v>-8.3333333333333329E-2</v>
      </c>
    </row>
    <row r="118" spans="2:33">
      <c r="B118" s="337" t="s">
        <v>1026</v>
      </c>
      <c r="C118" s="337">
        <v>96</v>
      </c>
      <c r="D118" s="337">
        <v>4</v>
      </c>
      <c r="E118" s="346">
        <v>0</v>
      </c>
      <c r="G118" s="355" t="s">
        <v>904</v>
      </c>
      <c r="H118" s="337">
        <v>10</v>
      </c>
      <c r="I118" s="329">
        <f t="shared" si="68"/>
        <v>106</v>
      </c>
      <c r="L118" s="335">
        <v>2813</v>
      </c>
      <c r="N118" s="332">
        <f t="shared" si="69"/>
        <v>2813</v>
      </c>
      <c r="O118" s="332">
        <f t="shared" si="70"/>
        <v>23.441666666666666</v>
      </c>
      <c r="P118" s="332">
        <f t="shared" si="71"/>
        <v>0</v>
      </c>
      <c r="Q118" s="329">
        <f t="shared" si="72"/>
        <v>0</v>
      </c>
      <c r="R118" s="332">
        <f t="shared" si="73"/>
        <v>0</v>
      </c>
      <c r="S118" s="344">
        <v>1</v>
      </c>
      <c r="T118" s="332">
        <f t="shared" si="74"/>
        <v>0</v>
      </c>
      <c r="V118" s="332">
        <f t="shared" si="75"/>
        <v>2813</v>
      </c>
      <c r="W118" s="332">
        <f t="shared" si="76"/>
        <v>2813</v>
      </c>
      <c r="X118" s="344">
        <v>1</v>
      </c>
      <c r="Y118" s="332">
        <f t="shared" si="77"/>
        <v>2813</v>
      </c>
      <c r="Z118" s="332">
        <f t="shared" si="78"/>
        <v>2813</v>
      </c>
      <c r="AA118" s="332">
        <f t="shared" si="79"/>
        <v>0</v>
      </c>
      <c r="AB118" s="332">
        <f t="shared" si="67"/>
        <v>0</v>
      </c>
      <c r="AC118" s="343">
        <f t="shared" si="80"/>
        <v>96.25</v>
      </c>
      <c r="AD118" s="329">
        <f t="shared" si="81"/>
        <v>121</v>
      </c>
      <c r="AE118" s="343">
        <f t="shared" si="82"/>
        <v>106.25</v>
      </c>
      <c r="AF118" s="329">
        <f t="shared" si="83"/>
        <v>120</v>
      </c>
      <c r="AG118" s="342">
        <f t="shared" si="84"/>
        <v>-8.3333333333333329E-2</v>
      </c>
    </row>
    <row r="119" spans="2:33">
      <c r="B119" s="337" t="s">
        <v>1015</v>
      </c>
      <c r="C119" s="337">
        <v>96</v>
      </c>
      <c r="D119" s="337">
        <v>9</v>
      </c>
      <c r="E119" s="346">
        <v>0</v>
      </c>
      <c r="G119" s="355" t="s">
        <v>904</v>
      </c>
      <c r="H119" s="337">
        <v>10</v>
      </c>
      <c r="I119" s="329">
        <f t="shared" si="68"/>
        <v>106</v>
      </c>
      <c r="L119" s="335">
        <v>1720</v>
      </c>
      <c r="N119" s="332">
        <f t="shared" si="69"/>
        <v>1720</v>
      </c>
      <c r="O119" s="332">
        <f t="shared" si="70"/>
        <v>14.333333333333334</v>
      </c>
      <c r="P119" s="332">
        <f t="shared" si="71"/>
        <v>0</v>
      </c>
      <c r="Q119" s="329">
        <f t="shared" si="72"/>
        <v>0</v>
      </c>
      <c r="R119" s="332">
        <f t="shared" si="73"/>
        <v>0</v>
      </c>
      <c r="S119" s="344">
        <v>1</v>
      </c>
      <c r="T119" s="332">
        <f t="shared" si="74"/>
        <v>0</v>
      </c>
      <c r="V119" s="332">
        <f t="shared" si="75"/>
        <v>1720</v>
      </c>
      <c r="W119" s="332">
        <f t="shared" si="76"/>
        <v>1720</v>
      </c>
      <c r="X119" s="344">
        <v>1</v>
      </c>
      <c r="Y119" s="332">
        <f t="shared" si="77"/>
        <v>1720</v>
      </c>
      <c r="Z119" s="332">
        <f t="shared" si="78"/>
        <v>1720</v>
      </c>
      <c r="AA119" s="332">
        <f t="shared" si="79"/>
        <v>0</v>
      </c>
      <c r="AB119" s="332">
        <f t="shared" si="67"/>
        <v>0</v>
      </c>
      <c r="AC119" s="343">
        <f t="shared" si="80"/>
        <v>96.666666666666671</v>
      </c>
      <c r="AD119" s="329">
        <f t="shared" si="81"/>
        <v>121</v>
      </c>
      <c r="AE119" s="343">
        <f t="shared" si="82"/>
        <v>106.66666666666667</v>
      </c>
      <c r="AF119" s="329">
        <f t="shared" si="83"/>
        <v>120</v>
      </c>
      <c r="AG119" s="342">
        <f t="shared" si="84"/>
        <v>-8.3333333333333329E-2</v>
      </c>
    </row>
    <row r="120" spans="2:33">
      <c r="B120" s="337" t="s">
        <v>1026</v>
      </c>
      <c r="C120" s="337">
        <v>97</v>
      </c>
      <c r="D120" s="337">
        <v>4</v>
      </c>
      <c r="E120" s="346">
        <v>0</v>
      </c>
      <c r="G120" s="355" t="s">
        <v>904</v>
      </c>
      <c r="H120" s="337">
        <v>10</v>
      </c>
      <c r="I120" s="329">
        <f t="shared" si="68"/>
        <v>107</v>
      </c>
      <c r="L120" s="335">
        <v>2911</v>
      </c>
      <c r="N120" s="332">
        <f t="shared" si="69"/>
        <v>2911</v>
      </c>
      <c r="O120" s="332">
        <f t="shared" si="70"/>
        <v>24.258333333333336</v>
      </c>
      <c r="P120" s="332">
        <f t="shared" si="71"/>
        <v>0</v>
      </c>
      <c r="Q120" s="329">
        <f t="shared" si="72"/>
        <v>0</v>
      </c>
      <c r="R120" s="332">
        <f t="shared" si="73"/>
        <v>0</v>
      </c>
      <c r="S120" s="344">
        <v>1</v>
      </c>
      <c r="T120" s="332">
        <f t="shared" si="74"/>
        <v>0</v>
      </c>
      <c r="V120" s="332">
        <f t="shared" si="75"/>
        <v>2911</v>
      </c>
      <c r="W120" s="332">
        <f t="shared" si="76"/>
        <v>2911</v>
      </c>
      <c r="X120" s="344">
        <v>1</v>
      </c>
      <c r="Y120" s="332">
        <f t="shared" si="77"/>
        <v>2911</v>
      </c>
      <c r="Z120" s="332">
        <f t="shared" si="78"/>
        <v>2911</v>
      </c>
      <c r="AA120" s="332">
        <f t="shared" si="79"/>
        <v>0</v>
      </c>
      <c r="AB120" s="332">
        <f t="shared" si="67"/>
        <v>0</v>
      </c>
      <c r="AC120" s="343">
        <f t="shared" si="80"/>
        <v>97.25</v>
      </c>
      <c r="AD120" s="329">
        <f t="shared" si="81"/>
        <v>121</v>
      </c>
      <c r="AE120" s="343">
        <f t="shared" si="82"/>
        <v>107.25</v>
      </c>
      <c r="AF120" s="329">
        <f t="shared" si="83"/>
        <v>120</v>
      </c>
      <c r="AG120" s="342">
        <f t="shared" si="84"/>
        <v>-8.3333333333333329E-2</v>
      </c>
    </row>
    <row r="121" spans="2:33">
      <c r="B121" s="337" t="s">
        <v>1021</v>
      </c>
      <c r="C121" s="337">
        <v>97</v>
      </c>
      <c r="D121" s="337">
        <v>4</v>
      </c>
      <c r="E121" s="346">
        <v>0</v>
      </c>
      <c r="G121" s="355" t="s">
        <v>904</v>
      </c>
      <c r="H121" s="337">
        <v>10</v>
      </c>
      <c r="I121" s="329">
        <f t="shared" si="68"/>
        <v>107</v>
      </c>
      <c r="L121" s="335">
        <v>3364</v>
      </c>
      <c r="N121" s="332">
        <f t="shared" si="69"/>
        <v>3364</v>
      </c>
      <c r="O121" s="332">
        <f t="shared" si="70"/>
        <v>28.033333333333331</v>
      </c>
      <c r="P121" s="332">
        <f t="shared" si="71"/>
        <v>0</v>
      </c>
      <c r="Q121" s="329">
        <f t="shared" si="72"/>
        <v>0</v>
      </c>
      <c r="R121" s="332">
        <f t="shared" si="73"/>
        <v>0</v>
      </c>
      <c r="S121" s="344">
        <v>1</v>
      </c>
      <c r="T121" s="332">
        <f t="shared" si="74"/>
        <v>0</v>
      </c>
      <c r="V121" s="332">
        <f t="shared" si="75"/>
        <v>3364</v>
      </c>
      <c r="W121" s="332">
        <f t="shared" si="76"/>
        <v>3364</v>
      </c>
      <c r="X121" s="344">
        <v>1</v>
      </c>
      <c r="Y121" s="332">
        <f t="shared" si="77"/>
        <v>3364</v>
      </c>
      <c r="Z121" s="332">
        <f t="shared" si="78"/>
        <v>3364</v>
      </c>
      <c r="AA121" s="332">
        <f t="shared" si="79"/>
        <v>0</v>
      </c>
      <c r="AB121" s="332">
        <f t="shared" si="67"/>
        <v>0</v>
      </c>
      <c r="AC121" s="343">
        <f t="shared" si="80"/>
        <v>97.25</v>
      </c>
      <c r="AD121" s="329">
        <f t="shared" si="81"/>
        <v>121</v>
      </c>
      <c r="AE121" s="343">
        <f t="shared" si="82"/>
        <v>107.25</v>
      </c>
      <c r="AF121" s="329">
        <f t="shared" si="83"/>
        <v>120</v>
      </c>
      <c r="AG121" s="342">
        <f t="shared" si="84"/>
        <v>-8.3333333333333329E-2</v>
      </c>
    </row>
    <row r="122" spans="2:33">
      <c r="B122" s="337" t="s">
        <v>1015</v>
      </c>
      <c r="C122" s="337">
        <v>97</v>
      </c>
      <c r="D122" s="337">
        <v>4</v>
      </c>
      <c r="E122" s="346">
        <v>0</v>
      </c>
      <c r="G122" s="355" t="s">
        <v>904</v>
      </c>
      <c r="H122" s="337">
        <v>10</v>
      </c>
      <c r="I122" s="329">
        <f t="shared" si="68"/>
        <v>107</v>
      </c>
      <c r="L122" s="335">
        <v>1561</v>
      </c>
      <c r="N122" s="332">
        <f t="shared" si="69"/>
        <v>1561</v>
      </c>
      <c r="O122" s="332">
        <f t="shared" si="70"/>
        <v>13.008333333333333</v>
      </c>
      <c r="P122" s="332">
        <f t="shared" si="71"/>
        <v>0</v>
      </c>
      <c r="Q122" s="329">
        <f t="shared" si="72"/>
        <v>0</v>
      </c>
      <c r="R122" s="332">
        <f t="shared" si="73"/>
        <v>0</v>
      </c>
      <c r="S122" s="344">
        <v>1</v>
      </c>
      <c r="T122" s="332">
        <f t="shared" si="74"/>
        <v>0</v>
      </c>
      <c r="V122" s="332">
        <f t="shared" si="75"/>
        <v>1561</v>
      </c>
      <c r="W122" s="332">
        <f t="shared" si="76"/>
        <v>1561</v>
      </c>
      <c r="X122" s="344">
        <v>1</v>
      </c>
      <c r="Y122" s="332">
        <f t="shared" si="77"/>
        <v>1561</v>
      </c>
      <c r="Z122" s="332">
        <f t="shared" si="78"/>
        <v>1561</v>
      </c>
      <c r="AA122" s="332">
        <f t="shared" si="79"/>
        <v>0</v>
      </c>
      <c r="AB122" s="332">
        <f t="shared" si="67"/>
        <v>0</v>
      </c>
      <c r="AC122" s="343">
        <f t="shared" si="80"/>
        <v>97.25</v>
      </c>
      <c r="AD122" s="329">
        <f t="shared" si="81"/>
        <v>121</v>
      </c>
      <c r="AE122" s="343">
        <f t="shared" si="82"/>
        <v>107.25</v>
      </c>
      <c r="AF122" s="329">
        <f t="shared" si="83"/>
        <v>120</v>
      </c>
      <c r="AG122" s="342">
        <f t="shared" si="84"/>
        <v>-8.3333333333333329E-2</v>
      </c>
    </row>
    <row r="123" spans="2:33">
      <c r="B123" s="337" t="s">
        <v>1025</v>
      </c>
      <c r="C123" s="337">
        <v>97</v>
      </c>
      <c r="D123" s="337">
        <v>4</v>
      </c>
      <c r="E123" s="346">
        <v>0</v>
      </c>
      <c r="G123" s="355" t="s">
        <v>904</v>
      </c>
      <c r="H123" s="337">
        <v>10</v>
      </c>
      <c r="I123" s="329">
        <f t="shared" si="68"/>
        <v>107</v>
      </c>
      <c r="L123" s="335">
        <v>2055</v>
      </c>
      <c r="N123" s="332">
        <f t="shared" si="69"/>
        <v>2055</v>
      </c>
      <c r="O123" s="332">
        <f t="shared" si="70"/>
        <v>17.125</v>
      </c>
      <c r="P123" s="332">
        <f t="shared" si="71"/>
        <v>0</v>
      </c>
      <c r="Q123" s="329">
        <f t="shared" si="72"/>
        <v>0</v>
      </c>
      <c r="R123" s="332">
        <f t="shared" si="73"/>
        <v>0</v>
      </c>
      <c r="S123" s="344">
        <v>1</v>
      </c>
      <c r="T123" s="332">
        <f t="shared" si="74"/>
        <v>0</v>
      </c>
      <c r="V123" s="332">
        <f t="shared" si="75"/>
        <v>2055</v>
      </c>
      <c r="W123" s="332">
        <f t="shared" si="76"/>
        <v>2055</v>
      </c>
      <c r="X123" s="344">
        <v>1</v>
      </c>
      <c r="Y123" s="332">
        <f t="shared" si="77"/>
        <v>2055</v>
      </c>
      <c r="Z123" s="332">
        <f t="shared" si="78"/>
        <v>2055</v>
      </c>
      <c r="AA123" s="332">
        <f t="shared" si="79"/>
        <v>0</v>
      </c>
      <c r="AB123" s="332">
        <f t="shared" si="67"/>
        <v>0</v>
      </c>
      <c r="AC123" s="343">
        <f t="shared" si="80"/>
        <v>97.25</v>
      </c>
      <c r="AD123" s="329">
        <f t="shared" si="81"/>
        <v>121</v>
      </c>
      <c r="AE123" s="343">
        <f t="shared" si="82"/>
        <v>107.25</v>
      </c>
      <c r="AF123" s="329">
        <f t="shared" si="83"/>
        <v>120</v>
      </c>
      <c r="AG123" s="342">
        <f t="shared" si="84"/>
        <v>-8.3333333333333329E-2</v>
      </c>
    </row>
    <row r="124" spans="2:33">
      <c r="B124" s="337" t="s">
        <v>1024</v>
      </c>
      <c r="C124" s="337">
        <v>97</v>
      </c>
      <c r="D124" s="337">
        <v>4</v>
      </c>
      <c r="E124" s="346">
        <v>0</v>
      </c>
      <c r="G124" s="355" t="s">
        <v>904</v>
      </c>
      <c r="H124" s="337">
        <v>10</v>
      </c>
      <c r="I124" s="329">
        <f t="shared" si="68"/>
        <v>107</v>
      </c>
      <c r="L124" s="335">
        <v>751</v>
      </c>
      <c r="N124" s="332">
        <f t="shared" si="69"/>
        <v>751</v>
      </c>
      <c r="O124" s="332">
        <f t="shared" si="70"/>
        <v>6.2583333333333329</v>
      </c>
      <c r="P124" s="332">
        <f t="shared" si="71"/>
        <v>0</v>
      </c>
      <c r="Q124" s="329">
        <f t="shared" si="72"/>
        <v>0</v>
      </c>
      <c r="R124" s="332">
        <f t="shared" si="73"/>
        <v>0</v>
      </c>
      <c r="S124" s="344">
        <v>1</v>
      </c>
      <c r="T124" s="332">
        <f t="shared" si="74"/>
        <v>0</v>
      </c>
      <c r="V124" s="332">
        <f t="shared" si="75"/>
        <v>751</v>
      </c>
      <c r="W124" s="332">
        <f t="shared" si="76"/>
        <v>751</v>
      </c>
      <c r="X124" s="344">
        <v>1</v>
      </c>
      <c r="Y124" s="332">
        <f t="shared" si="77"/>
        <v>751</v>
      </c>
      <c r="Z124" s="332">
        <f t="shared" si="78"/>
        <v>751</v>
      </c>
      <c r="AA124" s="332">
        <f t="shared" si="79"/>
        <v>0</v>
      </c>
      <c r="AB124" s="332">
        <f t="shared" si="67"/>
        <v>0</v>
      </c>
      <c r="AC124" s="343">
        <f t="shared" si="80"/>
        <v>97.25</v>
      </c>
      <c r="AD124" s="329">
        <f t="shared" si="81"/>
        <v>121</v>
      </c>
      <c r="AE124" s="343">
        <f t="shared" si="82"/>
        <v>107.25</v>
      </c>
      <c r="AF124" s="329">
        <f t="shared" si="83"/>
        <v>120</v>
      </c>
      <c r="AG124" s="342">
        <f t="shared" si="84"/>
        <v>-8.3333333333333329E-2</v>
      </c>
    </row>
    <row r="125" spans="2:33">
      <c r="B125" s="337" t="s">
        <v>1023</v>
      </c>
      <c r="C125" s="337">
        <v>97</v>
      </c>
      <c r="D125" s="337">
        <v>5</v>
      </c>
      <c r="E125" s="346">
        <v>0</v>
      </c>
      <c r="G125" s="355" t="s">
        <v>904</v>
      </c>
      <c r="H125" s="337">
        <v>10</v>
      </c>
      <c r="I125" s="329">
        <f t="shared" si="68"/>
        <v>107</v>
      </c>
      <c r="L125" s="335">
        <v>7324</v>
      </c>
      <c r="N125" s="332">
        <f t="shared" si="69"/>
        <v>7324</v>
      </c>
      <c r="O125" s="332">
        <f t="shared" si="70"/>
        <v>61.033333333333331</v>
      </c>
      <c r="P125" s="332">
        <f t="shared" si="71"/>
        <v>0</v>
      </c>
      <c r="Q125" s="329">
        <f t="shared" si="72"/>
        <v>0</v>
      </c>
      <c r="R125" s="332">
        <f t="shared" si="73"/>
        <v>0</v>
      </c>
      <c r="S125" s="344">
        <v>1</v>
      </c>
      <c r="T125" s="332">
        <f t="shared" si="74"/>
        <v>0</v>
      </c>
      <c r="V125" s="332">
        <f t="shared" si="75"/>
        <v>7324</v>
      </c>
      <c r="W125" s="332">
        <f t="shared" si="76"/>
        <v>7324</v>
      </c>
      <c r="X125" s="344">
        <v>1</v>
      </c>
      <c r="Y125" s="332">
        <f t="shared" si="77"/>
        <v>7324</v>
      </c>
      <c r="Z125" s="332">
        <f t="shared" si="78"/>
        <v>7324</v>
      </c>
      <c r="AA125" s="332">
        <f t="shared" si="79"/>
        <v>0</v>
      </c>
      <c r="AB125" s="332">
        <f t="shared" si="67"/>
        <v>0</v>
      </c>
      <c r="AC125" s="343">
        <f t="shared" si="80"/>
        <v>97.333333333333329</v>
      </c>
      <c r="AD125" s="329">
        <f t="shared" si="81"/>
        <v>121</v>
      </c>
      <c r="AE125" s="343">
        <f t="shared" si="82"/>
        <v>107.33333333333333</v>
      </c>
      <c r="AF125" s="329">
        <f t="shared" si="83"/>
        <v>120</v>
      </c>
      <c r="AG125" s="342">
        <f t="shared" si="84"/>
        <v>-8.3333333333333329E-2</v>
      </c>
    </row>
    <row r="126" spans="2:33">
      <c r="B126" s="337" t="s">
        <v>1022</v>
      </c>
      <c r="C126" s="337">
        <v>98</v>
      </c>
      <c r="D126" s="337">
        <v>3</v>
      </c>
      <c r="E126" s="346">
        <v>0</v>
      </c>
      <c r="G126" s="355" t="s">
        <v>904</v>
      </c>
      <c r="H126" s="337">
        <v>10</v>
      </c>
      <c r="I126" s="329">
        <f t="shared" ref="I126:I157" si="85">C126+H126</f>
        <v>108</v>
      </c>
      <c r="L126" s="335">
        <v>3410</v>
      </c>
      <c r="N126" s="332">
        <f t="shared" ref="N126:N157" si="86">L126-L126*E126</f>
        <v>3410</v>
      </c>
      <c r="O126" s="332">
        <f t="shared" ref="O126:O157" si="87">N126/H126/12</f>
        <v>28.416666666666668</v>
      </c>
      <c r="P126" s="332">
        <f t="shared" ref="P126:P157" si="88">IF(M126&gt;0,0,IF(OR(AC126&gt;AD126,AE126&lt;AF126),0,IF(AND(AE126&gt;=AF126,AE126&lt;=AD126),O126*((AE126-AF126)*12),IF(AND(AF126&lt;=AC126,AD126&gt;=AC126),((AD126-AC126)*12)*O126,IF(AE126&gt;AD126,12*O126,0)))))</f>
        <v>0</v>
      </c>
      <c r="Q126" s="329">
        <f t="shared" ref="Q126:Q157" si="89">IF(M126=0,0,IF(AND(AG126&gt;=AF126,AG126&lt;=AE126),((AG126-AF126)*12)*O126,0))</f>
        <v>0</v>
      </c>
      <c r="R126" s="332">
        <f t="shared" ref="R126:R157" si="90">IF(Q126&gt;0,Q126,P126)</f>
        <v>0</v>
      </c>
      <c r="S126" s="344">
        <v>1</v>
      </c>
      <c r="T126" s="332">
        <f t="shared" ref="T126:T157" si="91">S126*SUM(P126:Q126)</f>
        <v>0</v>
      </c>
      <c r="V126" s="332">
        <f t="shared" ref="V126:V157" si="92">IF(AC126&gt;AD126,0,IF(AE126&lt;AF126,N126,IF(AND(AE126&gt;=AF126,AE126&lt;=AD126),(N126-R126),IF(AND(AF126&lt;=AC126,AD126&gt;=AC126),0,IF(AE126&gt;AD126,((AF126-AC126)*12)*O126,0)))))</f>
        <v>3410</v>
      </c>
      <c r="W126" s="332">
        <f t="shared" ref="W126:W157" si="93">V126*S126</f>
        <v>3410</v>
      </c>
      <c r="X126" s="344">
        <v>1</v>
      </c>
      <c r="Y126" s="332">
        <f t="shared" ref="Y126:Y157" si="94">W126*X126</f>
        <v>3410</v>
      </c>
      <c r="Z126" s="332">
        <f t="shared" ref="Z126:Z157" si="95">IF(M126&gt;0,0,Y126+T126*X126)*X126</f>
        <v>3410</v>
      </c>
      <c r="AA126" s="332">
        <f t="shared" ref="AA126:AA157" si="96">IF(M126&gt;0,(L126-Y126)/2,IF(AC126&gt;=AF126,(((L126*S126)*X126)-Z126)/2,((((L126*S126)*X126)-Y126)+(((L126*S126)*X126)-Z126))/2))</f>
        <v>0</v>
      </c>
      <c r="AB126" s="332">
        <f t="shared" si="67"/>
        <v>0</v>
      </c>
      <c r="AC126" s="343">
        <f t="shared" ref="AC126:AC157" si="97">$C126+(($D126-1)/12)</f>
        <v>98.166666666666671</v>
      </c>
      <c r="AD126" s="329">
        <f t="shared" ref="AD126:AD157" si="98">($N$5+1)-($N$2/12)</f>
        <v>121</v>
      </c>
      <c r="AE126" s="343">
        <f t="shared" ref="AE126:AE157" si="99">$I126+(($D126-1)/12)</f>
        <v>108.16666666666667</v>
      </c>
      <c r="AF126" s="329">
        <f t="shared" ref="AF126:AF157" si="100">$N$4+($N$3/12)</f>
        <v>120</v>
      </c>
      <c r="AG126" s="342">
        <f t="shared" ref="AG126:AG157" si="101">$J126+(($K126-1)/12)</f>
        <v>-8.3333333333333329E-2</v>
      </c>
    </row>
    <row r="127" spans="2:33">
      <c r="B127" s="337" t="s">
        <v>1021</v>
      </c>
      <c r="C127" s="337">
        <v>98</v>
      </c>
      <c r="D127" s="337">
        <v>3</v>
      </c>
      <c r="E127" s="346">
        <v>0</v>
      </c>
      <c r="G127" s="355" t="s">
        <v>904</v>
      </c>
      <c r="H127" s="337">
        <v>10</v>
      </c>
      <c r="I127" s="329">
        <f t="shared" si="85"/>
        <v>108</v>
      </c>
      <c r="L127" s="335">
        <v>3833</v>
      </c>
      <c r="N127" s="332">
        <f t="shared" si="86"/>
        <v>3833</v>
      </c>
      <c r="O127" s="332">
        <f t="shared" si="87"/>
        <v>31.941666666666666</v>
      </c>
      <c r="P127" s="332">
        <f t="shared" si="88"/>
        <v>0</v>
      </c>
      <c r="Q127" s="329">
        <f t="shared" si="89"/>
        <v>0</v>
      </c>
      <c r="R127" s="332">
        <f t="shared" si="90"/>
        <v>0</v>
      </c>
      <c r="S127" s="344">
        <v>1</v>
      </c>
      <c r="T127" s="332">
        <f t="shared" si="91"/>
        <v>0</v>
      </c>
      <c r="V127" s="332">
        <f t="shared" si="92"/>
        <v>3833</v>
      </c>
      <c r="W127" s="332">
        <f t="shared" si="93"/>
        <v>3833</v>
      </c>
      <c r="X127" s="344">
        <v>1</v>
      </c>
      <c r="Y127" s="332">
        <f t="shared" si="94"/>
        <v>3833</v>
      </c>
      <c r="Z127" s="332">
        <f t="shared" si="95"/>
        <v>3833</v>
      </c>
      <c r="AA127" s="332">
        <f t="shared" si="96"/>
        <v>0</v>
      </c>
      <c r="AB127" s="332">
        <f t="shared" ref="AB127:AB181" si="102">L127-Z127</f>
        <v>0</v>
      </c>
      <c r="AC127" s="343">
        <f t="shared" si="97"/>
        <v>98.166666666666671</v>
      </c>
      <c r="AD127" s="329">
        <f t="shared" si="98"/>
        <v>121</v>
      </c>
      <c r="AE127" s="343">
        <f t="shared" si="99"/>
        <v>108.16666666666667</v>
      </c>
      <c r="AF127" s="329">
        <f t="shared" si="100"/>
        <v>120</v>
      </c>
      <c r="AG127" s="342">
        <f t="shared" si="101"/>
        <v>-8.3333333333333329E-2</v>
      </c>
    </row>
    <row r="128" spans="2:33">
      <c r="B128" s="337" t="s">
        <v>1020</v>
      </c>
      <c r="C128" s="337">
        <v>98</v>
      </c>
      <c r="D128" s="337">
        <v>11</v>
      </c>
      <c r="E128" s="346">
        <v>0</v>
      </c>
      <c r="G128" s="355" t="s">
        <v>904</v>
      </c>
      <c r="H128" s="337">
        <v>10</v>
      </c>
      <c r="I128" s="329">
        <f t="shared" si="85"/>
        <v>108</v>
      </c>
      <c r="L128" s="335">
        <v>5946</v>
      </c>
      <c r="N128" s="332">
        <f t="shared" si="86"/>
        <v>5946</v>
      </c>
      <c r="O128" s="332">
        <f t="shared" si="87"/>
        <v>49.550000000000004</v>
      </c>
      <c r="P128" s="332">
        <f t="shared" si="88"/>
        <v>0</v>
      </c>
      <c r="Q128" s="329">
        <f t="shared" si="89"/>
        <v>0</v>
      </c>
      <c r="R128" s="332">
        <f t="shared" si="90"/>
        <v>0</v>
      </c>
      <c r="S128" s="344">
        <v>1</v>
      </c>
      <c r="T128" s="332">
        <f t="shared" si="91"/>
        <v>0</v>
      </c>
      <c r="V128" s="332">
        <f t="shared" si="92"/>
        <v>5946</v>
      </c>
      <c r="W128" s="332">
        <f t="shared" si="93"/>
        <v>5946</v>
      </c>
      <c r="X128" s="344">
        <v>1</v>
      </c>
      <c r="Y128" s="332">
        <f t="shared" si="94"/>
        <v>5946</v>
      </c>
      <c r="Z128" s="332">
        <f t="shared" si="95"/>
        <v>5946</v>
      </c>
      <c r="AA128" s="332">
        <f t="shared" si="96"/>
        <v>0</v>
      </c>
      <c r="AB128" s="332">
        <f t="shared" si="102"/>
        <v>0</v>
      </c>
      <c r="AC128" s="343">
        <f t="shared" si="97"/>
        <v>98.833333333333329</v>
      </c>
      <c r="AD128" s="329">
        <f t="shared" si="98"/>
        <v>121</v>
      </c>
      <c r="AE128" s="343">
        <f t="shared" si="99"/>
        <v>108.83333333333333</v>
      </c>
      <c r="AF128" s="329">
        <f t="shared" si="100"/>
        <v>120</v>
      </c>
      <c r="AG128" s="342">
        <f t="shared" si="101"/>
        <v>-8.3333333333333329E-2</v>
      </c>
    </row>
    <row r="129" spans="2:33">
      <c r="B129" s="337" t="s">
        <v>1019</v>
      </c>
      <c r="C129" s="337">
        <v>98</v>
      </c>
      <c r="D129" s="337">
        <v>11</v>
      </c>
      <c r="E129" s="346">
        <v>0</v>
      </c>
      <c r="G129" s="355" t="s">
        <v>904</v>
      </c>
      <c r="H129" s="337">
        <v>10</v>
      </c>
      <c r="I129" s="329">
        <f t="shared" si="85"/>
        <v>108</v>
      </c>
      <c r="L129" s="335">
        <v>6594</v>
      </c>
      <c r="N129" s="332">
        <f t="shared" si="86"/>
        <v>6594</v>
      </c>
      <c r="O129" s="332">
        <f t="shared" si="87"/>
        <v>54.949999999999996</v>
      </c>
      <c r="P129" s="332">
        <f t="shared" si="88"/>
        <v>0</v>
      </c>
      <c r="Q129" s="329">
        <f t="shared" si="89"/>
        <v>0</v>
      </c>
      <c r="R129" s="332">
        <f t="shared" si="90"/>
        <v>0</v>
      </c>
      <c r="S129" s="344">
        <v>1</v>
      </c>
      <c r="T129" s="332">
        <f t="shared" si="91"/>
        <v>0</v>
      </c>
      <c r="V129" s="332">
        <f t="shared" si="92"/>
        <v>6594</v>
      </c>
      <c r="W129" s="332">
        <f t="shared" si="93"/>
        <v>6594</v>
      </c>
      <c r="X129" s="344">
        <v>1</v>
      </c>
      <c r="Y129" s="332">
        <f t="shared" si="94"/>
        <v>6594</v>
      </c>
      <c r="Z129" s="332">
        <f t="shared" si="95"/>
        <v>6594</v>
      </c>
      <c r="AA129" s="332">
        <f t="shared" si="96"/>
        <v>0</v>
      </c>
      <c r="AB129" s="332">
        <f t="shared" si="102"/>
        <v>0</v>
      </c>
      <c r="AC129" s="343">
        <f t="shared" si="97"/>
        <v>98.833333333333329</v>
      </c>
      <c r="AD129" s="329">
        <f t="shared" si="98"/>
        <v>121</v>
      </c>
      <c r="AE129" s="343">
        <f t="shared" si="99"/>
        <v>108.83333333333333</v>
      </c>
      <c r="AF129" s="329">
        <f t="shared" si="100"/>
        <v>120</v>
      </c>
      <c r="AG129" s="342">
        <f t="shared" si="101"/>
        <v>-8.3333333333333329E-2</v>
      </c>
    </row>
    <row r="130" spans="2:33">
      <c r="B130" s="337" t="s">
        <v>1018</v>
      </c>
      <c r="C130" s="337">
        <v>98</v>
      </c>
      <c r="D130" s="337">
        <v>11</v>
      </c>
      <c r="E130" s="346">
        <v>0</v>
      </c>
      <c r="G130" s="355" t="s">
        <v>904</v>
      </c>
      <c r="H130" s="337">
        <v>10</v>
      </c>
      <c r="I130" s="329">
        <f t="shared" si="85"/>
        <v>108</v>
      </c>
      <c r="L130" s="335">
        <v>2897</v>
      </c>
      <c r="N130" s="332">
        <f t="shared" si="86"/>
        <v>2897</v>
      </c>
      <c r="O130" s="332">
        <f t="shared" si="87"/>
        <v>24.141666666666666</v>
      </c>
      <c r="P130" s="332">
        <f t="shared" si="88"/>
        <v>0</v>
      </c>
      <c r="Q130" s="329">
        <f t="shared" si="89"/>
        <v>0</v>
      </c>
      <c r="R130" s="332">
        <f t="shared" si="90"/>
        <v>0</v>
      </c>
      <c r="S130" s="344">
        <v>1</v>
      </c>
      <c r="T130" s="332">
        <f t="shared" si="91"/>
        <v>0</v>
      </c>
      <c r="V130" s="332">
        <f t="shared" si="92"/>
        <v>2897</v>
      </c>
      <c r="W130" s="332">
        <f t="shared" si="93"/>
        <v>2897</v>
      </c>
      <c r="X130" s="344">
        <v>1</v>
      </c>
      <c r="Y130" s="332">
        <f t="shared" si="94"/>
        <v>2897</v>
      </c>
      <c r="Z130" s="332">
        <f t="shared" si="95"/>
        <v>2897</v>
      </c>
      <c r="AA130" s="332">
        <f t="shared" si="96"/>
        <v>0</v>
      </c>
      <c r="AB130" s="332">
        <f t="shared" si="102"/>
        <v>0</v>
      </c>
      <c r="AC130" s="343">
        <f t="shared" si="97"/>
        <v>98.833333333333329</v>
      </c>
      <c r="AD130" s="329">
        <f t="shared" si="98"/>
        <v>121</v>
      </c>
      <c r="AE130" s="343">
        <f t="shared" si="99"/>
        <v>108.83333333333333</v>
      </c>
      <c r="AF130" s="329">
        <f t="shared" si="100"/>
        <v>120</v>
      </c>
      <c r="AG130" s="342">
        <f t="shared" si="101"/>
        <v>-8.3333333333333329E-2</v>
      </c>
    </row>
    <row r="131" spans="2:33">
      <c r="B131" s="337" t="s">
        <v>1017</v>
      </c>
      <c r="C131" s="337">
        <v>99</v>
      </c>
      <c r="D131" s="337">
        <v>12</v>
      </c>
      <c r="E131" s="346">
        <v>0</v>
      </c>
      <c r="G131" s="355" t="s">
        <v>904</v>
      </c>
      <c r="H131" s="337">
        <v>10</v>
      </c>
      <c r="I131" s="329">
        <f t="shared" si="85"/>
        <v>109</v>
      </c>
      <c r="L131" s="335">
        <v>4459</v>
      </c>
      <c r="N131" s="332">
        <f t="shared" si="86"/>
        <v>4459</v>
      </c>
      <c r="O131" s="332">
        <f t="shared" si="87"/>
        <v>37.158333333333331</v>
      </c>
      <c r="P131" s="332">
        <f t="shared" si="88"/>
        <v>0</v>
      </c>
      <c r="Q131" s="329">
        <f t="shared" si="89"/>
        <v>0</v>
      </c>
      <c r="R131" s="332">
        <f t="shared" si="90"/>
        <v>0</v>
      </c>
      <c r="S131" s="344">
        <v>1</v>
      </c>
      <c r="T131" s="332">
        <f t="shared" si="91"/>
        <v>0</v>
      </c>
      <c r="V131" s="332">
        <f t="shared" si="92"/>
        <v>4459</v>
      </c>
      <c r="W131" s="332">
        <f t="shared" si="93"/>
        <v>4459</v>
      </c>
      <c r="X131" s="344">
        <v>1</v>
      </c>
      <c r="Y131" s="332">
        <f t="shared" si="94"/>
        <v>4459</v>
      </c>
      <c r="Z131" s="332">
        <f t="shared" si="95"/>
        <v>4459</v>
      </c>
      <c r="AA131" s="332">
        <f t="shared" si="96"/>
        <v>0</v>
      </c>
      <c r="AB131" s="332">
        <f t="shared" si="102"/>
        <v>0</v>
      </c>
      <c r="AC131" s="343">
        <f t="shared" si="97"/>
        <v>99.916666666666671</v>
      </c>
      <c r="AD131" s="329">
        <f t="shared" si="98"/>
        <v>121</v>
      </c>
      <c r="AE131" s="343">
        <f t="shared" si="99"/>
        <v>109.91666666666667</v>
      </c>
      <c r="AF131" s="329">
        <f t="shared" si="100"/>
        <v>120</v>
      </c>
      <c r="AG131" s="342">
        <f t="shared" si="101"/>
        <v>-8.3333333333333329E-2</v>
      </c>
    </row>
    <row r="132" spans="2:33">
      <c r="B132" s="337" t="s">
        <v>1016</v>
      </c>
      <c r="C132" s="337">
        <v>99</v>
      </c>
      <c r="D132" s="337">
        <v>12</v>
      </c>
      <c r="E132" s="346">
        <v>0</v>
      </c>
      <c r="G132" s="355" t="s">
        <v>904</v>
      </c>
      <c r="H132" s="337">
        <v>10</v>
      </c>
      <c r="I132" s="329">
        <f t="shared" si="85"/>
        <v>109</v>
      </c>
      <c r="L132" s="335">
        <v>5108</v>
      </c>
      <c r="N132" s="332">
        <f t="shared" si="86"/>
        <v>5108</v>
      </c>
      <c r="O132" s="332">
        <f t="shared" si="87"/>
        <v>42.56666666666667</v>
      </c>
      <c r="P132" s="332">
        <f t="shared" si="88"/>
        <v>0</v>
      </c>
      <c r="Q132" s="329">
        <f t="shared" si="89"/>
        <v>0</v>
      </c>
      <c r="R132" s="332">
        <f t="shared" si="90"/>
        <v>0</v>
      </c>
      <c r="S132" s="344">
        <v>1</v>
      </c>
      <c r="T132" s="332">
        <f t="shared" si="91"/>
        <v>0</v>
      </c>
      <c r="V132" s="332">
        <f t="shared" si="92"/>
        <v>5108</v>
      </c>
      <c r="W132" s="332">
        <f t="shared" si="93"/>
        <v>5108</v>
      </c>
      <c r="X132" s="344">
        <v>1</v>
      </c>
      <c r="Y132" s="332">
        <f t="shared" si="94"/>
        <v>5108</v>
      </c>
      <c r="Z132" s="332">
        <f t="shared" si="95"/>
        <v>5108</v>
      </c>
      <c r="AA132" s="332">
        <f t="shared" si="96"/>
        <v>0</v>
      </c>
      <c r="AB132" s="332">
        <f t="shared" si="102"/>
        <v>0</v>
      </c>
      <c r="AC132" s="343">
        <f t="shared" si="97"/>
        <v>99.916666666666671</v>
      </c>
      <c r="AD132" s="329">
        <f t="shared" si="98"/>
        <v>121</v>
      </c>
      <c r="AE132" s="343">
        <f t="shared" si="99"/>
        <v>109.91666666666667</v>
      </c>
      <c r="AF132" s="329">
        <f t="shared" si="100"/>
        <v>120</v>
      </c>
      <c r="AG132" s="342">
        <f t="shared" si="101"/>
        <v>-8.3333333333333329E-2</v>
      </c>
    </row>
    <row r="133" spans="2:33">
      <c r="B133" s="337" t="s">
        <v>1015</v>
      </c>
      <c r="C133" s="337">
        <v>99</v>
      </c>
      <c r="D133" s="337">
        <v>12</v>
      </c>
      <c r="E133" s="346">
        <v>0</v>
      </c>
      <c r="G133" s="355" t="s">
        <v>904</v>
      </c>
      <c r="H133" s="337">
        <v>10</v>
      </c>
      <c r="I133" s="329">
        <f t="shared" si="85"/>
        <v>109</v>
      </c>
      <c r="L133" s="335">
        <v>1654</v>
      </c>
      <c r="N133" s="332">
        <f t="shared" si="86"/>
        <v>1654</v>
      </c>
      <c r="O133" s="332">
        <f t="shared" si="87"/>
        <v>13.783333333333333</v>
      </c>
      <c r="P133" s="332">
        <f t="shared" si="88"/>
        <v>0</v>
      </c>
      <c r="Q133" s="329">
        <f t="shared" si="89"/>
        <v>0</v>
      </c>
      <c r="R133" s="332">
        <f t="shared" si="90"/>
        <v>0</v>
      </c>
      <c r="S133" s="344">
        <v>1</v>
      </c>
      <c r="T133" s="332">
        <f t="shared" si="91"/>
        <v>0</v>
      </c>
      <c r="V133" s="332">
        <f t="shared" si="92"/>
        <v>1654</v>
      </c>
      <c r="W133" s="332">
        <f t="shared" si="93"/>
        <v>1654</v>
      </c>
      <c r="X133" s="344">
        <v>1</v>
      </c>
      <c r="Y133" s="332">
        <f t="shared" si="94"/>
        <v>1654</v>
      </c>
      <c r="Z133" s="332">
        <f t="shared" si="95"/>
        <v>1654</v>
      </c>
      <c r="AA133" s="332">
        <f t="shared" si="96"/>
        <v>0</v>
      </c>
      <c r="AB133" s="332">
        <f t="shared" si="102"/>
        <v>0</v>
      </c>
      <c r="AC133" s="343">
        <f t="shared" si="97"/>
        <v>99.916666666666671</v>
      </c>
      <c r="AD133" s="329">
        <f t="shared" si="98"/>
        <v>121</v>
      </c>
      <c r="AE133" s="343">
        <f t="shared" si="99"/>
        <v>109.91666666666667</v>
      </c>
      <c r="AF133" s="329">
        <f t="shared" si="100"/>
        <v>120</v>
      </c>
      <c r="AG133" s="342">
        <f t="shared" si="101"/>
        <v>-8.3333333333333329E-2</v>
      </c>
    </row>
    <row r="134" spans="2:33">
      <c r="B134" s="337" t="s">
        <v>1013</v>
      </c>
      <c r="C134" s="337">
        <v>101</v>
      </c>
      <c r="D134" s="337">
        <v>5</v>
      </c>
      <c r="E134" s="346">
        <v>0</v>
      </c>
      <c r="G134" s="355" t="s">
        <v>904</v>
      </c>
      <c r="H134" s="337">
        <v>10</v>
      </c>
      <c r="I134" s="329">
        <f t="shared" si="85"/>
        <v>111</v>
      </c>
      <c r="L134" s="335">
        <v>3600</v>
      </c>
      <c r="N134" s="332">
        <f t="shared" si="86"/>
        <v>3600</v>
      </c>
      <c r="O134" s="332">
        <f t="shared" si="87"/>
        <v>30</v>
      </c>
      <c r="P134" s="332">
        <f t="shared" si="88"/>
        <v>0</v>
      </c>
      <c r="Q134" s="329">
        <f t="shared" si="89"/>
        <v>0</v>
      </c>
      <c r="R134" s="332">
        <f t="shared" si="90"/>
        <v>0</v>
      </c>
      <c r="S134" s="344">
        <v>1</v>
      </c>
      <c r="T134" s="332">
        <f t="shared" si="91"/>
        <v>0</v>
      </c>
      <c r="V134" s="332">
        <f t="shared" si="92"/>
        <v>3600</v>
      </c>
      <c r="W134" s="332">
        <f t="shared" si="93"/>
        <v>3600</v>
      </c>
      <c r="X134" s="344">
        <v>1</v>
      </c>
      <c r="Y134" s="332">
        <f t="shared" si="94"/>
        <v>3600</v>
      </c>
      <c r="Z134" s="332">
        <f t="shared" si="95"/>
        <v>3600</v>
      </c>
      <c r="AA134" s="332">
        <f t="shared" si="96"/>
        <v>0</v>
      </c>
      <c r="AB134" s="332">
        <f t="shared" si="102"/>
        <v>0</v>
      </c>
      <c r="AC134" s="343">
        <f t="shared" si="97"/>
        <v>101.33333333333333</v>
      </c>
      <c r="AD134" s="329">
        <f t="shared" si="98"/>
        <v>121</v>
      </c>
      <c r="AE134" s="343">
        <f t="shared" si="99"/>
        <v>111.33333333333333</v>
      </c>
      <c r="AF134" s="329">
        <f t="shared" si="100"/>
        <v>120</v>
      </c>
      <c r="AG134" s="342">
        <f t="shared" si="101"/>
        <v>-8.3333333333333329E-2</v>
      </c>
    </row>
    <row r="135" spans="2:33">
      <c r="B135" s="337" t="s">
        <v>1014</v>
      </c>
      <c r="C135" s="337">
        <v>101</v>
      </c>
      <c r="D135" s="337">
        <v>5</v>
      </c>
      <c r="E135" s="346">
        <v>0</v>
      </c>
      <c r="G135" s="355" t="s">
        <v>904</v>
      </c>
      <c r="H135" s="337">
        <v>10</v>
      </c>
      <c r="I135" s="329">
        <f t="shared" si="85"/>
        <v>111</v>
      </c>
      <c r="L135" s="335">
        <v>2168</v>
      </c>
      <c r="N135" s="332">
        <f t="shared" si="86"/>
        <v>2168</v>
      </c>
      <c r="O135" s="332">
        <f t="shared" si="87"/>
        <v>18.066666666666666</v>
      </c>
      <c r="P135" s="332">
        <f t="shared" si="88"/>
        <v>0</v>
      </c>
      <c r="Q135" s="329">
        <f t="shared" si="89"/>
        <v>0</v>
      </c>
      <c r="R135" s="332">
        <f t="shared" si="90"/>
        <v>0</v>
      </c>
      <c r="S135" s="344">
        <v>1</v>
      </c>
      <c r="T135" s="332">
        <f t="shared" si="91"/>
        <v>0</v>
      </c>
      <c r="V135" s="332">
        <f t="shared" si="92"/>
        <v>2168</v>
      </c>
      <c r="W135" s="332">
        <f t="shared" si="93"/>
        <v>2168</v>
      </c>
      <c r="X135" s="344">
        <v>1</v>
      </c>
      <c r="Y135" s="332">
        <f t="shared" si="94"/>
        <v>2168</v>
      </c>
      <c r="Z135" s="332">
        <f t="shared" si="95"/>
        <v>2168</v>
      </c>
      <c r="AA135" s="332">
        <f t="shared" si="96"/>
        <v>0</v>
      </c>
      <c r="AB135" s="332">
        <f t="shared" si="102"/>
        <v>0</v>
      </c>
      <c r="AC135" s="343">
        <f t="shared" si="97"/>
        <v>101.33333333333333</v>
      </c>
      <c r="AD135" s="329">
        <f t="shared" si="98"/>
        <v>121</v>
      </c>
      <c r="AE135" s="343">
        <f t="shared" si="99"/>
        <v>111.33333333333333</v>
      </c>
      <c r="AF135" s="329">
        <f t="shared" si="100"/>
        <v>120</v>
      </c>
      <c r="AG135" s="342">
        <f t="shared" si="101"/>
        <v>-8.3333333333333329E-2</v>
      </c>
    </row>
    <row r="136" spans="2:33">
      <c r="B136" s="337" t="s">
        <v>1013</v>
      </c>
      <c r="C136" s="337">
        <v>102</v>
      </c>
      <c r="D136" s="337">
        <v>6</v>
      </c>
      <c r="E136" s="346">
        <v>0</v>
      </c>
      <c r="G136" s="355" t="s">
        <v>904</v>
      </c>
      <c r="H136" s="337">
        <v>10</v>
      </c>
      <c r="I136" s="329">
        <f t="shared" si="85"/>
        <v>112</v>
      </c>
      <c r="L136" s="335">
        <v>3221</v>
      </c>
      <c r="N136" s="332">
        <f t="shared" si="86"/>
        <v>3221</v>
      </c>
      <c r="O136" s="332">
        <f t="shared" si="87"/>
        <v>26.841666666666669</v>
      </c>
      <c r="P136" s="332">
        <f t="shared" si="88"/>
        <v>0</v>
      </c>
      <c r="Q136" s="329">
        <f t="shared" si="89"/>
        <v>0</v>
      </c>
      <c r="R136" s="332">
        <f t="shared" si="90"/>
        <v>0</v>
      </c>
      <c r="S136" s="344">
        <v>1</v>
      </c>
      <c r="T136" s="332">
        <f t="shared" si="91"/>
        <v>0</v>
      </c>
      <c r="V136" s="332">
        <f t="shared" si="92"/>
        <v>3221</v>
      </c>
      <c r="W136" s="332">
        <f t="shared" si="93"/>
        <v>3221</v>
      </c>
      <c r="X136" s="344">
        <v>1</v>
      </c>
      <c r="Y136" s="332">
        <f t="shared" si="94"/>
        <v>3221</v>
      </c>
      <c r="Z136" s="332">
        <f t="shared" si="95"/>
        <v>3221</v>
      </c>
      <c r="AA136" s="332">
        <f t="shared" si="96"/>
        <v>0</v>
      </c>
      <c r="AB136" s="332">
        <f t="shared" si="102"/>
        <v>0</v>
      </c>
      <c r="AC136" s="343">
        <f t="shared" si="97"/>
        <v>102.41666666666667</v>
      </c>
      <c r="AD136" s="329">
        <f t="shared" si="98"/>
        <v>121</v>
      </c>
      <c r="AE136" s="343">
        <f t="shared" si="99"/>
        <v>112.41666666666667</v>
      </c>
      <c r="AF136" s="329">
        <f t="shared" si="100"/>
        <v>120</v>
      </c>
      <c r="AG136" s="342">
        <f t="shared" si="101"/>
        <v>-8.3333333333333329E-2</v>
      </c>
    </row>
    <row r="137" spans="2:33">
      <c r="B137" s="337" t="s">
        <v>1012</v>
      </c>
      <c r="C137" s="337">
        <v>102</v>
      </c>
      <c r="D137" s="337">
        <v>6</v>
      </c>
      <c r="E137" s="346">
        <v>0</v>
      </c>
      <c r="G137" s="355" t="s">
        <v>904</v>
      </c>
      <c r="H137" s="337">
        <v>10</v>
      </c>
      <c r="I137" s="329">
        <f t="shared" si="85"/>
        <v>112</v>
      </c>
      <c r="L137" s="335">
        <v>5319</v>
      </c>
      <c r="N137" s="332">
        <f t="shared" si="86"/>
        <v>5319</v>
      </c>
      <c r="O137" s="332">
        <f t="shared" si="87"/>
        <v>44.324999999999996</v>
      </c>
      <c r="P137" s="332">
        <f t="shared" si="88"/>
        <v>0</v>
      </c>
      <c r="Q137" s="329">
        <f t="shared" si="89"/>
        <v>0</v>
      </c>
      <c r="R137" s="332">
        <f t="shared" si="90"/>
        <v>0</v>
      </c>
      <c r="S137" s="344">
        <v>1</v>
      </c>
      <c r="T137" s="332">
        <f t="shared" si="91"/>
        <v>0</v>
      </c>
      <c r="V137" s="332">
        <f t="shared" si="92"/>
        <v>5319</v>
      </c>
      <c r="W137" s="332">
        <f t="shared" si="93"/>
        <v>5319</v>
      </c>
      <c r="X137" s="344">
        <v>1</v>
      </c>
      <c r="Y137" s="332">
        <f t="shared" si="94"/>
        <v>5319</v>
      </c>
      <c r="Z137" s="332">
        <f t="shared" si="95"/>
        <v>5319</v>
      </c>
      <c r="AA137" s="332">
        <f t="shared" si="96"/>
        <v>0</v>
      </c>
      <c r="AB137" s="332">
        <f t="shared" si="102"/>
        <v>0</v>
      </c>
      <c r="AC137" s="343">
        <f t="shared" si="97"/>
        <v>102.41666666666667</v>
      </c>
      <c r="AD137" s="329">
        <f t="shared" si="98"/>
        <v>121</v>
      </c>
      <c r="AE137" s="343">
        <f t="shared" si="99"/>
        <v>112.41666666666667</v>
      </c>
      <c r="AF137" s="329">
        <f t="shared" si="100"/>
        <v>120</v>
      </c>
      <c r="AG137" s="342">
        <f t="shared" si="101"/>
        <v>-8.3333333333333329E-2</v>
      </c>
    </row>
    <row r="138" spans="2:33">
      <c r="B138" s="337" t="s">
        <v>1011</v>
      </c>
      <c r="C138" s="337">
        <v>102</v>
      </c>
      <c r="D138" s="337">
        <v>6</v>
      </c>
      <c r="E138" s="346">
        <v>0</v>
      </c>
      <c r="G138" s="355" t="s">
        <v>904</v>
      </c>
      <c r="H138" s="337">
        <v>10</v>
      </c>
      <c r="I138" s="329">
        <f t="shared" si="85"/>
        <v>112</v>
      </c>
      <c r="L138" s="335">
        <v>1773</v>
      </c>
      <c r="N138" s="332">
        <f t="shared" si="86"/>
        <v>1773</v>
      </c>
      <c r="O138" s="332">
        <f t="shared" si="87"/>
        <v>14.775</v>
      </c>
      <c r="P138" s="332">
        <f t="shared" si="88"/>
        <v>0</v>
      </c>
      <c r="Q138" s="329">
        <f t="shared" si="89"/>
        <v>0</v>
      </c>
      <c r="R138" s="332">
        <f t="shared" si="90"/>
        <v>0</v>
      </c>
      <c r="S138" s="344">
        <v>1</v>
      </c>
      <c r="T138" s="332">
        <f t="shared" si="91"/>
        <v>0</v>
      </c>
      <c r="V138" s="332">
        <f t="shared" si="92"/>
        <v>1773</v>
      </c>
      <c r="W138" s="332">
        <f t="shared" si="93"/>
        <v>1773</v>
      </c>
      <c r="X138" s="344">
        <v>1</v>
      </c>
      <c r="Y138" s="332">
        <f t="shared" si="94"/>
        <v>1773</v>
      </c>
      <c r="Z138" s="332">
        <f t="shared" si="95"/>
        <v>1773</v>
      </c>
      <c r="AA138" s="332">
        <f t="shared" si="96"/>
        <v>0</v>
      </c>
      <c r="AB138" s="332">
        <f t="shared" si="102"/>
        <v>0</v>
      </c>
      <c r="AC138" s="343">
        <f t="shared" si="97"/>
        <v>102.41666666666667</v>
      </c>
      <c r="AD138" s="329">
        <f t="shared" si="98"/>
        <v>121</v>
      </c>
      <c r="AE138" s="343">
        <f t="shared" si="99"/>
        <v>112.41666666666667</v>
      </c>
      <c r="AF138" s="329">
        <f t="shared" si="100"/>
        <v>120</v>
      </c>
      <c r="AG138" s="342">
        <f t="shared" si="101"/>
        <v>-8.3333333333333329E-2</v>
      </c>
    </row>
    <row r="139" spans="2:33">
      <c r="B139" s="337" t="s">
        <v>1010</v>
      </c>
      <c r="C139" s="337">
        <v>102</v>
      </c>
      <c r="D139" s="337">
        <v>6</v>
      </c>
      <c r="E139" s="346">
        <v>0</v>
      </c>
      <c r="G139" s="355" t="s">
        <v>904</v>
      </c>
      <c r="H139" s="337">
        <v>10</v>
      </c>
      <c r="I139" s="329">
        <f t="shared" si="85"/>
        <v>112</v>
      </c>
      <c r="L139" s="335">
        <v>1119</v>
      </c>
      <c r="N139" s="332">
        <f t="shared" si="86"/>
        <v>1119</v>
      </c>
      <c r="O139" s="332">
        <f t="shared" si="87"/>
        <v>9.3250000000000011</v>
      </c>
      <c r="P139" s="332">
        <f t="shared" si="88"/>
        <v>0</v>
      </c>
      <c r="Q139" s="329">
        <f t="shared" si="89"/>
        <v>0</v>
      </c>
      <c r="R139" s="332">
        <f t="shared" si="90"/>
        <v>0</v>
      </c>
      <c r="S139" s="344">
        <v>1</v>
      </c>
      <c r="T139" s="332">
        <f t="shared" si="91"/>
        <v>0</v>
      </c>
      <c r="V139" s="332">
        <f t="shared" si="92"/>
        <v>1119</v>
      </c>
      <c r="W139" s="332">
        <f t="shared" si="93"/>
        <v>1119</v>
      </c>
      <c r="X139" s="344">
        <v>1</v>
      </c>
      <c r="Y139" s="332">
        <f t="shared" si="94"/>
        <v>1119</v>
      </c>
      <c r="Z139" s="332">
        <f t="shared" si="95"/>
        <v>1119</v>
      </c>
      <c r="AA139" s="332">
        <f t="shared" si="96"/>
        <v>0</v>
      </c>
      <c r="AB139" s="332">
        <f t="shared" si="102"/>
        <v>0</v>
      </c>
      <c r="AC139" s="343">
        <f t="shared" si="97"/>
        <v>102.41666666666667</v>
      </c>
      <c r="AD139" s="329">
        <f t="shared" si="98"/>
        <v>121</v>
      </c>
      <c r="AE139" s="343">
        <f t="shared" si="99"/>
        <v>112.41666666666667</v>
      </c>
      <c r="AF139" s="329">
        <f t="shared" si="100"/>
        <v>120</v>
      </c>
      <c r="AG139" s="342">
        <f t="shared" si="101"/>
        <v>-8.3333333333333329E-2</v>
      </c>
    </row>
    <row r="140" spans="2:33">
      <c r="B140" s="337" t="s">
        <v>1009</v>
      </c>
      <c r="C140" s="337">
        <v>102</v>
      </c>
      <c r="D140" s="337">
        <v>6</v>
      </c>
      <c r="E140" s="346">
        <v>0</v>
      </c>
      <c r="G140" s="355" t="s">
        <v>904</v>
      </c>
      <c r="H140" s="337">
        <v>10</v>
      </c>
      <c r="I140" s="329">
        <f t="shared" si="85"/>
        <v>112</v>
      </c>
      <c r="L140" s="335">
        <v>2194</v>
      </c>
      <c r="N140" s="332">
        <f t="shared" si="86"/>
        <v>2194</v>
      </c>
      <c r="O140" s="332">
        <f t="shared" si="87"/>
        <v>18.283333333333335</v>
      </c>
      <c r="P140" s="332">
        <f t="shared" si="88"/>
        <v>0</v>
      </c>
      <c r="Q140" s="329">
        <f t="shared" si="89"/>
        <v>0</v>
      </c>
      <c r="R140" s="332">
        <f t="shared" si="90"/>
        <v>0</v>
      </c>
      <c r="S140" s="344">
        <v>1</v>
      </c>
      <c r="T140" s="332">
        <f t="shared" si="91"/>
        <v>0</v>
      </c>
      <c r="V140" s="332">
        <f t="shared" si="92"/>
        <v>2194</v>
      </c>
      <c r="W140" s="332">
        <f t="shared" si="93"/>
        <v>2194</v>
      </c>
      <c r="X140" s="344">
        <v>1</v>
      </c>
      <c r="Y140" s="332">
        <f t="shared" si="94"/>
        <v>2194</v>
      </c>
      <c r="Z140" s="332">
        <f t="shared" si="95"/>
        <v>2194</v>
      </c>
      <c r="AA140" s="332">
        <f t="shared" si="96"/>
        <v>0</v>
      </c>
      <c r="AB140" s="332">
        <f t="shared" si="102"/>
        <v>0</v>
      </c>
      <c r="AC140" s="343">
        <f t="shared" si="97"/>
        <v>102.41666666666667</v>
      </c>
      <c r="AD140" s="329">
        <f t="shared" si="98"/>
        <v>121</v>
      </c>
      <c r="AE140" s="343">
        <f t="shared" si="99"/>
        <v>112.41666666666667</v>
      </c>
      <c r="AF140" s="329">
        <f t="shared" si="100"/>
        <v>120</v>
      </c>
      <c r="AG140" s="342">
        <f t="shared" si="101"/>
        <v>-8.3333333333333329E-2</v>
      </c>
    </row>
    <row r="141" spans="2:33">
      <c r="B141" s="337" t="s">
        <v>1008</v>
      </c>
      <c r="C141" s="337">
        <v>103</v>
      </c>
      <c r="D141" s="337">
        <v>6</v>
      </c>
      <c r="E141" s="346">
        <v>0</v>
      </c>
      <c r="G141" s="355" t="s">
        <v>904</v>
      </c>
      <c r="H141" s="337">
        <v>10</v>
      </c>
      <c r="I141" s="329">
        <f t="shared" si="85"/>
        <v>113</v>
      </c>
      <c r="L141" s="335">
        <v>3292</v>
      </c>
      <c r="N141" s="332">
        <f t="shared" si="86"/>
        <v>3292</v>
      </c>
      <c r="O141" s="332">
        <f t="shared" si="87"/>
        <v>27.433333333333334</v>
      </c>
      <c r="P141" s="332">
        <f t="shared" si="88"/>
        <v>0</v>
      </c>
      <c r="Q141" s="329">
        <f t="shared" si="89"/>
        <v>0</v>
      </c>
      <c r="R141" s="332">
        <f t="shared" si="90"/>
        <v>0</v>
      </c>
      <c r="S141" s="344">
        <v>1</v>
      </c>
      <c r="T141" s="332">
        <f t="shared" si="91"/>
        <v>0</v>
      </c>
      <c r="V141" s="332">
        <f t="shared" si="92"/>
        <v>3292</v>
      </c>
      <c r="W141" s="332">
        <f t="shared" si="93"/>
        <v>3292</v>
      </c>
      <c r="X141" s="344">
        <v>1</v>
      </c>
      <c r="Y141" s="332">
        <f t="shared" si="94"/>
        <v>3292</v>
      </c>
      <c r="Z141" s="332">
        <f t="shared" si="95"/>
        <v>3292</v>
      </c>
      <c r="AA141" s="332">
        <f t="shared" si="96"/>
        <v>0</v>
      </c>
      <c r="AB141" s="332">
        <f t="shared" si="102"/>
        <v>0</v>
      </c>
      <c r="AC141" s="343">
        <f t="shared" si="97"/>
        <v>103.41666666666667</v>
      </c>
      <c r="AD141" s="329">
        <f t="shared" si="98"/>
        <v>121</v>
      </c>
      <c r="AE141" s="343">
        <f t="shared" si="99"/>
        <v>113.41666666666667</v>
      </c>
      <c r="AF141" s="329">
        <f t="shared" si="100"/>
        <v>120</v>
      </c>
      <c r="AG141" s="342">
        <f t="shared" si="101"/>
        <v>-8.3333333333333329E-2</v>
      </c>
    </row>
    <row r="142" spans="2:33">
      <c r="B142" s="337" t="s">
        <v>1006</v>
      </c>
      <c r="C142" s="337">
        <v>103</v>
      </c>
      <c r="D142" s="337">
        <v>6</v>
      </c>
      <c r="E142" s="346">
        <v>0</v>
      </c>
      <c r="G142" s="355" t="s">
        <v>904</v>
      </c>
      <c r="H142" s="337">
        <v>10</v>
      </c>
      <c r="I142" s="329">
        <f t="shared" si="85"/>
        <v>113</v>
      </c>
      <c r="L142" s="335">
        <v>5279</v>
      </c>
      <c r="N142" s="332">
        <f t="shared" si="86"/>
        <v>5279</v>
      </c>
      <c r="O142" s="332">
        <f t="shared" si="87"/>
        <v>43.991666666666667</v>
      </c>
      <c r="P142" s="332">
        <f t="shared" si="88"/>
        <v>0</v>
      </c>
      <c r="Q142" s="329">
        <f t="shared" si="89"/>
        <v>0</v>
      </c>
      <c r="R142" s="332">
        <f t="shared" si="90"/>
        <v>0</v>
      </c>
      <c r="S142" s="344">
        <v>1</v>
      </c>
      <c r="T142" s="332">
        <f t="shared" si="91"/>
        <v>0</v>
      </c>
      <c r="V142" s="332">
        <f t="shared" si="92"/>
        <v>5279</v>
      </c>
      <c r="W142" s="332">
        <f t="shared" si="93"/>
        <v>5279</v>
      </c>
      <c r="X142" s="344">
        <v>1</v>
      </c>
      <c r="Y142" s="332">
        <f t="shared" si="94"/>
        <v>5279</v>
      </c>
      <c r="Z142" s="332">
        <f t="shared" si="95"/>
        <v>5279</v>
      </c>
      <c r="AA142" s="332">
        <f t="shared" si="96"/>
        <v>0</v>
      </c>
      <c r="AB142" s="332">
        <f t="shared" si="102"/>
        <v>0</v>
      </c>
      <c r="AC142" s="343">
        <f t="shared" si="97"/>
        <v>103.41666666666667</v>
      </c>
      <c r="AD142" s="329">
        <f t="shared" si="98"/>
        <v>121</v>
      </c>
      <c r="AE142" s="343">
        <f t="shared" si="99"/>
        <v>113.41666666666667</v>
      </c>
      <c r="AF142" s="329">
        <f t="shared" si="100"/>
        <v>120</v>
      </c>
      <c r="AG142" s="342">
        <f t="shared" si="101"/>
        <v>-8.3333333333333329E-2</v>
      </c>
    </row>
    <row r="143" spans="2:33">
      <c r="B143" s="337" t="s">
        <v>995</v>
      </c>
      <c r="C143" s="337">
        <v>103</v>
      </c>
      <c r="D143" s="337">
        <v>6</v>
      </c>
      <c r="E143" s="346">
        <v>0</v>
      </c>
      <c r="G143" s="355" t="s">
        <v>904</v>
      </c>
      <c r="H143" s="337">
        <v>10</v>
      </c>
      <c r="I143" s="329">
        <f t="shared" si="85"/>
        <v>113</v>
      </c>
      <c r="L143" s="335">
        <v>3065</v>
      </c>
      <c r="N143" s="332">
        <f t="shared" si="86"/>
        <v>3065</v>
      </c>
      <c r="O143" s="332">
        <f t="shared" si="87"/>
        <v>25.541666666666668</v>
      </c>
      <c r="P143" s="332">
        <f t="shared" si="88"/>
        <v>0</v>
      </c>
      <c r="Q143" s="329">
        <f t="shared" si="89"/>
        <v>0</v>
      </c>
      <c r="R143" s="332">
        <f t="shared" si="90"/>
        <v>0</v>
      </c>
      <c r="S143" s="344">
        <v>1</v>
      </c>
      <c r="T143" s="332">
        <f t="shared" si="91"/>
        <v>0</v>
      </c>
      <c r="V143" s="332">
        <f t="shared" si="92"/>
        <v>3065</v>
      </c>
      <c r="W143" s="332">
        <f t="shared" si="93"/>
        <v>3065</v>
      </c>
      <c r="X143" s="344">
        <v>1</v>
      </c>
      <c r="Y143" s="332">
        <f t="shared" si="94"/>
        <v>3065</v>
      </c>
      <c r="Z143" s="332">
        <f t="shared" si="95"/>
        <v>3065</v>
      </c>
      <c r="AA143" s="332">
        <f t="shared" si="96"/>
        <v>0</v>
      </c>
      <c r="AB143" s="332">
        <f t="shared" si="102"/>
        <v>0</v>
      </c>
      <c r="AC143" s="343">
        <f t="shared" si="97"/>
        <v>103.41666666666667</v>
      </c>
      <c r="AD143" s="329">
        <f t="shared" si="98"/>
        <v>121</v>
      </c>
      <c r="AE143" s="343">
        <f t="shared" si="99"/>
        <v>113.41666666666667</v>
      </c>
      <c r="AF143" s="329">
        <f t="shared" si="100"/>
        <v>120</v>
      </c>
      <c r="AG143" s="342">
        <f t="shared" si="101"/>
        <v>-8.3333333333333329E-2</v>
      </c>
    </row>
    <row r="144" spans="2:33">
      <c r="B144" s="337" t="s">
        <v>1002</v>
      </c>
      <c r="C144" s="337">
        <v>103</v>
      </c>
      <c r="D144" s="337">
        <v>6</v>
      </c>
      <c r="E144" s="346">
        <v>0</v>
      </c>
      <c r="G144" s="355" t="s">
        <v>904</v>
      </c>
      <c r="H144" s="337">
        <v>10</v>
      </c>
      <c r="I144" s="329">
        <f t="shared" si="85"/>
        <v>113</v>
      </c>
      <c r="L144" s="335">
        <v>1998</v>
      </c>
      <c r="N144" s="332">
        <f t="shared" si="86"/>
        <v>1998</v>
      </c>
      <c r="O144" s="332">
        <f t="shared" si="87"/>
        <v>16.650000000000002</v>
      </c>
      <c r="P144" s="332">
        <f t="shared" si="88"/>
        <v>0</v>
      </c>
      <c r="Q144" s="329">
        <f t="shared" si="89"/>
        <v>0</v>
      </c>
      <c r="R144" s="332">
        <f t="shared" si="90"/>
        <v>0</v>
      </c>
      <c r="S144" s="344">
        <v>1</v>
      </c>
      <c r="T144" s="332">
        <f t="shared" si="91"/>
        <v>0</v>
      </c>
      <c r="V144" s="332">
        <f t="shared" si="92"/>
        <v>1998</v>
      </c>
      <c r="W144" s="332">
        <f t="shared" si="93"/>
        <v>1998</v>
      </c>
      <c r="X144" s="344">
        <v>1</v>
      </c>
      <c r="Y144" s="332">
        <f t="shared" si="94"/>
        <v>1998</v>
      </c>
      <c r="Z144" s="332">
        <f t="shared" si="95"/>
        <v>1998</v>
      </c>
      <c r="AA144" s="332">
        <f t="shared" si="96"/>
        <v>0</v>
      </c>
      <c r="AB144" s="332">
        <f t="shared" si="102"/>
        <v>0</v>
      </c>
      <c r="AC144" s="343">
        <f t="shared" si="97"/>
        <v>103.41666666666667</v>
      </c>
      <c r="AD144" s="329">
        <f t="shared" si="98"/>
        <v>121</v>
      </c>
      <c r="AE144" s="343">
        <f t="shared" si="99"/>
        <v>113.41666666666667</v>
      </c>
      <c r="AF144" s="329">
        <f t="shared" si="100"/>
        <v>120</v>
      </c>
      <c r="AG144" s="342">
        <f t="shared" si="101"/>
        <v>-8.3333333333333329E-2</v>
      </c>
    </row>
    <row r="145" spans="2:33">
      <c r="B145" s="337" t="s">
        <v>1007</v>
      </c>
      <c r="C145" s="337">
        <v>103</v>
      </c>
      <c r="D145" s="337">
        <v>12</v>
      </c>
      <c r="E145" s="346">
        <v>0</v>
      </c>
      <c r="G145" s="355" t="s">
        <v>904</v>
      </c>
      <c r="H145" s="337">
        <v>10</v>
      </c>
      <c r="I145" s="329">
        <f t="shared" si="85"/>
        <v>113</v>
      </c>
      <c r="L145" s="335">
        <v>5027</v>
      </c>
      <c r="N145" s="332">
        <f t="shared" si="86"/>
        <v>5027</v>
      </c>
      <c r="O145" s="332">
        <f t="shared" si="87"/>
        <v>41.891666666666666</v>
      </c>
      <c r="P145" s="332">
        <f t="shared" si="88"/>
        <v>0</v>
      </c>
      <c r="Q145" s="329">
        <f t="shared" si="89"/>
        <v>0</v>
      </c>
      <c r="R145" s="332">
        <f t="shared" si="90"/>
        <v>0</v>
      </c>
      <c r="S145" s="344">
        <v>1</v>
      </c>
      <c r="T145" s="332">
        <f t="shared" si="91"/>
        <v>0</v>
      </c>
      <c r="V145" s="332">
        <f t="shared" si="92"/>
        <v>5027</v>
      </c>
      <c r="W145" s="332">
        <f t="shared" si="93"/>
        <v>5027</v>
      </c>
      <c r="X145" s="344">
        <v>1</v>
      </c>
      <c r="Y145" s="332">
        <f t="shared" si="94"/>
        <v>5027</v>
      </c>
      <c r="Z145" s="332">
        <f t="shared" si="95"/>
        <v>5027</v>
      </c>
      <c r="AA145" s="332">
        <f t="shared" si="96"/>
        <v>0</v>
      </c>
      <c r="AB145" s="332">
        <f t="shared" si="102"/>
        <v>0</v>
      </c>
      <c r="AC145" s="343">
        <f t="shared" si="97"/>
        <v>103.91666666666667</v>
      </c>
      <c r="AD145" s="329">
        <f t="shared" si="98"/>
        <v>121</v>
      </c>
      <c r="AE145" s="343">
        <f t="shared" si="99"/>
        <v>113.91666666666667</v>
      </c>
      <c r="AF145" s="329">
        <f t="shared" si="100"/>
        <v>120</v>
      </c>
      <c r="AG145" s="342">
        <f t="shared" si="101"/>
        <v>-8.3333333333333329E-2</v>
      </c>
    </row>
    <row r="146" spans="2:33">
      <c r="B146" s="337" t="s">
        <v>1006</v>
      </c>
      <c r="C146" s="337">
        <v>103</v>
      </c>
      <c r="D146" s="337">
        <v>12</v>
      </c>
      <c r="E146" s="346">
        <v>0</v>
      </c>
      <c r="G146" s="355" t="s">
        <v>904</v>
      </c>
      <c r="H146" s="337">
        <v>10</v>
      </c>
      <c r="I146" s="329">
        <f t="shared" si="85"/>
        <v>113</v>
      </c>
      <c r="L146" s="335">
        <v>5546</v>
      </c>
      <c r="N146" s="332">
        <f t="shared" si="86"/>
        <v>5546</v>
      </c>
      <c r="O146" s="332">
        <f t="shared" si="87"/>
        <v>46.216666666666669</v>
      </c>
      <c r="P146" s="332">
        <f t="shared" si="88"/>
        <v>0</v>
      </c>
      <c r="Q146" s="329">
        <f t="shared" si="89"/>
        <v>0</v>
      </c>
      <c r="R146" s="332">
        <f t="shared" si="90"/>
        <v>0</v>
      </c>
      <c r="S146" s="344">
        <v>1</v>
      </c>
      <c r="T146" s="332">
        <f t="shared" si="91"/>
        <v>0</v>
      </c>
      <c r="V146" s="332">
        <f t="shared" si="92"/>
        <v>5546</v>
      </c>
      <c r="W146" s="332">
        <f t="shared" si="93"/>
        <v>5546</v>
      </c>
      <c r="X146" s="344">
        <v>1</v>
      </c>
      <c r="Y146" s="332">
        <f t="shared" si="94"/>
        <v>5546</v>
      </c>
      <c r="Z146" s="332">
        <f t="shared" si="95"/>
        <v>5546</v>
      </c>
      <c r="AA146" s="332">
        <f t="shared" si="96"/>
        <v>0</v>
      </c>
      <c r="AB146" s="332">
        <f t="shared" si="102"/>
        <v>0</v>
      </c>
      <c r="AC146" s="343">
        <f t="shared" si="97"/>
        <v>103.91666666666667</v>
      </c>
      <c r="AD146" s="329">
        <f t="shared" si="98"/>
        <v>121</v>
      </c>
      <c r="AE146" s="343">
        <f t="shared" si="99"/>
        <v>113.91666666666667</v>
      </c>
      <c r="AF146" s="329">
        <f t="shared" si="100"/>
        <v>120</v>
      </c>
      <c r="AG146" s="342">
        <f t="shared" si="101"/>
        <v>-8.3333333333333329E-2</v>
      </c>
    </row>
    <row r="147" spans="2:33">
      <c r="B147" s="337" t="s">
        <v>1002</v>
      </c>
      <c r="C147" s="337">
        <v>103</v>
      </c>
      <c r="D147" s="337">
        <v>12</v>
      </c>
      <c r="E147" s="346">
        <v>0</v>
      </c>
      <c r="G147" s="355" t="s">
        <v>904</v>
      </c>
      <c r="H147" s="337">
        <v>10</v>
      </c>
      <c r="I147" s="329">
        <f t="shared" si="85"/>
        <v>113</v>
      </c>
      <c r="L147" s="335">
        <v>1903</v>
      </c>
      <c r="N147" s="332">
        <f t="shared" si="86"/>
        <v>1903</v>
      </c>
      <c r="O147" s="332">
        <f t="shared" si="87"/>
        <v>15.858333333333334</v>
      </c>
      <c r="P147" s="332">
        <f t="shared" si="88"/>
        <v>0</v>
      </c>
      <c r="Q147" s="329">
        <f t="shared" si="89"/>
        <v>0</v>
      </c>
      <c r="R147" s="332">
        <f t="shared" si="90"/>
        <v>0</v>
      </c>
      <c r="S147" s="344">
        <v>1</v>
      </c>
      <c r="T147" s="332">
        <f t="shared" si="91"/>
        <v>0</v>
      </c>
      <c r="V147" s="332">
        <f t="shared" si="92"/>
        <v>1903</v>
      </c>
      <c r="W147" s="332">
        <f t="shared" si="93"/>
        <v>1903</v>
      </c>
      <c r="X147" s="344">
        <v>1</v>
      </c>
      <c r="Y147" s="332">
        <f t="shared" si="94"/>
        <v>1903</v>
      </c>
      <c r="Z147" s="332">
        <f t="shared" si="95"/>
        <v>1903</v>
      </c>
      <c r="AA147" s="332">
        <f t="shared" si="96"/>
        <v>0</v>
      </c>
      <c r="AB147" s="332">
        <f t="shared" si="102"/>
        <v>0</v>
      </c>
      <c r="AC147" s="343">
        <f t="shared" si="97"/>
        <v>103.91666666666667</v>
      </c>
      <c r="AD147" s="329">
        <f t="shared" si="98"/>
        <v>121</v>
      </c>
      <c r="AE147" s="343">
        <f t="shared" si="99"/>
        <v>113.91666666666667</v>
      </c>
      <c r="AF147" s="329">
        <f t="shared" si="100"/>
        <v>120</v>
      </c>
      <c r="AG147" s="342">
        <f t="shared" si="101"/>
        <v>-8.3333333333333329E-2</v>
      </c>
    </row>
    <row r="148" spans="2:33">
      <c r="B148" s="337" t="s">
        <v>1002</v>
      </c>
      <c r="C148" s="337">
        <v>104</v>
      </c>
      <c r="D148" s="337">
        <v>3</v>
      </c>
      <c r="E148" s="346">
        <v>0</v>
      </c>
      <c r="G148" s="355" t="s">
        <v>904</v>
      </c>
      <c r="H148" s="337">
        <v>10</v>
      </c>
      <c r="I148" s="329">
        <f t="shared" si="85"/>
        <v>114</v>
      </c>
      <c r="L148" s="335">
        <v>2586</v>
      </c>
      <c r="N148" s="332">
        <f t="shared" si="86"/>
        <v>2586</v>
      </c>
      <c r="O148" s="332">
        <f t="shared" si="87"/>
        <v>21.55</v>
      </c>
      <c r="P148" s="332">
        <f t="shared" si="88"/>
        <v>0</v>
      </c>
      <c r="Q148" s="329">
        <f t="shared" si="89"/>
        <v>0</v>
      </c>
      <c r="R148" s="332">
        <f t="shared" si="90"/>
        <v>0</v>
      </c>
      <c r="S148" s="344">
        <v>1</v>
      </c>
      <c r="T148" s="332">
        <f t="shared" si="91"/>
        <v>0</v>
      </c>
      <c r="V148" s="332">
        <f t="shared" si="92"/>
        <v>2586</v>
      </c>
      <c r="W148" s="332">
        <f t="shared" si="93"/>
        <v>2586</v>
      </c>
      <c r="X148" s="344">
        <v>1</v>
      </c>
      <c r="Y148" s="332">
        <f t="shared" si="94"/>
        <v>2586</v>
      </c>
      <c r="Z148" s="332">
        <f t="shared" si="95"/>
        <v>2586</v>
      </c>
      <c r="AA148" s="332">
        <f t="shared" si="96"/>
        <v>0</v>
      </c>
      <c r="AB148" s="332">
        <f t="shared" si="102"/>
        <v>0</v>
      </c>
      <c r="AC148" s="343">
        <f t="shared" si="97"/>
        <v>104.16666666666667</v>
      </c>
      <c r="AD148" s="329">
        <f t="shared" si="98"/>
        <v>121</v>
      </c>
      <c r="AE148" s="343">
        <f t="shared" si="99"/>
        <v>114.16666666666667</v>
      </c>
      <c r="AF148" s="329">
        <f t="shared" si="100"/>
        <v>120</v>
      </c>
      <c r="AG148" s="342">
        <f t="shared" si="101"/>
        <v>-8.3333333333333329E-2</v>
      </c>
    </row>
    <row r="149" spans="2:33">
      <c r="B149" s="337" t="s">
        <v>994</v>
      </c>
      <c r="C149" s="337">
        <v>104</v>
      </c>
      <c r="D149" s="337">
        <v>4</v>
      </c>
      <c r="E149" s="346">
        <v>0</v>
      </c>
      <c r="G149" s="355" t="s">
        <v>904</v>
      </c>
      <c r="H149" s="337">
        <v>10</v>
      </c>
      <c r="I149" s="329">
        <f t="shared" si="85"/>
        <v>114</v>
      </c>
      <c r="L149" s="335">
        <v>1571</v>
      </c>
      <c r="N149" s="332">
        <f t="shared" si="86"/>
        <v>1571</v>
      </c>
      <c r="O149" s="332">
        <f t="shared" si="87"/>
        <v>13.091666666666667</v>
      </c>
      <c r="P149" s="332">
        <f t="shared" si="88"/>
        <v>0</v>
      </c>
      <c r="Q149" s="329">
        <f t="shared" si="89"/>
        <v>0</v>
      </c>
      <c r="R149" s="332">
        <f t="shared" si="90"/>
        <v>0</v>
      </c>
      <c r="S149" s="344">
        <v>1</v>
      </c>
      <c r="T149" s="332">
        <f t="shared" si="91"/>
        <v>0</v>
      </c>
      <c r="V149" s="332">
        <f t="shared" si="92"/>
        <v>1571</v>
      </c>
      <c r="W149" s="332">
        <f t="shared" si="93"/>
        <v>1571</v>
      </c>
      <c r="X149" s="344">
        <v>1</v>
      </c>
      <c r="Y149" s="332">
        <f t="shared" si="94"/>
        <v>1571</v>
      </c>
      <c r="Z149" s="332">
        <f t="shared" si="95"/>
        <v>1571</v>
      </c>
      <c r="AA149" s="332">
        <f t="shared" si="96"/>
        <v>0</v>
      </c>
      <c r="AB149" s="332">
        <f t="shared" si="102"/>
        <v>0</v>
      </c>
      <c r="AC149" s="343">
        <f t="shared" si="97"/>
        <v>104.25</v>
      </c>
      <c r="AD149" s="329">
        <f t="shared" si="98"/>
        <v>121</v>
      </c>
      <c r="AE149" s="343">
        <f t="shared" si="99"/>
        <v>114.25</v>
      </c>
      <c r="AF149" s="329">
        <f t="shared" si="100"/>
        <v>120</v>
      </c>
      <c r="AG149" s="342">
        <f t="shared" si="101"/>
        <v>-8.3333333333333329E-2</v>
      </c>
    </row>
    <row r="150" spans="2:33">
      <c r="B150" s="337" t="s">
        <v>1005</v>
      </c>
      <c r="C150" s="337">
        <v>104</v>
      </c>
      <c r="D150" s="337">
        <v>4</v>
      </c>
      <c r="E150" s="346">
        <v>0</v>
      </c>
      <c r="G150" s="355" t="s">
        <v>904</v>
      </c>
      <c r="H150" s="337">
        <v>10</v>
      </c>
      <c r="I150" s="329">
        <f t="shared" si="85"/>
        <v>114</v>
      </c>
      <c r="L150" s="335">
        <v>3159</v>
      </c>
      <c r="N150" s="332">
        <f t="shared" si="86"/>
        <v>3159</v>
      </c>
      <c r="O150" s="332">
        <f t="shared" si="87"/>
        <v>26.324999999999999</v>
      </c>
      <c r="P150" s="332">
        <f t="shared" si="88"/>
        <v>0</v>
      </c>
      <c r="Q150" s="329">
        <f t="shared" si="89"/>
        <v>0</v>
      </c>
      <c r="R150" s="332">
        <f t="shared" si="90"/>
        <v>0</v>
      </c>
      <c r="S150" s="344">
        <v>1</v>
      </c>
      <c r="T150" s="332">
        <f t="shared" si="91"/>
        <v>0</v>
      </c>
      <c r="V150" s="332">
        <f t="shared" si="92"/>
        <v>3159</v>
      </c>
      <c r="W150" s="332">
        <f t="shared" si="93"/>
        <v>3159</v>
      </c>
      <c r="X150" s="344">
        <v>1</v>
      </c>
      <c r="Y150" s="332">
        <f t="shared" si="94"/>
        <v>3159</v>
      </c>
      <c r="Z150" s="332">
        <f t="shared" si="95"/>
        <v>3159</v>
      </c>
      <c r="AA150" s="332">
        <f t="shared" si="96"/>
        <v>0</v>
      </c>
      <c r="AB150" s="332">
        <f t="shared" si="102"/>
        <v>0</v>
      </c>
      <c r="AC150" s="343">
        <f t="shared" si="97"/>
        <v>104.25</v>
      </c>
      <c r="AD150" s="329">
        <f t="shared" si="98"/>
        <v>121</v>
      </c>
      <c r="AE150" s="343">
        <f t="shared" si="99"/>
        <v>114.25</v>
      </c>
      <c r="AF150" s="329">
        <f t="shared" si="100"/>
        <v>120</v>
      </c>
      <c r="AG150" s="342">
        <f t="shared" si="101"/>
        <v>-8.3333333333333329E-2</v>
      </c>
    </row>
    <row r="151" spans="2:33">
      <c r="B151" s="337" t="s">
        <v>1004</v>
      </c>
      <c r="C151" s="337">
        <v>104</v>
      </c>
      <c r="D151" s="337">
        <v>12</v>
      </c>
      <c r="E151" s="346">
        <v>0</v>
      </c>
      <c r="G151" s="355" t="s">
        <v>904</v>
      </c>
      <c r="H151" s="337">
        <v>10</v>
      </c>
      <c r="I151" s="329">
        <f t="shared" si="85"/>
        <v>114</v>
      </c>
      <c r="L151" s="335">
        <v>7476</v>
      </c>
      <c r="N151" s="332">
        <f t="shared" si="86"/>
        <v>7476</v>
      </c>
      <c r="O151" s="332">
        <f t="shared" si="87"/>
        <v>62.300000000000004</v>
      </c>
      <c r="P151" s="332">
        <f t="shared" si="88"/>
        <v>0</v>
      </c>
      <c r="Q151" s="329">
        <f t="shared" si="89"/>
        <v>0</v>
      </c>
      <c r="R151" s="332">
        <f t="shared" si="90"/>
        <v>0</v>
      </c>
      <c r="S151" s="344">
        <v>1</v>
      </c>
      <c r="T151" s="332">
        <f t="shared" si="91"/>
        <v>0</v>
      </c>
      <c r="V151" s="332">
        <f t="shared" si="92"/>
        <v>7476</v>
      </c>
      <c r="W151" s="332">
        <f t="shared" si="93"/>
        <v>7476</v>
      </c>
      <c r="X151" s="344">
        <v>1</v>
      </c>
      <c r="Y151" s="332">
        <f t="shared" si="94"/>
        <v>7476</v>
      </c>
      <c r="Z151" s="332">
        <f t="shared" si="95"/>
        <v>7476</v>
      </c>
      <c r="AA151" s="332">
        <f t="shared" si="96"/>
        <v>0</v>
      </c>
      <c r="AB151" s="332">
        <f t="shared" si="102"/>
        <v>0</v>
      </c>
      <c r="AC151" s="343">
        <f t="shared" si="97"/>
        <v>104.91666666666667</v>
      </c>
      <c r="AD151" s="329">
        <f t="shared" si="98"/>
        <v>121</v>
      </c>
      <c r="AE151" s="343">
        <f t="shared" si="99"/>
        <v>114.91666666666667</v>
      </c>
      <c r="AF151" s="329">
        <f t="shared" si="100"/>
        <v>120</v>
      </c>
      <c r="AG151" s="342">
        <f t="shared" si="101"/>
        <v>-8.3333333333333329E-2</v>
      </c>
    </row>
    <row r="152" spans="2:33">
      <c r="B152" s="337" t="s">
        <v>1003</v>
      </c>
      <c r="C152" s="337">
        <v>104</v>
      </c>
      <c r="D152" s="337">
        <v>12</v>
      </c>
      <c r="E152" s="346">
        <v>0</v>
      </c>
      <c r="G152" s="355" t="s">
        <v>904</v>
      </c>
      <c r="H152" s="337">
        <v>10</v>
      </c>
      <c r="I152" s="329">
        <f t="shared" si="85"/>
        <v>114</v>
      </c>
      <c r="L152" s="335">
        <v>6540</v>
      </c>
      <c r="N152" s="332">
        <f t="shared" si="86"/>
        <v>6540</v>
      </c>
      <c r="O152" s="332">
        <f t="shared" si="87"/>
        <v>54.5</v>
      </c>
      <c r="P152" s="332">
        <f t="shared" si="88"/>
        <v>0</v>
      </c>
      <c r="Q152" s="329">
        <f t="shared" si="89"/>
        <v>0</v>
      </c>
      <c r="R152" s="332">
        <f t="shared" si="90"/>
        <v>0</v>
      </c>
      <c r="S152" s="344">
        <v>1</v>
      </c>
      <c r="T152" s="332">
        <f t="shared" si="91"/>
        <v>0</v>
      </c>
      <c r="V152" s="332">
        <f t="shared" si="92"/>
        <v>6540</v>
      </c>
      <c r="W152" s="332">
        <f t="shared" si="93"/>
        <v>6540</v>
      </c>
      <c r="X152" s="344">
        <v>1</v>
      </c>
      <c r="Y152" s="332">
        <f t="shared" si="94"/>
        <v>6540</v>
      </c>
      <c r="Z152" s="332">
        <f t="shared" si="95"/>
        <v>6540</v>
      </c>
      <c r="AA152" s="332">
        <f t="shared" si="96"/>
        <v>0</v>
      </c>
      <c r="AB152" s="332">
        <f t="shared" si="102"/>
        <v>0</v>
      </c>
      <c r="AC152" s="343">
        <f t="shared" si="97"/>
        <v>104.91666666666667</v>
      </c>
      <c r="AD152" s="329">
        <f t="shared" si="98"/>
        <v>121</v>
      </c>
      <c r="AE152" s="343">
        <f t="shared" si="99"/>
        <v>114.91666666666667</v>
      </c>
      <c r="AF152" s="329">
        <f t="shared" si="100"/>
        <v>120</v>
      </c>
      <c r="AG152" s="342">
        <f t="shared" si="101"/>
        <v>-8.3333333333333329E-2</v>
      </c>
    </row>
    <row r="153" spans="2:33">
      <c r="B153" s="337" t="s">
        <v>1002</v>
      </c>
      <c r="C153" s="337">
        <v>105</v>
      </c>
      <c r="D153" s="337">
        <v>7</v>
      </c>
      <c r="E153" s="346">
        <v>0</v>
      </c>
      <c r="G153" s="355" t="s">
        <v>904</v>
      </c>
      <c r="H153" s="337">
        <v>10</v>
      </c>
      <c r="I153" s="329">
        <f t="shared" si="85"/>
        <v>115</v>
      </c>
      <c r="L153" s="335">
        <v>2532</v>
      </c>
      <c r="N153" s="332">
        <f t="shared" si="86"/>
        <v>2532</v>
      </c>
      <c r="O153" s="332">
        <f t="shared" si="87"/>
        <v>21.099999999999998</v>
      </c>
      <c r="P153" s="332">
        <f t="shared" si="88"/>
        <v>0</v>
      </c>
      <c r="Q153" s="329">
        <f t="shared" si="89"/>
        <v>0</v>
      </c>
      <c r="R153" s="332">
        <f t="shared" si="90"/>
        <v>0</v>
      </c>
      <c r="S153" s="344">
        <v>1</v>
      </c>
      <c r="T153" s="332">
        <f t="shared" si="91"/>
        <v>0</v>
      </c>
      <c r="V153" s="332">
        <f t="shared" si="92"/>
        <v>2532</v>
      </c>
      <c r="W153" s="332">
        <f t="shared" si="93"/>
        <v>2532</v>
      </c>
      <c r="X153" s="344">
        <v>1</v>
      </c>
      <c r="Y153" s="332">
        <f t="shared" si="94"/>
        <v>2532</v>
      </c>
      <c r="Z153" s="332">
        <f t="shared" si="95"/>
        <v>2532</v>
      </c>
      <c r="AA153" s="332">
        <f t="shared" si="96"/>
        <v>0</v>
      </c>
      <c r="AB153" s="332">
        <f t="shared" si="102"/>
        <v>0</v>
      </c>
      <c r="AC153" s="343">
        <f t="shared" si="97"/>
        <v>105.5</v>
      </c>
      <c r="AD153" s="329">
        <f t="shared" si="98"/>
        <v>121</v>
      </c>
      <c r="AE153" s="343">
        <f t="shared" si="99"/>
        <v>115.5</v>
      </c>
      <c r="AF153" s="329">
        <f t="shared" si="100"/>
        <v>120</v>
      </c>
      <c r="AG153" s="342">
        <f t="shared" si="101"/>
        <v>-8.3333333333333329E-2</v>
      </c>
    </row>
    <row r="154" spans="2:33">
      <c r="B154" s="337" t="s">
        <v>1000</v>
      </c>
      <c r="C154" s="337">
        <v>105</v>
      </c>
      <c r="D154" s="337">
        <v>7</v>
      </c>
      <c r="E154" s="346">
        <v>0</v>
      </c>
      <c r="G154" s="355" t="s">
        <v>904</v>
      </c>
      <c r="H154" s="337">
        <v>10</v>
      </c>
      <c r="I154" s="329">
        <f t="shared" si="85"/>
        <v>115</v>
      </c>
      <c r="L154" s="335">
        <v>2012</v>
      </c>
      <c r="N154" s="332">
        <f t="shared" si="86"/>
        <v>2012</v>
      </c>
      <c r="O154" s="332">
        <f t="shared" si="87"/>
        <v>16.766666666666666</v>
      </c>
      <c r="P154" s="332">
        <f t="shared" si="88"/>
        <v>0</v>
      </c>
      <c r="Q154" s="329">
        <f t="shared" si="89"/>
        <v>0</v>
      </c>
      <c r="R154" s="332">
        <f t="shared" si="90"/>
        <v>0</v>
      </c>
      <c r="S154" s="344">
        <v>1</v>
      </c>
      <c r="T154" s="332">
        <f t="shared" si="91"/>
        <v>0</v>
      </c>
      <c r="V154" s="332">
        <f t="shared" si="92"/>
        <v>2012</v>
      </c>
      <c r="W154" s="332">
        <f t="shared" si="93"/>
        <v>2012</v>
      </c>
      <c r="X154" s="344">
        <v>1</v>
      </c>
      <c r="Y154" s="332">
        <f t="shared" si="94"/>
        <v>2012</v>
      </c>
      <c r="Z154" s="332">
        <f t="shared" si="95"/>
        <v>2012</v>
      </c>
      <c r="AA154" s="332">
        <f t="shared" si="96"/>
        <v>0</v>
      </c>
      <c r="AB154" s="332">
        <f t="shared" si="102"/>
        <v>0</v>
      </c>
      <c r="AC154" s="343">
        <f t="shared" si="97"/>
        <v>105.5</v>
      </c>
      <c r="AD154" s="329">
        <f t="shared" si="98"/>
        <v>121</v>
      </c>
      <c r="AE154" s="343">
        <f t="shared" si="99"/>
        <v>115.5</v>
      </c>
      <c r="AF154" s="329">
        <f t="shared" si="100"/>
        <v>120</v>
      </c>
      <c r="AG154" s="342">
        <f t="shared" si="101"/>
        <v>-8.3333333333333329E-2</v>
      </c>
    </row>
    <row r="155" spans="2:33">
      <c r="B155" s="337" t="s">
        <v>1001</v>
      </c>
      <c r="C155" s="337">
        <v>106</v>
      </c>
      <c r="D155" s="337">
        <v>2</v>
      </c>
      <c r="E155" s="346">
        <v>0</v>
      </c>
      <c r="G155" s="355" t="s">
        <v>904</v>
      </c>
      <c r="H155" s="337">
        <v>10</v>
      </c>
      <c r="I155" s="329">
        <f t="shared" si="85"/>
        <v>116</v>
      </c>
      <c r="L155" s="335">
        <v>3689</v>
      </c>
      <c r="N155" s="332">
        <f t="shared" si="86"/>
        <v>3689</v>
      </c>
      <c r="O155" s="332">
        <f t="shared" si="87"/>
        <v>30.741666666666664</v>
      </c>
      <c r="P155" s="332">
        <f t="shared" si="88"/>
        <v>0</v>
      </c>
      <c r="Q155" s="329">
        <f t="shared" si="89"/>
        <v>0</v>
      </c>
      <c r="R155" s="332">
        <f t="shared" si="90"/>
        <v>0</v>
      </c>
      <c r="S155" s="344">
        <v>1</v>
      </c>
      <c r="T155" s="332">
        <f t="shared" si="91"/>
        <v>0</v>
      </c>
      <c r="V155" s="332">
        <f t="shared" si="92"/>
        <v>3689</v>
      </c>
      <c r="W155" s="332">
        <f t="shared" si="93"/>
        <v>3689</v>
      </c>
      <c r="X155" s="344">
        <v>1</v>
      </c>
      <c r="Y155" s="332">
        <f t="shared" si="94"/>
        <v>3689</v>
      </c>
      <c r="Z155" s="332">
        <f t="shared" si="95"/>
        <v>3689</v>
      </c>
      <c r="AA155" s="332">
        <f t="shared" si="96"/>
        <v>0</v>
      </c>
      <c r="AB155" s="332">
        <f t="shared" si="102"/>
        <v>0</v>
      </c>
      <c r="AC155" s="343">
        <f t="shared" si="97"/>
        <v>106.08333333333333</v>
      </c>
      <c r="AD155" s="329">
        <f t="shared" si="98"/>
        <v>121</v>
      </c>
      <c r="AE155" s="343">
        <f t="shared" si="99"/>
        <v>116.08333333333333</v>
      </c>
      <c r="AF155" s="329">
        <f t="shared" si="100"/>
        <v>120</v>
      </c>
      <c r="AG155" s="342">
        <f t="shared" si="101"/>
        <v>-8.3333333333333329E-2</v>
      </c>
    </row>
    <row r="156" spans="2:33">
      <c r="B156" s="337" t="s">
        <v>1000</v>
      </c>
      <c r="C156" s="337">
        <v>107</v>
      </c>
      <c r="D156" s="337">
        <v>6</v>
      </c>
      <c r="E156" s="346">
        <v>0</v>
      </c>
      <c r="G156" s="355" t="s">
        <v>904</v>
      </c>
      <c r="H156" s="337">
        <v>10</v>
      </c>
      <c r="I156" s="329">
        <f t="shared" si="85"/>
        <v>117</v>
      </c>
      <c r="L156" s="335">
        <v>2387</v>
      </c>
      <c r="N156" s="332">
        <f t="shared" si="86"/>
        <v>2387</v>
      </c>
      <c r="O156" s="332">
        <f t="shared" si="87"/>
        <v>19.891666666666666</v>
      </c>
      <c r="P156" s="332">
        <f t="shared" si="88"/>
        <v>0</v>
      </c>
      <c r="Q156" s="329">
        <f t="shared" si="89"/>
        <v>0</v>
      </c>
      <c r="R156" s="332">
        <f t="shared" si="90"/>
        <v>0</v>
      </c>
      <c r="S156" s="344">
        <v>1</v>
      </c>
      <c r="T156" s="332">
        <f t="shared" si="91"/>
        <v>0</v>
      </c>
      <c r="V156" s="332">
        <f t="shared" si="92"/>
        <v>2387</v>
      </c>
      <c r="W156" s="332">
        <f t="shared" si="93"/>
        <v>2387</v>
      </c>
      <c r="X156" s="344">
        <v>1</v>
      </c>
      <c r="Y156" s="332">
        <f t="shared" si="94"/>
        <v>2387</v>
      </c>
      <c r="Z156" s="332">
        <f t="shared" si="95"/>
        <v>2387</v>
      </c>
      <c r="AA156" s="332">
        <f t="shared" si="96"/>
        <v>0</v>
      </c>
      <c r="AB156" s="332">
        <f t="shared" si="102"/>
        <v>0</v>
      </c>
      <c r="AC156" s="343">
        <f t="shared" si="97"/>
        <v>107.41666666666667</v>
      </c>
      <c r="AD156" s="329">
        <f t="shared" si="98"/>
        <v>121</v>
      </c>
      <c r="AE156" s="343">
        <f t="shared" si="99"/>
        <v>117.41666666666667</v>
      </c>
      <c r="AF156" s="329">
        <f t="shared" si="100"/>
        <v>120</v>
      </c>
      <c r="AG156" s="342">
        <f t="shared" si="101"/>
        <v>-8.3333333333333329E-2</v>
      </c>
    </row>
    <row r="157" spans="2:33">
      <c r="B157" s="337" t="s">
        <v>999</v>
      </c>
      <c r="C157" s="337">
        <v>107</v>
      </c>
      <c r="D157" s="337">
        <v>6</v>
      </c>
      <c r="E157" s="346">
        <v>0</v>
      </c>
      <c r="G157" s="355" t="s">
        <v>904</v>
      </c>
      <c r="H157" s="337">
        <v>10</v>
      </c>
      <c r="I157" s="329">
        <f t="shared" si="85"/>
        <v>117</v>
      </c>
      <c r="L157" s="335">
        <v>5443</v>
      </c>
      <c r="N157" s="332">
        <f t="shared" si="86"/>
        <v>5443</v>
      </c>
      <c r="O157" s="332">
        <f t="shared" si="87"/>
        <v>45.358333333333327</v>
      </c>
      <c r="P157" s="332">
        <f t="shared" si="88"/>
        <v>0</v>
      </c>
      <c r="Q157" s="329">
        <f t="shared" si="89"/>
        <v>0</v>
      </c>
      <c r="R157" s="332">
        <f t="shared" si="90"/>
        <v>0</v>
      </c>
      <c r="S157" s="344">
        <v>1</v>
      </c>
      <c r="T157" s="332">
        <f t="shared" si="91"/>
        <v>0</v>
      </c>
      <c r="V157" s="332">
        <f t="shared" si="92"/>
        <v>5443</v>
      </c>
      <c r="W157" s="332">
        <f t="shared" si="93"/>
        <v>5443</v>
      </c>
      <c r="X157" s="344">
        <v>1</v>
      </c>
      <c r="Y157" s="332">
        <f t="shared" si="94"/>
        <v>5443</v>
      </c>
      <c r="Z157" s="332">
        <f t="shared" si="95"/>
        <v>5443</v>
      </c>
      <c r="AA157" s="332">
        <f t="shared" si="96"/>
        <v>0</v>
      </c>
      <c r="AB157" s="332">
        <f t="shared" si="102"/>
        <v>0</v>
      </c>
      <c r="AC157" s="343">
        <f t="shared" si="97"/>
        <v>107.41666666666667</v>
      </c>
      <c r="AD157" s="329">
        <f t="shared" si="98"/>
        <v>121</v>
      </c>
      <c r="AE157" s="343">
        <f t="shared" si="99"/>
        <v>117.41666666666667</v>
      </c>
      <c r="AF157" s="329">
        <f t="shared" si="100"/>
        <v>120</v>
      </c>
      <c r="AG157" s="342">
        <f t="shared" si="101"/>
        <v>-8.3333333333333329E-2</v>
      </c>
    </row>
    <row r="158" spans="2:33">
      <c r="B158" s="337" t="s">
        <v>998</v>
      </c>
      <c r="C158" s="337">
        <v>107</v>
      </c>
      <c r="D158" s="337">
        <v>6</v>
      </c>
      <c r="E158" s="346">
        <v>0</v>
      </c>
      <c r="G158" s="355" t="s">
        <v>904</v>
      </c>
      <c r="H158" s="337">
        <v>10</v>
      </c>
      <c r="I158" s="329">
        <f t="shared" ref="I158:I181" si="103">C158+H158</f>
        <v>117</v>
      </c>
      <c r="L158" s="335">
        <v>6135</v>
      </c>
      <c r="N158" s="332">
        <f t="shared" ref="N158:N181" si="104">L158-L158*E158</f>
        <v>6135</v>
      </c>
      <c r="O158" s="332">
        <f t="shared" ref="O158:O181" si="105">N158/H158/12</f>
        <v>51.125</v>
      </c>
      <c r="P158" s="332">
        <f t="shared" ref="P158:P181" si="106">IF(M158&gt;0,0,IF(OR(AC158&gt;AD158,AE158&lt;AF158),0,IF(AND(AE158&gt;=AF158,AE158&lt;=AD158),O158*((AE158-AF158)*12),IF(AND(AF158&lt;=AC158,AD158&gt;=AC158),((AD158-AC158)*12)*O158,IF(AE158&gt;AD158,12*O158,0)))))</f>
        <v>0</v>
      </c>
      <c r="Q158" s="329">
        <f t="shared" ref="Q158:Q181" si="107">IF(M158=0,0,IF(AND(AG158&gt;=AF158,AG158&lt;=AE158),((AG158-AF158)*12)*O158,0))</f>
        <v>0</v>
      </c>
      <c r="R158" s="332">
        <f t="shared" ref="R158:R181" si="108">IF(Q158&gt;0,Q158,P158)</f>
        <v>0</v>
      </c>
      <c r="S158" s="344">
        <v>1</v>
      </c>
      <c r="T158" s="332">
        <f t="shared" ref="T158:T181" si="109">S158*SUM(P158:Q158)</f>
        <v>0</v>
      </c>
      <c r="V158" s="332">
        <f t="shared" ref="V158:V181" si="110">IF(AC158&gt;AD158,0,IF(AE158&lt;AF158,N158,IF(AND(AE158&gt;=AF158,AE158&lt;=AD158),(N158-R158),IF(AND(AF158&lt;=AC158,AD158&gt;=AC158),0,IF(AE158&gt;AD158,((AF158-AC158)*12)*O158,0)))))</f>
        <v>6135</v>
      </c>
      <c r="W158" s="332">
        <f t="shared" ref="W158:W181" si="111">V158*S158</f>
        <v>6135</v>
      </c>
      <c r="X158" s="344">
        <v>1</v>
      </c>
      <c r="Y158" s="332">
        <f t="shared" ref="Y158:Y181" si="112">W158*X158</f>
        <v>6135</v>
      </c>
      <c r="Z158" s="332">
        <f t="shared" ref="Z158:Z181" si="113">IF(M158&gt;0,0,Y158+T158*X158)*X158</f>
        <v>6135</v>
      </c>
      <c r="AA158" s="332">
        <f t="shared" ref="AA158:AA181" si="114">IF(M158&gt;0,(L158-Y158)/2,IF(AC158&gt;=AF158,(((L158*S158)*X158)-Z158)/2,((((L158*S158)*X158)-Y158)+(((L158*S158)*X158)-Z158))/2))</f>
        <v>0</v>
      </c>
      <c r="AB158" s="332">
        <f t="shared" si="102"/>
        <v>0</v>
      </c>
      <c r="AC158" s="343">
        <f t="shared" ref="AC158:AC181" si="115">$C158+(($D158-1)/12)</f>
        <v>107.41666666666667</v>
      </c>
      <c r="AD158" s="329">
        <f t="shared" ref="AD158:AD181" si="116">($N$5+1)-($N$2/12)</f>
        <v>121</v>
      </c>
      <c r="AE158" s="343">
        <f t="shared" ref="AE158:AE181" si="117">$I158+(($D158-1)/12)</f>
        <v>117.41666666666667</v>
      </c>
      <c r="AF158" s="329">
        <f t="shared" ref="AF158:AF181" si="118">$N$4+($N$3/12)</f>
        <v>120</v>
      </c>
      <c r="AG158" s="342">
        <f t="shared" ref="AG158:AG181" si="119">$J158+(($K158-1)/12)</f>
        <v>-8.3333333333333329E-2</v>
      </c>
    </row>
    <row r="159" spans="2:33">
      <c r="B159" s="337" t="s">
        <v>997</v>
      </c>
      <c r="C159" s="337">
        <v>108</v>
      </c>
      <c r="D159" s="337">
        <v>5</v>
      </c>
      <c r="E159" s="346">
        <v>0</v>
      </c>
      <c r="G159" s="355" t="s">
        <v>904</v>
      </c>
      <c r="H159" s="337">
        <v>7</v>
      </c>
      <c r="I159" s="329">
        <f t="shared" si="103"/>
        <v>115</v>
      </c>
      <c r="L159" s="335">
        <v>6217</v>
      </c>
      <c r="N159" s="332">
        <f t="shared" si="104"/>
        <v>6217</v>
      </c>
      <c r="O159" s="332">
        <f t="shared" si="105"/>
        <v>74.011904761904759</v>
      </c>
      <c r="P159" s="332">
        <f t="shared" si="106"/>
        <v>0</v>
      </c>
      <c r="Q159" s="329">
        <f t="shared" si="107"/>
        <v>0</v>
      </c>
      <c r="R159" s="332">
        <f t="shared" si="108"/>
        <v>0</v>
      </c>
      <c r="S159" s="344">
        <v>1</v>
      </c>
      <c r="T159" s="332">
        <f t="shared" si="109"/>
        <v>0</v>
      </c>
      <c r="V159" s="332">
        <f t="shared" si="110"/>
        <v>6217</v>
      </c>
      <c r="W159" s="332">
        <f t="shared" si="111"/>
        <v>6217</v>
      </c>
      <c r="X159" s="344">
        <v>1</v>
      </c>
      <c r="Y159" s="332">
        <f t="shared" si="112"/>
        <v>6217</v>
      </c>
      <c r="Z159" s="332">
        <f t="shared" si="113"/>
        <v>6217</v>
      </c>
      <c r="AA159" s="332">
        <f t="shared" si="114"/>
        <v>0</v>
      </c>
      <c r="AB159" s="332">
        <f t="shared" si="102"/>
        <v>0</v>
      </c>
      <c r="AC159" s="343">
        <f t="shared" si="115"/>
        <v>108.33333333333333</v>
      </c>
      <c r="AD159" s="329">
        <f t="shared" si="116"/>
        <v>121</v>
      </c>
      <c r="AE159" s="343">
        <f t="shared" si="117"/>
        <v>115.33333333333333</v>
      </c>
      <c r="AF159" s="329">
        <f t="shared" si="118"/>
        <v>120</v>
      </c>
      <c r="AG159" s="342">
        <f t="shared" si="119"/>
        <v>-8.3333333333333329E-2</v>
      </c>
    </row>
    <row r="160" spans="2:33">
      <c r="B160" s="337" t="s">
        <v>996</v>
      </c>
      <c r="C160" s="337">
        <v>108</v>
      </c>
      <c r="D160" s="337">
        <v>5</v>
      </c>
      <c r="E160" s="346">
        <v>0</v>
      </c>
      <c r="G160" s="355" t="s">
        <v>904</v>
      </c>
      <c r="H160" s="337">
        <v>7</v>
      </c>
      <c r="I160" s="329">
        <f t="shared" si="103"/>
        <v>115</v>
      </c>
      <c r="L160" s="335">
        <v>4876</v>
      </c>
      <c r="N160" s="332">
        <f t="shared" si="104"/>
        <v>4876</v>
      </c>
      <c r="O160" s="332">
        <f t="shared" si="105"/>
        <v>58.047619047619044</v>
      </c>
      <c r="P160" s="332">
        <f t="shared" si="106"/>
        <v>0</v>
      </c>
      <c r="Q160" s="329">
        <f t="shared" si="107"/>
        <v>0</v>
      </c>
      <c r="R160" s="332">
        <f t="shared" si="108"/>
        <v>0</v>
      </c>
      <c r="S160" s="344">
        <v>1</v>
      </c>
      <c r="T160" s="332">
        <f t="shared" si="109"/>
        <v>0</v>
      </c>
      <c r="V160" s="332">
        <f t="shared" si="110"/>
        <v>4876</v>
      </c>
      <c r="W160" s="332">
        <f t="shared" si="111"/>
        <v>4876</v>
      </c>
      <c r="X160" s="344">
        <v>1</v>
      </c>
      <c r="Y160" s="332">
        <f t="shared" si="112"/>
        <v>4876</v>
      </c>
      <c r="Z160" s="332">
        <f t="shared" si="113"/>
        <v>4876</v>
      </c>
      <c r="AA160" s="332">
        <f t="shared" si="114"/>
        <v>0</v>
      </c>
      <c r="AB160" s="332">
        <f t="shared" si="102"/>
        <v>0</v>
      </c>
      <c r="AC160" s="343">
        <f t="shared" si="115"/>
        <v>108.33333333333333</v>
      </c>
      <c r="AD160" s="329">
        <f t="shared" si="116"/>
        <v>121</v>
      </c>
      <c r="AE160" s="343">
        <f t="shared" si="117"/>
        <v>115.33333333333333</v>
      </c>
      <c r="AF160" s="329">
        <f t="shared" si="118"/>
        <v>120</v>
      </c>
      <c r="AG160" s="342">
        <f t="shared" si="119"/>
        <v>-8.3333333333333329E-2</v>
      </c>
    </row>
    <row r="161" spans="1:33">
      <c r="B161" s="337" t="s">
        <v>995</v>
      </c>
      <c r="C161" s="337">
        <v>110</v>
      </c>
      <c r="D161" s="337">
        <v>5</v>
      </c>
      <c r="E161" s="346">
        <v>0</v>
      </c>
      <c r="G161" s="355" t="s">
        <v>904</v>
      </c>
      <c r="H161" s="337">
        <v>10</v>
      </c>
      <c r="I161" s="329">
        <f t="shared" si="103"/>
        <v>120</v>
      </c>
      <c r="L161" s="451">
        <v>4389</v>
      </c>
      <c r="N161" s="332">
        <f t="shared" si="104"/>
        <v>4389</v>
      </c>
      <c r="O161" s="332">
        <f t="shared" si="105"/>
        <v>36.574999999999996</v>
      </c>
      <c r="P161" s="332">
        <f t="shared" si="106"/>
        <v>146.29999999999791</v>
      </c>
      <c r="Q161" s="329">
        <f t="shared" si="107"/>
        <v>0</v>
      </c>
      <c r="R161" s="332">
        <f t="shared" si="108"/>
        <v>146.29999999999791</v>
      </c>
      <c r="S161" s="344">
        <v>1</v>
      </c>
      <c r="T161" s="332">
        <f t="shared" si="109"/>
        <v>146.29999999999791</v>
      </c>
      <c r="V161" s="332">
        <f t="shared" si="110"/>
        <v>4242.7000000000025</v>
      </c>
      <c r="W161" s="332">
        <f t="shared" si="111"/>
        <v>4242.7000000000025</v>
      </c>
      <c r="X161" s="344">
        <v>1</v>
      </c>
      <c r="Y161" s="332">
        <f t="shared" si="112"/>
        <v>4242.7000000000025</v>
      </c>
      <c r="Z161" s="332">
        <f t="shared" si="113"/>
        <v>4389</v>
      </c>
      <c r="AA161" s="332">
        <f t="shared" si="114"/>
        <v>73.149999999998727</v>
      </c>
      <c r="AB161" s="332">
        <f t="shared" si="102"/>
        <v>0</v>
      </c>
      <c r="AC161" s="343">
        <f t="shared" si="115"/>
        <v>110.33333333333333</v>
      </c>
      <c r="AD161" s="329">
        <f t="shared" si="116"/>
        <v>121</v>
      </c>
      <c r="AE161" s="343">
        <f t="shared" si="117"/>
        <v>120.33333333333333</v>
      </c>
      <c r="AF161" s="329">
        <f t="shared" si="118"/>
        <v>120</v>
      </c>
      <c r="AG161" s="342">
        <f t="shared" si="119"/>
        <v>-8.3333333333333329E-2</v>
      </c>
    </row>
    <row r="162" spans="1:33">
      <c r="B162" s="337" t="s">
        <v>994</v>
      </c>
      <c r="C162" s="337">
        <v>110</v>
      </c>
      <c r="D162" s="337">
        <v>6</v>
      </c>
      <c r="E162" s="346">
        <v>0</v>
      </c>
      <c r="G162" s="355" t="s">
        <v>904</v>
      </c>
      <c r="H162" s="337">
        <v>7</v>
      </c>
      <c r="I162" s="329">
        <f t="shared" si="103"/>
        <v>117</v>
      </c>
      <c r="L162" s="335">
        <v>1144</v>
      </c>
      <c r="N162" s="332">
        <f t="shared" si="104"/>
        <v>1144</v>
      </c>
      <c r="O162" s="332">
        <f t="shared" si="105"/>
        <v>13.619047619047619</v>
      </c>
      <c r="P162" s="332">
        <f t="shared" si="106"/>
        <v>0</v>
      </c>
      <c r="Q162" s="329">
        <f t="shared" si="107"/>
        <v>0</v>
      </c>
      <c r="R162" s="332">
        <f t="shared" si="108"/>
        <v>0</v>
      </c>
      <c r="S162" s="344">
        <v>1</v>
      </c>
      <c r="T162" s="332">
        <f t="shared" si="109"/>
        <v>0</v>
      </c>
      <c r="V162" s="332">
        <f t="shared" si="110"/>
        <v>1144</v>
      </c>
      <c r="W162" s="332">
        <f t="shared" si="111"/>
        <v>1144</v>
      </c>
      <c r="X162" s="344">
        <v>1</v>
      </c>
      <c r="Y162" s="332">
        <f t="shared" si="112"/>
        <v>1144</v>
      </c>
      <c r="Z162" s="332">
        <f t="shared" si="113"/>
        <v>1144</v>
      </c>
      <c r="AA162" s="332">
        <f t="shared" si="114"/>
        <v>0</v>
      </c>
      <c r="AB162" s="332">
        <f t="shared" si="102"/>
        <v>0</v>
      </c>
      <c r="AC162" s="343">
        <f t="shared" si="115"/>
        <v>110.41666666666667</v>
      </c>
      <c r="AD162" s="329">
        <f t="shared" si="116"/>
        <v>121</v>
      </c>
      <c r="AE162" s="343">
        <f t="shared" si="117"/>
        <v>117.41666666666667</v>
      </c>
      <c r="AF162" s="329">
        <f t="shared" si="118"/>
        <v>120</v>
      </c>
      <c r="AG162" s="342">
        <f t="shared" si="119"/>
        <v>-8.3333333333333329E-2</v>
      </c>
    </row>
    <row r="163" spans="1:33">
      <c r="B163" s="337" t="s">
        <v>993</v>
      </c>
      <c r="C163" s="337">
        <v>110</v>
      </c>
      <c r="D163" s="337">
        <v>6</v>
      </c>
      <c r="E163" s="346">
        <v>0</v>
      </c>
      <c r="G163" s="355" t="s">
        <v>904</v>
      </c>
      <c r="H163" s="337">
        <v>7</v>
      </c>
      <c r="I163" s="329">
        <f t="shared" si="103"/>
        <v>117</v>
      </c>
      <c r="L163" s="335">
        <v>3882</v>
      </c>
      <c r="N163" s="332">
        <f t="shared" si="104"/>
        <v>3882</v>
      </c>
      <c r="O163" s="332">
        <f t="shared" si="105"/>
        <v>46.214285714285715</v>
      </c>
      <c r="P163" s="332">
        <f t="shared" si="106"/>
        <v>0</v>
      </c>
      <c r="Q163" s="329">
        <f t="shared" si="107"/>
        <v>0</v>
      </c>
      <c r="R163" s="332">
        <f t="shared" si="108"/>
        <v>0</v>
      </c>
      <c r="S163" s="344">
        <v>1</v>
      </c>
      <c r="T163" s="332">
        <f t="shared" si="109"/>
        <v>0</v>
      </c>
      <c r="V163" s="332">
        <f t="shared" si="110"/>
        <v>3882</v>
      </c>
      <c r="W163" s="332">
        <f t="shared" si="111"/>
        <v>3882</v>
      </c>
      <c r="X163" s="344">
        <v>1</v>
      </c>
      <c r="Y163" s="332">
        <f t="shared" si="112"/>
        <v>3882</v>
      </c>
      <c r="Z163" s="332">
        <f t="shared" si="113"/>
        <v>3882</v>
      </c>
      <c r="AA163" s="332">
        <f t="shared" si="114"/>
        <v>0</v>
      </c>
      <c r="AB163" s="332">
        <f t="shared" si="102"/>
        <v>0</v>
      </c>
      <c r="AC163" s="343">
        <f t="shared" si="115"/>
        <v>110.41666666666667</v>
      </c>
      <c r="AD163" s="329">
        <f t="shared" si="116"/>
        <v>121</v>
      </c>
      <c r="AE163" s="343">
        <f t="shared" si="117"/>
        <v>117.41666666666667</v>
      </c>
      <c r="AF163" s="329">
        <f t="shared" si="118"/>
        <v>120</v>
      </c>
      <c r="AG163" s="342">
        <f t="shared" si="119"/>
        <v>-8.3333333333333329E-2</v>
      </c>
    </row>
    <row r="164" spans="1:33">
      <c r="A164" s="418"/>
      <c r="B164" s="337" t="s">
        <v>992</v>
      </c>
      <c r="C164" s="337">
        <v>112</v>
      </c>
      <c r="D164" s="337">
        <v>12</v>
      </c>
      <c r="E164" s="346">
        <v>0</v>
      </c>
      <c r="G164" s="355" t="s">
        <v>904</v>
      </c>
      <c r="H164" s="337">
        <v>10</v>
      </c>
      <c r="I164" s="329">
        <f t="shared" si="103"/>
        <v>122</v>
      </c>
      <c r="L164" s="451">
        <v>5427</v>
      </c>
      <c r="N164" s="332">
        <f t="shared" si="104"/>
        <v>5427</v>
      </c>
      <c r="O164" s="332">
        <f t="shared" si="105"/>
        <v>45.225000000000001</v>
      </c>
      <c r="P164" s="332">
        <f t="shared" si="106"/>
        <v>542.70000000000005</v>
      </c>
      <c r="Q164" s="329">
        <f t="shared" si="107"/>
        <v>0</v>
      </c>
      <c r="R164" s="332">
        <f t="shared" si="108"/>
        <v>542.70000000000005</v>
      </c>
      <c r="S164" s="344">
        <v>1</v>
      </c>
      <c r="T164" s="332">
        <f t="shared" si="109"/>
        <v>542.70000000000005</v>
      </c>
      <c r="V164" s="332">
        <f t="shared" si="110"/>
        <v>3844.1249999999977</v>
      </c>
      <c r="W164" s="332">
        <f t="shared" si="111"/>
        <v>3844.1249999999977</v>
      </c>
      <c r="X164" s="344">
        <v>1</v>
      </c>
      <c r="Y164" s="332">
        <f t="shared" si="112"/>
        <v>3844.1249999999977</v>
      </c>
      <c r="Z164" s="332">
        <f t="shared" si="113"/>
        <v>4386.824999999998</v>
      </c>
      <c r="AA164" s="332">
        <f t="shared" si="114"/>
        <v>1311.5250000000021</v>
      </c>
      <c r="AB164" s="332">
        <f t="shared" si="102"/>
        <v>1040.175000000002</v>
      </c>
      <c r="AC164" s="343">
        <f t="shared" si="115"/>
        <v>112.91666666666667</v>
      </c>
      <c r="AD164" s="329">
        <f t="shared" si="116"/>
        <v>121</v>
      </c>
      <c r="AE164" s="343">
        <f t="shared" si="117"/>
        <v>122.91666666666667</v>
      </c>
      <c r="AF164" s="329">
        <f t="shared" si="118"/>
        <v>120</v>
      </c>
      <c r="AG164" s="342">
        <f t="shared" si="119"/>
        <v>-8.3333333333333329E-2</v>
      </c>
    </row>
    <row r="165" spans="1:33">
      <c r="A165" s="418"/>
      <c r="B165" s="337" t="s">
        <v>989</v>
      </c>
      <c r="C165" s="337">
        <v>112</v>
      </c>
      <c r="D165" s="337">
        <v>12</v>
      </c>
      <c r="E165" s="346">
        <v>0</v>
      </c>
      <c r="G165" s="355" t="s">
        <v>904</v>
      </c>
      <c r="H165" s="337">
        <v>10</v>
      </c>
      <c r="I165" s="329">
        <f t="shared" si="103"/>
        <v>122</v>
      </c>
      <c r="L165" s="451">
        <v>6206</v>
      </c>
      <c r="N165" s="332">
        <f t="shared" si="104"/>
        <v>6206</v>
      </c>
      <c r="O165" s="332">
        <f t="shared" si="105"/>
        <v>51.716666666666669</v>
      </c>
      <c r="P165" s="332">
        <f t="shared" si="106"/>
        <v>620.6</v>
      </c>
      <c r="Q165" s="329">
        <f t="shared" si="107"/>
        <v>0</v>
      </c>
      <c r="R165" s="332">
        <f t="shared" si="108"/>
        <v>620.6</v>
      </c>
      <c r="S165" s="344">
        <v>1</v>
      </c>
      <c r="T165" s="332">
        <f t="shared" si="109"/>
        <v>620.6</v>
      </c>
      <c r="V165" s="332">
        <f t="shared" si="110"/>
        <v>4395.9166666666642</v>
      </c>
      <c r="W165" s="332">
        <f t="shared" si="111"/>
        <v>4395.9166666666642</v>
      </c>
      <c r="X165" s="344">
        <v>1</v>
      </c>
      <c r="Y165" s="332">
        <f t="shared" si="112"/>
        <v>4395.9166666666642</v>
      </c>
      <c r="Z165" s="332">
        <f t="shared" si="113"/>
        <v>5016.5166666666646</v>
      </c>
      <c r="AA165" s="332">
        <f t="shared" si="114"/>
        <v>1499.7833333333356</v>
      </c>
      <c r="AB165" s="332">
        <f t="shared" si="102"/>
        <v>1189.4833333333354</v>
      </c>
      <c r="AC165" s="343">
        <f t="shared" si="115"/>
        <v>112.91666666666667</v>
      </c>
      <c r="AD165" s="329">
        <f t="shared" si="116"/>
        <v>121</v>
      </c>
      <c r="AE165" s="343">
        <f t="shared" si="117"/>
        <v>122.91666666666667</v>
      </c>
      <c r="AF165" s="329">
        <f t="shared" si="118"/>
        <v>120</v>
      </c>
      <c r="AG165" s="342">
        <f t="shared" si="119"/>
        <v>-8.3333333333333329E-2</v>
      </c>
    </row>
    <row r="166" spans="1:33">
      <c r="A166" s="418"/>
      <c r="B166" s="337" t="s">
        <v>991</v>
      </c>
      <c r="C166" s="337">
        <v>114</v>
      </c>
      <c r="D166" s="337">
        <v>5</v>
      </c>
      <c r="E166" s="346">
        <v>0</v>
      </c>
      <c r="G166" s="355" t="s">
        <v>904</v>
      </c>
      <c r="H166" s="337">
        <v>10</v>
      </c>
      <c r="I166" s="329">
        <f t="shared" si="103"/>
        <v>124</v>
      </c>
      <c r="L166" s="451">
        <v>3105</v>
      </c>
      <c r="N166" s="332">
        <f t="shared" si="104"/>
        <v>3105</v>
      </c>
      <c r="O166" s="332">
        <f t="shared" si="105"/>
        <v>25.875</v>
      </c>
      <c r="P166" s="332">
        <f t="shared" si="106"/>
        <v>310.5</v>
      </c>
      <c r="Q166" s="329">
        <f t="shared" si="107"/>
        <v>0</v>
      </c>
      <c r="R166" s="332">
        <f t="shared" si="108"/>
        <v>310.5</v>
      </c>
      <c r="S166" s="344">
        <v>1</v>
      </c>
      <c r="T166" s="332">
        <f t="shared" si="109"/>
        <v>310.5</v>
      </c>
      <c r="V166" s="332">
        <f t="shared" si="110"/>
        <v>1759.5000000000014</v>
      </c>
      <c r="W166" s="332">
        <f t="shared" si="111"/>
        <v>1759.5000000000014</v>
      </c>
      <c r="X166" s="344">
        <v>1</v>
      </c>
      <c r="Y166" s="332">
        <f t="shared" si="112"/>
        <v>1759.5000000000014</v>
      </c>
      <c r="Z166" s="332">
        <f t="shared" si="113"/>
        <v>2070.0000000000014</v>
      </c>
      <c r="AA166" s="332">
        <f t="shared" si="114"/>
        <v>1190.2499999999986</v>
      </c>
      <c r="AB166" s="332">
        <f t="shared" si="102"/>
        <v>1034.9999999999986</v>
      </c>
      <c r="AC166" s="343">
        <f t="shared" si="115"/>
        <v>114.33333333333333</v>
      </c>
      <c r="AD166" s="329">
        <f t="shared" si="116"/>
        <v>121</v>
      </c>
      <c r="AE166" s="343">
        <f t="shared" si="117"/>
        <v>124.33333333333333</v>
      </c>
      <c r="AF166" s="329">
        <f t="shared" si="118"/>
        <v>120</v>
      </c>
      <c r="AG166" s="342">
        <f t="shared" si="119"/>
        <v>-8.3333333333333329E-2</v>
      </c>
    </row>
    <row r="167" spans="1:33">
      <c r="A167" s="418"/>
      <c r="B167" s="337" t="s">
        <v>990</v>
      </c>
      <c r="C167" s="337">
        <v>115</v>
      </c>
      <c r="D167" s="337">
        <v>5</v>
      </c>
      <c r="E167" s="346">
        <v>0</v>
      </c>
      <c r="G167" s="355" t="s">
        <v>904</v>
      </c>
      <c r="H167" s="337">
        <v>10</v>
      </c>
      <c r="I167" s="329">
        <f t="shared" si="103"/>
        <v>125</v>
      </c>
      <c r="L167" s="451">
        <v>5572</v>
      </c>
      <c r="N167" s="332">
        <f t="shared" si="104"/>
        <v>5572</v>
      </c>
      <c r="O167" s="332">
        <f t="shared" si="105"/>
        <v>46.433333333333337</v>
      </c>
      <c r="P167" s="332">
        <f t="shared" si="106"/>
        <v>557.20000000000005</v>
      </c>
      <c r="Q167" s="329">
        <f t="shared" si="107"/>
        <v>0</v>
      </c>
      <c r="R167" s="332">
        <f t="shared" si="108"/>
        <v>557.20000000000005</v>
      </c>
      <c r="S167" s="344">
        <v>1</v>
      </c>
      <c r="T167" s="332">
        <f t="shared" si="109"/>
        <v>557.20000000000005</v>
      </c>
      <c r="V167" s="332">
        <f t="shared" si="110"/>
        <v>2600.2666666666696</v>
      </c>
      <c r="W167" s="332">
        <f t="shared" si="111"/>
        <v>2600.2666666666696</v>
      </c>
      <c r="X167" s="344">
        <v>1</v>
      </c>
      <c r="Y167" s="332">
        <f t="shared" si="112"/>
        <v>2600.2666666666696</v>
      </c>
      <c r="Z167" s="332">
        <f t="shared" si="113"/>
        <v>3157.4666666666699</v>
      </c>
      <c r="AA167" s="332">
        <f t="shared" si="114"/>
        <v>2693.1333333333305</v>
      </c>
      <c r="AB167" s="332">
        <f t="shared" si="102"/>
        <v>2414.5333333333301</v>
      </c>
      <c r="AC167" s="343">
        <f t="shared" si="115"/>
        <v>115.33333333333333</v>
      </c>
      <c r="AD167" s="329">
        <f t="shared" si="116"/>
        <v>121</v>
      </c>
      <c r="AE167" s="343">
        <f t="shared" si="117"/>
        <v>125.33333333333333</v>
      </c>
      <c r="AF167" s="329">
        <f t="shared" si="118"/>
        <v>120</v>
      </c>
      <c r="AG167" s="342">
        <f t="shared" si="119"/>
        <v>-8.3333333333333329E-2</v>
      </c>
    </row>
    <row r="168" spans="1:33">
      <c r="A168" s="418"/>
      <c r="B168" s="337" t="s">
        <v>988</v>
      </c>
      <c r="C168" s="337">
        <v>115</v>
      </c>
      <c r="D168" s="337">
        <v>5</v>
      </c>
      <c r="E168" s="346">
        <v>0</v>
      </c>
      <c r="G168" s="355" t="s">
        <v>904</v>
      </c>
      <c r="H168" s="337">
        <v>10</v>
      </c>
      <c r="I168" s="329">
        <f t="shared" si="103"/>
        <v>125</v>
      </c>
      <c r="L168" s="451">
        <v>6744</v>
      </c>
      <c r="N168" s="332">
        <f t="shared" si="104"/>
        <v>6744</v>
      </c>
      <c r="O168" s="332">
        <f t="shared" si="105"/>
        <v>56.199999999999996</v>
      </c>
      <c r="P168" s="332">
        <f t="shared" si="106"/>
        <v>674.4</v>
      </c>
      <c r="Q168" s="329">
        <f t="shared" si="107"/>
        <v>0</v>
      </c>
      <c r="R168" s="332">
        <f t="shared" si="108"/>
        <v>674.4</v>
      </c>
      <c r="S168" s="344">
        <v>1</v>
      </c>
      <c r="T168" s="332">
        <f t="shared" si="109"/>
        <v>674.4</v>
      </c>
      <c r="V168" s="332">
        <f t="shared" si="110"/>
        <v>3147.200000000003</v>
      </c>
      <c r="W168" s="332">
        <f t="shared" si="111"/>
        <v>3147.200000000003</v>
      </c>
      <c r="X168" s="344">
        <v>1</v>
      </c>
      <c r="Y168" s="332">
        <f t="shared" si="112"/>
        <v>3147.200000000003</v>
      </c>
      <c r="Z168" s="332">
        <f t="shared" si="113"/>
        <v>3821.6000000000031</v>
      </c>
      <c r="AA168" s="332">
        <f t="shared" si="114"/>
        <v>3259.5999999999967</v>
      </c>
      <c r="AB168" s="332">
        <f t="shared" si="102"/>
        <v>2922.3999999999969</v>
      </c>
      <c r="AC168" s="343">
        <f t="shared" si="115"/>
        <v>115.33333333333333</v>
      </c>
      <c r="AD168" s="329">
        <f t="shared" si="116"/>
        <v>121</v>
      </c>
      <c r="AE168" s="343">
        <f t="shared" si="117"/>
        <v>125.33333333333333</v>
      </c>
      <c r="AF168" s="329">
        <f t="shared" si="118"/>
        <v>120</v>
      </c>
      <c r="AG168" s="342">
        <f t="shared" si="119"/>
        <v>-8.3333333333333329E-2</v>
      </c>
    </row>
    <row r="169" spans="1:33">
      <c r="A169" s="418"/>
      <c r="B169" s="337" t="s">
        <v>988</v>
      </c>
      <c r="C169" s="337">
        <v>116</v>
      </c>
      <c r="D169" s="337">
        <v>5</v>
      </c>
      <c r="E169" s="346">
        <v>0</v>
      </c>
      <c r="G169" s="355" t="s">
        <v>904</v>
      </c>
      <c r="H169" s="337">
        <v>10</v>
      </c>
      <c r="I169" s="329">
        <f t="shared" si="103"/>
        <v>126</v>
      </c>
      <c r="L169" s="451">
        <v>6375</v>
      </c>
      <c r="N169" s="332">
        <f t="shared" si="104"/>
        <v>6375</v>
      </c>
      <c r="O169" s="332">
        <f t="shared" si="105"/>
        <v>53.125</v>
      </c>
      <c r="P169" s="332">
        <f t="shared" si="106"/>
        <v>637.5</v>
      </c>
      <c r="Q169" s="329">
        <f t="shared" si="107"/>
        <v>0</v>
      </c>
      <c r="R169" s="332">
        <f t="shared" si="108"/>
        <v>637.5</v>
      </c>
      <c r="S169" s="344">
        <v>1</v>
      </c>
      <c r="T169" s="332">
        <f t="shared" si="109"/>
        <v>637.5</v>
      </c>
      <c r="V169" s="332">
        <f t="shared" si="110"/>
        <v>2337.5000000000032</v>
      </c>
      <c r="W169" s="332">
        <f t="shared" si="111"/>
        <v>2337.5000000000032</v>
      </c>
      <c r="X169" s="344">
        <v>1</v>
      </c>
      <c r="Y169" s="332">
        <f t="shared" si="112"/>
        <v>2337.5000000000032</v>
      </c>
      <c r="Z169" s="332">
        <f t="shared" si="113"/>
        <v>2975.0000000000032</v>
      </c>
      <c r="AA169" s="332">
        <f t="shared" si="114"/>
        <v>3718.7499999999968</v>
      </c>
      <c r="AB169" s="332">
        <f t="shared" si="102"/>
        <v>3399.9999999999968</v>
      </c>
      <c r="AC169" s="343">
        <f t="shared" si="115"/>
        <v>116.33333333333333</v>
      </c>
      <c r="AD169" s="329">
        <f t="shared" si="116"/>
        <v>121</v>
      </c>
      <c r="AE169" s="343">
        <f t="shared" si="117"/>
        <v>126.33333333333333</v>
      </c>
      <c r="AF169" s="329">
        <f t="shared" si="118"/>
        <v>120</v>
      </c>
      <c r="AG169" s="342">
        <f t="shared" si="119"/>
        <v>-8.3333333333333329E-2</v>
      </c>
    </row>
    <row r="170" spans="1:33">
      <c r="A170" s="418"/>
      <c r="B170" s="337" t="s">
        <v>989</v>
      </c>
      <c r="C170" s="337">
        <v>116</v>
      </c>
      <c r="D170" s="337">
        <v>5</v>
      </c>
      <c r="E170" s="346">
        <v>0</v>
      </c>
      <c r="G170" s="355" t="s">
        <v>904</v>
      </c>
      <c r="H170" s="337">
        <v>10</v>
      </c>
      <c r="I170" s="329">
        <f t="shared" si="103"/>
        <v>126</v>
      </c>
      <c r="L170" s="451">
        <v>8040</v>
      </c>
      <c r="N170" s="332">
        <f t="shared" si="104"/>
        <v>8040</v>
      </c>
      <c r="O170" s="332">
        <f t="shared" si="105"/>
        <v>67</v>
      </c>
      <c r="P170" s="332">
        <f t="shared" si="106"/>
        <v>804</v>
      </c>
      <c r="Q170" s="329">
        <f t="shared" si="107"/>
        <v>0</v>
      </c>
      <c r="R170" s="332">
        <f t="shared" si="108"/>
        <v>804</v>
      </c>
      <c r="S170" s="344">
        <v>1</v>
      </c>
      <c r="T170" s="332">
        <f t="shared" si="109"/>
        <v>804</v>
      </c>
      <c r="V170" s="332">
        <f t="shared" si="110"/>
        <v>2948.0000000000036</v>
      </c>
      <c r="W170" s="332">
        <f t="shared" si="111"/>
        <v>2948.0000000000036</v>
      </c>
      <c r="X170" s="344">
        <v>1</v>
      </c>
      <c r="Y170" s="332">
        <f t="shared" si="112"/>
        <v>2948.0000000000036</v>
      </c>
      <c r="Z170" s="332">
        <f t="shared" si="113"/>
        <v>3752.0000000000036</v>
      </c>
      <c r="AA170" s="332">
        <f t="shared" si="114"/>
        <v>4689.9999999999964</v>
      </c>
      <c r="AB170" s="332">
        <f t="shared" si="102"/>
        <v>4287.9999999999964</v>
      </c>
      <c r="AC170" s="343">
        <f t="shared" si="115"/>
        <v>116.33333333333333</v>
      </c>
      <c r="AD170" s="329">
        <f t="shared" si="116"/>
        <v>121</v>
      </c>
      <c r="AE170" s="343">
        <f t="shared" si="117"/>
        <v>126.33333333333333</v>
      </c>
      <c r="AF170" s="329">
        <f t="shared" si="118"/>
        <v>120</v>
      </c>
      <c r="AG170" s="342">
        <f t="shared" si="119"/>
        <v>-8.3333333333333329E-2</v>
      </c>
    </row>
    <row r="171" spans="1:33">
      <c r="A171" s="418"/>
      <c r="B171" s="337" t="s">
        <v>989</v>
      </c>
      <c r="C171" s="337">
        <v>116</v>
      </c>
      <c r="D171" s="337">
        <v>6</v>
      </c>
      <c r="E171" s="346">
        <v>0</v>
      </c>
      <c r="G171" s="355" t="s">
        <v>904</v>
      </c>
      <c r="H171" s="337">
        <v>10</v>
      </c>
      <c r="I171" s="329">
        <f t="shared" si="103"/>
        <v>126</v>
      </c>
      <c r="L171" s="451">
        <v>7245</v>
      </c>
      <c r="N171" s="332">
        <f t="shared" si="104"/>
        <v>7245</v>
      </c>
      <c r="O171" s="332">
        <f t="shared" si="105"/>
        <v>60.375</v>
      </c>
      <c r="P171" s="332">
        <f t="shared" si="106"/>
        <v>724.5</v>
      </c>
      <c r="Q171" s="329">
        <f t="shared" si="107"/>
        <v>0</v>
      </c>
      <c r="R171" s="332">
        <f t="shared" si="108"/>
        <v>724.5</v>
      </c>
      <c r="S171" s="344">
        <v>1</v>
      </c>
      <c r="T171" s="332">
        <f t="shared" si="109"/>
        <v>724.5</v>
      </c>
      <c r="V171" s="332">
        <f t="shared" si="110"/>
        <v>2596.1249999999964</v>
      </c>
      <c r="W171" s="332">
        <f t="shared" si="111"/>
        <v>2596.1249999999964</v>
      </c>
      <c r="X171" s="344">
        <v>1</v>
      </c>
      <c r="Y171" s="332">
        <f t="shared" si="112"/>
        <v>2596.1249999999964</v>
      </c>
      <c r="Z171" s="332">
        <f t="shared" si="113"/>
        <v>3320.6249999999964</v>
      </c>
      <c r="AA171" s="332">
        <f t="shared" si="114"/>
        <v>4286.6250000000036</v>
      </c>
      <c r="AB171" s="332">
        <f t="shared" si="102"/>
        <v>3924.3750000000036</v>
      </c>
      <c r="AC171" s="343">
        <f t="shared" si="115"/>
        <v>116.41666666666667</v>
      </c>
      <c r="AD171" s="329">
        <f t="shared" si="116"/>
        <v>121</v>
      </c>
      <c r="AE171" s="343">
        <f t="shared" si="117"/>
        <v>126.41666666666667</v>
      </c>
      <c r="AF171" s="329">
        <f t="shared" si="118"/>
        <v>120</v>
      </c>
      <c r="AG171" s="342">
        <f t="shared" si="119"/>
        <v>-8.3333333333333329E-2</v>
      </c>
    </row>
    <row r="172" spans="1:33">
      <c r="A172" s="418"/>
      <c r="B172" s="337" t="s">
        <v>988</v>
      </c>
      <c r="C172" s="337">
        <v>117</v>
      </c>
      <c r="D172" s="337">
        <v>5</v>
      </c>
      <c r="E172" s="346">
        <v>0</v>
      </c>
      <c r="G172" s="355" t="s">
        <v>904</v>
      </c>
      <c r="H172" s="337">
        <v>10</v>
      </c>
      <c r="I172" s="329">
        <f t="shared" si="103"/>
        <v>127</v>
      </c>
      <c r="L172" s="451">
        <v>8687</v>
      </c>
      <c r="N172" s="332">
        <f t="shared" si="104"/>
        <v>8687</v>
      </c>
      <c r="O172" s="332">
        <f t="shared" si="105"/>
        <v>72.391666666666666</v>
      </c>
      <c r="P172" s="332">
        <f t="shared" si="106"/>
        <v>868.7</v>
      </c>
      <c r="Q172" s="329">
        <f t="shared" si="107"/>
        <v>0</v>
      </c>
      <c r="R172" s="332">
        <f t="shared" si="108"/>
        <v>868.7</v>
      </c>
      <c r="S172" s="344">
        <v>1</v>
      </c>
      <c r="T172" s="332">
        <f t="shared" si="109"/>
        <v>868.7</v>
      </c>
      <c r="V172" s="332">
        <f t="shared" si="110"/>
        <v>2316.5333333333374</v>
      </c>
      <c r="W172" s="332">
        <f t="shared" si="111"/>
        <v>2316.5333333333374</v>
      </c>
      <c r="X172" s="344">
        <v>1</v>
      </c>
      <c r="Y172" s="332">
        <f t="shared" si="112"/>
        <v>2316.5333333333374</v>
      </c>
      <c r="Z172" s="332">
        <f t="shared" si="113"/>
        <v>3185.2333333333372</v>
      </c>
      <c r="AA172" s="332">
        <f t="shared" si="114"/>
        <v>5936.1166666666631</v>
      </c>
      <c r="AB172" s="332">
        <f t="shared" si="102"/>
        <v>5501.7666666666628</v>
      </c>
      <c r="AC172" s="343">
        <f t="shared" si="115"/>
        <v>117.33333333333333</v>
      </c>
      <c r="AD172" s="329">
        <f t="shared" si="116"/>
        <v>121</v>
      </c>
      <c r="AE172" s="343">
        <f t="shared" si="117"/>
        <v>127.33333333333333</v>
      </c>
      <c r="AF172" s="329">
        <f t="shared" si="118"/>
        <v>120</v>
      </c>
      <c r="AG172" s="342">
        <f t="shared" si="119"/>
        <v>-8.3333333333333329E-2</v>
      </c>
    </row>
    <row r="173" spans="1:33">
      <c r="A173" s="418"/>
      <c r="B173" s="337" t="s">
        <v>988</v>
      </c>
      <c r="C173" s="337">
        <v>118</v>
      </c>
      <c r="D173" s="337">
        <v>5</v>
      </c>
      <c r="E173" s="346">
        <v>0</v>
      </c>
      <c r="G173" s="355" t="s">
        <v>904</v>
      </c>
      <c r="H173" s="337">
        <v>10</v>
      </c>
      <c r="I173" s="329">
        <f t="shared" ref="I173:I180" si="120">C173+H173</f>
        <v>128</v>
      </c>
      <c r="L173" s="451">
        <v>7290</v>
      </c>
      <c r="N173" s="332">
        <f t="shared" ref="N173:N180" si="121">L173-L173*E173</f>
        <v>7290</v>
      </c>
      <c r="O173" s="332">
        <f t="shared" ref="O173:O180" si="122">N173/H173/12</f>
        <v>60.75</v>
      </c>
      <c r="P173" s="332">
        <f t="shared" si="106"/>
        <v>729</v>
      </c>
      <c r="Q173" s="329">
        <f t="shared" ref="Q173:Q180" si="123">IF(M173=0,0,IF(AND(AG173&gt;=AF173,AG173&lt;=AE173),((AG173-AF173)*12)*O173,0))</f>
        <v>0</v>
      </c>
      <c r="R173" s="332">
        <f t="shared" ref="R173:R180" si="124">IF(Q173&gt;0,Q173,P173)</f>
        <v>729</v>
      </c>
      <c r="S173" s="344">
        <v>1</v>
      </c>
      <c r="T173" s="332">
        <f t="shared" ref="T173:T180" si="125">S173*SUM(P173:Q173)</f>
        <v>729</v>
      </c>
      <c r="V173" s="332">
        <f t="shared" ref="V173:V180" si="126">IF(AC173&gt;AD173,0,IF(AE173&lt;AF173,N173,IF(AND(AE173&gt;=AF173,AE173&lt;=AD173),(N173-R173),IF(AND(AF173&lt;=AC173,AD173&gt;=AC173),0,IF(AE173&gt;AD173,((AF173-AC173)*12)*O173,0)))))</f>
        <v>1215.0000000000034</v>
      </c>
      <c r="W173" s="332">
        <f t="shared" ref="W173:W180" si="127">V173*S173</f>
        <v>1215.0000000000034</v>
      </c>
      <c r="X173" s="344">
        <v>1</v>
      </c>
      <c r="Y173" s="332">
        <f t="shared" ref="Y173:Y180" si="128">W173*X173</f>
        <v>1215.0000000000034</v>
      </c>
      <c r="Z173" s="332">
        <f t="shared" ref="Z173:Z180" si="129">IF(M173&gt;0,0,Y173+T173*X173)*X173</f>
        <v>1944.0000000000034</v>
      </c>
      <c r="AA173" s="332">
        <f t="shared" ref="AA173:AA180" si="130">IF(M173&gt;0,(L173-Y173)/2,IF(AC173&gt;=AF173,(((L173*S173)*X173)-Z173)/2,((((L173*S173)*X173)-Y173)+(((L173*S173)*X173)-Z173))/2))</f>
        <v>5710.4999999999964</v>
      </c>
      <c r="AB173" s="332">
        <f t="shared" ref="AB173:AB180" si="131">L173-Z173</f>
        <v>5345.9999999999964</v>
      </c>
      <c r="AC173" s="343">
        <f t="shared" si="115"/>
        <v>118.33333333333333</v>
      </c>
      <c r="AD173" s="329">
        <f t="shared" si="116"/>
        <v>121</v>
      </c>
      <c r="AE173" s="343">
        <f t="shared" si="117"/>
        <v>128.33333333333334</v>
      </c>
      <c r="AF173" s="329">
        <f t="shared" si="118"/>
        <v>120</v>
      </c>
      <c r="AG173" s="342">
        <f t="shared" si="119"/>
        <v>-8.3333333333333329E-2</v>
      </c>
    </row>
    <row r="174" spans="1:33">
      <c r="A174" s="418"/>
      <c r="B174" s="337" t="s">
        <v>992</v>
      </c>
      <c r="C174" s="337">
        <v>119</v>
      </c>
      <c r="D174" s="337">
        <v>4</v>
      </c>
      <c r="E174" s="346">
        <v>0</v>
      </c>
      <c r="G174" s="355" t="s">
        <v>904</v>
      </c>
      <c r="H174" s="337">
        <v>10</v>
      </c>
      <c r="I174" s="329">
        <f t="shared" si="120"/>
        <v>129</v>
      </c>
      <c r="L174" s="450">
        <v>7156</v>
      </c>
      <c r="N174" s="332">
        <f t="shared" si="121"/>
        <v>7156</v>
      </c>
      <c r="O174" s="332">
        <f t="shared" si="122"/>
        <v>59.633333333333333</v>
      </c>
      <c r="P174" s="332">
        <f t="shared" si="106"/>
        <v>715.6</v>
      </c>
      <c r="Q174" s="329">
        <f t="shared" si="123"/>
        <v>0</v>
      </c>
      <c r="R174" s="332">
        <f t="shared" si="124"/>
        <v>715.6</v>
      </c>
      <c r="S174" s="344">
        <v>1</v>
      </c>
      <c r="T174" s="332">
        <f t="shared" si="125"/>
        <v>715.6</v>
      </c>
      <c r="V174" s="332">
        <f t="shared" si="126"/>
        <v>536.70000000000005</v>
      </c>
      <c r="W174" s="332">
        <f t="shared" si="127"/>
        <v>536.70000000000005</v>
      </c>
      <c r="X174" s="344">
        <v>1</v>
      </c>
      <c r="Y174" s="332">
        <f t="shared" si="128"/>
        <v>536.70000000000005</v>
      </c>
      <c r="Z174" s="332">
        <f t="shared" si="129"/>
        <v>1252.3000000000002</v>
      </c>
      <c r="AA174" s="332">
        <f t="shared" si="130"/>
        <v>6261.5</v>
      </c>
      <c r="AB174" s="332">
        <f t="shared" si="131"/>
        <v>5903.7</v>
      </c>
      <c r="AC174" s="343">
        <f t="shared" si="115"/>
        <v>119.25</v>
      </c>
      <c r="AD174" s="329">
        <f t="shared" si="116"/>
        <v>121</v>
      </c>
      <c r="AE174" s="343">
        <f t="shared" si="117"/>
        <v>129.25</v>
      </c>
      <c r="AF174" s="329">
        <f t="shared" si="118"/>
        <v>120</v>
      </c>
      <c r="AG174" s="342">
        <f t="shared" si="119"/>
        <v>-8.3333333333333329E-2</v>
      </c>
    </row>
    <row r="175" spans="1:33">
      <c r="A175" s="418"/>
      <c r="B175" s="337" t="s">
        <v>988</v>
      </c>
      <c r="C175" s="337">
        <v>119</v>
      </c>
      <c r="D175" s="337">
        <v>4</v>
      </c>
      <c r="E175" s="346">
        <v>0</v>
      </c>
      <c r="G175" s="355" t="s">
        <v>904</v>
      </c>
      <c r="H175" s="337">
        <v>10</v>
      </c>
      <c r="I175" s="329">
        <f t="shared" si="120"/>
        <v>129</v>
      </c>
      <c r="L175" s="450">
        <v>8319</v>
      </c>
      <c r="N175" s="332">
        <f t="shared" si="121"/>
        <v>8319</v>
      </c>
      <c r="O175" s="332">
        <f t="shared" si="122"/>
        <v>69.325000000000003</v>
      </c>
      <c r="P175" s="332">
        <f t="shared" si="106"/>
        <v>831.90000000000009</v>
      </c>
      <c r="Q175" s="329">
        <f t="shared" si="123"/>
        <v>0</v>
      </c>
      <c r="R175" s="332">
        <f t="shared" si="124"/>
        <v>831.90000000000009</v>
      </c>
      <c r="S175" s="344">
        <v>1</v>
      </c>
      <c r="T175" s="332">
        <f t="shared" si="125"/>
        <v>831.90000000000009</v>
      </c>
      <c r="V175" s="332">
        <f t="shared" si="126"/>
        <v>623.92500000000007</v>
      </c>
      <c r="W175" s="332">
        <f t="shared" si="127"/>
        <v>623.92500000000007</v>
      </c>
      <c r="X175" s="344">
        <v>1</v>
      </c>
      <c r="Y175" s="332">
        <f t="shared" si="128"/>
        <v>623.92500000000007</v>
      </c>
      <c r="Z175" s="332">
        <f t="shared" si="129"/>
        <v>1455.8250000000003</v>
      </c>
      <c r="AA175" s="332">
        <f t="shared" si="130"/>
        <v>7279.125</v>
      </c>
      <c r="AB175" s="332">
        <f t="shared" si="131"/>
        <v>6863.1749999999993</v>
      </c>
      <c r="AC175" s="343">
        <f t="shared" si="115"/>
        <v>119.25</v>
      </c>
      <c r="AD175" s="329">
        <f t="shared" si="116"/>
        <v>121</v>
      </c>
      <c r="AE175" s="343">
        <f t="shared" si="117"/>
        <v>129.25</v>
      </c>
      <c r="AF175" s="329">
        <f t="shared" si="118"/>
        <v>120</v>
      </c>
      <c r="AG175" s="342">
        <f t="shared" si="119"/>
        <v>-8.3333333333333329E-2</v>
      </c>
    </row>
    <row r="176" spans="1:33">
      <c r="A176" s="418"/>
      <c r="B176" s="337" t="s">
        <v>1331</v>
      </c>
      <c r="C176" s="337">
        <v>119</v>
      </c>
      <c r="D176" s="337">
        <v>4</v>
      </c>
      <c r="E176" s="346">
        <v>0</v>
      </c>
      <c r="G176" s="355" t="s">
        <v>904</v>
      </c>
      <c r="H176" s="337">
        <v>10</v>
      </c>
      <c r="I176" s="329">
        <f t="shared" si="120"/>
        <v>129</v>
      </c>
      <c r="L176" s="450">
        <v>3265</v>
      </c>
      <c r="N176" s="332">
        <f t="shared" si="121"/>
        <v>3265</v>
      </c>
      <c r="O176" s="332">
        <f t="shared" si="122"/>
        <v>27.208333333333332</v>
      </c>
      <c r="P176" s="332">
        <f t="shared" si="106"/>
        <v>326.5</v>
      </c>
      <c r="Q176" s="329">
        <f t="shared" si="123"/>
        <v>0</v>
      </c>
      <c r="R176" s="332">
        <f t="shared" si="124"/>
        <v>326.5</v>
      </c>
      <c r="S176" s="344">
        <v>1</v>
      </c>
      <c r="T176" s="332">
        <f t="shared" si="125"/>
        <v>326.5</v>
      </c>
      <c r="V176" s="332">
        <f t="shared" si="126"/>
        <v>244.875</v>
      </c>
      <c r="W176" s="332">
        <f t="shared" si="127"/>
        <v>244.875</v>
      </c>
      <c r="X176" s="344">
        <v>1</v>
      </c>
      <c r="Y176" s="332">
        <f t="shared" si="128"/>
        <v>244.875</v>
      </c>
      <c r="Z176" s="332">
        <f t="shared" si="129"/>
        <v>571.375</v>
      </c>
      <c r="AA176" s="332">
        <f t="shared" si="130"/>
        <v>2856.875</v>
      </c>
      <c r="AB176" s="332">
        <f t="shared" si="131"/>
        <v>2693.625</v>
      </c>
      <c r="AC176" s="343">
        <f t="shared" si="115"/>
        <v>119.25</v>
      </c>
      <c r="AD176" s="329">
        <f t="shared" si="116"/>
        <v>121</v>
      </c>
      <c r="AE176" s="343">
        <f t="shared" si="117"/>
        <v>129.25</v>
      </c>
      <c r="AF176" s="329">
        <f t="shared" si="118"/>
        <v>120</v>
      </c>
      <c r="AG176" s="342">
        <f t="shared" si="119"/>
        <v>-8.3333333333333329E-2</v>
      </c>
    </row>
    <row r="177" spans="1:33">
      <c r="A177" s="418"/>
      <c r="B177" s="337" t="s">
        <v>1332</v>
      </c>
      <c r="C177" s="337">
        <v>119</v>
      </c>
      <c r="D177" s="337">
        <v>4</v>
      </c>
      <c r="E177" s="346">
        <v>0</v>
      </c>
      <c r="G177" s="355" t="s">
        <v>904</v>
      </c>
      <c r="H177" s="337">
        <v>10</v>
      </c>
      <c r="I177" s="329">
        <f t="shared" si="120"/>
        <v>129</v>
      </c>
      <c r="L177" s="450">
        <v>15955</v>
      </c>
      <c r="N177" s="332">
        <f t="shared" si="121"/>
        <v>15955</v>
      </c>
      <c r="O177" s="332">
        <f t="shared" si="122"/>
        <v>132.95833333333334</v>
      </c>
      <c r="P177" s="332">
        <f t="shared" ref="P177:P180" si="132">IF(M177&gt;0,0,IF(OR(AC177&gt;AD177,AE177&lt;AF177),0,IF(AND(AE177&gt;=AF177,AE177&lt;=AD177),O177*((AE177-AF177)*12),IF(AND(AF177&lt;=AC177,AD177&gt;=AC177),((AD177-AC177)*12)*O177,IF(AE177&gt;AD177,12*O177,0)))))</f>
        <v>1595.5</v>
      </c>
      <c r="Q177" s="329">
        <f t="shared" si="123"/>
        <v>0</v>
      </c>
      <c r="R177" s="332">
        <f t="shared" si="124"/>
        <v>1595.5</v>
      </c>
      <c r="S177" s="344">
        <v>1</v>
      </c>
      <c r="T177" s="332">
        <f t="shared" si="125"/>
        <v>1595.5</v>
      </c>
      <c r="V177" s="332">
        <f t="shared" si="126"/>
        <v>1196.625</v>
      </c>
      <c r="W177" s="332">
        <f t="shared" si="127"/>
        <v>1196.625</v>
      </c>
      <c r="X177" s="344">
        <v>1</v>
      </c>
      <c r="Y177" s="332">
        <f t="shared" si="128"/>
        <v>1196.625</v>
      </c>
      <c r="Z177" s="332">
        <f t="shared" si="129"/>
        <v>2792.125</v>
      </c>
      <c r="AA177" s="332">
        <f t="shared" si="130"/>
        <v>13960.625</v>
      </c>
      <c r="AB177" s="332">
        <f t="shared" si="131"/>
        <v>13162.875</v>
      </c>
      <c r="AC177" s="343">
        <f t="shared" si="115"/>
        <v>119.25</v>
      </c>
      <c r="AD177" s="329">
        <f t="shared" si="116"/>
        <v>121</v>
      </c>
      <c r="AE177" s="343">
        <f t="shared" si="117"/>
        <v>129.25</v>
      </c>
      <c r="AF177" s="329">
        <f t="shared" si="118"/>
        <v>120</v>
      </c>
      <c r="AG177" s="342">
        <f t="shared" si="119"/>
        <v>-8.3333333333333329E-2</v>
      </c>
    </row>
    <row r="178" spans="1:33">
      <c r="A178" s="418"/>
      <c r="B178" s="337" t="s">
        <v>1349</v>
      </c>
      <c r="C178" s="337">
        <v>119</v>
      </c>
      <c r="D178" s="337">
        <v>6</v>
      </c>
      <c r="E178" s="346">
        <v>0</v>
      </c>
      <c r="G178" s="355" t="s">
        <v>904</v>
      </c>
      <c r="H178" s="337">
        <v>10</v>
      </c>
      <c r="I178" s="329">
        <f t="shared" si="120"/>
        <v>129</v>
      </c>
      <c r="L178" s="450">
        <v>10579</v>
      </c>
      <c r="N178" s="332">
        <f t="shared" si="121"/>
        <v>10579</v>
      </c>
      <c r="O178" s="332">
        <f t="shared" si="122"/>
        <v>88.158333333333346</v>
      </c>
      <c r="P178" s="332">
        <f t="shared" si="132"/>
        <v>1057.9000000000001</v>
      </c>
      <c r="Q178" s="329">
        <f t="shared" si="123"/>
        <v>0</v>
      </c>
      <c r="R178" s="332">
        <f t="shared" si="124"/>
        <v>1057.9000000000001</v>
      </c>
      <c r="S178" s="344">
        <v>1</v>
      </c>
      <c r="T178" s="332">
        <f t="shared" si="125"/>
        <v>1057.9000000000001</v>
      </c>
      <c r="V178" s="332">
        <f t="shared" si="126"/>
        <v>617.10833333332846</v>
      </c>
      <c r="W178" s="332">
        <f t="shared" si="127"/>
        <v>617.10833333332846</v>
      </c>
      <c r="X178" s="344">
        <v>1</v>
      </c>
      <c r="Y178" s="332">
        <f t="shared" si="128"/>
        <v>617.10833333332846</v>
      </c>
      <c r="Z178" s="332">
        <f t="shared" si="129"/>
        <v>1675.0083333333287</v>
      </c>
      <c r="AA178" s="332">
        <f t="shared" si="130"/>
        <v>9432.941666666673</v>
      </c>
      <c r="AB178" s="332">
        <f t="shared" si="131"/>
        <v>8903.9916666666722</v>
      </c>
      <c r="AC178" s="343">
        <f t="shared" si="115"/>
        <v>119.41666666666667</v>
      </c>
      <c r="AD178" s="329">
        <f t="shared" si="116"/>
        <v>121</v>
      </c>
      <c r="AE178" s="343">
        <f t="shared" si="117"/>
        <v>129.41666666666666</v>
      </c>
      <c r="AF178" s="329">
        <f t="shared" si="118"/>
        <v>120</v>
      </c>
      <c r="AG178" s="342">
        <f t="shared" si="119"/>
        <v>-8.3333333333333329E-2</v>
      </c>
    </row>
    <row r="179" spans="1:33">
      <c r="A179" s="713"/>
      <c r="B179" s="337" t="s">
        <v>1382</v>
      </c>
      <c r="C179" s="337">
        <v>120</v>
      </c>
      <c r="D179" s="337">
        <v>4</v>
      </c>
      <c r="E179" s="346">
        <v>0</v>
      </c>
      <c r="G179" s="355" t="s">
        <v>904</v>
      </c>
      <c r="H179" s="337">
        <v>10</v>
      </c>
      <c r="I179" s="329">
        <f t="shared" si="120"/>
        <v>130</v>
      </c>
      <c r="L179" s="697">
        <v>9645</v>
      </c>
      <c r="N179" s="332">
        <f t="shared" si="121"/>
        <v>9645</v>
      </c>
      <c r="O179" s="332">
        <f t="shared" si="122"/>
        <v>80.375</v>
      </c>
      <c r="P179" s="332">
        <f t="shared" si="132"/>
        <v>723.375</v>
      </c>
      <c r="Q179" s="329">
        <f t="shared" si="123"/>
        <v>0</v>
      </c>
      <c r="R179" s="332">
        <f t="shared" si="124"/>
        <v>723.375</v>
      </c>
      <c r="S179" s="344">
        <v>1</v>
      </c>
      <c r="T179" s="332">
        <f t="shared" si="125"/>
        <v>723.375</v>
      </c>
      <c r="V179" s="332">
        <f t="shared" si="126"/>
        <v>0</v>
      </c>
      <c r="W179" s="332">
        <f t="shared" si="127"/>
        <v>0</v>
      </c>
      <c r="X179" s="344">
        <v>1</v>
      </c>
      <c r="Y179" s="332">
        <f t="shared" si="128"/>
        <v>0</v>
      </c>
      <c r="Z179" s="332">
        <f t="shared" si="129"/>
        <v>723.375</v>
      </c>
      <c r="AA179" s="332">
        <f t="shared" si="130"/>
        <v>4460.8125</v>
      </c>
      <c r="AB179" s="332">
        <f t="shared" si="131"/>
        <v>8921.625</v>
      </c>
      <c r="AC179" s="343">
        <f t="shared" si="115"/>
        <v>120.25</v>
      </c>
      <c r="AD179" s="329">
        <f t="shared" si="116"/>
        <v>121</v>
      </c>
      <c r="AE179" s="343">
        <f t="shared" si="117"/>
        <v>130.25</v>
      </c>
      <c r="AF179" s="329">
        <f t="shared" si="118"/>
        <v>120</v>
      </c>
      <c r="AG179" s="342">
        <f t="shared" si="119"/>
        <v>-8.3333333333333329E-2</v>
      </c>
    </row>
    <row r="180" spans="1:33">
      <c r="A180" s="713"/>
      <c r="B180" s="337" t="s">
        <v>1000</v>
      </c>
      <c r="C180" s="337">
        <v>120</v>
      </c>
      <c r="D180" s="337">
        <v>4</v>
      </c>
      <c r="E180" s="346">
        <v>0</v>
      </c>
      <c r="G180" s="355" t="s">
        <v>904</v>
      </c>
      <c r="H180" s="337">
        <v>10</v>
      </c>
      <c r="I180" s="329">
        <f t="shared" si="120"/>
        <v>130</v>
      </c>
      <c r="L180" s="697">
        <v>2735</v>
      </c>
      <c r="N180" s="332">
        <f t="shared" si="121"/>
        <v>2735</v>
      </c>
      <c r="O180" s="332">
        <f t="shared" si="122"/>
        <v>22.791666666666668</v>
      </c>
      <c r="P180" s="332">
        <f t="shared" si="132"/>
        <v>205.125</v>
      </c>
      <c r="Q180" s="329">
        <f t="shared" si="123"/>
        <v>0</v>
      </c>
      <c r="R180" s="332">
        <f t="shared" si="124"/>
        <v>205.125</v>
      </c>
      <c r="S180" s="344">
        <v>1</v>
      </c>
      <c r="T180" s="332">
        <f t="shared" si="125"/>
        <v>205.125</v>
      </c>
      <c r="V180" s="332">
        <f t="shared" si="126"/>
        <v>0</v>
      </c>
      <c r="W180" s="332">
        <f t="shared" si="127"/>
        <v>0</v>
      </c>
      <c r="X180" s="344">
        <v>1</v>
      </c>
      <c r="Y180" s="332">
        <f t="shared" si="128"/>
        <v>0</v>
      </c>
      <c r="Z180" s="332">
        <f t="shared" si="129"/>
        <v>205.125</v>
      </c>
      <c r="AA180" s="332">
        <f t="shared" si="130"/>
        <v>1264.9375</v>
      </c>
      <c r="AB180" s="332">
        <f t="shared" si="131"/>
        <v>2529.875</v>
      </c>
      <c r="AC180" s="343">
        <f t="shared" si="115"/>
        <v>120.25</v>
      </c>
      <c r="AD180" s="329">
        <f t="shared" si="116"/>
        <v>121</v>
      </c>
      <c r="AE180" s="343">
        <f t="shared" si="117"/>
        <v>130.25</v>
      </c>
      <c r="AF180" s="329">
        <f t="shared" si="118"/>
        <v>120</v>
      </c>
      <c r="AG180" s="342">
        <f t="shared" si="119"/>
        <v>-8.3333333333333329E-2</v>
      </c>
    </row>
    <row r="181" spans="1:33">
      <c r="A181" s="713"/>
      <c r="B181" s="337" t="s">
        <v>1349</v>
      </c>
      <c r="C181" s="337">
        <v>120</v>
      </c>
      <c r="D181" s="337">
        <v>6</v>
      </c>
      <c r="E181" s="346">
        <v>0</v>
      </c>
      <c r="G181" s="355" t="s">
        <v>904</v>
      </c>
      <c r="H181" s="337">
        <v>10</v>
      </c>
      <c r="I181" s="329">
        <f t="shared" si="103"/>
        <v>130</v>
      </c>
      <c r="L181" s="697">
        <v>9348</v>
      </c>
      <c r="N181" s="332">
        <f t="shared" si="104"/>
        <v>9348</v>
      </c>
      <c r="O181" s="332">
        <f t="shared" si="105"/>
        <v>77.899999999999991</v>
      </c>
      <c r="P181" s="332">
        <f t="shared" si="106"/>
        <v>545.29999999999552</v>
      </c>
      <c r="Q181" s="329">
        <f t="shared" si="107"/>
        <v>0</v>
      </c>
      <c r="R181" s="332">
        <f t="shared" si="108"/>
        <v>545.29999999999552</v>
      </c>
      <c r="S181" s="344">
        <v>1</v>
      </c>
      <c r="T181" s="332">
        <f t="shared" si="109"/>
        <v>545.29999999999552</v>
      </c>
      <c r="V181" s="332">
        <f t="shared" si="110"/>
        <v>0</v>
      </c>
      <c r="W181" s="332">
        <f t="shared" si="111"/>
        <v>0</v>
      </c>
      <c r="X181" s="344">
        <v>1</v>
      </c>
      <c r="Y181" s="332">
        <f t="shared" si="112"/>
        <v>0</v>
      </c>
      <c r="Z181" s="332">
        <f t="shared" si="113"/>
        <v>545.29999999999552</v>
      </c>
      <c r="AA181" s="332">
        <f t="shared" si="114"/>
        <v>4401.3500000000022</v>
      </c>
      <c r="AB181" s="332">
        <f t="shared" si="102"/>
        <v>8802.7000000000044</v>
      </c>
      <c r="AC181" s="343">
        <f t="shared" si="115"/>
        <v>120.41666666666667</v>
      </c>
      <c r="AD181" s="329">
        <f t="shared" si="116"/>
        <v>121</v>
      </c>
      <c r="AE181" s="343">
        <f t="shared" si="117"/>
        <v>130.41666666666666</v>
      </c>
      <c r="AF181" s="329">
        <f t="shared" si="118"/>
        <v>120</v>
      </c>
      <c r="AG181" s="342">
        <f t="shared" si="119"/>
        <v>-8.3333333333333329E-2</v>
      </c>
    </row>
    <row r="182" spans="1:33">
      <c r="I182" s="334"/>
      <c r="L182" s="332"/>
      <c r="N182" s="332"/>
      <c r="R182" s="332"/>
      <c r="Y182" s="332"/>
      <c r="Z182" s="332"/>
    </row>
    <row r="183" spans="1:33" ht="16.5" thickBot="1">
      <c r="B183" s="337" t="s">
        <v>987</v>
      </c>
      <c r="I183" s="334"/>
      <c r="L183" s="332">
        <f>SUM(L62:L182)</f>
        <v>410326</v>
      </c>
      <c r="N183" s="332">
        <f>SUM(N62:N182)</f>
        <v>410326</v>
      </c>
      <c r="R183" s="332"/>
      <c r="T183" s="339">
        <f>SUM(T62:T181)</f>
        <v>12616.599999999995</v>
      </c>
      <c r="V183" s="332">
        <f>SUM(V62:V182)</f>
        <v>308866.10000000003</v>
      </c>
      <c r="W183" s="332">
        <f>SUM(W62:W182)</f>
        <v>308866.10000000003</v>
      </c>
      <c r="Y183" s="332">
        <f>SUM(Y62:Y182)</f>
        <v>308866.10000000003</v>
      </c>
      <c r="Z183" s="332">
        <f>SUM(Z62:Z182)</f>
        <v>321482.69999999995</v>
      </c>
      <c r="AA183" s="339">
        <f>SUM(AA62:AA181)</f>
        <v>84287.6</v>
      </c>
      <c r="AB183" s="339">
        <f>SUM(AB62:AB181)</f>
        <v>88843.299999999988</v>
      </c>
    </row>
    <row r="184" spans="1:33" ht="16.5" thickTop="1">
      <c r="I184" s="334" t="s">
        <v>902</v>
      </c>
      <c r="L184" s="338">
        <f>SUM(L62:L178)</f>
        <v>388598</v>
      </c>
      <c r="N184" s="332"/>
      <c r="R184" s="332"/>
      <c r="T184" s="333"/>
      <c r="Y184" s="332"/>
      <c r="Z184" s="332"/>
      <c r="AA184" s="333"/>
      <c r="AB184" s="333"/>
    </row>
    <row r="185" spans="1:33">
      <c r="B185" s="337" t="s">
        <v>986</v>
      </c>
      <c r="I185" s="334"/>
      <c r="L185" s="332"/>
      <c r="N185" s="332"/>
      <c r="R185" s="332"/>
      <c r="T185" s="333"/>
      <c r="Y185" s="332"/>
      <c r="Z185" s="332"/>
      <c r="AA185" s="333"/>
      <c r="AB185" s="333"/>
    </row>
    <row r="186" spans="1:33">
      <c r="B186" s="337" t="s">
        <v>985</v>
      </c>
      <c r="C186" s="337">
        <v>105</v>
      </c>
      <c r="D186" s="337">
        <v>8</v>
      </c>
      <c r="E186" s="346">
        <v>0</v>
      </c>
      <c r="G186" s="337" t="s">
        <v>904</v>
      </c>
      <c r="H186" s="337">
        <v>10</v>
      </c>
      <c r="I186" s="329">
        <f t="shared" ref="I186:I206" si="133">C186+H186</f>
        <v>115</v>
      </c>
      <c r="L186" s="335">
        <v>5406</v>
      </c>
      <c r="N186" s="332">
        <f t="shared" ref="N186:N206" si="134">L186-L186*E186</f>
        <v>5406</v>
      </c>
      <c r="O186" s="332">
        <f t="shared" ref="O186:O206" si="135">N186/H186/12</f>
        <v>45.050000000000004</v>
      </c>
      <c r="P186" s="332">
        <f t="shared" ref="P186:P206" si="136">IF(M186&gt;0,0,IF(OR(AC186&gt;AD186,AE186&lt;AF186),0,IF(AND(AE186&gt;=AF186,AE186&lt;=AD186),O186*((AE186-AF186)*12),IF(AND(AF186&lt;=AC186,AD186&gt;=AC186),((AD186-AC186)*12)*O186,IF(AE186&gt;AD186,12*O186,0)))))</f>
        <v>0</v>
      </c>
      <c r="Q186" s="329">
        <f t="shared" ref="Q186:Q206" si="137">IF(M186=0,0,IF(AND(AG186&gt;=AF186,AG186&lt;=AE186),((AG186-AF186)*12)*O186,0))</f>
        <v>0</v>
      </c>
      <c r="R186" s="332">
        <f t="shared" ref="R186:R206" si="138">IF(Q186&gt;0,Q186,P186)</f>
        <v>0</v>
      </c>
      <c r="S186" s="344">
        <v>1</v>
      </c>
      <c r="T186" s="332">
        <f t="shared" ref="T186:T206" si="139">S186*SUM(P186:Q186)</f>
        <v>0</v>
      </c>
      <c r="V186" s="332">
        <f t="shared" ref="V186:V206" si="140">IF(AC186&gt;AD186,0,IF(AE186&lt;AF186,N186,IF(AND(AE186&gt;=AF186,AE186&lt;=AD186),(N186-R186),IF(AND(AF186&lt;=AC186,AD186&gt;=AC186),0,IF(AE186&gt;AD186,((AF186-AC186)*12)*O186,0)))))</f>
        <v>5406</v>
      </c>
      <c r="W186" s="332">
        <f t="shared" ref="W186:W206" si="141">V186*S186</f>
        <v>5406</v>
      </c>
      <c r="X186" s="344">
        <v>1</v>
      </c>
      <c r="Y186" s="332">
        <f t="shared" ref="Y186:Y206" si="142">W186*X186</f>
        <v>5406</v>
      </c>
      <c r="Z186" s="332">
        <f t="shared" ref="Z186:Z206" si="143">IF(M186&gt;0,0,Y186+T186*X186)*X186</f>
        <v>5406</v>
      </c>
      <c r="AA186" s="332">
        <f t="shared" ref="AA186:AA206" si="144">IF(M186&gt;0,(L186-Y186)/2,IF(AC186&gt;=AF186,(((L186*S186)*X186)-Z186)/2,((((L186*S186)*X186)-Y186)+(((L186*S186)*X186)-Z186))/2))</f>
        <v>0</v>
      </c>
      <c r="AB186" s="332">
        <f>L186-Z186</f>
        <v>0</v>
      </c>
      <c r="AC186" s="343">
        <f t="shared" ref="AC186:AC206" si="145">$C186+(($D186-1)/12)</f>
        <v>105.58333333333333</v>
      </c>
      <c r="AD186" s="329">
        <f t="shared" ref="AD186:AD206" si="146">($N$5+1)-($N$2/12)</f>
        <v>121</v>
      </c>
      <c r="AE186" s="343">
        <f t="shared" ref="AE186:AE206" si="147">$I186+(($D186-1)/12)</f>
        <v>115.58333333333333</v>
      </c>
      <c r="AF186" s="329">
        <f t="shared" ref="AF186:AF206" si="148">$N$4+($N$3/12)</f>
        <v>120</v>
      </c>
      <c r="AG186" s="342">
        <f t="shared" ref="AG186:AG206" si="149">$J186+(($K186-1)/12)</f>
        <v>-8.3333333333333329E-2</v>
      </c>
    </row>
    <row r="187" spans="1:33">
      <c r="B187" s="337" t="s">
        <v>976</v>
      </c>
      <c r="C187" s="337">
        <v>105</v>
      </c>
      <c r="D187" s="337">
        <v>8</v>
      </c>
      <c r="E187" s="346">
        <v>0</v>
      </c>
      <c r="G187" s="337" t="s">
        <v>904</v>
      </c>
      <c r="H187" s="337">
        <v>10</v>
      </c>
      <c r="I187" s="329">
        <f t="shared" si="133"/>
        <v>115</v>
      </c>
      <c r="L187" s="335">
        <v>5894</v>
      </c>
      <c r="N187" s="332">
        <f t="shared" si="134"/>
        <v>5894</v>
      </c>
      <c r="O187" s="332">
        <f t="shared" si="135"/>
        <v>49.116666666666667</v>
      </c>
      <c r="P187" s="332">
        <f t="shared" si="136"/>
        <v>0</v>
      </c>
      <c r="Q187" s="329">
        <f t="shared" si="137"/>
        <v>0</v>
      </c>
      <c r="R187" s="332">
        <f t="shared" si="138"/>
        <v>0</v>
      </c>
      <c r="S187" s="344">
        <v>1</v>
      </c>
      <c r="T187" s="332">
        <f t="shared" si="139"/>
        <v>0</v>
      </c>
      <c r="V187" s="332">
        <f t="shared" si="140"/>
        <v>5894</v>
      </c>
      <c r="W187" s="332">
        <f t="shared" si="141"/>
        <v>5894</v>
      </c>
      <c r="X187" s="344">
        <v>1</v>
      </c>
      <c r="Y187" s="332">
        <f t="shared" si="142"/>
        <v>5894</v>
      </c>
      <c r="Z187" s="332">
        <f t="shared" si="143"/>
        <v>5894</v>
      </c>
      <c r="AA187" s="332">
        <f t="shared" si="144"/>
        <v>0</v>
      </c>
      <c r="AB187" s="332">
        <f t="shared" ref="AB187:AB206" si="150">L187-Z187</f>
        <v>0</v>
      </c>
      <c r="AC187" s="343">
        <f t="shared" si="145"/>
        <v>105.58333333333333</v>
      </c>
      <c r="AD187" s="329">
        <f t="shared" si="146"/>
        <v>121</v>
      </c>
      <c r="AE187" s="343">
        <f t="shared" si="147"/>
        <v>115.58333333333333</v>
      </c>
      <c r="AF187" s="329">
        <f t="shared" si="148"/>
        <v>120</v>
      </c>
      <c r="AG187" s="342">
        <f t="shared" si="149"/>
        <v>-8.3333333333333329E-2</v>
      </c>
    </row>
    <row r="188" spans="1:33">
      <c r="B188" s="337" t="s">
        <v>984</v>
      </c>
      <c r="C188" s="337">
        <v>108</v>
      </c>
      <c r="D188" s="337">
        <v>12</v>
      </c>
      <c r="E188" s="346">
        <v>0</v>
      </c>
      <c r="G188" s="337" t="s">
        <v>904</v>
      </c>
      <c r="H188" s="337">
        <v>10</v>
      </c>
      <c r="I188" s="329">
        <f t="shared" si="133"/>
        <v>118</v>
      </c>
      <c r="L188" s="335">
        <v>23738</v>
      </c>
      <c r="N188" s="332">
        <f t="shared" si="134"/>
        <v>23738</v>
      </c>
      <c r="O188" s="332">
        <f t="shared" si="135"/>
        <v>197.81666666666669</v>
      </c>
      <c r="P188" s="419">
        <v>0</v>
      </c>
      <c r="Q188" s="329">
        <f t="shared" si="137"/>
        <v>0</v>
      </c>
      <c r="R188" s="332">
        <f t="shared" si="138"/>
        <v>0</v>
      </c>
      <c r="S188" s="344">
        <v>1</v>
      </c>
      <c r="T188" s="332">
        <f t="shared" si="139"/>
        <v>0</v>
      </c>
      <c r="V188" s="332">
        <f t="shared" si="140"/>
        <v>23738</v>
      </c>
      <c r="W188" s="332">
        <f t="shared" si="141"/>
        <v>23738</v>
      </c>
      <c r="X188" s="344">
        <v>1</v>
      </c>
      <c r="Y188" s="332">
        <f t="shared" si="142"/>
        <v>23738</v>
      </c>
      <c r="Z188" s="332">
        <f t="shared" si="143"/>
        <v>23738</v>
      </c>
      <c r="AA188" s="332">
        <f t="shared" si="144"/>
        <v>0</v>
      </c>
      <c r="AB188" s="332">
        <f t="shared" si="150"/>
        <v>0</v>
      </c>
      <c r="AC188" s="343">
        <f t="shared" si="145"/>
        <v>108.91666666666667</v>
      </c>
      <c r="AD188" s="329">
        <f t="shared" si="146"/>
        <v>121</v>
      </c>
      <c r="AE188" s="343">
        <f t="shared" si="147"/>
        <v>118.91666666666667</v>
      </c>
      <c r="AF188" s="329">
        <f t="shared" si="148"/>
        <v>120</v>
      </c>
      <c r="AG188" s="342">
        <f t="shared" si="149"/>
        <v>-8.3333333333333329E-2</v>
      </c>
    </row>
    <row r="189" spans="1:33">
      <c r="B189" s="337" t="s">
        <v>983</v>
      </c>
      <c r="C189" s="337">
        <v>108</v>
      </c>
      <c r="D189" s="337">
        <v>12</v>
      </c>
      <c r="E189" s="346">
        <v>0</v>
      </c>
      <c r="G189" s="337" t="s">
        <v>904</v>
      </c>
      <c r="H189" s="337">
        <v>10</v>
      </c>
      <c r="I189" s="329">
        <f t="shared" si="133"/>
        <v>118</v>
      </c>
      <c r="L189" s="335">
        <v>54140</v>
      </c>
      <c r="N189" s="332">
        <f t="shared" si="134"/>
        <v>54140</v>
      </c>
      <c r="O189" s="332">
        <f t="shared" si="135"/>
        <v>451.16666666666669</v>
      </c>
      <c r="P189" s="419">
        <v>0</v>
      </c>
      <c r="Q189" s="329">
        <f t="shared" si="137"/>
        <v>0</v>
      </c>
      <c r="R189" s="332">
        <f t="shared" si="138"/>
        <v>0</v>
      </c>
      <c r="S189" s="344">
        <v>1</v>
      </c>
      <c r="T189" s="332">
        <f t="shared" si="139"/>
        <v>0</v>
      </c>
      <c r="V189" s="332">
        <f t="shared" si="140"/>
        <v>54140</v>
      </c>
      <c r="W189" s="332">
        <f t="shared" si="141"/>
        <v>54140</v>
      </c>
      <c r="X189" s="344">
        <v>1</v>
      </c>
      <c r="Y189" s="332">
        <f t="shared" si="142"/>
        <v>54140</v>
      </c>
      <c r="Z189" s="332">
        <f t="shared" si="143"/>
        <v>54140</v>
      </c>
      <c r="AA189" s="332">
        <f t="shared" si="144"/>
        <v>0</v>
      </c>
      <c r="AB189" s="332">
        <f t="shared" si="150"/>
        <v>0</v>
      </c>
      <c r="AC189" s="343">
        <f t="shared" si="145"/>
        <v>108.91666666666667</v>
      </c>
      <c r="AD189" s="329">
        <f t="shared" si="146"/>
        <v>121</v>
      </c>
      <c r="AE189" s="343">
        <f t="shared" si="147"/>
        <v>118.91666666666667</v>
      </c>
      <c r="AF189" s="329">
        <f t="shared" si="148"/>
        <v>120</v>
      </c>
      <c r="AG189" s="342">
        <f t="shared" si="149"/>
        <v>-8.3333333333333329E-2</v>
      </c>
    </row>
    <row r="190" spans="1:33">
      <c r="B190" s="337" t="s">
        <v>982</v>
      </c>
      <c r="C190" s="337">
        <v>111</v>
      </c>
      <c r="D190" s="337">
        <v>4</v>
      </c>
      <c r="E190" s="346">
        <v>0</v>
      </c>
      <c r="G190" s="337" t="s">
        <v>904</v>
      </c>
      <c r="H190" s="337">
        <v>10</v>
      </c>
      <c r="I190" s="329">
        <f t="shared" si="133"/>
        <v>121</v>
      </c>
      <c r="L190" s="335">
        <v>6216</v>
      </c>
      <c r="N190" s="332">
        <f t="shared" si="134"/>
        <v>6216</v>
      </c>
      <c r="O190" s="332">
        <f t="shared" si="135"/>
        <v>51.800000000000004</v>
      </c>
      <c r="P190" s="332">
        <f t="shared" si="136"/>
        <v>621.6</v>
      </c>
      <c r="Q190" s="329">
        <f t="shared" si="137"/>
        <v>0</v>
      </c>
      <c r="R190" s="332">
        <f t="shared" si="138"/>
        <v>621.6</v>
      </c>
      <c r="S190" s="344">
        <v>1</v>
      </c>
      <c r="T190" s="332">
        <f t="shared" si="139"/>
        <v>621.6</v>
      </c>
      <c r="V190" s="332">
        <f t="shared" si="140"/>
        <v>5439</v>
      </c>
      <c r="W190" s="332">
        <f t="shared" si="141"/>
        <v>5439</v>
      </c>
      <c r="X190" s="344">
        <v>1</v>
      </c>
      <c r="Y190" s="332">
        <f t="shared" si="142"/>
        <v>5439</v>
      </c>
      <c r="Z190" s="332">
        <f t="shared" si="143"/>
        <v>6060.6</v>
      </c>
      <c r="AA190" s="332">
        <f t="shared" si="144"/>
        <v>466.19999999999982</v>
      </c>
      <c r="AB190" s="332">
        <f t="shared" si="150"/>
        <v>155.39999999999964</v>
      </c>
      <c r="AC190" s="343">
        <f t="shared" si="145"/>
        <v>111.25</v>
      </c>
      <c r="AD190" s="329">
        <f t="shared" si="146"/>
        <v>121</v>
      </c>
      <c r="AE190" s="343">
        <f t="shared" si="147"/>
        <v>121.25</v>
      </c>
      <c r="AF190" s="329">
        <f t="shared" si="148"/>
        <v>120</v>
      </c>
      <c r="AG190" s="342">
        <f t="shared" si="149"/>
        <v>-8.3333333333333329E-2</v>
      </c>
    </row>
    <row r="191" spans="1:33">
      <c r="A191" s="418"/>
      <c r="B191" s="337" t="s">
        <v>982</v>
      </c>
      <c r="C191" s="337">
        <v>112</v>
      </c>
      <c r="D191" s="337">
        <v>5</v>
      </c>
      <c r="E191" s="346">
        <v>0</v>
      </c>
      <c r="G191" s="337" t="s">
        <v>904</v>
      </c>
      <c r="H191" s="337">
        <v>10</v>
      </c>
      <c r="I191" s="329">
        <f t="shared" si="133"/>
        <v>122</v>
      </c>
      <c r="L191" s="451">
        <v>6502</v>
      </c>
      <c r="N191" s="332">
        <f t="shared" si="134"/>
        <v>6502</v>
      </c>
      <c r="O191" s="332">
        <f t="shared" si="135"/>
        <v>54.183333333333337</v>
      </c>
      <c r="P191" s="332">
        <f t="shared" si="136"/>
        <v>650.20000000000005</v>
      </c>
      <c r="Q191" s="329">
        <f t="shared" si="137"/>
        <v>0</v>
      </c>
      <c r="R191" s="332">
        <f t="shared" si="138"/>
        <v>650.20000000000005</v>
      </c>
      <c r="S191" s="344">
        <v>1</v>
      </c>
      <c r="T191" s="332">
        <f t="shared" si="139"/>
        <v>650.20000000000005</v>
      </c>
      <c r="V191" s="332">
        <f t="shared" si="140"/>
        <v>4984.8666666666704</v>
      </c>
      <c r="W191" s="332">
        <f t="shared" si="141"/>
        <v>4984.8666666666704</v>
      </c>
      <c r="X191" s="344">
        <v>1</v>
      </c>
      <c r="Y191" s="332">
        <f t="shared" si="142"/>
        <v>4984.8666666666704</v>
      </c>
      <c r="Z191" s="332">
        <f t="shared" si="143"/>
        <v>5635.0666666666702</v>
      </c>
      <c r="AA191" s="332">
        <f t="shared" si="144"/>
        <v>1192.0333333333297</v>
      </c>
      <c r="AB191" s="332">
        <f t="shared" si="150"/>
        <v>866.93333333332976</v>
      </c>
      <c r="AC191" s="343">
        <f t="shared" si="145"/>
        <v>112.33333333333333</v>
      </c>
      <c r="AD191" s="329">
        <f t="shared" si="146"/>
        <v>121</v>
      </c>
      <c r="AE191" s="343">
        <f t="shared" si="147"/>
        <v>122.33333333333333</v>
      </c>
      <c r="AF191" s="329">
        <f t="shared" si="148"/>
        <v>120</v>
      </c>
      <c r="AG191" s="342">
        <f t="shared" si="149"/>
        <v>-8.3333333333333329E-2</v>
      </c>
    </row>
    <row r="192" spans="1:33">
      <c r="A192" s="418"/>
      <c r="B192" s="337" t="s">
        <v>982</v>
      </c>
      <c r="C192" s="337">
        <v>113</v>
      </c>
      <c r="D192" s="337">
        <v>6</v>
      </c>
      <c r="E192" s="346">
        <v>0</v>
      </c>
      <c r="G192" s="337" t="s">
        <v>904</v>
      </c>
      <c r="H192" s="337">
        <v>10</v>
      </c>
      <c r="I192" s="329">
        <f t="shared" si="133"/>
        <v>123</v>
      </c>
      <c r="L192" s="451">
        <v>7143</v>
      </c>
      <c r="N192" s="332">
        <f t="shared" si="134"/>
        <v>7143</v>
      </c>
      <c r="O192" s="332">
        <f t="shared" si="135"/>
        <v>59.524999999999999</v>
      </c>
      <c r="P192" s="332">
        <f t="shared" si="136"/>
        <v>714.3</v>
      </c>
      <c r="Q192" s="329">
        <f t="shared" si="137"/>
        <v>0</v>
      </c>
      <c r="R192" s="332">
        <f t="shared" si="138"/>
        <v>714.3</v>
      </c>
      <c r="S192" s="344">
        <v>1</v>
      </c>
      <c r="T192" s="332">
        <f t="shared" si="139"/>
        <v>714.3</v>
      </c>
      <c r="V192" s="332">
        <f t="shared" si="140"/>
        <v>4702.4749999999967</v>
      </c>
      <c r="W192" s="332">
        <f t="shared" si="141"/>
        <v>4702.4749999999967</v>
      </c>
      <c r="X192" s="344">
        <v>1</v>
      </c>
      <c r="Y192" s="332">
        <f t="shared" si="142"/>
        <v>4702.4749999999967</v>
      </c>
      <c r="Z192" s="332">
        <f t="shared" si="143"/>
        <v>5416.7749999999969</v>
      </c>
      <c r="AA192" s="332">
        <f t="shared" si="144"/>
        <v>2083.3750000000032</v>
      </c>
      <c r="AB192" s="332">
        <f t="shared" si="150"/>
        <v>1726.2250000000031</v>
      </c>
      <c r="AC192" s="343">
        <f t="shared" si="145"/>
        <v>113.41666666666667</v>
      </c>
      <c r="AD192" s="329">
        <f t="shared" si="146"/>
        <v>121</v>
      </c>
      <c r="AE192" s="343">
        <f t="shared" si="147"/>
        <v>123.41666666666667</v>
      </c>
      <c r="AF192" s="329">
        <f t="shared" si="148"/>
        <v>120</v>
      </c>
      <c r="AG192" s="342">
        <f t="shared" si="149"/>
        <v>-8.3333333333333329E-2</v>
      </c>
    </row>
    <row r="193" spans="1:39">
      <c r="A193" s="418"/>
      <c r="B193" s="337" t="s">
        <v>981</v>
      </c>
      <c r="C193" s="337">
        <v>114</v>
      </c>
      <c r="D193" s="337">
        <v>3</v>
      </c>
      <c r="E193" s="346">
        <v>0</v>
      </c>
      <c r="G193" s="337" t="s">
        <v>904</v>
      </c>
      <c r="H193" s="337">
        <v>10</v>
      </c>
      <c r="I193" s="329">
        <f t="shared" si="133"/>
        <v>124</v>
      </c>
      <c r="L193" s="451">
        <v>20720</v>
      </c>
      <c r="N193" s="332">
        <f t="shared" si="134"/>
        <v>20720</v>
      </c>
      <c r="O193" s="332">
        <f t="shared" si="135"/>
        <v>172.66666666666666</v>
      </c>
      <c r="P193" s="332">
        <f t="shared" si="136"/>
        <v>2072</v>
      </c>
      <c r="Q193" s="329">
        <f t="shared" si="137"/>
        <v>0</v>
      </c>
      <c r="R193" s="332">
        <f t="shared" si="138"/>
        <v>2072</v>
      </c>
      <c r="S193" s="344">
        <v>1</v>
      </c>
      <c r="T193" s="332">
        <f t="shared" si="139"/>
        <v>2072</v>
      </c>
      <c r="V193" s="332">
        <f t="shared" si="140"/>
        <v>12086.666666666657</v>
      </c>
      <c r="W193" s="332">
        <f t="shared" si="141"/>
        <v>12086.666666666657</v>
      </c>
      <c r="X193" s="344">
        <v>1</v>
      </c>
      <c r="Y193" s="332">
        <f t="shared" si="142"/>
        <v>12086.666666666657</v>
      </c>
      <c r="Z193" s="332">
        <f t="shared" si="143"/>
        <v>14158.666666666657</v>
      </c>
      <c r="AA193" s="332">
        <f t="shared" si="144"/>
        <v>7597.333333333343</v>
      </c>
      <c r="AB193" s="332">
        <f t="shared" si="150"/>
        <v>6561.333333333343</v>
      </c>
      <c r="AC193" s="343">
        <f t="shared" si="145"/>
        <v>114.16666666666667</v>
      </c>
      <c r="AD193" s="329">
        <f t="shared" si="146"/>
        <v>121</v>
      </c>
      <c r="AE193" s="343">
        <f t="shared" si="147"/>
        <v>124.16666666666667</v>
      </c>
      <c r="AF193" s="329">
        <f t="shared" si="148"/>
        <v>120</v>
      </c>
      <c r="AG193" s="342">
        <f t="shared" si="149"/>
        <v>-8.3333333333333329E-2</v>
      </c>
    </row>
    <row r="194" spans="1:39">
      <c r="A194" s="418"/>
      <c r="B194" s="337" t="s">
        <v>980</v>
      </c>
      <c r="C194" s="337">
        <v>114</v>
      </c>
      <c r="D194" s="337">
        <v>6</v>
      </c>
      <c r="E194" s="346">
        <v>0</v>
      </c>
      <c r="G194" s="337" t="s">
        <v>904</v>
      </c>
      <c r="H194" s="337">
        <v>10</v>
      </c>
      <c r="I194" s="329">
        <f t="shared" si="133"/>
        <v>124</v>
      </c>
      <c r="L194" s="451">
        <v>31956</v>
      </c>
      <c r="N194" s="332">
        <f t="shared" si="134"/>
        <v>31956</v>
      </c>
      <c r="O194" s="332">
        <f t="shared" si="135"/>
        <v>266.3</v>
      </c>
      <c r="P194" s="332">
        <f t="shared" si="136"/>
        <v>3195.6000000000004</v>
      </c>
      <c r="Q194" s="329">
        <f t="shared" si="137"/>
        <v>0</v>
      </c>
      <c r="R194" s="332">
        <f t="shared" si="138"/>
        <v>3195.6000000000004</v>
      </c>
      <c r="S194" s="344">
        <v>1</v>
      </c>
      <c r="T194" s="332">
        <f t="shared" si="139"/>
        <v>3195.6000000000004</v>
      </c>
      <c r="V194" s="332">
        <f t="shared" si="140"/>
        <v>17842.099999999984</v>
      </c>
      <c r="W194" s="332">
        <f t="shared" si="141"/>
        <v>17842.099999999984</v>
      </c>
      <c r="X194" s="344">
        <v>1</v>
      </c>
      <c r="Y194" s="332">
        <f t="shared" si="142"/>
        <v>17842.099999999984</v>
      </c>
      <c r="Z194" s="332">
        <f t="shared" si="143"/>
        <v>21037.699999999983</v>
      </c>
      <c r="AA194" s="332">
        <f t="shared" si="144"/>
        <v>12516.100000000017</v>
      </c>
      <c r="AB194" s="332">
        <f t="shared" si="150"/>
        <v>10918.300000000017</v>
      </c>
      <c r="AC194" s="343">
        <f t="shared" si="145"/>
        <v>114.41666666666667</v>
      </c>
      <c r="AD194" s="329">
        <f t="shared" si="146"/>
        <v>121</v>
      </c>
      <c r="AE194" s="343">
        <f t="shared" si="147"/>
        <v>124.41666666666667</v>
      </c>
      <c r="AF194" s="329">
        <f t="shared" si="148"/>
        <v>120</v>
      </c>
      <c r="AG194" s="342">
        <f t="shared" si="149"/>
        <v>-8.3333333333333329E-2</v>
      </c>
    </row>
    <row r="195" spans="1:39">
      <c r="A195" s="418"/>
      <c r="B195" s="337" t="s">
        <v>979</v>
      </c>
      <c r="C195" s="337">
        <v>114</v>
      </c>
      <c r="D195" s="337">
        <v>6</v>
      </c>
      <c r="E195" s="346">
        <v>0</v>
      </c>
      <c r="G195" s="337" t="s">
        <v>904</v>
      </c>
      <c r="H195" s="337">
        <v>10</v>
      </c>
      <c r="I195" s="329">
        <f t="shared" si="133"/>
        <v>124</v>
      </c>
      <c r="L195" s="451">
        <v>7000</v>
      </c>
      <c r="N195" s="332">
        <f t="shared" si="134"/>
        <v>7000</v>
      </c>
      <c r="O195" s="332">
        <f t="shared" si="135"/>
        <v>58.333333333333336</v>
      </c>
      <c r="P195" s="332">
        <f t="shared" si="136"/>
        <v>700</v>
      </c>
      <c r="Q195" s="329">
        <f t="shared" si="137"/>
        <v>0</v>
      </c>
      <c r="R195" s="332">
        <f t="shared" si="138"/>
        <v>700</v>
      </c>
      <c r="S195" s="344">
        <v>1</v>
      </c>
      <c r="T195" s="332">
        <f t="shared" si="139"/>
        <v>700</v>
      </c>
      <c r="V195" s="332">
        <f t="shared" si="140"/>
        <v>3908.3333333333303</v>
      </c>
      <c r="W195" s="332">
        <f t="shared" si="141"/>
        <v>3908.3333333333303</v>
      </c>
      <c r="X195" s="344">
        <v>1</v>
      </c>
      <c r="Y195" s="332">
        <f t="shared" si="142"/>
        <v>3908.3333333333303</v>
      </c>
      <c r="Z195" s="332">
        <f t="shared" si="143"/>
        <v>4608.3333333333303</v>
      </c>
      <c r="AA195" s="332">
        <f t="shared" si="144"/>
        <v>2741.6666666666697</v>
      </c>
      <c r="AB195" s="332">
        <f t="shared" si="150"/>
        <v>2391.6666666666697</v>
      </c>
      <c r="AC195" s="343">
        <f t="shared" si="145"/>
        <v>114.41666666666667</v>
      </c>
      <c r="AD195" s="329">
        <f t="shared" si="146"/>
        <v>121</v>
      </c>
      <c r="AE195" s="343">
        <f t="shared" si="147"/>
        <v>124.41666666666667</v>
      </c>
      <c r="AF195" s="329">
        <f t="shared" si="148"/>
        <v>120</v>
      </c>
      <c r="AG195" s="342">
        <f t="shared" si="149"/>
        <v>-8.3333333333333329E-2</v>
      </c>
    </row>
    <row r="196" spans="1:39">
      <c r="A196" s="418"/>
      <c r="B196" s="337" t="s">
        <v>978</v>
      </c>
      <c r="C196" s="337">
        <v>114</v>
      </c>
      <c r="D196" s="337">
        <v>6</v>
      </c>
      <c r="E196" s="346">
        <v>0</v>
      </c>
      <c r="G196" s="337" t="s">
        <v>904</v>
      </c>
      <c r="H196" s="337">
        <v>10</v>
      </c>
      <c r="I196" s="329">
        <f t="shared" si="133"/>
        <v>124</v>
      </c>
      <c r="L196" s="451">
        <v>12211</v>
      </c>
      <c r="N196" s="332">
        <f t="shared" si="134"/>
        <v>12211</v>
      </c>
      <c r="O196" s="332">
        <f t="shared" si="135"/>
        <v>101.75833333333333</v>
      </c>
      <c r="P196" s="332">
        <f t="shared" si="136"/>
        <v>1221.0999999999999</v>
      </c>
      <c r="Q196" s="329">
        <f t="shared" si="137"/>
        <v>0</v>
      </c>
      <c r="R196" s="332">
        <f t="shared" si="138"/>
        <v>1221.0999999999999</v>
      </c>
      <c r="S196" s="344">
        <v>1</v>
      </c>
      <c r="T196" s="332">
        <f t="shared" si="139"/>
        <v>1221.0999999999999</v>
      </c>
      <c r="V196" s="332">
        <f t="shared" si="140"/>
        <v>6817.808333333327</v>
      </c>
      <c r="W196" s="332">
        <f t="shared" si="141"/>
        <v>6817.808333333327</v>
      </c>
      <c r="X196" s="344">
        <v>1</v>
      </c>
      <c r="Y196" s="332">
        <f t="shared" si="142"/>
        <v>6817.808333333327</v>
      </c>
      <c r="Z196" s="332">
        <f t="shared" si="143"/>
        <v>8038.9083333333274</v>
      </c>
      <c r="AA196" s="332">
        <f t="shared" si="144"/>
        <v>4782.6416666666728</v>
      </c>
      <c r="AB196" s="332">
        <f t="shared" si="150"/>
        <v>4172.0916666666726</v>
      </c>
      <c r="AC196" s="343">
        <f t="shared" si="145"/>
        <v>114.41666666666667</v>
      </c>
      <c r="AD196" s="329">
        <f t="shared" si="146"/>
        <v>121</v>
      </c>
      <c r="AE196" s="343">
        <f t="shared" si="147"/>
        <v>124.41666666666667</v>
      </c>
      <c r="AF196" s="329">
        <f t="shared" si="148"/>
        <v>120</v>
      </c>
      <c r="AG196" s="342">
        <f t="shared" si="149"/>
        <v>-8.3333333333333329E-2</v>
      </c>
    </row>
    <row r="197" spans="1:39">
      <c r="A197" s="418"/>
      <c r="B197" s="337" t="s">
        <v>977</v>
      </c>
      <c r="C197" s="337">
        <v>114</v>
      </c>
      <c r="D197" s="337">
        <v>11</v>
      </c>
      <c r="E197" s="346">
        <v>0</v>
      </c>
      <c r="G197" s="337" t="s">
        <v>904</v>
      </c>
      <c r="H197" s="337">
        <v>10</v>
      </c>
      <c r="I197" s="329">
        <f t="shared" si="133"/>
        <v>124</v>
      </c>
      <c r="L197" s="451">
        <v>8576</v>
      </c>
      <c r="N197" s="332">
        <f t="shared" si="134"/>
        <v>8576</v>
      </c>
      <c r="O197" s="332">
        <f t="shared" si="135"/>
        <v>71.466666666666669</v>
      </c>
      <c r="P197" s="332">
        <f t="shared" si="136"/>
        <v>857.6</v>
      </c>
      <c r="Q197" s="329">
        <f t="shared" si="137"/>
        <v>0</v>
      </c>
      <c r="R197" s="332">
        <f t="shared" si="138"/>
        <v>857.6</v>
      </c>
      <c r="S197" s="344">
        <v>1</v>
      </c>
      <c r="T197" s="332">
        <f t="shared" si="139"/>
        <v>857.6</v>
      </c>
      <c r="V197" s="332">
        <f t="shared" si="140"/>
        <v>4430.9333333333379</v>
      </c>
      <c r="W197" s="332">
        <f t="shared" si="141"/>
        <v>4430.9333333333379</v>
      </c>
      <c r="X197" s="344">
        <v>1</v>
      </c>
      <c r="Y197" s="332">
        <f t="shared" si="142"/>
        <v>4430.9333333333379</v>
      </c>
      <c r="Z197" s="332">
        <f t="shared" si="143"/>
        <v>5288.5333333333383</v>
      </c>
      <c r="AA197" s="332">
        <f t="shared" si="144"/>
        <v>3716.2666666666619</v>
      </c>
      <c r="AB197" s="332">
        <f t="shared" si="150"/>
        <v>3287.4666666666617</v>
      </c>
      <c r="AC197" s="343">
        <f t="shared" si="145"/>
        <v>114.83333333333333</v>
      </c>
      <c r="AD197" s="329">
        <f t="shared" si="146"/>
        <v>121</v>
      </c>
      <c r="AE197" s="343">
        <f t="shared" si="147"/>
        <v>124.83333333333333</v>
      </c>
      <c r="AF197" s="329">
        <f t="shared" si="148"/>
        <v>120</v>
      </c>
      <c r="AG197" s="342">
        <f t="shared" si="149"/>
        <v>-8.3333333333333329E-2</v>
      </c>
    </row>
    <row r="198" spans="1:39">
      <c r="A198" s="418"/>
      <c r="B198" s="337" t="s">
        <v>974</v>
      </c>
      <c r="C198" s="337">
        <v>115</v>
      </c>
      <c r="D198" s="337">
        <v>5</v>
      </c>
      <c r="E198" s="346">
        <v>0</v>
      </c>
      <c r="G198" s="337" t="s">
        <v>904</v>
      </c>
      <c r="H198" s="337">
        <v>10</v>
      </c>
      <c r="I198" s="329">
        <f t="shared" si="133"/>
        <v>125</v>
      </c>
      <c r="L198" s="451">
        <v>5557</v>
      </c>
      <c r="N198" s="332">
        <f t="shared" si="134"/>
        <v>5557</v>
      </c>
      <c r="O198" s="332">
        <f t="shared" si="135"/>
        <v>46.308333333333337</v>
      </c>
      <c r="P198" s="332">
        <f t="shared" si="136"/>
        <v>555.70000000000005</v>
      </c>
      <c r="Q198" s="329">
        <f t="shared" si="137"/>
        <v>0</v>
      </c>
      <c r="R198" s="332">
        <f t="shared" si="138"/>
        <v>555.70000000000005</v>
      </c>
      <c r="S198" s="344">
        <v>1</v>
      </c>
      <c r="T198" s="332">
        <f t="shared" si="139"/>
        <v>555.70000000000005</v>
      </c>
      <c r="V198" s="332">
        <f t="shared" si="140"/>
        <v>2593.2666666666696</v>
      </c>
      <c r="W198" s="332">
        <f t="shared" si="141"/>
        <v>2593.2666666666696</v>
      </c>
      <c r="X198" s="344">
        <v>1</v>
      </c>
      <c r="Y198" s="332">
        <f t="shared" si="142"/>
        <v>2593.2666666666696</v>
      </c>
      <c r="Z198" s="332">
        <f t="shared" si="143"/>
        <v>3148.9666666666699</v>
      </c>
      <c r="AA198" s="332">
        <f t="shared" si="144"/>
        <v>2685.8833333333305</v>
      </c>
      <c r="AB198" s="332">
        <f t="shared" si="150"/>
        <v>2408.0333333333301</v>
      </c>
      <c r="AC198" s="343">
        <f t="shared" si="145"/>
        <v>115.33333333333333</v>
      </c>
      <c r="AD198" s="329">
        <f t="shared" si="146"/>
        <v>121</v>
      </c>
      <c r="AE198" s="343">
        <f t="shared" si="147"/>
        <v>125.33333333333333</v>
      </c>
      <c r="AF198" s="329">
        <f t="shared" si="148"/>
        <v>120</v>
      </c>
      <c r="AG198" s="342">
        <f t="shared" si="149"/>
        <v>-8.3333333333333329E-2</v>
      </c>
    </row>
    <row r="199" spans="1:39" s="348" customFormat="1">
      <c r="A199" s="424"/>
      <c r="B199" s="353" t="s">
        <v>973</v>
      </c>
      <c r="C199" s="353">
        <v>115</v>
      </c>
      <c r="D199" s="353">
        <v>5</v>
      </c>
      <c r="E199" s="354">
        <v>0</v>
      </c>
      <c r="G199" s="353" t="s">
        <v>904</v>
      </c>
      <c r="H199" s="353">
        <v>10</v>
      </c>
      <c r="I199" s="348">
        <f t="shared" si="133"/>
        <v>125</v>
      </c>
      <c r="L199" s="452">
        <v>5927</v>
      </c>
      <c r="N199" s="351">
        <f t="shared" si="134"/>
        <v>5927</v>
      </c>
      <c r="O199" s="351">
        <f t="shared" si="135"/>
        <v>49.391666666666673</v>
      </c>
      <c r="P199" s="351">
        <f t="shared" si="136"/>
        <v>592.70000000000005</v>
      </c>
      <c r="Q199" s="348">
        <f t="shared" si="137"/>
        <v>0</v>
      </c>
      <c r="R199" s="351">
        <f t="shared" si="138"/>
        <v>592.70000000000005</v>
      </c>
      <c r="S199" s="352">
        <v>1</v>
      </c>
      <c r="T199" s="351">
        <f t="shared" si="139"/>
        <v>592.70000000000005</v>
      </c>
      <c r="V199" s="351">
        <f t="shared" si="140"/>
        <v>2765.9333333333366</v>
      </c>
      <c r="W199" s="351">
        <f t="shared" si="141"/>
        <v>2765.9333333333366</v>
      </c>
      <c r="X199" s="352">
        <v>1</v>
      </c>
      <c r="Y199" s="351">
        <f t="shared" si="142"/>
        <v>2765.9333333333366</v>
      </c>
      <c r="Z199" s="351">
        <f t="shared" si="143"/>
        <v>3358.6333333333369</v>
      </c>
      <c r="AA199" s="351">
        <f t="shared" si="144"/>
        <v>2864.7166666666635</v>
      </c>
      <c r="AB199" s="332">
        <f t="shared" si="150"/>
        <v>2568.3666666666631</v>
      </c>
      <c r="AC199" s="350">
        <f t="shared" si="145"/>
        <v>115.33333333333333</v>
      </c>
      <c r="AD199" s="348">
        <f t="shared" si="146"/>
        <v>121</v>
      </c>
      <c r="AE199" s="350">
        <f t="shared" si="147"/>
        <v>125.33333333333333</v>
      </c>
      <c r="AF199" s="348">
        <f t="shared" si="148"/>
        <v>120</v>
      </c>
      <c r="AG199" s="349">
        <f t="shared" si="149"/>
        <v>-8.3333333333333329E-2</v>
      </c>
    </row>
    <row r="200" spans="1:39" s="341" customFormat="1">
      <c r="A200" s="425"/>
      <c r="B200" s="337" t="s">
        <v>976</v>
      </c>
      <c r="C200" s="337">
        <v>115</v>
      </c>
      <c r="D200" s="337">
        <v>5</v>
      </c>
      <c r="E200" s="346">
        <v>0</v>
      </c>
      <c r="F200" s="329"/>
      <c r="G200" s="337" t="s">
        <v>904</v>
      </c>
      <c r="H200" s="337">
        <v>10</v>
      </c>
      <c r="I200" s="329">
        <f t="shared" si="133"/>
        <v>125</v>
      </c>
      <c r="J200" s="329"/>
      <c r="K200" s="329"/>
      <c r="L200" s="451">
        <v>6468</v>
      </c>
      <c r="M200" s="329"/>
      <c r="N200" s="332">
        <f t="shared" si="134"/>
        <v>6468</v>
      </c>
      <c r="O200" s="332">
        <f t="shared" si="135"/>
        <v>53.9</v>
      </c>
      <c r="P200" s="332">
        <f t="shared" si="136"/>
        <v>646.79999999999995</v>
      </c>
      <c r="Q200" s="329">
        <f t="shared" si="137"/>
        <v>0</v>
      </c>
      <c r="R200" s="332">
        <f t="shared" si="138"/>
        <v>646.79999999999995</v>
      </c>
      <c r="S200" s="344">
        <v>1</v>
      </c>
      <c r="T200" s="332">
        <f t="shared" si="139"/>
        <v>646.79999999999995</v>
      </c>
      <c r="U200" s="329"/>
      <c r="V200" s="332">
        <f t="shared" si="140"/>
        <v>3018.4000000000028</v>
      </c>
      <c r="W200" s="332">
        <f t="shared" si="141"/>
        <v>3018.4000000000028</v>
      </c>
      <c r="X200" s="344">
        <v>1</v>
      </c>
      <c r="Y200" s="332">
        <f t="shared" si="142"/>
        <v>3018.4000000000028</v>
      </c>
      <c r="Z200" s="332">
        <f t="shared" si="143"/>
        <v>3665.2000000000025</v>
      </c>
      <c r="AA200" s="332">
        <f t="shared" si="144"/>
        <v>3126.1999999999971</v>
      </c>
      <c r="AB200" s="332">
        <f t="shared" si="150"/>
        <v>2802.7999999999975</v>
      </c>
      <c r="AC200" s="343">
        <f t="shared" si="145"/>
        <v>115.33333333333333</v>
      </c>
      <c r="AD200" s="329">
        <f t="shared" si="146"/>
        <v>121</v>
      </c>
      <c r="AE200" s="343">
        <f t="shared" si="147"/>
        <v>125.33333333333333</v>
      </c>
      <c r="AF200" s="329">
        <f t="shared" si="148"/>
        <v>120</v>
      </c>
      <c r="AG200" s="342">
        <f t="shared" si="149"/>
        <v>-8.3333333333333329E-2</v>
      </c>
      <c r="AH200" s="329"/>
      <c r="AI200" s="329"/>
      <c r="AJ200" s="329"/>
      <c r="AK200" s="329"/>
      <c r="AL200" s="329"/>
      <c r="AM200" s="329"/>
    </row>
    <row r="201" spans="1:39" s="341" customFormat="1">
      <c r="A201" s="425"/>
      <c r="B201" s="337" t="s">
        <v>975</v>
      </c>
      <c r="C201" s="337">
        <v>117</v>
      </c>
      <c r="D201" s="337">
        <v>5</v>
      </c>
      <c r="E201" s="346">
        <v>0</v>
      </c>
      <c r="F201" s="329"/>
      <c r="G201" s="337" t="s">
        <v>904</v>
      </c>
      <c r="H201" s="337">
        <v>10</v>
      </c>
      <c r="I201" s="329">
        <f t="shared" si="133"/>
        <v>127</v>
      </c>
      <c r="J201" s="329"/>
      <c r="K201" s="329"/>
      <c r="L201" s="451">
        <v>8542</v>
      </c>
      <c r="M201" s="329"/>
      <c r="N201" s="332">
        <f t="shared" si="134"/>
        <v>8542</v>
      </c>
      <c r="O201" s="332">
        <f t="shared" si="135"/>
        <v>71.183333333333337</v>
      </c>
      <c r="P201" s="332">
        <f t="shared" si="136"/>
        <v>854.2</v>
      </c>
      <c r="Q201" s="329">
        <f t="shared" si="137"/>
        <v>0</v>
      </c>
      <c r="R201" s="332">
        <f t="shared" si="138"/>
        <v>854.2</v>
      </c>
      <c r="S201" s="344">
        <v>1</v>
      </c>
      <c r="T201" s="332">
        <f t="shared" si="139"/>
        <v>854.2</v>
      </c>
      <c r="U201" s="329"/>
      <c r="V201" s="332">
        <f t="shared" si="140"/>
        <v>2277.8666666666709</v>
      </c>
      <c r="W201" s="332">
        <f t="shared" si="141"/>
        <v>2277.8666666666709</v>
      </c>
      <c r="X201" s="344">
        <v>1</v>
      </c>
      <c r="Y201" s="332">
        <f t="shared" si="142"/>
        <v>2277.8666666666709</v>
      </c>
      <c r="Z201" s="332">
        <f t="shared" si="143"/>
        <v>3132.0666666666712</v>
      </c>
      <c r="AA201" s="332">
        <f t="shared" si="144"/>
        <v>5837.0333333333292</v>
      </c>
      <c r="AB201" s="332">
        <f t="shared" si="150"/>
        <v>5409.9333333333288</v>
      </c>
      <c r="AC201" s="343">
        <f t="shared" si="145"/>
        <v>117.33333333333333</v>
      </c>
      <c r="AD201" s="329">
        <f t="shared" si="146"/>
        <v>121</v>
      </c>
      <c r="AE201" s="343">
        <f t="shared" si="147"/>
        <v>127.33333333333333</v>
      </c>
      <c r="AF201" s="329">
        <f t="shared" si="148"/>
        <v>120</v>
      </c>
      <c r="AG201" s="342">
        <f t="shared" si="149"/>
        <v>-8.3333333333333329E-2</v>
      </c>
      <c r="AH201" s="329"/>
      <c r="AI201" s="329"/>
      <c r="AJ201" s="329"/>
      <c r="AK201" s="329"/>
      <c r="AL201" s="329"/>
      <c r="AM201" s="329"/>
    </row>
    <row r="202" spans="1:39" s="341" customFormat="1">
      <c r="A202" s="425"/>
      <c r="B202" s="337" t="s">
        <v>974</v>
      </c>
      <c r="C202" s="337">
        <v>118</v>
      </c>
      <c r="D202" s="337">
        <v>3</v>
      </c>
      <c r="E202" s="346">
        <v>0</v>
      </c>
      <c r="F202" s="329"/>
      <c r="G202" s="337" t="s">
        <v>904</v>
      </c>
      <c r="H202" s="337">
        <v>10</v>
      </c>
      <c r="I202" s="329">
        <f t="shared" si="133"/>
        <v>128</v>
      </c>
      <c r="J202" s="329"/>
      <c r="K202" s="329"/>
      <c r="L202" s="451">
        <v>4997.83</v>
      </c>
      <c r="M202" s="329"/>
      <c r="N202" s="332">
        <f t="shared" si="134"/>
        <v>4997.83</v>
      </c>
      <c r="O202" s="332">
        <f t="shared" si="135"/>
        <v>41.648583333333335</v>
      </c>
      <c r="P202" s="332">
        <f t="shared" si="136"/>
        <v>499.78300000000002</v>
      </c>
      <c r="Q202" s="329">
        <f t="shared" si="137"/>
        <v>0</v>
      </c>
      <c r="R202" s="332">
        <f t="shared" si="138"/>
        <v>499.78300000000002</v>
      </c>
      <c r="S202" s="344">
        <v>1</v>
      </c>
      <c r="T202" s="332">
        <f t="shared" si="139"/>
        <v>499.78300000000002</v>
      </c>
      <c r="U202" s="329"/>
      <c r="V202" s="332">
        <f t="shared" si="140"/>
        <v>916.26883333333103</v>
      </c>
      <c r="W202" s="332">
        <f t="shared" si="141"/>
        <v>916.26883333333103</v>
      </c>
      <c r="X202" s="344">
        <v>1</v>
      </c>
      <c r="Y202" s="332">
        <f t="shared" si="142"/>
        <v>916.26883333333103</v>
      </c>
      <c r="Z202" s="332">
        <f t="shared" si="143"/>
        <v>1416.0518333333312</v>
      </c>
      <c r="AA202" s="332">
        <f t="shared" si="144"/>
        <v>3831.6696666666689</v>
      </c>
      <c r="AB202" s="332">
        <f t="shared" si="150"/>
        <v>3581.7781666666688</v>
      </c>
      <c r="AC202" s="343">
        <f t="shared" si="145"/>
        <v>118.16666666666667</v>
      </c>
      <c r="AD202" s="329">
        <f t="shared" si="146"/>
        <v>121</v>
      </c>
      <c r="AE202" s="343">
        <f t="shared" si="147"/>
        <v>128.16666666666666</v>
      </c>
      <c r="AF202" s="329">
        <f t="shared" si="148"/>
        <v>120</v>
      </c>
      <c r="AG202" s="342">
        <f t="shared" si="149"/>
        <v>-8.3333333333333329E-2</v>
      </c>
      <c r="AH202" s="329"/>
      <c r="AI202" s="329"/>
      <c r="AJ202" s="329"/>
      <c r="AK202" s="329"/>
      <c r="AL202" s="329"/>
      <c r="AM202" s="329"/>
    </row>
    <row r="203" spans="1:39" s="341" customFormat="1">
      <c r="A203" s="425"/>
      <c r="B203" s="337" t="s">
        <v>973</v>
      </c>
      <c r="C203" s="337">
        <v>118</v>
      </c>
      <c r="D203" s="337">
        <v>5</v>
      </c>
      <c r="E203" s="346">
        <v>0</v>
      </c>
      <c r="F203" s="329"/>
      <c r="G203" s="337" t="s">
        <v>904</v>
      </c>
      <c r="H203" s="337">
        <v>10</v>
      </c>
      <c r="I203" s="329">
        <f t="shared" si="133"/>
        <v>128</v>
      </c>
      <c r="J203" s="329"/>
      <c r="K203" s="329"/>
      <c r="L203" s="451">
        <v>5434</v>
      </c>
      <c r="M203" s="329"/>
      <c r="N203" s="332">
        <f t="shared" si="134"/>
        <v>5434</v>
      </c>
      <c r="O203" s="332">
        <f t="shared" si="135"/>
        <v>45.283333333333331</v>
      </c>
      <c r="P203" s="332">
        <f t="shared" si="136"/>
        <v>543.4</v>
      </c>
      <c r="Q203" s="329">
        <f t="shared" si="137"/>
        <v>0</v>
      </c>
      <c r="R203" s="332">
        <f t="shared" si="138"/>
        <v>543.4</v>
      </c>
      <c r="S203" s="344">
        <v>1</v>
      </c>
      <c r="T203" s="332">
        <f t="shared" si="139"/>
        <v>543.4</v>
      </c>
      <c r="U203" s="329"/>
      <c r="V203" s="332">
        <f t="shared" si="140"/>
        <v>905.66666666666924</v>
      </c>
      <c r="W203" s="332">
        <f t="shared" si="141"/>
        <v>905.66666666666924</v>
      </c>
      <c r="X203" s="344">
        <v>1</v>
      </c>
      <c r="Y203" s="332">
        <f t="shared" si="142"/>
        <v>905.66666666666924</v>
      </c>
      <c r="Z203" s="332">
        <f t="shared" si="143"/>
        <v>1449.0666666666693</v>
      </c>
      <c r="AA203" s="332">
        <f t="shared" si="144"/>
        <v>4256.6333333333305</v>
      </c>
      <c r="AB203" s="332">
        <f t="shared" si="150"/>
        <v>3984.9333333333307</v>
      </c>
      <c r="AC203" s="343">
        <f t="shared" si="145"/>
        <v>118.33333333333333</v>
      </c>
      <c r="AD203" s="329">
        <f t="shared" si="146"/>
        <v>121</v>
      </c>
      <c r="AE203" s="343">
        <f t="shared" si="147"/>
        <v>128.33333333333334</v>
      </c>
      <c r="AF203" s="329">
        <f t="shared" si="148"/>
        <v>120</v>
      </c>
      <c r="AG203" s="342">
        <f t="shared" si="149"/>
        <v>-8.3333333333333329E-2</v>
      </c>
      <c r="AH203" s="329"/>
      <c r="AI203" s="329"/>
      <c r="AJ203" s="329"/>
      <c r="AK203" s="329"/>
      <c r="AL203" s="329"/>
      <c r="AM203" s="329"/>
    </row>
    <row r="204" spans="1:39" s="341" customFormat="1">
      <c r="A204" s="425"/>
      <c r="B204" s="362" t="s">
        <v>972</v>
      </c>
      <c r="C204" s="337">
        <v>118</v>
      </c>
      <c r="D204" s="337">
        <v>5</v>
      </c>
      <c r="E204" s="346">
        <v>0</v>
      </c>
      <c r="F204" s="329"/>
      <c r="G204" s="337" t="s">
        <v>904</v>
      </c>
      <c r="H204" s="337">
        <v>10</v>
      </c>
      <c r="I204" s="329">
        <f t="shared" si="133"/>
        <v>128</v>
      </c>
      <c r="J204" s="329"/>
      <c r="K204" s="329"/>
      <c r="L204" s="451">
        <v>12251</v>
      </c>
      <c r="M204" s="329"/>
      <c r="N204" s="332">
        <f t="shared" si="134"/>
        <v>12251</v>
      </c>
      <c r="O204" s="332">
        <f t="shared" si="135"/>
        <v>102.09166666666665</v>
      </c>
      <c r="P204" s="332">
        <f t="shared" si="136"/>
        <v>1225.0999999999999</v>
      </c>
      <c r="Q204" s="329">
        <f t="shared" si="137"/>
        <v>0</v>
      </c>
      <c r="R204" s="332">
        <f t="shared" si="138"/>
        <v>1225.0999999999999</v>
      </c>
      <c r="S204" s="344">
        <v>1</v>
      </c>
      <c r="T204" s="332">
        <f t="shared" si="139"/>
        <v>1225.0999999999999</v>
      </c>
      <c r="U204" s="329"/>
      <c r="V204" s="332">
        <f t="shared" si="140"/>
        <v>2041.8333333333389</v>
      </c>
      <c r="W204" s="332">
        <f t="shared" si="141"/>
        <v>2041.8333333333389</v>
      </c>
      <c r="X204" s="344">
        <v>1</v>
      </c>
      <c r="Y204" s="332">
        <f t="shared" si="142"/>
        <v>2041.8333333333389</v>
      </c>
      <c r="Z204" s="332">
        <f t="shared" si="143"/>
        <v>3266.9333333333389</v>
      </c>
      <c r="AA204" s="332">
        <f t="shared" si="144"/>
        <v>9596.6166666666613</v>
      </c>
      <c r="AB204" s="332">
        <f t="shared" si="150"/>
        <v>8984.0666666666621</v>
      </c>
      <c r="AC204" s="343">
        <f t="shared" si="145"/>
        <v>118.33333333333333</v>
      </c>
      <c r="AD204" s="329">
        <f t="shared" si="146"/>
        <v>121</v>
      </c>
      <c r="AE204" s="343">
        <f t="shared" si="147"/>
        <v>128.33333333333334</v>
      </c>
      <c r="AF204" s="329">
        <f t="shared" si="148"/>
        <v>120</v>
      </c>
      <c r="AG204" s="342">
        <f t="shared" si="149"/>
        <v>-8.3333333333333329E-2</v>
      </c>
      <c r="AH204" s="329"/>
      <c r="AI204" s="329"/>
      <c r="AJ204" s="329"/>
      <c r="AK204" s="329"/>
      <c r="AL204" s="329"/>
      <c r="AM204" s="329"/>
    </row>
    <row r="205" spans="1:39" s="341" customFormat="1">
      <c r="A205" s="425"/>
      <c r="B205" s="337" t="s">
        <v>971</v>
      </c>
      <c r="C205" s="337">
        <v>118</v>
      </c>
      <c r="D205" s="337">
        <v>5</v>
      </c>
      <c r="E205" s="346">
        <v>0</v>
      </c>
      <c r="F205" s="329"/>
      <c r="G205" s="337" t="s">
        <v>904</v>
      </c>
      <c r="H205" s="337">
        <v>10</v>
      </c>
      <c r="I205" s="329">
        <f t="shared" si="133"/>
        <v>128</v>
      </c>
      <c r="J205" s="329"/>
      <c r="K205" s="329"/>
      <c r="L205" s="451">
        <v>4958</v>
      </c>
      <c r="M205" s="329"/>
      <c r="N205" s="332">
        <f t="shared" si="134"/>
        <v>4958</v>
      </c>
      <c r="O205" s="332">
        <f t="shared" si="135"/>
        <v>41.31666666666667</v>
      </c>
      <c r="P205" s="332">
        <f t="shared" si="136"/>
        <v>495.80000000000007</v>
      </c>
      <c r="Q205" s="329">
        <f t="shared" si="137"/>
        <v>0</v>
      </c>
      <c r="R205" s="332">
        <f t="shared" si="138"/>
        <v>495.80000000000007</v>
      </c>
      <c r="S205" s="344">
        <v>1</v>
      </c>
      <c r="T205" s="332">
        <f t="shared" si="139"/>
        <v>495.80000000000007</v>
      </c>
      <c r="U205" s="329"/>
      <c r="V205" s="332">
        <f t="shared" si="140"/>
        <v>826.33333333333576</v>
      </c>
      <c r="W205" s="332">
        <f t="shared" si="141"/>
        <v>826.33333333333576</v>
      </c>
      <c r="X205" s="344">
        <v>1</v>
      </c>
      <c r="Y205" s="332">
        <f t="shared" si="142"/>
        <v>826.33333333333576</v>
      </c>
      <c r="Z205" s="332">
        <f t="shared" si="143"/>
        <v>1322.1333333333359</v>
      </c>
      <c r="AA205" s="332">
        <f t="shared" si="144"/>
        <v>3883.7666666666642</v>
      </c>
      <c r="AB205" s="332">
        <f t="shared" si="150"/>
        <v>3635.8666666666641</v>
      </c>
      <c r="AC205" s="343">
        <f t="shared" si="145"/>
        <v>118.33333333333333</v>
      </c>
      <c r="AD205" s="329">
        <f t="shared" si="146"/>
        <v>121</v>
      </c>
      <c r="AE205" s="343">
        <f t="shared" si="147"/>
        <v>128.33333333333334</v>
      </c>
      <c r="AF205" s="329">
        <f t="shared" si="148"/>
        <v>120</v>
      </c>
      <c r="AG205" s="342">
        <f t="shared" si="149"/>
        <v>-8.3333333333333329E-2</v>
      </c>
      <c r="AH205" s="329"/>
      <c r="AI205" s="329"/>
      <c r="AJ205" s="329"/>
      <c r="AK205" s="329"/>
      <c r="AL205" s="329"/>
      <c r="AM205" s="329"/>
    </row>
    <row r="206" spans="1:39">
      <c r="A206" s="418"/>
      <c r="B206" s="337" t="s">
        <v>970</v>
      </c>
      <c r="C206" s="337">
        <v>118</v>
      </c>
      <c r="D206" s="337">
        <v>5</v>
      </c>
      <c r="E206" s="346">
        <v>0</v>
      </c>
      <c r="G206" s="337" t="s">
        <v>904</v>
      </c>
      <c r="H206" s="337">
        <v>10</v>
      </c>
      <c r="I206" s="329">
        <f t="shared" si="133"/>
        <v>128</v>
      </c>
      <c r="L206" s="451">
        <v>11162</v>
      </c>
      <c r="N206" s="332">
        <f t="shared" si="134"/>
        <v>11162</v>
      </c>
      <c r="O206" s="332">
        <f t="shared" si="135"/>
        <v>93.016666666666666</v>
      </c>
      <c r="P206" s="332">
        <f t="shared" si="136"/>
        <v>1116.2</v>
      </c>
      <c r="Q206" s="329">
        <f t="shared" si="137"/>
        <v>0</v>
      </c>
      <c r="R206" s="332">
        <f t="shared" si="138"/>
        <v>1116.2</v>
      </c>
      <c r="S206" s="344">
        <v>1</v>
      </c>
      <c r="T206" s="332">
        <f t="shared" si="139"/>
        <v>1116.2</v>
      </c>
      <c r="V206" s="332">
        <f t="shared" si="140"/>
        <v>1860.3333333333387</v>
      </c>
      <c r="W206" s="332">
        <f t="shared" si="141"/>
        <v>1860.3333333333387</v>
      </c>
      <c r="X206" s="344">
        <v>1</v>
      </c>
      <c r="Y206" s="332">
        <f t="shared" si="142"/>
        <v>1860.3333333333387</v>
      </c>
      <c r="Z206" s="332">
        <f t="shared" si="143"/>
        <v>2976.5333333333388</v>
      </c>
      <c r="AA206" s="332">
        <f t="shared" si="144"/>
        <v>8743.5666666666621</v>
      </c>
      <c r="AB206" s="332">
        <f t="shared" si="150"/>
        <v>8185.4666666666617</v>
      </c>
      <c r="AC206" s="343">
        <f t="shared" si="145"/>
        <v>118.33333333333333</v>
      </c>
      <c r="AD206" s="329">
        <f t="shared" si="146"/>
        <v>121</v>
      </c>
      <c r="AE206" s="343">
        <f t="shared" si="147"/>
        <v>128.33333333333334</v>
      </c>
      <c r="AF206" s="329">
        <f t="shared" si="148"/>
        <v>120</v>
      </c>
      <c r="AG206" s="342">
        <f t="shared" si="149"/>
        <v>-8.3333333333333329E-2</v>
      </c>
    </row>
    <row r="207" spans="1:39">
      <c r="I207" s="334"/>
      <c r="L207" s="332"/>
      <c r="N207" s="332"/>
      <c r="R207" s="332"/>
      <c r="Y207" s="332"/>
      <c r="Z207" s="332"/>
    </row>
    <row r="208" spans="1:39" ht="16.5" thickBot="1">
      <c r="B208" s="337" t="s">
        <v>969</v>
      </c>
      <c r="I208" s="334"/>
      <c r="L208" s="332">
        <f>SUM(L186:L207)</f>
        <v>254798.83</v>
      </c>
      <c r="N208" s="332">
        <f>SUM(N186:N207)</f>
        <v>254798.83</v>
      </c>
      <c r="R208" s="332"/>
      <c r="T208" s="339">
        <f>SUM(T186:T206)</f>
        <v>16562.083000000002</v>
      </c>
      <c r="V208" s="332">
        <f>SUM(V186:V207)</f>
        <v>166596.08550000002</v>
      </c>
      <c r="W208" s="332">
        <f>SUM(W186:W207)</f>
        <v>166596.08550000002</v>
      </c>
      <c r="Y208" s="332">
        <f>SUM(Y186:Y207)</f>
        <v>166596.08550000002</v>
      </c>
      <c r="Z208" s="332">
        <f>SUM(Z186:Z207)</f>
        <v>183158.1685</v>
      </c>
      <c r="AA208" s="339">
        <f>SUM(AA186:AA206)</f>
        <v>79921.702999999994</v>
      </c>
      <c r="AB208" s="339">
        <f>SUM(AB186:AB206)</f>
        <v>71640.661500000017</v>
      </c>
    </row>
    <row r="209" spans="2:33" ht="16.5" thickTop="1">
      <c r="I209" s="334" t="s">
        <v>902</v>
      </c>
      <c r="L209" s="338">
        <f>SUM(L186:L206)</f>
        <v>254798.83</v>
      </c>
      <c r="N209" s="332"/>
      <c r="R209" s="332"/>
      <c r="T209" s="333"/>
      <c r="Y209" s="332"/>
      <c r="Z209" s="332"/>
      <c r="AA209" s="333"/>
      <c r="AB209" s="333"/>
    </row>
    <row r="210" spans="2:33">
      <c r="B210" s="337" t="s">
        <v>968</v>
      </c>
      <c r="I210" s="334"/>
      <c r="L210" s="332"/>
      <c r="N210" s="332"/>
      <c r="R210" s="332"/>
      <c r="T210" s="333"/>
      <c r="Y210" s="332"/>
      <c r="Z210" s="332"/>
      <c r="AA210" s="333"/>
      <c r="AB210" s="333"/>
    </row>
    <row r="211" spans="2:33">
      <c r="B211" s="337" t="s">
        <v>967</v>
      </c>
      <c r="C211" s="337">
        <v>90</v>
      </c>
      <c r="D211" s="337">
        <v>8</v>
      </c>
      <c r="E211" s="346">
        <v>0</v>
      </c>
      <c r="G211" s="337" t="s">
        <v>904</v>
      </c>
      <c r="H211" s="337">
        <v>10</v>
      </c>
      <c r="I211" s="345">
        <f t="shared" ref="I211:I239" si="151">+C211+H211</f>
        <v>100</v>
      </c>
      <c r="L211" s="335">
        <v>6972</v>
      </c>
      <c r="N211" s="332">
        <f t="shared" ref="N211:N239" si="152">L211-L211*E211</f>
        <v>6972</v>
      </c>
      <c r="O211" s="332">
        <f t="shared" ref="O211:O239" si="153">N211/H211/12</f>
        <v>58.1</v>
      </c>
      <c r="P211" s="332">
        <f t="shared" ref="P211:P239" si="154">IF(M211&gt;0,0,IF(OR(AC211&gt;AD211,AE211&lt;AF211),0,IF(AND(AE211&gt;=AF211,AE211&lt;=AD211),O211*((AE211-AF211)*12),IF(AND(AF211&lt;=AC211,AD211&gt;=AC211),((AD211-AC211)*12)*O211,IF(AE211&gt;AD211,12*O211,0)))))</f>
        <v>0</v>
      </c>
      <c r="Q211" s="329">
        <f t="shared" ref="Q211:Q239" si="155">IF(M211=0,0,IF(AND(AG211&gt;=AF211,AG211&lt;=AE211),((AG211-AF211)*12)*O211,0))</f>
        <v>0</v>
      </c>
      <c r="R211" s="332">
        <f t="shared" ref="R211:R239" si="156">IF(Q211&gt;0,Q211,P211)</f>
        <v>0</v>
      </c>
      <c r="S211" s="344">
        <v>1</v>
      </c>
      <c r="T211" s="332">
        <f t="shared" ref="T211:T239" si="157">S211*SUM(P211:Q211)</f>
        <v>0</v>
      </c>
      <c r="V211" s="332">
        <f t="shared" ref="V211:V239" si="158">IF(AC211&gt;AD211,0,IF(AE211&lt;AF211,N211,IF(AND(AE211&gt;=AF211,AE211&lt;=AD211),(N211-R211),IF(AND(AF211&lt;=AC211,AD211&gt;=AC211),0,IF(AE211&gt;AD211,((AF211-AC211)*12)*O211,0)))))</f>
        <v>6972</v>
      </c>
      <c r="W211" s="332">
        <f t="shared" ref="W211:W239" si="159">V211*S211</f>
        <v>6972</v>
      </c>
      <c r="X211" s="344">
        <v>1</v>
      </c>
      <c r="Y211" s="332">
        <f t="shared" ref="Y211:Y239" si="160">W211*X211</f>
        <v>6972</v>
      </c>
      <c r="Z211" s="332">
        <f t="shared" ref="Z211:Z239" si="161">IF(M211&gt;0,0,Y211+T211*X211)*X211</f>
        <v>6972</v>
      </c>
      <c r="AA211" s="332">
        <f t="shared" ref="AA211:AA239" si="162">IF(M211&gt;0,(L211-Y211)/2,IF(AC211&gt;=AF211,(((L211*S211)*X211)-Z211)/2,((((L211*S211)*X211)-Y211)+(((L211*S211)*X211)-Z211))/2))</f>
        <v>0</v>
      </c>
      <c r="AB211" s="332">
        <f>L211-Z211</f>
        <v>0</v>
      </c>
      <c r="AC211" s="343">
        <f t="shared" ref="AC211:AC239" si="163">$C211+(($D211-1)/12)</f>
        <v>90.583333333333329</v>
      </c>
      <c r="AD211" s="329">
        <f t="shared" ref="AD211:AD239" si="164">($N$5+1)-($N$2/12)</f>
        <v>121</v>
      </c>
      <c r="AE211" s="343">
        <f t="shared" ref="AE211:AE239" si="165">$I211+(($D211-1)/12)</f>
        <v>100.58333333333333</v>
      </c>
      <c r="AF211" s="329">
        <f t="shared" ref="AF211:AF239" si="166">$N$4+($N$3/12)</f>
        <v>120</v>
      </c>
      <c r="AG211" s="342">
        <f t="shared" ref="AG211:AG239" si="167">$J211+(($K211-1)/12)</f>
        <v>-8.3333333333333329E-2</v>
      </c>
    </row>
    <row r="212" spans="2:33">
      <c r="B212" s="337" t="s">
        <v>963</v>
      </c>
      <c r="C212" s="337">
        <v>90</v>
      </c>
      <c r="D212" s="337">
        <v>9</v>
      </c>
      <c r="E212" s="346">
        <v>0</v>
      </c>
      <c r="G212" s="337" t="s">
        <v>904</v>
      </c>
      <c r="H212" s="337">
        <v>10</v>
      </c>
      <c r="I212" s="345">
        <f t="shared" si="151"/>
        <v>100</v>
      </c>
      <c r="L212" s="335">
        <v>3658</v>
      </c>
      <c r="N212" s="332">
        <f t="shared" si="152"/>
        <v>3658</v>
      </c>
      <c r="O212" s="332">
        <f t="shared" si="153"/>
        <v>30.483333333333334</v>
      </c>
      <c r="P212" s="332">
        <f t="shared" si="154"/>
        <v>0</v>
      </c>
      <c r="Q212" s="329">
        <f t="shared" si="155"/>
        <v>0</v>
      </c>
      <c r="R212" s="332">
        <f t="shared" si="156"/>
        <v>0</v>
      </c>
      <c r="S212" s="344">
        <v>1</v>
      </c>
      <c r="T212" s="332">
        <f t="shared" si="157"/>
        <v>0</v>
      </c>
      <c r="V212" s="332">
        <f t="shared" si="158"/>
        <v>3658</v>
      </c>
      <c r="W212" s="332">
        <f t="shared" si="159"/>
        <v>3658</v>
      </c>
      <c r="X212" s="344">
        <v>1</v>
      </c>
      <c r="Y212" s="332">
        <f t="shared" si="160"/>
        <v>3658</v>
      </c>
      <c r="Z212" s="332">
        <f t="shared" si="161"/>
        <v>3658</v>
      </c>
      <c r="AA212" s="332">
        <f t="shared" si="162"/>
        <v>0</v>
      </c>
      <c r="AB212" s="332">
        <f t="shared" ref="AB212:AB239" si="168">L212-Z212</f>
        <v>0</v>
      </c>
      <c r="AC212" s="343">
        <f t="shared" si="163"/>
        <v>90.666666666666671</v>
      </c>
      <c r="AD212" s="329">
        <f t="shared" si="164"/>
        <v>121</v>
      </c>
      <c r="AE212" s="343">
        <f t="shared" si="165"/>
        <v>100.66666666666667</v>
      </c>
      <c r="AF212" s="329">
        <f t="shared" si="166"/>
        <v>120</v>
      </c>
      <c r="AG212" s="342">
        <f t="shared" si="167"/>
        <v>-8.3333333333333329E-2</v>
      </c>
    </row>
    <row r="213" spans="2:33">
      <c r="B213" s="337" t="s">
        <v>966</v>
      </c>
      <c r="C213" s="337">
        <v>90</v>
      </c>
      <c r="D213" s="337">
        <v>10</v>
      </c>
      <c r="E213" s="346">
        <v>0</v>
      </c>
      <c r="G213" s="337" t="s">
        <v>904</v>
      </c>
      <c r="H213" s="337">
        <v>10</v>
      </c>
      <c r="I213" s="345">
        <f t="shared" si="151"/>
        <v>100</v>
      </c>
      <c r="L213" s="335">
        <v>3775</v>
      </c>
      <c r="N213" s="332">
        <f t="shared" si="152"/>
        <v>3775</v>
      </c>
      <c r="O213" s="332">
        <f t="shared" si="153"/>
        <v>31.458333333333332</v>
      </c>
      <c r="P213" s="332">
        <f t="shared" si="154"/>
        <v>0</v>
      </c>
      <c r="Q213" s="329">
        <f t="shared" si="155"/>
        <v>0</v>
      </c>
      <c r="R213" s="332">
        <f t="shared" si="156"/>
        <v>0</v>
      </c>
      <c r="S213" s="344">
        <v>1</v>
      </c>
      <c r="T213" s="332">
        <f t="shared" si="157"/>
        <v>0</v>
      </c>
      <c r="V213" s="332">
        <f t="shared" si="158"/>
        <v>3775</v>
      </c>
      <c r="W213" s="332">
        <f t="shared" si="159"/>
        <v>3775</v>
      </c>
      <c r="X213" s="344">
        <v>1</v>
      </c>
      <c r="Y213" s="332">
        <f t="shared" si="160"/>
        <v>3775</v>
      </c>
      <c r="Z213" s="332">
        <f t="shared" si="161"/>
        <v>3775</v>
      </c>
      <c r="AA213" s="332">
        <f t="shared" si="162"/>
        <v>0</v>
      </c>
      <c r="AB213" s="332">
        <f t="shared" si="168"/>
        <v>0</v>
      </c>
      <c r="AC213" s="343">
        <f t="shared" si="163"/>
        <v>90.75</v>
      </c>
      <c r="AD213" s="329">
        <f t="shared" si="164"/>
        <v>121</v>
      </c>
      <c r="AE213" s="343">
        <f t="shared" si="165"/>
        <v>100.75</v>
      </c>
      <c r="AF213" s="329">
        <f t="shared" si="166"/>
        <v>120</v>
      </c>
      <c r="AG213" s="342">
        <f t="shared" si="167"/>
        <v>-8.3333333333333329E-2</v>
      </c>
    </row>
    <row r="214" spans="2:33">
      <c r="B214" s="337" t="s">
        <v>965</v>
      </c>
      <c r="C214" s="337">
        <v>91</v>
      </c>
      <c r="D214" s="337">
        <v>2</v>
      </c>
      <c r="E214" s="346">
        <v>0</v>
      </c>
      <c r="G214" s="337" t="s">
        <v>904</v>
      </c>
      <c r="H214" s="337">
        <v>10</v>
      </c>
      <c r="I214" s="345">
        <f t="shared" si="151"/>
        <v>101</v>
      </c>
      <c r="L214" s="335">
        <v>10026</v>
      </c>
      <c r="N214" s="332">
        <f t="shared" si="152"/>
        <v>10026</v>
      </c>
      <c r="O214" s="332">
        <f t="shared" si="153"/>
        <v>83.55</v>
      </c>
      <c r="P214" s="332">
        <f t="shared" si="154"/>
        <v>0</v>
      </c>
      <c r="Q214" s="329">
        <f t="shared" si="155"/>
        <v>0</v>
      </c>
      <c r="R214" s="332">
        <f t="shared" si="156"/>
        <v>0</v>
      </c>
      <c r="S214" s="344">
        <v>1</v>
      </c>
      <c r="T214" s="332">
        <f t="shared" si="157"/>
        <v>0</v>
      </c>
      <c r="V214" s="332">
        <f t="shared" si="158"/>
        <v>10026</v>
      </c>
      <c r="W214" s="332">
        <f t="shared" si="159"/>
        <v>10026</v>
      </c>
      <c r="X214" s="344">
        <v>1</v>
      </c>
      <c r="Y214" s="332">
        <f t="shared" si="160"/>
        <v>10026</v>
      </c>
      <c r="Z214" s="332">
        <f t="shared" si="161"/>
        <v>10026</v>
      </c>
      <c r="AA214" s="332">
        <f t="shared" si="162"/>
        <v>0</v>
      </c>
      <c r="AB214" s="332">
        <f>L214-Z214</f>
        <v>0</v>
      </c>
      <c r="AC214" s="343">
        <f t="shared" si="163"/>
        <v>91.083333333333329</v>
      </c>
      <c r="AD214" s="329">
        <f t="shared" si="164"/>
        <v>121</v>
      </c>
      <c r="AE214" s="343">
        <f t="shared" si="165"/>
        <v>101.08333333333333</v>
      </c>
      <c r="AF214" s="329">
        <f t="shared" si="166"/>
        <v>120</v>
      </c>
      <c r="AG214" s="342">
        <f t="shared" si="167"/>
        <v>-8.3333333333333329E-2</v>
      </c>
    </row>
    <row r="215" spans="2:33">
      <c r="B215" s="337" t="s">
        <v>964</v>
      </c>
      <c r="C215" s="337">
        <v>92</v>
      </c>
      <c r="D215" s="337">
        <v>5</v>
      </c>
      <c r="E215" s="346">
        <v>0</v>
      </c>
      <c r="G215" s="337" t="s">
        <v>904</v>
      </c>
      <c r="H215" s="337">
        <v>10</v>
      </c>
      <c r="I215" s="345">
        <f t="shared" si="151"/>
        <v>102</v>
      </c>
      <c r="L215" s="335">
        <v>5730</v>
      </c>
      <c r="N215" s="332">
        <f t="shared" si="152"/>
        <v>5730</v>
      </c>
      <c r="O215" s="332">
        <f t="shared" si="153"/>
        <v>47.75</v>
      </c>
      <c r="P215" s="332">
        <f t="shared" si="154"/>
        <v>0</v>
      </c>
      <c r="Q215" s="329">
        <f t="shared" si="155"/>
        <v>0</v>
      </c>
      <c r="R215" s="332">
        <f t="shared" si="156"/>
        <v>0</v>
      </c>
      <c r="S215" s="344">
        <v>1</v>
      </c>
      <c r="T215" s="332">
        <f t="shared" si="157"/>
        <v>0</v>
      </c>
      <c r="V215" s="332">
        <f t="shared" si="158"/>
        <v>5730</v>
      </c>
      <c r="W215" s="332">
        <f t="shared" si="159"/>
        <v>5730</v>
      </c>
      <c r="X215" s="344">
        <v>1</v>
      </c>
      <c r="Y215" s="332">
        <f t="shared" si="160"/>
        <v>5730</v>
      </c>
      <c r="Z215" s="332">
        <f t="shared" si="161"/>
        <v>5730</v>
      </c>
      <c r="AA215" s="332">
        <f t="shared" si="162"/>
        <v>0</v>
      </c>
      <c r="AB215" s="332">
        <f t="shared" si="168"/>
        <v>0</v>
      </c>
      <c r="AC215" s="343">
        <f t="shared" si="163"/>
        <v>92.333333333333329</v>
      </c>
      <c r="AD215" s="329">
        <f t="shared" si="164"/>
        <v>121</v>
      </c>
      <c r="AE215" s="343">
        <f t="shared" si="165"/>
        <v>102.33333333333333</v>
      </c>
      <c r="AF215" s="329">
        <f t="shared" si="166"/>
        <v>120</v>
      </c>
      <c r="AG215" s="342">
        <f t="shared" si="167"/>
        <v>-8.3333333333333329E-2</v>
      </c>
    </row>
    <row r="216" spans="2:33">
      <c r="B216" s="337" t="s">
        <v>963</v>
      </c>
      <c r="C216" s="337">
        <v>94</v>
      </c>
      <c r="D216" s="337">
        <v>7</v>
      </c>
      <c r="E216" s="346">
        <v>0</v>
      </c>
      <c r="G216" s="337" t="s">
        <v>904</v>
      </c>
      <c r="H216" s="337">
        <v>10</v>
      </c>
      <c r="I216" s="345">
        <f t="shared" si="151"/>
        <v>104</v>
      </c>
      <c r="L216" s="335">
        <v>4539</v>
      </c>
      <c r="N216" s="332">
        <f t="shared" si="152"/>
        <v>4539</v>
      </c>
      <c r="O216" s="332">
        <f t="shared" si="153"/>
        <v>37.824999999999996</v>
      </c>
      <c r="P216" s="332">
        <f t="shared" si="154"/>
        <v>0</v>
      </c>
      <c r="Q216" s="329">
        <f t="shared" si="155"/>
        <v>0</v>
      </c>
      <c r="R216" s="332">
        <f t="shared" si="156"/>
        <v>0</v>
      </c>
      <c r="S216" s="344">
        <v>1</v>
      </c>
      <c r="T216" s="332">
        <f t="shared" si="157"/>
        <v>0</v>
      </c>
      <c r="V216" s="332">
        <f t="shared" si="158"/>
        <v>4539</v>
      </c>
      <c r="W216" s="332">
        <f t="shared" si="159"/>
        <v>4539</v>
      </c>
      <c r="X216" s="344">
        <v>1</v>
      </c>
      <c r="Y216" s="332">
        <f t="shared" si="160"/>
        <v>4539</v>
      </c>
      <c r="Z216" s="332">
        <f t="shared" si="161"/>
        <v>4539</v>
      </c>
      <c r="AA216" s="332">
        <f t="shared" si="162"/>
        <v>0</v>
      </c>
      <c r="AB216" s="332">
        <f t="shared" si="168"/>
        <v>0</v>
      </c>
      <c r="AC216" s="343">
        <f t="shared" si="163"/>
        <v>94.5</v>
      </c>
      <c r="AD216" s="329">
        <f t="shared" si="164"/>
        <v>121</v>
      </c>
      <c r="AE216" s="343">
        <f t="shared" si="165"/>
        <v>104.5</v>
      </c>
      <c r="AF216" s="329">
        <f t="shared" si="166"/>
        <v>120</v>
      </c>
      <c r="AG216" s="342">
        <f t="shared" si="167"/>
        <v>-8.3333333333333329E-2</v>
      </c>
    </row>
    <row r="217" spans="2:33">
      <c r="B217" s="337" t="s">
        <v>963</v>
      </c>
      <c r="C217" s="337">
        <v>97</v>
      </c>
      <c r="D217" s="337">
        <v>5</v>
      </c>
      <c r="E217" s="346">
        <v>0</v>
      </c>
      <c r="G217" s="337" t="s">
        <v>904</v>
      </c>
      <c r="H217" s="337">
        <v>10</v>
      </c>
      <c r="I217" s="345">
        <f t="shared" si="151"/>
        <v>107</v>
      </c>
      <c r="L217" s="335">
        <v>3172</v>
      </c>
      <c r="N217" s="332">
        <f t="shared" si="152"/>
        <v>3172</v>
      </c>
      <c r="O217" s="332">
        <f t="shared" si="153"/>
        <v>26.433333333333334</v>
      </c>
      <c r="P217" s="332">
        <f t="shared" si="154"/>
        <v>0</v>
      </c>
      <c r="Q217" s="329">
        <f t="shared" si="155"/>
        <v>0</v>
      </c>
      <c r="R217" s="332">
        <f t="shared" si="156"/>
        <v>0</v>
      </c>
      <c r="S217" s="344">
        <v>1</v>
      </c>
      <c r="T217" s="332">
        <f t="shared" si="157"/>
        <v>0</v>
      </c>
      <c r="V217" s="332">
        <f t="shared" si="158"/>
        <v>3172</v>
      </c>
      <c r="W217" s="332">
        <f t="shared" si="159"/>
        <v>3172</v>
      </c>
      <c r="X217" s="344">
        <v>1</v>
      </c>
      <c r="Y217" s="332">
        <f t="shared" si="160"/>
        <v>3172</v>
      </c>
      <c r="Z217" s="332">
        <f t="shared" si="161"/>
        <v>3172</v>
      </c>
      <c r="AA217" s="332">
        <f t="shared" si="162"/>
        <v>0</v>
      </c>
      <c r="AB217" s="332">
        <f t="shared" si="168"/>
        <v>0</v>
      </c>
      <c r="AC217" s="343">
        <f t="shared" si="163"/>
        <v>97.333333333333329</v>
      </c>
      <c r="AD217" s="329">
        <f t="shared" si="164"/>
        <v>121</v>
      </c>
      <c r="AE217" s="343">
        <f t="shared" si="165"/>
        <v>107.33333333333333</v>
      </c>
      <c r="AF217" s="329">
        <f t="shared" si="166"/>
        <v>120</v>
      </c>
      <c r="AG217" s="342">
        <f t="shared" si="167"/>
        <v>-8.3333333333333329E-2</v>
      </c>
    </row>
    <row r="218" spans="2:33">
      <c r="B218" s="337" t="s">
        <v>962</v>
      </c>
      <c r="C218" s="337">
        <v>97</v>
      </c>
      <c r="D218" s="337">
        <v>5</v>
      </c>
      <c r="E218" s="346">
        <v>0</v>
      </c>
      <c r="G218" s="337" t="s">
        <v>904</v>
      </c>
      <c r="H218" s="337">
        <v>10</v>
      </c>
      <c r="I218" s="345">
        <f t="shared" si="151"/>
        <v>107</v>
      </c>
      <c r="L218" s="335">
        <v>3685</v>
      </c>
      <c r="N218" s="332">
        <f t="shared" si="152"/>
        <v>3685</v>
      </c>
      <c r="O218" s="332">
        <f t="shared" si="153"/>
        <v>30.708333333333332</v>
      </c>
      <c r="P218" s="332">
        <f t="shared" si="154"/>
        <v>0</v>
      </c>
      <c r="Q218" s="329">
        <f t="shared" si="155"/>
        <v>0</v>
      </c>
      <c r="R218" s="332">
        <f t="shared" si="156"/>
        <v>0</v>
      </c>
      <c r="S218" s="344">
        <v>1</v>
      </c>
      <c r="T218" s="332">
        <f t="shared" si="157"/>
        <v>0</v>
      </c>
      <c r="V218" s="332">
        <f t="shared" si="158"/>
        <v>3685</v>
      </c>
      <c r="W218" s="332">
        <f t="shared" si="159"/>
        <v>3685</v>
      </c>
      <c r="X218" s="344">
        <v>1</v>
      </c>
      <c r="Y218" s="332">
        <f t="shared" si="160"/>
        <v>3685</v>
      </c>
      <c r="Z218" s="332">
        <f t="shared" si="161"/>
        <v>3685</v>
      </c>
      <c r="AA218" s="332">
        <f t="shared" si="162"/>
        <v>0</v>
      </c>
      <c r="AB218" s="332">
        <f t="shared" si="168"/>
        <v>0</v>
      </c>
      <c r="AC218" s="343">
        <f t="shared" si="163"/>
        <v>97.333333333333329</v>
      </c>
      <c r="AD218" s="329">
        <f t="shared" si="164"/>
        <v>121</v>
      </c>
      <c r="AE218" s="343">
        <f t="shared" si="165"/>
        <v>107.33333333333333</v>
      </c>
      <c r="AF218" s="329">
        <f t="shared" si="166"/>
        <v>120</v>
      </c>
      <c r="AG218" s="342">
        <f t="shared" si="167"/>
        <v>-8.3333333333333329E-2</v>
      </c>
    </row>
    <row r="219" spans="2:33">
      <c r="B219" s="337" t="s">
        <v>961</v>
      </c>
      <c r="C219" s="337">
        <v>97</v>
      </c>
      <c r="D219" s="337">
        <v>5</v>
      </c>
      <c r="E219" s="346">
        <v>0</v>
      </c>
      <c r="G219" s="337" t="s">
        <v>904</v>
      </c>
      <c r="H219" s="337">
        <v>10</v>
      </c>
      <c r="I219" s="345">
        <f t="shared" si="151"/>
        <v>107</v>
      </c>
      <c r="L219" s="335">
        <v>2587</v>
      </c>
      <c r="N219" s="332">
        <f t="shared" si="152"/>
        <v>2587</v>
      </c>
      <c r="O219" s="332">
        <f t="shared" si="153"/>
        <v>21.558333333333334</v>
      </c>
      <c r="P219" s="332">
        <f t="shared" si="154"/>
        <v>0</v>
      </c>
      <c r="Q219" s="329">
        <f t="shared" si="155"/>
        <v>0</v>
      </c>
      <c r="R219" s="332">
        <f t="shared" si="156"/>
        <v>0</v>
      </c>
      <c r="S219" s="344">
        <v>1</v>
      </c>
      <c r="T219" s="332">
        <f t="shared" si="157"/>
        <v>0</v>
      </c>
      <c r="V219" s="332">
        <f t="shared" si="158"/>
        <v>2587</v>
      </c>
      <c r="W219" s="332">
        <f t="shared" si="159"/>
        <v>2587</v>
      </c>
      <c r="X219" s="344">
        <v>1</v>
      </c>
      <c r="Y219" s="332">
        <f t="shared" si="160"/>
        <v>2587</v>
      </c>
      <c r="Z219" s="332">
        <f t="shared" si="161"/>
        <v>2587</v>
      </c>
      <c r="AA219" s="332">
        <f t="shared" si="162"/>
        <v>0</v>
      </c>
      <c r="AB219" s="332">
        <f t="shared" si="168"/>
        <v>0</v>
      </c>
      <c r="AC219" s="343">
        <f t="shared" si="163"/>
        <v>97.333333333333329</v>
      </c>
      <c r="AD219" s="329">
        <f t="shared" si="164"/>
        <v>121</v>
      </c>
      <c r="AE219" s="343">
        <f t="shared" si="165"/>
        <v>107.33333333333333</v>
      </c>
      <c r="AF219" s="329">
        <f t="shared" si="166"/>
        <v>120</v>
      </c>
      <c r="AG219" s="342">
        <f t="shared" si="167"/>
        <v>-8.3333333333333329E-2</v>
      </c>
    </row>
    <row r="220" spans="2:33">
      <c r="B220" s="337" t="s">
        <v>960</v>
      </c>
      <c r="C220" s="337">
        <v>104</v>
      </c>
      <c r="D220" s="337">
        <v>6</v>
      </c>
      <c r="E220" s="346">
        <v>0</v>
      </c>
      <c r="G220" s="337" t="s">
        <v>904</v>
      </c>
      <c r="H220" s="337">
        <v>10</v>
      </c>
      <c r="I220" s="345">
        <f t="shared" si="151"/>
        <v>114</v>
      </c>
      <c r="L220" s="335">
        <v>1400</v>
      </c>
      <c r="N220" s="332">
        <f t="shared" si="152"/>
        <v>1400</v>
      </c>
      <c r="O220" s="332">
        <f t="shared" si="153"/>
        <v>11.666666666666666</v>
      </c>
      <c r="P220" s="332">
        <f t="shared" si="154"/>
        <v>0</v>
      </c>
      <c r="Q220" s="329">
        <f t="shared" si="155"/>
        <v>0</v>
      </c>
      <c r="R220" s="332">
        <f t="shared" si="156"/>
        <v>0</v>
      </c>
      <c r="S220" s="344">
        <v>1</v>
      </c>
      <c r="T220" s="332">
        <f t="shared" si="157"/>
        <v>0</v>
      </c>
      <c r="V220" s="332">
        <f t="shared" si="158"/>
        <v>1400</v>
      </c>
      <c r="W220" s="332">
        <f t="shared" si="159"/>
        <v>1400</v>
      </c>
      <c r="X220" s="344">
        <v>1</v>
      </c>
      <c r="Y220" s="332">
        <f t="shared" si="160"/>
        <v>1400</v>
      </c>
      <c r="Z220" s="332">
        <f t="shared" si="161"/>
        <v>1400</v>
      </c>
      <c r="AA220" s="332">
        <f t="shared" si="162"/>
        <v>0</v>
      </c>
      <c r="AB220" s="332">
        <f t="shared" si="168"/>
        <v>0</v>
      </c>
      <c r="AC220" s="343">
        <f t="shared" si="163"/>
        <v>104.41666666666667</v>
      </c>
      <c r="AD220" s="329">
        <f t="shared" si="164"/>
        <v>121</v>
      </c>
      <c r="AE220" s="343">
        <f t="shared" si="165"/>
        <v>114.41666666666667</v>
      </c>
      <c r="AF220" s="329">
        <f t="shared" si="166"/>
        <v>120</v>
      </c>
      <c r="AG220" s="342">
        <f t="shared" si="167"/>
        <v>-8.3333333333333329E-2</v>
      </c>
    </row>
    <row r="221" spans="2:33">
      <c r="B221" s="337" t="s">
        <v>959</v>
      </c>
      <c r="C221" s="337">
        <v>104</v>
      </c>
      <c r="D221" s="337">
        <v>12</v>
      </c>
      <c r="E221" s="346">
        <v>0</v>
      </c>
      <c r="G221" s="337" t="s">
        <v>904</v>
      </c>
      <c r="H221" s="337">
        <v>10</v>
      </c>
      <c r="I221" s="345">
        <f t="shared" si="151"/>
        <v>114</v>
      </c>
      <c r="L221" s="335">
        <v>4315</v>
      </c>
      <c r="N221" s="332">
        <f t="shared" si="152"/>
        <v>4315</v>
      </c>
      <c r="O221" s="332">
        <f t="shared" si="153"/>
        <v>35.958333333333336</v>
      </c>
      <c r="P221" s="332">
        <f t="shared" si="154"/>
        <v>0</v>
      </c>
      <c r="Q221" s="329">
        <f t="shared" si="155"/>
        <v>0</v>
      </c>
      <c r="R221" s="332">
        <f t="shared" si="156"/>
        <v>0</v>
      </c>
      <c r="S221" s="344">
        <v>1</v>
      </c>
      <c r="T221" s="332">
        <f t="shared" si="157"/>
        <v>0</v>
      </c>
      <c r="V221" s="332">
        <f t="shared" si="158"/>
        <v>4315</v>
      </c>
      <c r="W221" s="332">
        <f t="shared" si="159"/>
        <v>4315</v>
      </c>
      <c r="X221" s="344">
        <v>1</v>
      </c>
      <c r="Y221" s="332">
        <f t="shared" si="160"/>
        <v>4315</v>
      </c>
      <c r="Z221" s="332">
        <f t="shared" si="161"/>
        <v>4315</v>
      </c>
      <c r="AA221" s="332">
        <f t="shared" si="162"/>
        <v>0</v>
      </c>
      <c r="AB221" s="332">
        <f t="shared" si="168"/>
        <v>0</v>
      </c>
      <c r="AC221" s="343">
        <f t="shared" si="163"/>
        <v>104.91666666666667</v>
      </c>
      <c r="AD221" s="329">
        <f t="shared" si="164"/>
        <v>121</v>
      </c>
      <c r="AE221" s="343">
        <f t="shared" si="165"/>
        <v>114.91666666666667</v>
      </c>
      <c r="AF221" s="329">
        <f t="shared" si="166"/>
        <v>120</v>
      </c>
      <c r="AG221" s="342">
        <f t="shared" si="167"/>
        <v>-8.3333333333333329E-2</v>
      </c>
    </row>
    <row r="222" spans="2:33">
      <c r="B222" s="337" t="s">
        <v>955</v>
      </c>
      <c r="C222" s="337">
        <v>104</v>
      </c>
      <c r="D222" s="337">
        <v>12</v>
      </c>
      <c r="E222" s="346">
        <v>0</v>
      </c>
      <c r="G222" s="337" t="s">
        <v>904</v>
      </c>
      <c r="H222" s="337">
        <v>10</v>
      </c>
      <c r="I222" s="345">
        <f t="shared" si="151"/>
        <v>114</v>
      </c>
      <c r="L222" s="335">
        <v>5160</v>
      </c>
      <c r="N222" s="332">
        <f t="shared" si="152"/>
        <v>5160</v>
      </c>
      <c r="O222" s="332">
        <f t="shared" si="153"/>
        <v>43</v>
      </c>
      <c r="P222" s="332">
        <f t="shared" si="154"/>
        <v>0</v>
      </c>
      <c r="Q222" s="329">
        <f t="shared" si="155"/>
        <v>0</v>
      </c>
      <c r="R222" s="332">
        <f t="shared" si="156"/>
        <v>0</v>
      </c>
      <c r="S222" s="344">
        <v>1</v>
      </c>
      <c r="T222" s="332">
        <f t="shared" si="157"/>
        <v>0</v>
      </c>
      <c r="V222" s="332">
        <f t="shared" si="158"/>
        <v>5160</v>
      </c>
      <c r="W222" s="332">
        <f t="shared" si="159"/>
        <v>5160</v>
      </c>
      <c r="X222" s="344">
        <v>1</v>
      </c>
      <c r="Y222" s="332">
        <f t="shared" si="160"/>
        <v>5160</v>
      </c>
      <c r="Z222" s="332">
        <f t="shared" si="161"/>
        <v>5160</v>
      </c>
      <c r="AA222" s="332">
        <f t="shared" si="162"/>
        <v>0</v>
      </c>
      <c r="AB222" s="332">
        <f t="shared" si="168"/>
        <v>0</v>
      </c>
      <c r="AC222" s="343">
        <f t="shared" si="163"/>
        <v>104.91666666666667</v>
      </c>
      <c r="AD222" s="329">
        <f t="shared" si="164"/>
        <v>121</v>
      </c>
      <c r="AE222" s="343">
        <f t="shared" si="165"/>
        <v>114.91666666666667</v>
      </c>
      <c r="AF222" s="329">
        <f t="shared" si="166"/>
        <v>120</v>
      </c>
      <c r="AG222" s="342">
        <f t="shared" si="167"/>
        <v>-8.3333333333333329E-2</v>
      </c>
    </row>
    <row r="223" spans="2:33">
      <c r="B223" s="337" t="s">
        <v>955</v>
      </c>
      <c r="C223" s="337">
        <v>105</v>
      </c>
      <c r="D223" s="337">
        <v>7</v>
      </c>
      <c r="E223" s="346">
        <v>0</v>
      </c>
      <c r="G223" s="337" t="s">
        <v>904</v>
      </c>
      <c r="H223" s="337">
        <v>10</v>
      </c>
      <c r="I223" s="345">
        <f t="shared" si="151"/>
        <v>115</v>
      </c>
      <c r="L223" s="335">
        <v>5124</v>
      </c>
      <c r="N223" s="332">
        <f t="shared" si="152"/>
        <v>5124</v>
      </c>
      <c r="O223" s="332">
        <f t="shared" si="153"/>
        <v>42.699999999999996</v>
      </c>
      <c r="P223" s="332">
        <f t="shared" si="154"/>
        <v>0</v>
      </c>
      <c r="Q223" s="329">
        <f t="shared" si="155"/>
        <v>0</v>
      </c>
      <c r="R223" s="332">
        <f t="shared" si="156"/>
        <v>0</v>
      </c>
      <c r="S223" s="344">
        <v>1</v>
      </c>
      <c r="T223" s="332">
        <f t="shared" si="157"/>
        <v>0</v>
      </c>
      <c r="V223" s="332">
        <f t="shared" si="158"/>
        <v>5124</v>
      </c>
      <c r="W223" s="332">
        <f t="shared" si="159"/>
        <v>5124</v>
      </c>
      <c r="X223" s="344">
        <v>1</v>
      </c>
      <c r="Y223" s="332">
        <f t="shared" si="160"/>
        <v>5124</v>
      </c>
      <c r="Z223" s="332">
        <f t="shared" si="161"/>
        <v>5124</v>
      </c>
      <c r="AA223" s="332">
        <f t="shared" si="162"/>
        <v>0</v>
      </c>
      <c r="AB223" s="332">
        <f t="shared" si="168"/>
        <v>0</v>
      </c>
      <c r="AC223" s="343">
        <f t="shared" si="163"/>
        <v>105.5</v>
      </c>
      <c r="AD223" s="329">
        <f t="shared" si="164"/>
        <v>121</v>
      </c>
      <c r="AE223" s="343">
        <f t="shared" si="165"/>
        <v>115.5</v>
      </c>
      <c r="AF223" s="329">
        <f t="shared" si="166"/>
        <v>120</v>
      </c>
      <c r="AG223" s="342">
        <f t="shared" si="167"/>
        <v>-8.3333333333333329E-2</v>
      </c>
    </row>
    <row r="224" spans="2:33">
      <c r="B224" s="337" t="s">
        <v>958</v>
      </c>
      <c r="C224" s="337">
        <v>105</v>
      </c>
      <c r="D224" s="337">
        <v>7</v>
      </c>
      <c r="E224" s="346">
        <v>0</v>
      </c>
      <c r="G224" s="337" t="s">
        <v>904</v>
      </c>
      <c r="H224" s="337">
        <v>10</v>
      </c>
      <c r="I224" s="345">
        <f t="shared" si="151"/>
        <v>115</v>
      </c>
      <c r="L224" s="335">
        <v>5721</v>
      </c>
      <c r="N224" s="332">
        <f t="shared" si="152"/>
        <v>5721</v>
      </c>
      <c r="O224" s="332">
        <f t="shared" si="153"/>
        <v>47.675000000000004</v>
      </c>
      <c r="P224" s="332">
        <f t="shared" si="154"/>
        <v>0</v>
      </c>
      <c r="Q224" s="329">
        <f t="shared" si="155"/>
        <v>0</v>
      </c>
      <c r="R224" s="332">
        <f t="shared" si="156"/>
        <v>0</v>
      </c>
      <c r="S224" s="344">
        <v>1</v>
      </c>
      <c r="T224" s="332">
        <f t="shared" si="157"/>
        <v>0</v>
      </c>
      <c r="V224" s="332">
        <f t="shared" si="158"/>
        <v>5721</v>
      </c>
      <c r="W224" s="332">
        <f t="shared" si="159"/>
        <v>5721</v>
      </c>
      <c r="X224" s="344">
        <v>1</v>
      </c>
      <c r="Y224" s="332">
        <f t="shared" si="160"/>
        <v>5721</v>
      </c>
      <c r="Z224" s="332">
        <f t="shared" si="161"/>
        <v>5721</v>
      </c>
      <c r="AA224" s="332">
        <f t="shared" si="162"/>
        <v>0</v>
      </c>
      <c r="AB224" s="332">
        <f t="shared" si="168"/>
        <v>0</v>
      </c>
      <c r="AC224" s="343">
        <f t="shared" si="163"/>
        <v>105.5</v>
      </c>
      <c r="AD224" s="329">
        <f t="shared" si="164"/>
        <v>121</v>
      </c>
      <c r="AE224" s="343">
        <f t="shared" si="165"/>
        <v>115.5</v>
      </c>
      <c r="AF224" s="329">
        <f t="shared" si="166"/>
        <v>120</v>
      </c>
      <c r="AG224" s="342">
        <f t="shared" si="167"/>
        <v>-8.3333333333333329E-2</v>
      </c>
    </row>
    <row r="225" spans="1:33">
      <c r="B225" s="337" t="s">
        <v>957</v>
      </c>
      <c r="C225" s="337">
        <v>105</v>
      </c>
      <c r="D225" s="337">
        <v>7</v>
      </c>
      <c r="E225" s="346">
        <v>0</v>
      </c>
      <c r="G225" s="337" t="s">
        <v>904</v>
      </c>
      <c r="H225" s="337">
        <v>10</v>
      </c>
      <c r="I225" s="345">
        <f t="shared" si="151"/>
        <v>115</v>
      </c>
      <c r="L225" s="335">
        <v>4397</v>
      </c>
      <c r="N225" s="332">
        <f t="shared" si="152"/>
        <v>4397</v>
      </c>
      <c r="O225" s="332">
        <f t="shared" si="153"/>
        <v>36.641666666666666</v>
      </c>
      <c r="P225" s="332">
        <f t="shared" si="154"/>
        <v>0</v>
      </c>
      <c r="Q225" s="329">
        <f t="shared" si="155"/>
        <v>0</v>
      </c>
      <c r="R225" s="332">
        <f t="shared" si="156"/>
        <v>0</v>
      </c>
      <c r="S225" s="344">
        <v>1</v>
      </c>
      <c r="T225" s="332">
        <f t="shared" si="157"/>
        <v>0</v>
      </c>
      <c r="V225" s="332">
        <f t="shared" si="158"/>
        <v>4397</v>
      </c>
      <c r="W225" s="332">
        <f t="shared" si="159"/>
        <v>4397</v>
      </c>
      <c r="X225" s="344">
        <v>1</v>
      </c>
      <c r="Y225" s="332">
        <f t="shared" si="160"/>
        <v>4397</v>
      </c>
      <c r="Z225" s="332">
        <f t="shared" si="161"/>
        <v>4397</v>
      </c>
      <c r="AA225" s="332">
        <f t="shared" si="162"/>
        <v>0</v>
      </c>
      <c r="AB225" s="332">
        <f t="shared" si="168"/>
        <v>0</v>
      </c>
      <c r="AC225" s="343">
        <f t="shared" si="163"/>
        <v>105.5</v>
      </c>
      <c r="AD225" s="329">
        <f t="shared" si="164"/>
        <v>121</v>
      </c>
      <c r="AE225" s="343">
        <f t="shared" si="165"/>
        <v>115.5</v>
      </c>
      <c r="AF225" s="329">
        <f t="shared" si="166"/>
        <v>120</v>
      </c>
      <c r="AG225" s="342">
        <f t="shared" si="167"/>
        <v>-8.3333333333333329E-2</v>
      </c>
    </row>
    <row r="226" spans="1:33">
      <c r="B226" s="337" t="s">
        <v>957</v>
      </c>
      <c r="C226" s="337">
        <v>106</v>
      </c>
      <c r="D226" s="337">
        <v>2</v>
      </c>
      <c r="E226" s="346">
        <v>0</v>
      </c>
      <c r="G226" s="337" t="s">
        <v>904</v>
      </c>
      <c r="H226" s="337">
        <v>10</v>
      </c>
      <c r="I226" s="345">
        <f t="shared" si="151"/>
        <v>116</v>
      </c>
      <c r="L226" s="335">
        <v>4135</v>
      </c>
      <c r="N226" s="332">
        <f t="shared" si="152"/>
        <v>4135</v>
      </c>
      <c r="O226" s="332">
        <f t="shared" si="153"/>
        <v>34.458333333333336</v>
      </c>
      <c r="P226" s="332">
        <f t="shared" si="154"/>
        <v>0</v>
      </c>
      <c r="Q226" s="329">
        <f t="shared" si="155"/>
        <v>0</v>
      </c>
      <c r="R226" s="332">
        <f t="shared" si="156"/>
        <v>0</v>
      </c>
      <c r="S226" s="344">
        <v>1</v>
      </c>
      <c r="T226" s="332">
        <f t="shared" si="157"/>
        <v>0</v>
      </c>
      <c r="V226" s="332">
        <f t="shared" si="158"/>
        <v>4135</v>
      </c>
      <c r="W226" s="332">
        <f t="shared" si="159"/>
        <v>4135</v>
      </c>
      <c r="X226" s="344">
        <v>1</v>
      </c>
      <c r="Y226" s="332">
        <f t="shared" si="160"/>
        <v>4135</v>
      </c>
      <c r="Z226" s="332">
        <f t="shared" si="161"/>
        <v>4135</v>
      </c>
      <c r="AA226" s="332">
        <f t="shared" si="162"/>
        <v>0</v>
      </c>
      <c r="AB226" s="332">
        <f t="shared" si="168"/>
        <v>0</v>
      </c>
      <c r="AC226" s="343">
        <f t="shared" si="163"/>
        <v>106.08333333333333</v>
      </c>
      <c r="AD226" s="329">
        <f t="shared" si="164"/>
        <v>121</v>
      </c>
      <c r="AE226" s="343">
        <f t="shared" si="165"/>
        <v>116.08333333333333</v>
      </c>
      <c r="AF226" s="329">
        <f t="shared" si="166"/>
        <v>120</v>
      </c>
      <c r="AG226" s="342">
        <f t="shared" si="167"/>
        <v>-8.3333333333333329E-2</v>
      </c>
    </row>
    <row r="227" spans="1:33">
      <c r="B227" s="337" t="s">
        <v>956</v>
      </c>
      <c r="C227" s="337">
        <v>106</v>
      </c>
      <c r="D227" s="337">
        <v>8</v>
      </c>
      <c r="E227" s="346">
        <v>0</v>
      </c>
      <c r="G227" s="337" t="s">
        <v>904</v>
      </c>
      <c r="H227" s="337">
        <v>10</v>
      </c>
      <c r="I227" s="345">
        <f t="shared" si="151"/>
        <v>116</v>
      </c>
      <c r="L227" s="335">
        <v>11629</v>
      </c>
      <c r="N227" s="332">
        <f t="shared" si="152"/>
        <v>11629</v>
      </c>
      <c r="O227" s="332">
        <f t="shared" si="153"/>
        <v>96.908333333333346</v>
      </c>
      <c r="P227" s="332">
        <f t="shared" si="154"/>
        <v>0</v>
      </c>
      <c r="Q227" s="329">
        <f t="shared" si="155"/>
        <v>0</v>
      </c>
      <c r="R227" s="332">
        <f t="shared" si="156"/>
        <v>0</v>
      </c>
      <c r="S227" s="344">
        <v>1</v>
      </c>
      <c r="T227" s="332">
        <f t="shared" si="157"/>
        <v>0</v>
      </c>
      <c r="V227" s="332">
        <f t="shared" si="158"/>
        <v>11629</v>
      </c>
      <c r="W227" s="332">
        <f t="shared" si="159"/>
        <v>11629</v>
      </c>
      <c r="X227" s="344">
        <v>1</v>
      </c>
      <c r="Y227" s="332">
        <f t="shared" si="160"/>
        <v>11629</v>
      </c>
      <c r="Z227" s="332">
        <f t="shared" si="161"/>
        <v>11629</v>
      </c>
      <c r="AA227" s="332">
        <f t="shared" si="162"/>
        <v>0</v>
      </c>
      <c r="AB227" s="332">
        <f t="shared" si="168"/>
        <v>0</v>
      </c>
      <c r="AC227" s="343">
        <f t="shared" si="163"/>
        <v>106.58333333333333</v>
      </c>
      <c r="AD227" s="329">
        <f t="shared" si="164"/>
        <v>121</v>
      </c>
      <c r="AE227" s="343">
        <f t="shared" si="165"/>
        <v>116.58333333333333</v>
      </c>
      <c r="AF227" s="329">
        <f t="shared" si="166"/>
        <v>120</v>
      </c>
      <c r="AG227" s="342">
        <f t="shared" si="167"/>
        <v>-8.3333333333333329E-2</v>
      </c>
    </row>
    <row r="228" spans="1:33">
      <c r="B228" s="337" t="s">
        <v>954</v>
      </c>
      <c r="C228" s="337">
        <v>106</v>
      </c>
      <c r="D228" s="337">
        <v>8</v>
      </c>
      <c r="E228" s="346">
        <v>0</v>
      </c>
      <c r="G228" s="337" t="s">
        <v>904</v>
      </c>
      <c r="H228" s="337">
        <v>10</v>
      </c>
      <c r="I228" s="345">
        <f t="shared" si="151"/>
        <v>116</v>
      </c>
      <c r="L228" s="335">
        <v>12443</v>
      </c>
      <c r="N228" s="332">
        <f t="shared" si="152"/>
        <v>12443</v>
      </c>
      <c r="O228" s="332">
        <f t="shared" si="153"/>
        <v>103.69166666666666</v>
      </c>
      <c r="P228" s="332">
        <f t="shared" si="154"/>
        <v>0</v>
      </c>
      <c r="Q228" s="329">
        <f t="shared" si="155"/>
        <v>0</v>
      </c>
      <c r="R228" s="332">
        <f t="shared" si="156"/>
        <v>0</v>
      </c>
      <c r="S228" s="344">
        <v>1</v>
      </c>
      <c r="T228" s="332">
        <f t="shared" si="157"/>
        <v>0</v>
      </c>
      <c r="V228" s="332">
        <f t="shared" si="158"/>
        <v>12443</v>
      </c>
      <c r="W228" s="332">
        <f t="shared" si="159"/>
        <v>12443</v>
      </c>
      <c r="X228" s="344">
        <v>1</v>
      </c>
      <c r="Y228" s="332">
        <f t="shared" si="160"/>
        <v>12443</v>
      </c>
      <c r="Z228" s="332">
        <f t="shared" si="161"/>
        <v>12443</v>
      </c>
      <c r="AA228" s="332">
        <f t="shared" si="162"/>
        <v>0</v>
      </c>
      <c r="AB228" s="332">
        <f t="shared" si="168"/>
        <v>0</v>
      </c>
      <c r="AC228" s="343">
        <f t="shared" si="163"/>
        <v>106.58333333333333</v>
      </c>
      <c r="AD228" s="329">
        <f t="shared" si="164"/>
        <v>121</v>
      </c>
      <c r="AE228" s="343">
        <f t="shared" si="165"/>
        <v>116.58333333333333</v>
      </c>
      <c r="AF228" s="329">
        <f t="shared" si="166"/>
        <v>120</v>
      </c>
      <c r="AG228" s="342">
        <f t="shared" si="167"/>
        <v>-8.3333333333333329E-2</v>
      </c>
    </row>
    <row r="229" spans="1:33">
      <c r="B229" s="337" t="s">
        <v>954</v>
      </c>
      <c r="C229" s="337">
        <v>109</v>
      </c>
      <c r="D229" s="337">
        <v>5</v>
      </c>
      <c r="E229" s="346">
        <v>0</v>
      </c>
      <c r="G229" s="337" t="s">
        <v>904</v>
      </c>
      <c r="H229" s="337">
        <v>10</v>
      </c>
      <c r="I229" s="345">
        <f t="shared" si="151"/>
        <v>119</v>
      </c>
      <c r="L229" s="451">
        <v>9015</v>
      </c>
      <c r="N229" s="332">
        <f t="shared" si="152"/>
        <v>9015</v>
      </c>
      <c r="O229" s="332">
        <f t="shared" si="153"/>
        <v>75.125</v>
      </c>
      <c r="P229" s="332">
        <f t="shared" si="154"/>
        <v>0</v>
      </c>
      <c r="Q229" s="329">
        <f t="shared" si="155"/>
        <v>0</v>
      </c>
      <c r="R229" s="332">
        <f t="shared" si="156"/>
        <v>0</v>
      </c>
      <c r="S229" s="344">
        <v>1</v>
      </c>
      <c r="T229" s="332">
        <f t="shared" si="157"/>
        <v>0</v>
      </c>
      <c r="V229" s="332">
        <f t="shared" si="158"/>
        <v>9015</v>
      </c>
      <c r="W229" s="332">
        <f t="shared" si="159"/>
        <v>9015</v>
      </c>
      <c r="X229" s="344">
        <v>1</v>
      </c>
      <c r="Y229" s="332">
        <f t="shared" si="160"/>
        <v>9015</v>
      </c>
      <c r="Z229" s="332">
        <f t="shared" si="161"/>
        <v>9015</v>
      </c>
      <c r="AA229" s="332">
        <f t="shared" si="162"/>
        <v>0</v>
      </c>
      <c r="AB229" s="332">
        <f t="shared" si="168"/>
        <v>0</v>
      </c>
      <c r="AC229" s="343">
        <f t="shared" si="163"/>
        <v>109.33333333333333</v>
      </c>
      <c r="AD229" s="329">
        <f t="shared" si="164"/>
        <v>121</v>
      </c>
      <c r="AE229" s="343">
        <f t="shared" si="165"/>
        <v>119.33333333333333</v>
      </c>
      <c r="AF229" s="329">
        <f t="shared" si="166"/>
        <v>120</v>
      </c>
      <c r="AG229" s="342">
        <f t="shared" si="167"/>
        <v>-8.3333333333333329E-2</v>
      </c>
    </row>
    <row r="230" spans="1:33">
      <c r="A230" s="418"/>
      <c r="B230" s="337" t="s">
        <v>957</v>
      </c>
      <c r="C230" s="337">
        <v>112</v>
      </c>
      <c r="D230" s="337">
        <v>12</v>
      </c>
      <c r="E230" s="346">
        <v>0</v>
      </c>
      <c r="G230" s="337" t="s">
        <v>904</v>
      </c>
      <c r="H230" s="337">
        <v>10</v>
      </c>
      <c r="I230" s="345">
        <f t="shared" si="151"/>
        <v>122</v>
      </c>
      <c r="L230" s="451">
        <v>3990</v>
      </c>
      <c r="N230" s="332">
        <f t="shared" si="152"/>
        <v>3990</v>
      </c>
      <c r="O230" s="332">
        <f t="shared" si="153"/>
        <v>33.25</v>
      </c>
      <c r="P230" s="332">
        <f t="shared" si="154"/>
        <v>399</v>
      </c>
      <c r="Q230" s="329">
        <f t="shared" si="155"/>
        <v>0</v>
      </c>
      <c r="R230" s="332">
        <f t="shared" si="156"/>
        <v>399</v>
      </c>
      <c r="S230" s="344">
        <v>1</v>
      </c>
      <c r="T230" s="332">
        <f t="shared" si="157"/>
        <v>399</v>
      </c>
      <c r="V230" s="332">
        <f t="shared" si="158"/>
        <v>2826.2499999999982</v>
      </c>
      <c r="W230" s="332">
        <f t="shared" si="159"/>
        <v>2826.2499999999982</v>
      </c>
      <c r="X230" s="344">
        <v>1</v>
      </c>
      <c r="Y230" s="332">
        <f t="shared" si="160"/>
        <v>2826.2499999999982</v>
      </c>
      <c r="Z230" s="332">
        <f t="shared" si="161"/>
        <v>3225.2499999999982</v>
      </c>
      <c r="AA230" s="332">
        <f t="shared" si="162"/>
        <v>964.25000000000182</v>
      </c>
      <c r="AB230" s="332">
        <f t="shared" si="168"/>
        <v>764.75000000000182</v>
      </c>
      <c r="AC230" s="343">
        <f t="shared" si="163"/>
        <v>112.91666666666667</v>
      </c>
      <c r="AD230" s="329">
        <f t="shared" si="164"/>
        <v>121</v>
      </c>
      <c r="AE230" s="343">
        <f t="shared" si="165"/>
        <v>122.91666666666667</v>
      </c>
      <c r="AF230" s="329">
        <f t="shared" si="166"/>
        <v>120</v>
      </c>
      <c r="AG230" s="342">
        <f t="shared" si="167"/>
        <v>-8.3333333333333329E-2</v>
      </c>
    </row>
    <row r="231" spans="1:33">
      <c r="A231" s="418"/>
      <c r="B231" s="337" t="s">
        <v>955</v>
      </c>
      <c r="C231" s="337">
        <v>112</v>
      </c>
      <c r="D231" s="337">
        <v>12</v>
      </c>
      <c r="E231" s="346">
        <v>0</v>
      </c>
      <c r="G231" s="337" t="s">
        <v>904</v>
      </c>
      <c r="H231" s="337">
        <v>10</v>
      </c>
      <c r="I231" s="345">
        <f t="shared" si="151"/>
        <v>122</v>
      </c>
      <c r="L231" s="451">
        <v>5160</v>
      </c>
      <c r="N231" s="332">
        <f t="shared" si="152"/>
        <v>5160</v>
      </c>
      <c r="O231" s="332">
        <f t="shared" si="153"/>
        <v>43</v>
      </c>
      <c r="P231" s="332">
        <f t="shared" si="154"/>
        <v>516</v>
      </c>
      <c r="Q231" s="329">
        <f t="shared" si="155"/>
        <v>0</v>
      </c>
      <c r="R231" s="332">
        <f t="shared" si="156"/>
        <v>516</v>
      </c>
      <c r="S231" s="344">
        <v>1</v>
      </c>
      <c r="T231" s="332">
        <f t="shared" si="157"/>
        <v>516</v>
      </c>
      <c r="V231" s="332">
        <f t="shared" si="158"/>
        <v>3654.9999999999977</v>
      </c>
      <c r="W231" s="332">
        <f t="shared" si="159"/>
        <v>3654.9999999999977</v>
      </c>
      <c r="X231" s="344">
        <v>1</v>
      </c>
      <c r="Y231" s="332">
        <f t="shared" si="160"/>
        <v>3654.9999999999977</v>
      </c>
      <c r="Z231" s="332">
        <f t="shared" si="161"/>
        <v>4170.9999999999982</v>
      </c>
      <c r="AA231" s="332">
        <f t="shared" si="162"/>
        <v>1247.000000000002</v>
      </c>
      <c r="AB231" s="332">
        <f t="shared" si="168"/>
        <v>989.00000000000182</v>
      </c>
      <c r="AC231" s="343">
        <f t="shared" si="163"/>
        <v>112.91666666666667</v>
      </c>
      <c r="AD231" s="329">
        <f t="shared" si="164"/>
        <v>121</v>
      </c>
      <c r="AE231" s="343">
        <f t="shared" si="165"/>
        <v>122.91666666666667</v>
      </c>
      <c r="AF231" s="329">
        <f t="shared" si="166"/>
        <v>120</v>
      </c>
      <c r="AG231" s="342">
        <f t="shared" si="167"/>
        <v>-8.3333333333333329E-2</v>
      </c>
    </row>
    <row r="232" spans="1:33">
      <c r="A232" s="418"/>
      <c r="B232" s="337" t="s">
        <v>954</v>
      </c>
      <c r="C232" s="337">
        <v>113</v>
      </c>
      <c r="D232" s="337">
        <v>7</v>
      </c>
      <c r="E232" s="346">
        <v>0</v>
      </c>
      <c r="G232" s="337" t="s">
        <v>904</v>
      </c>
      <c r="H232" s="337">
        <v>10</v>
      </c>
      <c r="I232" s="345">
        <f t="shared" si="151"/>
        <v>123</v>
      </c>
      <c r="L232" s="451">
        <v>9208</v>
      </c>
      <c r="N232" s="332">
        <f t="shared" si="152"/>
        <v>9208</v>
      </c>
      <c r="O232" s="332">
        <f t="shared" si="153"/>
        <v>76.733333333333334</v>
      </c>
      <c r="P232" s="332">
        <f t="shared" si="154"/>
        <v>920.8</v>
      </c>
      <c r="Q232" s="329">
        <f t="shared" si="155"/>
        <v>0</v>
      </c>
      <c r="R232" s="332">
        <f t="shared" si="156"/>
        <v>920.8</v>
      </c>
      <c r="S232" s="344">
        <v>1</v>
      </c>
      <c r="T232" s="332">
        <f t="shared" si="157"/>
        <v>920.8</v>
      </c>
      <c r="V232" s="332">
        <f t="shared" si="158"/>
        <v>5985.2</v>
      </c>
      <c r="W232" s="332">
        <f t="shared" si="159"/>
        <v>5985.2</v>
      </c>
      <c r="X232" s="344">
        <v>1</v>
      </c>
      <c r="Y232" s="332">
        <f t="shared" si="160"/>
        <v>5985.2</v>
      </c>
      <c r="Z232" s="332">
        <f t="shared" si="161"/>
        <v>6906</v>
      </c>
      <c r="AA232" s="332">
        <f t="shared" si="162"/>
        <v>2762.4</v>
      </c>
      <c r="AB232" s="332">
        <f t="shared" si="168"/>
        <v>2302</v>
      </c>
      <c r="AC232" s="343">
        <f t="shared" si="163"/>
        <v>113.5</v>
      </c>
      <c r="AD232" s="329">
        <f t="shared" si="164"/>
        <v>121</v>
      </c>
      <c r="AE232" s="343">
        <f t="shared" si="165"/>
        <v>123.5</v>
      </c>
      <c r="AF232" s="329">
        <f t="shared" si="166"/>
        <v>120</v>
      </c>
      <c r="AG232" s="342">
        <f t="shared" si="167"/>
        <v>-8.3333333333333329E-2</v>
      </c>
    </row>
    <row r="233" spans="1:33">
      <c r="A233" s="418"/>
      <c r="B233" s="337" t="s">
        <v>954</v>
      </c>
      <c r="C233" s="337">
        <v>114</v>
      </c>
      <c r="D233" s="337">
        <v>5</v>
      </c>
      <c r="E233" s="346">
        <v>0</v>
      </c>
      <c r="G233" s="337" t="s">
        <v>904</v>
      </c>
      <c r="H233" s="337">
        <v>10</v>
      </c>
      <c r="I233" s="345">
        <f t="shared" si="151"/>
        <v>124</v>
      </c>
      <c r="L233" s="451">
        <v>9049</v>
      </c>
      <c r="N233" s="332">
        <f t="shared" si="152"/>
        <v>9049</v>
      </c>
      <c r="O233" s="332">
        <f t="shared" si="153"/>
        <v>75.408333333333331</v>
      </c>
      <c r="P233" s="332">
        <f t="shared" si="154"/>
        <v>904.9</v>
      </c>
      <c r="Q233" s="329">
        <f t="shared" si="155"/>
        <v>0</v>
      </c>
      <c r="R233" s="332">
        <f t="shared" si="156"/>
        <v>904.9</v>
      </c>
      <c r="S233" s="344">
        <v>1</v>
      </c>
      <c r="T233" s="332">
        <f t="shared" si="157"/>
        <v>904.9</v>
      </c>
      <c r="V233" s="332">
        <f t="shared" si="158"/>
        <v>5127.766666666671</v>
      </c>
      <c r="W233" s="332">
        <f t="shared" si="159"/>
        <v>5127.766666666671</v>
      </c>
      <c r="X233" s="344">
        <v>1</v>
      </c>
      <c r="Y233" s="332">
        <f t="shared" si="160"/>
        <v>5127.766666666671</v>
      </c>
      <c r="Z233" s="332">
        <f t="shared" si="161"/>
        <v>6032.6666666666706</v>
      </c>
      <c r="AA233" s="332">
        <f t="shared" si="162"/>
        <v>3468.7833333333292</v>
      </c>
      <c r="AB233" s="332">
        <f t="shared" si="168"/>
        <v>3016.3333333333294</v>
      </c>
      <c r="AC233" s="343">
        <f t="shared" si="163"/>
        <v>114.33333333333333</v>
      </c>
      <c r="AD233" s="329">
        <f t="shared" si="164"/>
        <v>121</v>
      </c>
      <c r="AE233" s="343">
        <f t="shared" si="165"/>
        <v>124.33333333333333</v>
      </c>
      <c r="AF233" s="329">
        <f t="shared" si="166"/>
        <v>120</v>
      </c>
      <c r="AG233" s="342">
        <f t="shared" si="167"/>
        <v>-8.3333333333333329E-2</v>
      </c>
    </row>
    <row r="234" spans="1:33">
      <c r="A234" s="418"/>
      <c r="B234" s="337" t="s">
        <v>956</v>
      </c>
      <c r="C234" s="337">
        <v>115</v>
      </c>
      <c r="D234" s="337">
        <v>11</v>
      </c>
      <c r="E234" s="346">
        <v>0</v>
      </c>
      <c r="G234" s="337" t="s">
        <v>904</v>
      </c>
      <c r="H234" s="337">
        <v>10</v>
      </c>
      <c r="I234" s="345">
        <f t="shared" si="151"/>
        <v>125</v>
      </c>
      <c r="L234" s="451">
        <v>10662</v>
      </c>
      <c r="N234" s="332">
        <f t="shared" si="152"/>
        <v>10662</v>
      </c>
      <c r="O234" s="332">
        <f t="shared" si="153"/>
        <v>88.850000000000009</v>
      </c>
      <c r="P234" s="332">
        <f t="shared" si="154"/>
        <v>1066.2</v>
      </c>
      <c r="Q234" s="329">
        <f t="shared" si="155"/>
        <v>0</v>
      </c>
      <c r="R234" s="332">
        <f t="shared" si="156"/>
        <v>1066.2</v>
      </c>
      <c r="S234" s="344">
        <v>1</v>
      </c>
      <c r="T234" s="332">
        <f t="shared" si="157"/>
        <v>1066.2</v>
      </c>
      <c r="V234" s="332">
        <f t="shared" si="158"/>
        <v>4442.5000000000055</v>
      </c>
      <c r="W234" s="332">
        <f t="shared" si="159"/>
        <v>4442.5000000000055</v>
      </c>
      <c r="X234" s="344">
        <v>1</v>
      </c>
      <c r="Y234" s="332">
        <f t="shared" si="160"/>
        <v>4442.5000000000055</v>
      </c>
      <c r="Z234" s="332">
        <f t="shared" si="161"/>
        <v>5508.7000000000053</v>
      </c>
      <c r="AA234" s="332">
        <f t="shared" si="162"/>
        <v>5686.3999999999942</v>
      </c>
      <c r="AB234" s="332">
        <f t="shared" si="168"/>
        <v>5153.2999999999947</v>
      </c>
      <c r="AC234" s="343">
        <f t="shared" si="163"/>
        <v>115.83333333333333</v>
      </c>
      <c r="AD234" s="329">
        <f t="shared" si="164"/>
        <v>121</v>
      </c>
      <c r="AE234" s="343">
        <f t="shared" si="165"/>
        <v>125.83333333333333</v>
      </c>
      <c r="AF234" s="329">
        <f t="shared" si="166"/>
        <v>120</v>
      </c>
      <c r="AG234" s="342">
        <f t="shared" si="167"/>
        <v>-8.3333333333333329E-2</v>
      </c>
    </row>
    <row r="235" spans="1:33">
      <c r="A235" s="418"/>
      <c r="B235" s="337" t="s">
        <v>955</v>
      </c>
      <c r="C235" s="337">
        <v>116</v>
      </c>
      <c r="D235" s="337">
        <v>6</v>
      </c>
      <c r="E235" s="346">
        <v>0</v>
      </c>
      <c r="G235" s="337" t="s">
        <v>904</v>
      </c>
      <c r="H235" s="337">
        <v>10</v>
      </c>
      <c r="I235" s="345">
        <f t="shared" si="151"/>
        <v>126</v>
      </c>
      <c r="L235" s="451">
        <v>5210</v>
      </c>
      <c r="N235" s="332">
        <f t="shared" si="152"/>
        <v>5210</v>
      </c>
      <c r="O235" s="332">
        <f t="shared" si="153"/>
        <v>43.416666666666664</v>
      </c>
      <c r="P235" s="332">
        <f t="shared" si="154"/>
        <v>521</v>
      </c>
      <c r="Q235" s="329">
        <f t="shared" si="155"/>
        <v>0</v>
      </c>
      <c r="R235" s="332">
        <f t="shared" si="156"/>
        <v>521</v>
      </c>
      <c r="S235" s="344">
        <v>1</v>
      </c>
      <c r="T235" s="332">
        <f t="shared" si="157"/>
        <v>521</v>
      </c>
      <c r="V235" s="332">
        <f t="shared" si="158"/>
        <v>1866.916666666664</v>
      </c>
      <c r="W235" s="332">
        <f t="shared" si="159"/>
        <v>1866.916666666664</v>
      </c>
      <c r="X235" s="344">
        <v>1</v>
      </c>
      <c r="Y235" s="332">
        <f t="shared" si="160"/>
        <v>1866.916666666664</v>
      </c>
      <c r="Z235" s="332">
        <f t="shared" si="161"/>
        <v>2387.9166666666642</v>
      </c>
      <c r="AA235" s="332">
        <f t="shared" si="162"/>
        <v>3082.5833333333358</v>
      </c>
      <c r="AB235" s="332">
        <f t="shared" si="168"/>
        <v>2822.0833333333358</v>
      </c>
      <c r="AC235" s="343">
        <f t="shared" si="163"/>
        <v>116.41666666666667</v>
      </c>
      <c r="AD235" s="329">
        <f t="shared" si="164"/>
        <v>121</v>
      </c>
      <c r="AE235" s="343">
        <f t="shared" si="165"/>
        <v>126.41666666666667</v>
      </c>
      <c r="AF235" s="329">
        <f t="shared" si="166"/>
        <v>120</v>
      </c>
      <c r="AG235" s="342">
        <f t="shared" si="167"/>
        <v>-8.3333333333333329E-2</v>
      </c>
    </row>
    <row r="236" spans="1:33">
      <c r="A236" s="418"/>
      <c r="B236" s="337" t="s">
        <v>955</v>
      </c>
      <c r="C236" s="337">
        <v>116</v>
      </c>
      <c r="D236" s="337">
        <v>6</v>
      </c>
      <c r="E236" s="346">
        <v>0</v>
      </c>
      <c r="G236" s="337" t="s">
        <v>904</v>
      </c>
      <c r="H236" s="337">
        <v>10</v>
      </c>
      <c r="I236" s="345">
        <f t="shared" si="151"/>
        <v>126</v>
      </c>
      <c r="L236" s="451">
        <v>5210</v>
      </c>
      <c r="N236" s="332">
        <f t="shared" si="152"/>
        <v>5210</v>
      </c>
      <c r="O236" s="332">
        <f t="shared" si="153"/>
        <v>43.416666666666664</v>
      </c>
      <c r="P236" s="332">
        <f t="shared" si="154"/>
        <v>521</v>
      </c>
      <c r="Q236" s="329">
        <f t="shared" si="155"/>
        <v>0</v>
      </c>
      <c r="R236" s="332">
        <f t="shared" si="156"/>
        <v>521</v>
      </c>
      <c r="S236" s="344">
        <v>1</v>
      </c>
      <c r="T236" s="332">
        <f t="shared" si="157"/>
        <v>521</v>
      </c>
      <c r="V236" s="332">
        <f t="shared" si="158"/>
        <v>1866.916666666664</v>
      </c>
      <c r="W236" s="332">
        <f t="shared" si="159"/>
        <v>1866.916666666664</v>
      </c>
      <c r="X236" s="344">
        <v>1</v>
      </c>
      <c r="Y236" s="332">
        <f t="shared" si="160"/>
        <v>1866.916666666664</v>
      </c>
      <c r="Z236" s="332">
        <f t="shared" si="161"/>
        <v>2387.9166666666642</v>
      </c>
      <c r="AA236" s="332">
        <f t="shared" si="162"/>
        <v>3082.5833333333358</v>
      </c>
      <c r="AB236" s="332">
        <f t="shared" si="168"/>
        <v>2822.0833333333358</v>
      </c>
      <c r="AC236" s="343">
        <f t="shared" si="163"/>
        <v>116.41666666666667</v>
      </c>
      <c r="AD236" s="329">
        <f t="shared" si="164"/>
        <v>121</v>
      </c>
      <c r="AE236" s="343">
        <f t="shared" si="165"/>
        <v>126.41666666666667</v>
      </c>
      <c r="AF236" s="329">
        <f t="shared" si="166"/>
        <v>120</v>
      </c>
      <c r="AG236" s="342">
        <f t="shared" si="167"/>
        <v>-8.3333333333333329E-2</v>
      </c>
    </row>
    <row r="237" spans="1:33">
      <c r="A237" s="418"/>
      <c r="B237" s="337" t="s">
        <v>954</v>
      </c>
      <c r="C237" s="337">
        <v>116</v>
      </c>
      <c r="D237" s="337">
        <v>7</v>
      </c>
      <c r="E237" s="346">
        <v>0</v>
      </c>
      <c r="G237" s="337" t="s">
        <v>904</v>
      </c>
      <c r="H237" s="337">
        <v>10</v>
      </c>
      <c r="I237" s="345">
        <f t="shared" ref="I237:I238" si="169">+C237+H237</f>
        <v>126</v>
      </c>
      <c r="L237" s="451">
        <v>9630</v>
      </c>
      <c r="N237" s="332">
        <f t="shared" ref="N237:N238" si="170">L237-L237*E237</f>
        <v>9630</v>
      </c>
      <c r="O237" s="332">
        <f t="shared" ref="O237:O238" si="171">N237/H237/12</f>
        <v>80.25</v>
      </c>
      <c r="P237" s="332">
        <f t="shared" ref="P237:P238" si="172">IF(M237&gt;0,0,IF(OR(AC237&gt;AD237,AE237&lt;AF237),0,IF(AND(AE237&gt;=AF237,AE237&lt;=AD237),O237*((AE237-AF237)*12),IF(AND(AF237&lt;=AC237,AD237&gt;=AC237),((AD237-AC237)*12)*O237,IF(AE237&gt;AD237,12*O237,0)))))</f>
        <v>963</v>
      </c>
      <c r="Q237" s="329">
        <f t="shared" ref="Q237:Q238" si="173">IF(M237=0,0,IF(AND(AG237&gt;=AF237,AG237&lt;=AE237),((AG237-AF237)*12)*O237,0))</f>
        <v>0</v>
      </c>
      <c r="R237" s="332">
        <f t="shared" ref="R237:R238" si="174">IF(Q237&gt;0,Q237,P237)</f>
        <v>963</v>
      </c>
      <c r="S237" s="344">
        <v>1</v>
      </c>
      <c r="T237" s="332">
        <f t="shared" ref="T237:T238" si="175">S237*SUM(P237:Q237)</f>
        <v>963</v>
      </c>
      <c r="V237" s="332">
        <f t="shared" ref="V237:V238" si="176">IF(AC237&gt;AD237,0,IF(AE237&lt;AF237,N237,IF(AND(AE237&gt;=AF237,AE237&lt;=AD237),(N237-R237),IF(AND(AF237&lt;=AC237,AD237&gt;=AC237),0,IF(AE237&gt;AD237,((AF237-AC237)*12)*O237,0)))))</f>
        <v>3370.5</v>
      </c>
      <c r="W237" s="332">
        <f t="shared" ref="W237:W238" si="177">V237*S237</f>
        <v>3370.5</v>
      </c>
      <c r="X237" s="344">
        <v>1</v>
      </c>
      <c r="Y237" s="332">
        <f t="shared" ref="Y237:Y238" si="178">W237*X237</f>
        <v>3370.5</v>
      </c>
      <c r="Z237" s="332">
        <f t="shared" ref="Z237:Z238" si="179">IF(M237&gt;0,0,Y237+T237*X237)*X237</f>
        <v>4333.5</v>
      </c>
      <c r="AA237" s="332">
        <f t="shared" ref="AA237:AA238" si="180">IF(M237&gt;0,(L237-Y237)/2,IF(AC237&gt;=AF237,(((L237*S237)*X237)-Z237)/2,((((L237*S237)*X237)-Y237)+(((L237*S237)*X237)-Z237))/2))</f>
        <v>5778</v>
      </c>
      <c r="AB237" s="332">
        <f t="shared" ref="AB237:AB238" si="181">L237-Z237</f>
        <v>5296.5</v>
      </c>
      <c r="AC237" s="343">
        <f t="shared" si="163"/>
        <v>116.5</v>
      </c>
      <c r="AD237" s="329">
        <f t="shared" si="164"/>
        <v>121</v>
      </c>
      <c r="AE237" s="343">
        <f t="shared" si="165"/>
        <v>126.5</v>
      </c>
      <c r="AF237" s="329">
        <f t="shared" si="166"/>
        <v>120</v>
      </c>
      <c r="AG237" s="342">
        <f t="shared" si="167"/>
        <v>-8.3333333333333329E-2</v>
      </c>
    </row>
    <row r="238" spans="1:33">
      <c r="A238" s="418"/>
      <c r="B238" s="337" t="s">
        <v>955</v>
      </c>
      <c r="C238" s="337">
        <v>120</v>
      </c>
      <c r="D238" s="337">
        <v>4</v>
      </c>
      <c r="E238" s="346">
        <v>0</v>
      </c>
      <c r="G238" s="337" t="s">
        <v>904</v>
      </c>
      <c r="H238" s="337">
        <v>10</v>
      </c>
      <c r="I238" s="345">
        <f t="shared" si="169"/>
        <v>130</v>
      </c>
      <c r="L238" s="697">
        <v>5597</v>
      </c>
      <c r="N238" s="332">
        <f t="shared" si="170"/>
        <v>5597</v>
      </c>
      <c r="O238" s="332">
        <f t="shared" si="171"/>
        <v>46.641666666666673</v>
      </c>
      <c r="P238" s="332">
        <f t="shared" si="172"/>
        <v>419.77500000000003</v>
      </c>
      <c r="Q238" s="329">
        <f t="shared" si="173"/>
        <v>0</v>
      </c>
      <c r="R238" s="332">
        <f t="shared" si="174"/>
        <v>419.77500000000003</v>
      </c>
      <c r="S238" s="344">
        <v>1</v>
      </c>
      <c r="T238" s="332">
        <f t="shared" si="175"/>
        <v>419.77500000000003</v>
      </c>
      <c r="V238" s="332">
        <f t="shared" si="176"/>
        <v>0</v>
      </c>
      <c r="W238" s="332">
        <f t="shared" si="177"/>
        <v>0</v>
      </c>
      <c r="X238" s="344">
        <v>1</v>
      </c>
      <c r="Y238" s="332">
        <f t="shared" si="178"/>
        <v>0</v>
      </c>
      <c r="Z238" s="332">
        <f t="shared" si="179"/>
        <v>419.77500000000003</v>
      </c>
      <c r="AA238" s="332">
        <f t="shared" si="180"/>
        <v>2588.6125000000002</v>
      </c>
      <c r="AB238" s="332">
        <f t="shared" si="181"/>
        <v>5177.2250000000004</v>
      </c>
      <c r="AC238" s="343">
        <f t="shared" si="163"/>
        <v>120.25</v>
      </c>
      <c r="AD238" s="329">
        <f t="shared" si="164"/>
        <v>121</v>
      </c>
      <c r="AE238" s="343">
        <f t="shared" si="165"/>
        <v>130.25</v>
      </c>
      <c r="AF238" s="329">
        <f t="shared" si="166"/>
        <v>120</v>
      </c>
      <c r="AG238" s="342">
        <f t="shared" si="167"/>
        <v>-8.3333333333333329E-2</v>
      </c>
    </row>
    <row r="239" spans="1:33">
      <c r="A239" s="713"/>
      <c r="B239" s="337" t="s">
        <v>1403</v>
      </c>
      <c r="C239" s="337">
        <v>120</v>
      </c>
      <c r="D239" s="337">
        <v>10</v>
      </c>
      <c r="E239" s="346">
        <v>0</v>
      </c>
      <c r="G239" s="337" t="s">
        <v>904</v>
      </c>
      <c r="H239" s="337">
        <v>10</v>
      </c>
      <c r="I239" s="345">
        <f t="shared" si="151"/>
        <v>130</v>
      </c>
      <c r="L239" s="697">
        <v>2351</v>
      </c>
      <c r="N239" s="332">
        <f t="shared" si="152"/>
        <v>2351</v>
      </c>
      <c r="O239" s="332">
        <f t="shared" si="153"/>
        <v>19.591666666666665</v>
      </c>
      <c r="P239" s="332">
        <f t="shared" si="154"/>
        <v>58.774999999999991</v>
      </c>
      <c r="Q239" s="329">
        <f t="shared" si="155"/>
        <v>0</v>
      </c>
      <c r="R239" s="332">
        <f t="shared" si="156"/>
        <v>58.774999999999991</v>
      </c>
      <c r="S239" s="344">
        <v>1</v>
      </c>
      <c r="T239" s="332">
        <f t="shared" si="157"/>
        <v>58.774999999999991</v>
      </c>
      <c r="V239" s="332">
        <f t="shared" si="158"/>
        <v>0</v>
      </c>
      <c r="W239" s="332">
        <f t="shared" si="159"/>
        <v>0</v>
      </c>
      <c r="X239" s="344">
        <v>1</v>
      </c>
      <c r="Y239" s="332">
        <f t="shared" si="160"/>
        <v>0</v>
      </c>
      <c r="Z239" s="332">
        <f t="shared" si="161"/>
        <v>58.774999999999991</v>
      </c>
      <c r="AA239" s="332">
        <f t="shared" si="162"/>
        <v>1146.1125</v>
      </c>
      <c r="AB239" s="332">
        <f t="shared" si="168"/>
        <v>2292.2249999999999</v>
      </c>
      <c r="AC239" s="343">
        <f t="shared" si="163"/>
        <v>120.75</v>
      </c>
      <c r="AD239" s="329">
        <f t="shared" si="164"/>
        <v>121</v>
      </c>
      <c r="AE239" s="343">
        <f t="shared" si="165"/>
        <v>130.75</v>
      </c>
      <c r="AF239" s="329">
        <f t="shared" si="166"/>
        <v>120</v>
      </c>
      <c r="AG239" s="342">
        <f t="shared" si="167"/>
        <v>-8.3333333333333329E-2</v>
      </c>
    </row>
    <row r="240" spans="1:33">
      <c r="I240" s="334"/>
      <c r="L240" s="332"/>
      <c r="N240" s="332"/>
      <c r="R240" s="332"/>
      <c r="T240" s="333"/>
      <c r="Y240" s="332"/>
      <c r="Z240" s="332"/>
      <c r="AA240" s="333"/>
      <c r="AB240" s="333"/>
    </row>
    <row r="241" spans="2:33" ht="16.5" thickBot="1">
      <c r="B241" s="337" t="s">
        <v>953</v>
      </c>
      <c r="I241" s="334"/>
      <c r="L241" s="332">
        <f>SUM(L211:L239)</f>
        <v>173550</v>
      </c>
      <c r="N241" s="332">
        <f>SUM(N211:N240)</f>
        <v>173550</v>
      </c>
      <c r="R241" s="332"/>
      <c r="T241" s="339">
        <f>SUM(T211:T240)</f>
        <v>6290.4499999999989</v>
      </c>
      <c r="V241" s="332">
        <f>SUM(V211:V240)</f>
        <v>136624.04999999999</v>
      </c>
      <c r="W241" s="332">
        <f>SUM(W211:W240)</f>
        <v>136624.04999999999</v>
      </c>
      <c r="Y241" s="332">
        <f>SUM(Y211:Y240)</f>
        <v>136624.04999999999</v>
      </c>
      <c r="Z241" s="332">
        <f>SUM(Z211:Z240)</f>
        <v>142914.49999999997</v>
      </c>
      <c r="AA241" s="339">
        <f>SUM(AA211:AA240)</f>
        <v>29806.724999999999</v>
      </c>
      <c r="AB241" s="339">
        <f>SUM(AB211:AB240)</f>
        <v>30635.5</v>
      </c>
    </row>
    <row r="242" spans="2:33" ht="16.5" thickTop="1">
      <c r="B242" s="337"/>
      <c r="I242" s="334" t="s">
        <v>902</v>
      </c>
      <c r="L242" s="338">
        <f>SUM(L211:L237)</f>
        <v>165602</v>
      </c>
      <c r="N242" s="332"/>
      <c r="R242" s="332"/>
      <c r="T242" s="347"/>
      <c r="Y242" s="332"/>
      <c r="Z242" s="332"/>
      <c r="AA242" s="347"/>
      <c r="AB242" s="347"/>
    </row>
    <row r="243" spans="2:33">
      <c r="B243" s="337"/>
      <c r="I243" s="334"/>
      <c r="L243" s="338"/>
      <c r="N243" s="332"/>
      <c r="R243" s="332"/>
      <c r="T243" s="347"/>
      <c r="Y243" s="332"/>
      <c r="Z243" s="332"/>
      <c r="AA243" s="347"/>
      <c r="AB243" s="347"/>
    </row>
    <row r="244" spans="2:33">
      <c r="B244" s="337" t="s">
        <v>952</v>
      </c>
      <c r="I244" s="334"/>
      <c r="L244" s="338"/>
      <c r="N244" s="332"/>
      <c r="R244" s="332"/>
      <c r="T244" s="347"/>
      <c r="Y244" s="332"/>
      <c r="Z244" s="332"/>
      <c r="AA244" s="347"/>
      <c r="AB244" s="347"/>
    </row>
    <row r="245" spans="2:33">
      <c r="B245" s="337" t="s">
        <v>951</v>
      </c>
      <c r="C245" s="337">
        <v>118</v>
      </c>
      <c r="D245" s="337">
        <v>3</v>
      </c>
      <c r="E245" s="426">
        <v>0</v>
      </c>
      <c r="G245" s="337" t="s">
        <v>904</v>
      </c>
      <c r="H245" s="337">
        <v>10</v>
      </c>
      <c r="I245" s="345">
        <f>+C245+H245</f>
        <v>128</v>
      </c>
      <c r="L245" s="451">
        <v>12251</v>
      </c>
      <c r="N245" s="332">
        <f>L245-L245*E245</f>
        <v>12251</v>
      </c>
      <c r="O245" s="332">
        <f>N245/H245/12</f>
        <v>102.09166666666665</v>
      </c>
      <c r="P245" s="332">
        <f t="shared" ref="P245:P246" si="182">IF(M245&gt;0,0,IF(OR(AC245&gt;AD245,AE245&lt;AF245),0,IF(AND(AE245&gt;=AF245,AE245&lt;=AD245),O245*((AE245-AF245)*12),IF(AND(AF245&lt;=AC245,AD245&gt;=AC245),((AD245-AC245)*12)*O245,IF(AE245&gt;AD245,12*O245,0)))))</f>
        <v>1225.0999999999999</v>
      </c>
      <c r="Q245" s="329">
        <f>IF(M245=0,0,IF(AND(AG245&gt;=AF245,AG245&lt;=AE245),((AG245-AF245)*12)*O245,0))</f>
        <v>0</v>
      </c>
      <c r="R245" s="332">
        <f>IF(Q245&gt;0,Q245,P245)</f>
        <v>1225.0999999999999</v>
      </c>
      <c r="S245" s="427">
        <v>1</v>
      </c>
      <c r="T245" s="332">
        <f>S245*SUM(P245:Q245)</f>
        <v>1225.0999999999999</v>
      </c>
      <c r="V245" s="332">
        <f>IF(AC245&gt;AD245,0,IF(AE245&lt;AF245,N245,IF(AND(AE245&gt;=AF245,AE245&lt;=AD245),(N245-R245),IF(AND(AF245&lt;=AC245,AD245&gt;=AC245),0,IF(AE245&gt;AD245,((AF245-AC245)*12)*O245,0)))))</f>
        <v>2246.0166666666605</v>
      </c>
      <c r="W245" s="332">
        <f>V245*S245</f>
        <v>2246.0166666666605</v>
      </c>
      <c r="X245" s="344">
        <v>1</v>
      </c>
      <c r="Y245" s="332">
        <f>W245*X245</f>
        <v>2246.0166666666605</v>
      </c>
      <c r="Z245" s="332">
        <f>IF(M245&gt;0,0,Y245+T245*X245)*X245</f>
        <v>3471.1166666666604</v>
      </c>
      <c r="AA245" s="332">
        <f>IF(M245&gt;0,(L245-Y245)/2,IF(AC245&gt;=AF245,(((L245*S245)*X245)-Z245)/2,((((L245*S245)*X245)-Y245)+(((L245*S245)*X245)-Z245))/2))</f>
        <v>9392.4333333333379</v>
      </c>
      <c r="AB245" s="332">
        <f t="shared" ref="AB245:AB246" si="183">L245-Z245</f>
        <v>8779.8833333333387</v>
      </c>
      <c r="AC245" s="343">
        <f>$C245+(($D245-1)/12)</f>
        <v>118.16666666666667</v>
      </c>
      <c r="AD245" s="329">
        <f>($N$5+1)-($N$2/12)</f>
        <v>121</v>
      </c>
      <c r="AE245" s="343">
        <f>$I245+(($D245-1)/12)</f>
        <v>128.16666666666666</v>
      </c>
      <c r="AF245" s="329">
        <f>$N$4+($N$3/12)</f>
        <v>120</v>
      </c>
      <c r="AG245" s="342">
        <f>$J245+(($K245-1)/12)</f>
        <v>-8.3333333333333329E-2</v>
      </c>
    </row>
    <row r="246" spans="2:33">
      <c r="B246" s="337" t="s">
        <v>950</v>
      </c>
      <c r="C246" s="337">
        <v>118</v>
      </c>
      <c r="D246" s="337">
        <v>6</v>
      </c>
      <c r="E246" s="426">
        <v>0</v>
      </c>
      <c r="G246" s="337" t="s">
        <v>904</v>
      </c>
      <c r="H246" s="337">
        <v>10</v>
      </c>
      <c r="I246" s="345">
        <f>+C246+H246</f>
        <v>128</v>
      </c>
      <c r="L246" s="451">
        <v>17442</v>
      </c>
      <c r="N246" s="332">
        <f>L246-L246*E246</f>
        <v>17442</v>
      </c>
      <c r="O246" s="332">
        <f>N246/H246/12</f>
        <v>145.35</v>
      </c>
      <c r="P246" s="332">
        <f t="shared" si="182"/>
        <v>1744.1999999999998</v>
      </c>
      <c r="Q246" s="329">
        <f>IF(M246=0,0,IF(AND(AG246&gt;=AF246,AG246&lt;=AE246),((AG246-AF246)*12)*O246,0))</f>
        <v>0</v>
      </c>
      <c r="R246" s="332">
        <f>IF(Q246&gt;0,Q246,P246)</f>
        <v>1744.1999999999998</v>
      </c>
      <c r="S246" s="427">
        <v>1</v>
      </c>
      <c r="T246" s="332">
        <f>S246*SUM(P246:Q246)</f>
        <v>1744.1999999999998</v>
      </c>
      <c r="V246" s="332">
        <f>IF(AC246&gt;AD246,0,IF(AE246&lt;AF246,N246,IF(AND(AE246&gt;=AF246,AE246&lt;=AD246),(N246-R246),IF(AND(AF246&lt;=AC246,AD246&gt;=AC246),0,IF(AE246&gt;AD246,((AF246-AC246)*12)*O246,0)))))</f>
        <v>2761.6499999999915</v>
      </c>
      <c r="W246" s="332">
        <f>V246*S246</f>
        <v>2761.6499999999915</v>
      </c>
      <c r="X246" s="344">
        <v>1</v>
      </c>
      <c r="Y246" s="332">
        <f>W246*X246</f>
        <v>2761.6499999999915</v>
      </c>
      <c r="Z246" s="332">
        <f>IF(M246&gt;0,0,Y246+T246*X246)*X246</f>
        <v>4505.8499999999913</v>
      </c>
      <c r="AA246" s="332">
        <f>IF(M246&gt;0,(L246-Y246)/2,IF(AC246&gt;=AF246,(((L246*S246)*X246)-Z246)/2,((((L246*S246)*X246)-Y246)+(((L246*S246)*X246)-Z246))/2))</f>
        <v>13808.250000000009</v>
      </c>
      <c r="AB246" s="332">
        <f t="shared" si="183"/>
        <v>12936.150000000009</v>
      </c>
      <c r="AC246" s="343">
        <f>$C246+(($D246-1)/12)</f>
        <v>118.41666666666667</v>
      </c>
      <c r="AD246" s="329">
        <f>($N$5+1)-($N$2/12)</f>
        <v>121</v>
      </c>
      <c r="AE246" s="343">
        <f>$I246+(($D246-1)/12)</f>
        <v>128.41666666666666</v>
      </c>
      <c r="AF246" s="329">
        <f>$N$4+($N$3/12)</f>
        <v>120</v>
      </c>
      <c r="AG246" s="342">
        <f>$J246+(($K246-1)/12)</f>
        <v>-8.3333333333333329E-2</v>
      </c>
    </row>
    <row r="247" spans="2:33">
      <c r="I247" s="334"/>
      <c r="L247" s="332"/>
      <c r="N247" s="332"/>
      <c r="R247" s="332"/>
      <c r="T247" s="347"/>
      <c r="Y247" s="332"/>
      <c r="Z247" s="332"/>
      <c r="AA247" s="347"/>
      <c r="AB247" s="347"/>
    </row>
    <row r="248" spans="2:33" ht="16.5" thickBot="1">
      <c r="B248" s="337" t="s">
        <v>947</v>
      </c>
      <c r="I248" s="334"/>
      <c r="L248" s="340">
        <f>SUM(L245:L246)</f>
        <v>29693</v>
      </c>
      <c r="N248" s="332">
        <f>SUM(N245:N246)</f>
        <v>29693</v>
      </c>
      <c r="R248" s="332">
        <f>SUM(R245:R246)</f>
        <v>2969.2999999999997</v>
      </c>
      <c r="T248" s="339">
        <f>SUM(T245:T247)</f>
        <v>2969.2999999999997</v>
      </c>
      <c r="V248" s="332">
        <f>SUM(V245:V247)</f>
        <v>5007.6666666666515</v>
      </c>
      <c r="W248" s="332">
        <f>SUM(W245:W247)</f>
        <v>5007.6666666666515</v>
      </c>
      <c r="Y248" s="332">
        <f>SUM(Y245:Y247)</f>
        <v>5007.6666666666515</v>
      </c>
      <c r="Z248" s="332">
        <f>SUM(Z245:Z247)</f>
        <v>7976.9666666666517</v>
      </c>
      <c r="AA248" s="339">
        <f>SUM(AA245:AA247)</f>
        <v>23200.683333333349</v>
      </c>
      <c r="AB248" s="339">
        <f>SUM(AB245:AB247)</f>
        <v>21716.033333333347</v>
      </c>
    </row>
    <row r="249" spans="2:33" ht="16.5" thickTop="1">
      <c r="I249" s="334" t="s">
        <v>902</v>
      </c>
      <c r="L249" s="716">
        <f>SUM(L245:L246)</f>
        <v>29693</v>
      </c>
      <c r="N249" s="332"/>
      <c r="R249" s="332"/>
      <c r="T249" s="347"/>
      <c r="Y249" s="332"/>
      <c r="Z249" s="332"/>
      <c r="AA249" s="347"/>
      <c r="AB249" s="347"/>
    </row>
    <row r="250" spans="2:33">
      <c r="I250" s="334"/>
      <c r="L250" s="338"/>
      <c r="N250" s="332"/>
      <c r="R250" s="332"/>
      <c r="T250" s="347"/>
      <c r="Y250" s="332"/>
      <c r="Z250" s="332"/>
      <c r="AA250" s="347"/>
      <c r="AB250" s="347"/>
    </row>
    <row r="251" spans="2:33">
      <c r="B251" s="337" t="s">
        <v>949</v>
      </c>
      <c r="I251" s="334"/>
      <c r="L251" s="338"/>
      <c r="N251" s="332"/>
      <c r="R251" s="332"/>
      <c r="T251" s="347"/>
      <c r="Y251" s="332"/>
      <c r="Z251" s="332"/>
      <c r="AA251" s="347"/>
      <c r="AB251" s="347"/>
    </row>
    <row r="252" spans="2:33">
      <c r="B252" s="337" t="s">
        <v>948</v>
      </c>
      <c r="C252" s="337">
        <v>117</v>
      </c>
      <c r="D252" s="337">
        <v>8</v>
      </c>
      <c r="E252" s="426">
        <v>0</v>
      </c>
      <c r="G252" s="337" t="s">
        <v>904</v>
      </c>
      <c r="H252" s="337">
        <v>7</v>
      </c>
      <c r="I252" s="345">
        <f>+C252+H252</f>
        <v>124</v>
      </c>
      <c r="L252" s="451">
        <v>3462</v>
      </c>
      <c r="N252" s="332">
        <f>L252-L252*E252</f>
        <v>3462</v>
      </c>
      <c r="O252" s="332">
        <f>N252/H252/12</f>
        <v>41.214285714285715</v>
      </c>
      <c r="P252" s="332">
        <f>IF(M252&gt;0,0,IF(OR(AC252&gt;AD252,AE252&lt;AF252),0,IF(AND(AE252&gt;=AF252,AE252&lt;=AD252),O252*((AE252-AF252)*12),IF(AND(AF252&lt;=AC252,AD252&gt;=AC252),((AD252-AC252)*12)*O252,IF(AE252&gt;AD252,12*O252,0)))))</f>
        <v>494.57142857142856</v>
      </c>
      <c r="Q252" s="329">
        <f>IF(M252=0,0,IF(AND(AG252&gt;=AF252,AG252&lt;=AE252),((AG252-AF252)*12)*O252,0))</f>
        <v>0</v>
      </c>
      <c r="R252" s="332">
        <f>IF(Q252&gt;0,Q252,P252)</f>
        <v>494.57142857142856</v>
      </c>
      <c r="S252" s="427">
        <v>1</v>
      </c>
      <c r="T252" s="332">
        <f>S252*SUM(P252:Q252)</f>
        <v>494.57142857142856</v>
      </c>
      <c r="V252" s="332">
        <f>IF(AC252&gt;AD252,0,IF(AE252&lt;AF252,N252,IF(AND(AE252&gt;=AF252,AE252&lt;=AD252),(N252-R252),IF(AND(AF252&lt;=AC252,AD252&gt;=AC252),0,IF(AE252&gt;AD252,((AF252-AC252)*12)*O252,0)))))</f>
        <v>1195.2142857142881</v>
      </c>
      <c r="W252" s="332">
        <f>V252*S252</f>
        <v>1195.2142857142881</v>
      </c>
      <c r="X252" s="344">
        <v>1</v>
      </c>
      <c r="Y252" s="332">
        <f>W252*X252</f>
        <v>1195.2142857142881</v>
      </c>
      <c r="Z252" s="332">
        <f>IF(M252&gt;0,0,Y252+T252*X252)*X252</f>
        <v>1689.7857142857165</v>
      </c>
      <c r="AA252" s="332">
        <f>IF(M252&gt;0,(L252-Y252)/2,IF(AC252&gt;=AF252,(((L252*S252)*X252)-Z252)/2,((((L252*S252)*X252)-Y252)+(((L252*S252)*X252)-Z252))/2))</f>
        <v>2019.4999999999977</v>
      </c>
      <c r="AB252" s="332">
        <f t="shared" ref="AB252" si="184">L252-Z252</f>
        <v>1772.2142857142835</v>
      </c>
      <c r="AC252" s="343">
        <f>$C252+(($D252-1)/12)</f>
        <v>117.58333333333333</v>
      </c>
      <c r="AD252" s="329">
        <f>($N$5+1)-($N$2/12)</f>
        <v>121</v>
      </c>
      <c r="AE252" s="343">
        <f>$I252+(($D252-1)/12)</f>
        <v>124.58333333333333</v>
      </c>
      <c r="AF252" s="329">
        <f>$N$4+($N$3/12)</f>
        <v>120</v>
      </c>
      <c r="AG252" s="342">
        <f>$J252+(($K252-1)/12)</f>
        <v>-8.3333333333333329E-2</v>
      </c>
    </row>
    <row r="253" spans="2:33">
      <c r="B253" s="337" t="s">
        <v>1336</v>
      </c>
      <c r="C253" s="337">
        <v>119</v>
      </c>
      <c r="D253" s="337">
        <v>8</v>
      </c>
      <c r="E253" s="426">
        <v>0</v>
      </c>
      <c r="G253" s="337" t="s">
        <v>904</v>
      </c>
      <c r="H253" s="337">
        <v>7</v>
      </c>
      <c r="I253" s="345">
        <f>+C253+H253</f>
        <v>126</v>
      </c>
      <c r="L253" s="335">
        <v>840</v>
      </c>
      <c r="N253" s="332">
        <f>L253-L253*E253</f>
        <v>840</v>
      </c>
      <c r="O253" s="332">
        <f>N253/H253/12</f>
        <v>10</v>
      </c>
      <c r="P253" s="332">
        <f>IF(M253&gt;0,0,IF(OR(AC253&gt;AD253,AE253&lt;AF253),0,IF(AND(AE253&gt;=AF253,AE253&lt;=AD253),O253*((AE253-AF253)*12),IF(AND(AF253&lt;=AC253,AD253&gt;=AC253),((AD253-AC253)*12)*O253,IF(AE253&gt;AD253,12*O253,0)))))</f>
        <v>120</v>
      </c>
      <c r="Q253" s="329">
        <f>IF(M253=0,0,IF(AND(AG253&gt;=AF253,AG253&lt;=AE253),((AG253-AF253)*12)*O253,0))</f>
        <v>0</v>
      </c>
      <c r="R253" s="332">
        <f>IF(Q253&gt;0,Q253,P253)</f>
        <v>120</v>
      </c>
      <c r="S253" s="427">
        <v>1</v>
      </c>
      <c r="T253" s="332">
        <f>S253*SUM(P253:Q253)</f>
        <v>120</v>
      </c>
      <c r="V253" s="332">
        <f>IF(AC253&gt;AD253,0,IF(AE253&lt;AF253,N253,IF(AND(AE253&gt;=AF253,AE253&lt;=AD253),(N253-R253),IF(AND(AF253&lt;=AC253,AD253&gt;=AC253),0,IF(AE253&gt;AD253,((AF253-AC253)*12)*O253,0)))))</f>
        <v>50.000000000000568</v>
      </c>
      <c r="W253" s="332">
        <f>V253*S253</f>
        <v>50.000000000000568</v>
      </c>
      <c r="X253" s="344">
        <v>1</v>
      </c>
      <c r="Y253" s="332">
        <f>W253*X253</f>
        <v>50.000000000000568</v>
      </c>
      <c r="Z253" s="332">
        <f>IF(M253&gt;0,0,Y253+T253*X253)*X253</f>
        <v>170.00000000000057</v>
      </c>
      <c r="AA253" s="332">
        <f>IF(M253&gt;0,(L253-Y253)/2,IF(AC253&gt;=AF253,(((L253*S253)*X253)-Z253)/2,((((L253*S253)*X253)-Y253)+(((L253*S253)*X253)-Z253))/2))</f>
        <v>729.99999999999943</v>
      </c>
      <c r="AB253" s="332">
        <f t="shared" ref="AB253" si="185">L253-Z253</f>
        <v>669.99999999999943</v>
      </c>
      <c r="AC253" s="343">
        <f>$C253+(($D253-1)/12)</f>
        <v>119.58333333333333</v>
      </c>
      <c r="AD253" s="329">
        <f>($N$5+1)-($N$2/12)</f>
        <v>121</v>
      </c>
      <c r="AE253" s="343">
        <f>$I253+(($D253-1)/12)</f>
        <v>126.58333333333333</v>
      </c>
      <c r="AF253" s="329">
        <f>$N$4+($N$3/12)</f>
        <v>120</v>
      </c>
      <c r="AG253" s="342">
        <f>$J253+(($K253-1)/12)</f>
        <v>-8.3333333333333329E-2</v>
      </c>
    </row>
    <row r="254" spans="2:33">
      <c r="I254" s="334"/>
      <c r="L254" s="332"/>
      <c r="N254" s="332"/>
      <c r="R254" s="332"/>
      <c r="T254" s="347"/>
      <c r="Y254" s="332"/>
      <c r="Z254" s="332"/>
      <c r="AA254" s="347"/>
      <c r="AB254" s="347"/>
    </row>
    <row r="255" spans="2:33" ht="16.5" thickBot="1">
      <c r="B255" s="337" t="s">
        <v>947</v>
      </c>
      <c r="I255" s="334"/>
      <c r="L255" s="340">
        <f>SUM(L252:L253)</f>
        <v>4302</v>
      </c>
      <c r="N255" s="332">
        <f>SUM(N252:N253)</f>
        <v>4302</v>
      </c>
      <c r="R255" s="332"/>
      <c r="T255" s="339">
        <f>SUM(T252:T254)</f>
        <v>614.57142857142856</v>
      </c>
      <c r="V255" s="332">
        <f>SUM(V252:V254)</f>
        <v>1245.2142857142885</v>
      </c>
      <c r="W255" s="332">
        <f>SUM(W252:W254)</f>
        <v>1245.2142857142885</v>
      </c>
      <c r="Y255" s="332">
        <f>SUM(Y252:Y254)</f>
        <v>1245.2142857142885</v>
      </c>
      <c r="Z255" s="332">
        <f>SUM(Z252:Z254)</f>
        <v>1859.7857142857169</v>
      </c>
      <c r="AA255" s="339">
        <f>SUM(AA252:AA254)</f>
        <v>2749.4999999999973</v>
      </c>
      <c r="AB255" s="339">
        <f>SUM(AB252:AB254)</f>
        <v>2442.2142857142831</v>
      </c>
    </row>
    <row r="256" spans="2:33" ht="16.5" thickTop="1">
      <c r="I256" s="334" t="s">
        <v>902</v>
      </c>
      <c r="L256" s="338">
        <f>SUM(L252:L253)</f>
        <v>4302</v>
      </c>
      <c r="N256" s="332"/>
      <c r="R256" s="332"/>
      <c r="T256" s="347"/>
      <c r="Y256" s="332"/>
      <c r="Z256" s="332"/>
      <c r="AA256" s="347"/>
      <c r="AB256" s="347"/>
    </row>
    <row r="257" spans="2:33">
      <c r="I257" s="334"/>
      <c r="L257" s="338"/>
      <c r="N257" s="332"/>
      <c r="R257" s="332"/>
      <c r="T257" s="347"/>
      <c r="Y257" s="332"/>
      <c r="Z257" s="332"/>
      <c r="AA257" s="347"/>
      <c r="AB257" s="347" t="s">
        <v>327</v>
      </c>
    </row>
    <row r="258" spans="2:33">
      <c r="B258" s="337" t="s">
        <v>946</v>
      </c>
      <c r="I258" s="334"/>
      <c r="L258" s="332"/>
      <c r="N258" s="332"/>
      <c r="R258" s="332"/>
      <c r="T258" s="347"/>
      <c r="Y258" s="332"/>
      <c r="Z258" s="332"/>
      <c r="AA258" s="347"/>
      <c r="AB258" s="347"/>
    </row>
    <row r="259" spans="2:33">
      <c r="B259" s="337" t="s">
        <v>945</v>
      </c>
      <c r="C259" s="337">
        <v>87</v>
      </c>
      <c r="D259" s="337">
        <v>11</v>
      </c>
      <c r="E259" s="346">
        <v>0</v>
      </c>
      <c r="G259" s="337" t="s">
        <v>904</v>
      </c>
      <c r="H259" s="337">
        <v>10</v>
      </c>
      <c r="I259" s="345">
        <f t="shared" ref="I259:I283" si="186">+C259+H259</f>
        <v>97</v>
      </c>
      <c r="L259" s="335">
        <v>975</v>
      </c>
      <c r="N259" s="332">
        <f t="shared" ref="N259:N283" si="187">L259-L259*E259</f>
        <v>975</v>
      </c>
      <c r="O259" s="332">
        <f t="shared" ref="O259:O283" si="188">N259/H259/12</f>
        <v>8.125</v>
      </c>
      <c r="P259" s="332">
        <f t="shared" ref="P259:P283" si="189">IF(M259&gt;0,0,IF(OR(AC259&gt;AD259,AE259&lt;AF259),0,IF(AND(AE259&gt;=AF259,AE259&lt;=AD259),O259*((AE259-AF259)*12),IF(AND(AF259&lt;=AC259,AD259&gt;=AC259),((AD259-AC259)*12)*O259,IF(AE259&gt;AD259,12*O259,0)))))</f>
        <v>0</v>
      </c>
      <c r="Q259" s="329">
        <f t="shared" ref="Q259:Q283" si="190">IF(M259=0,0,IF(AND(AG259&gt;=AF259,AG259&lt;=AE259),((AG259-AF259)*12)*O259,0))</f>
        <v>0</v>
      </c>
      <c r="R259" s="332">
        <f t="shared" ref="R259:R283" si="191">IF(Q259&gt;0,Q259,P259)</f>
        <v>0</v>
      </c>
      <c r="S259" s="344">
        <v>1</v>
      </c>
      <c r="T259" s="332">
        <f t="shared" ref="T259:T283" si="192">S259*SUM(P259:Q259)</f>
        <v>0</v>
      </c>
      <c r="V259" s="332">
        <f t="shared" ref="V259:V283" si="193">IF(AC259&gt;AD259,0,IF(AE259&lt;AF259,N259,IF(AND(AE259&gt;=AF259,AE259&lt;=AD259),(N259-R259),IF(AND(AF259&lt;=AC259,AD259&gt;=AC259),0,IF(AE259&gt;AD259,((AF259-AC259)*12)*O259,0)))))</f>
        <v>975</v>
      </c>
      <c r="W259" s="332">
        <f t="shared" ref="W259:W283" si="194">V259*S259</f>
        <v>975</v>
      </c>
      <c r="X259" s="344">
        <v>1</v>
      </c>
      <c r="Y259" s="332">
        <f t="shared" ref="Y259:Y283" si="195">W259*X259</f>
        <v>975</v>
      </c>
      <c r="Z259" s="332">
        <f t="shared" ref="Z259:Z283" si="196">IF(M259&gt;0,0,Y259+T259*X259)*X259</f>
        <v>975</v>
      </c>
      <c r="AA259" s="332">
        <f t="shared" ref="AA259:AA283" si="197">IF(M259&gt;0,(L259-Y259)/2,IF(AC259&gt;=AF259,(((L259*S259)*X259)-Z259)/2,((((L259*S259)*X259)-Y259)+(((L259*S259)*X259)-Z259))/2))</f>
        <v>0</v>
      </c>
      <c r="AB259" s="332">
        <f>L259-Z259</f>
        <v>0</v>
      </c>
      <c r="AC259" s="343">
        <f t="shared" ref="AC259:AC283" si="198">$C259+(($D259-1)/12)</f>
        <v>87.833333333333329</v>
      </c>
      <c r="AD259" s="329">
        <f t="shared" ref="AD259:AD283" si="199">($N$5+1)-($N$2/12)</f>
        <v>121</v>
      </c>
      <c r="AE259" s="343">
        <f t="shared" ref="AE259:AE283" si="200">$I259+(($D259-1)/12)</f>
        <v>97.833333333333329</v>
      </c>
      <c r="AF259" s="329">
        <f t="shared" ref="AF259:AF283" si="201">$N$4+($N$3/12)</f>
        <v>120</v>
      </c>
      <c r="AG259" s="342">
        <f t="shared" ref="AG259:AG283" si="202">$J259+(($K259-1)/12)</f>
        <v>-8.3333333333333329E-2</v>
      </c>
    </row>
    <row r="260" spans="2:33">
      <c r="B260" s="337" t="s">
        <v>943</v>
      </c>
      <c r="C260" s="337">
        <v>93</v>
      </c>
      <c r="D260" s="337">
        <v>4</v>
      </c>
      <c r="E260" s="346">
        <v>0</v>
      </c>
      <c r="G260" s="337" t="s">
        <v>904</v>
      </c>
      <c r="H260" s="337">
        <v>10</v>
      </c>
      <c r="I260" s="345">
        <f t="shared" si="186"/>
        <v>103</v>
      </c>
      <c r="L260" s="335">
        <v>1000</v>
      </c>
      <c r="N260" s="332">
        <f t="shared" si="187"/>
        <v>1000</v>
      </c>
      <c r="O260" s="332">
        <f t="shared" si="188"/>
        <v>8.3333333333333339</v>
      </c>
      <c r="P260" s="332">
        <f t="shared" si="189"/>
        <v>0</v>
      </c>
      <c r="Q260" s="329">
        <f t="shared" si="190"/>
        <v>0</v>
      </c>
      <c r="R260" s="332">
        <f t="shared" si="191"/>
        <v>0</v>
      </c>
      <c r="S260" s="344">
        <v>1</v>
      </c>
      <c r="T260" s="332">
        <f t="shared" si="192"/>
        <v>0</v>
      </c>
      <c r="V260" s="332">
        <f t="shared" si="193"/>
        <v>1000</v>
      </c>
      <c r="W260" s="332">
        <f t="shared" si="194"/>
        <v>1000</v>
      </c>
      <c r="X260" s="344">
        <v>1</v>
      </c>
      <c r="Y260" s="332">
        <f t="shared" si="195"/>
        <v>1000</v>
      </c>
      <c r="Z260" s="332">
        <f t="shared" si="196"/>
        <v>1000</v>
      </c>
      <c r="AA260" s="332">
        <f t="shared" si="197"/>
        <v>0</v>
      </c>
      <c r="AB260" s="332">
        <f t="shared" ref="AB260:AB283" si="203">L260-Z260</f>
        <v>0</v>
      </c>
      <c r="AC260" s="343">
        <f t="shared" si="198"/>
        <v>93.25</v>
      </c>
      <c r="AD260" s="329">
        <f t="shared" si="199"/>
        <v>121</v>
      </c>
      <c r="AE260" s="343">
        <f t="shared" si="200"/>
        <v>103.25</v>
      </c>
      <c r="AF260" s="329">
        <f t="shared" si="201"/>
        <v>120</v>
      </c>
      <c r="AG260" s="342">
        <f t="shared" si="202"/>
        <v>-8.3333333333333329E-2</v>
      </c>
    </row>
    <row r="261" spans="2:33">
      <c r="B261" s="337" t="s">
        <v>934</v>
      </c>
      <c r="C261" s="337">
        <v>104</v>
      </c>
      <c r="D261" s="337">
        <v>10</v>
      </c>
      <c r="E261" s="346">
        <v>0</v>
      </c>
      <c r="G261" s="337" t="s">
        <v>904</v>
      </c>
      <c r="H261" s="337">
        <v>10</v>
      </c>
      <c r="I261" s="345">
        <f t="shared" si="186"/>
        <v>114</v>
      </c>
      <c r="L261" s="335">
        <v>2592</v>
      </c>
      <c r="N261" s="332">
        <f t="shared" si="187"/>
        <v>2592</v>
      </c>
      <c r="O261" s="332">
        <f t="shared" si="188"/>
        <v>21.599999999999998</v>
      </c>
      <c r="P261" s="332">
        <f t="shared" si="189"/>
        <v>0</v>
      </c>
      <c r="Q261" s="329">
        <f t="shared" si="190"/>
        <v>0</v>
      </c>
      <c r="R261" s="332">
        <f t="shared" si="191"/>
        <v>0</v>
      </c>
      <c r="S261" s="344">
        <v>1</v>
      </c>
      <c r="T261" s="332">
        <f t="shared" si="192"/>
        <v>0</v>
      </c>
      <c r="V261" s="332">
        <f t="shared" si="193"/>
        <v>2592</v>
      </c>
      <c r="W261" s="332">
        <f t="shared" si="194"/>
        <v>2592</v>
      </c>
      <c r="X261" s="344">
        <v>1</v>
      </c>
      <c r="Y261" s="332">
        <f t="shared" si="195"/>
        <v>2592</v>
      </c>
      <c r="Z261" s="332">
        <f t="shared" si="196"/>
        <v>2592</v>
      </c>
      <c r="AA261" s="332">
        <f t="shared" si="197"/>
        <v>0</v>
      </c>
      <c r="AB261" s="332">
        <f t="shared" si="203"/>
        <v>0</v>
      </c>
      <c r="AC261" s="343">
        <f t="shared" si="198"/>
        <v>104.75</v>
      </c>
      <c r="AD261" s="329">
        <f t="shared" si="199"/>
        <v>121</v>
      </c>
      <c r="AE261" s="343">
        <f t="shared" si="200"/>
        <v>114.75</v>
      </c>
      <c r="AF261" s="329">
        <f t="shared" si="201"/>
        <v>120</v>
      </c>
      <c r="AG261" s="342">
        <f t="shared" si="202"/>
        <v>-8.3333333333333329E-2</v>
      </c>
    </row>
    <row r="262" spans="2:33">
      <c r="B262" s="337" t="s">
        <v>944</v>
      </c>
      <c r="C262" s="337">
        <v>104</v>
      </c>
      <c r="D262" s="337">
        <v>11</v>
      </c>
      <c r="E262" s="346">
        <v>0</v>
      </c>
      <c r="G262" s="337" t="s">
        <v>904</v>
      </c>
      <c r="H262" s="337">
        <v>10</v>
      </c>
      <c r="I262" s="345">
        <f t="shared" si="186"/>
        <v>114</v>
      </c>
      <c r="L262" s="335">
        <v>4320</v>
      </c>
      <c r="N262" s="332">
        <f t="shared" si="187"/>
        <v>4320</v>
      </c>
      <c r="O262" s="332">
        <f t="shared" si="188"/>
        <v>36</v>
      </c>
      <c r="P262" s="332">
        <f t="shared" si="189"/>
        <v>0</v>
      </c>
      <c r="Q262" s="329">
        <f t="shared" si="190"/>
        <v>0</v>
      </c>
      <c r="R262" s="332">
        <f t="shared" si="191"/>
        <v>0</v>
      </c>
      <c r="S262" s="344">
        <v>1</v>
      </c>
      <c r="T262" s="332">
        <f t="shared" si="192"/>
        <v>0</v>
      </c>
      <c r="V262" s="332">
        <f t="shared" si="193"/>
        <v>4320</v>
      </c>
      <c r="W262" s="332">
        <f t="shared" si="194"/>
        <v>4320</v>
      </c>
      <c r="X262" s="344">
        <v>1</v>
      </c>
      <c r="Y262" s="332">
        <f t="shared" si="195"/>
        <v>4320</v>
      </c>
      <c r="Z262" s="332">
        <f t="shared" si="196"/>
        <v>4320</v>
      </c>
      <c r="AA262" s="332">
        <f t="shared" si="197"/>
        <v>0</v>
      </c>
      <c r="AB262" s="332">
        <f t="shared" si="203"/>
        <v>0</v>
      </c>
      <c r="AC262" s="343">
        <f t="shared" si="198"/>
        <v>104.83333333333333</v>
      </c>
      <c r="AD262" s="329">
        <f t="shared" si="199"/>
        <v>121</v>
      </c>
      <c r="AE262" s="343">
        <f t="shared" si="200"/>
        <v>114.83333333333333</v>
      </c>
      <c r="AF262" s="329">
        <f t="shared" si="201"/>
        <v>120</v>
      </c>
      <c r="AG262" s="342">
        <f t="shared" si="202"/>
        <v>-8.3333333333333329E-2</v>
      </c>
    </row>
    <row r="263" spans="2:33">
      <c r="B263" s="337" t="s">
        <v>943</v>
      </c>
      <c r="C263" s="337">
        <v>104</v>
      </c>
      <c r="D263" s="337">
        <v>12</v>
      </c>
      <c r="E263" s="346">
        <v>0</v>
      </c>
      <c r="G263" s="337" t="s">
        <v>904</v>
      </c>
      <c r="H263" s="337">
        <v>10</v>
      </c>
      <c r="I263" s="345">
        <f t="shared" si="186"/>
        <v>114</v>
      </c>
      <c r="L263" s="335">
        <v>991</v>
      </c>
      <c r="N263" s="332">
        <f t="shared" si="187"/>
        <v>991</v>
      </c>
      <c r="O263" s="332">
        <f t="shared" si="188"/>
        <v>8.2583333333333329</v>
      </c>
      <c r="P263" s="332">
        <f t="shared" si="189"/>
        <v>0</v>
      </c>
      <c r="Q263" s="329">
        <f t="shared" si="190"/>
        <v>0</v>
      </c>
      <c r="R263" s="332">
        <f t="shared" si="191"/>
        <v>0</v>
      </c>
      <c r="S263" s="344">
        <v>1</v>
      </c>
      <c r="T263" s="332">
        <f t="shared" si="192"/>
        <v>0</v>
      </c>
      <c r="V263" s="332">
        <f t="shared" si="193"/>
        <v>991</v>
      </c>
      <c r="W263" s="332">
        <f t="shared" si="194"/>
        <v>991</v>
      </c>
      <c r="X263" s="344">
        <v>1</v>
      </c>
      <c r="Y263" s="332">
        <f t="shared" si="195"/>
        <v>991</v>
      </c>
      <c r="Z263" s="332">
        <f t="shared" si="196"/>
        <v>991</v>
      </c>
      <c r="AA263" s="332">
        <f t="shared" si="197"/>
        <v>0</v>
      </c>
      <c r="AB263" s="332">
        <f t="shared" si="203"/>
        <v>0</v>
      </c>
      <c r="AC263" s="343">
        <f t="shared" si="198"/>
        <v>104.91666666666667</v>
      </c>
      <c r="AD263" s="329">
        <f t="shared" si="199"/>
        <v>121</v>
      </c>
      <c r="AE263" s="343">
        <f t="shared" si="200"/>
        <v>114.91666666666667</v>
      </c>
      <c r="AF263" s="329">
        <f t="shared" si="201"/>
        <v>120</v>
      </c>
      <c r="AG263" s="342">
        <f t="shared" si="202"/>
        <v>-8.3333333333333329E-2</v>
      </c>
    </row>
    <row r="264" spans="2:33">
      <c r="B264" s="337" t="s">
        <v>942</v>
      </c>
      <c r="C264" s="337">
        <v>105</v>
      </c>
      <c r="D264" s="337">
        <v>1</v>
      </c>
      <c r="E264" s="346">
        <v>0</v>
      </c>
      <c r="G264" s="337" t="s">
        <v>904</v>
      </c>
      <c r="H264" s="337">
        <v>10</v>
      </c>
      <c r="I264" s="345">
        <f t="shared" si="186"/>
        <v>115</v>
      </c>
      <c r="L264" s="335">
        <v>536</v>
      </c>
      <c r="N264" s="332">
        <f t="shared" si="187"/>
        <v>536</v>
      </c>
      <c r="O264" s="332">
        <f t="shared" si="188"/>
        <v>4.4666666666666668</v>
      </c>
      <c r="P264" s="332">
        <f t="shared" si="189"/>
        <v>0</v>
      </c>
      <c r="Q264" s="329">
        <f t="shared" si="190"/>
        <v>0</v>
      </c>
      <c r="R264" s="332">
        <f t="shared" si="191"/>
        <v>0</v>
      </c>
      <c r="S264" s="344">
        <v>1</v>
      </c>
      <c r="T264" s="332">
        <f t="shared" si="192"/>
        <v>0</v>
      </c>
      <c r="V264" s="332">
        <f t="shared" si="193"/>
        <v>536</v>
      </c>
      <c r="W264" s="332">
        <f t="shared" si="194"/>
        <v>536</v>
      </c>
      <c r="X264" s="344">
        <v>1</v>
      </c>
      <c r="Y264" s="332">
        <f t="shared" si="195"/>
        <v>536</v>
      </c>
      <c r="Z264" s="332">
        <f t="shared" si="196"/>
        <v>536</v>
      </c>
      <c r="AA264" s="332">
        <f t="shared" si="197"/>
        <v>0</v>
      </c>
      <c r="AB264" s="332">
        <f t="shared" si="203"/>
        <v>0</v>
      </c>
      <c r="AC264" s="343">
        <f t="shared" si="198"/>
        <v>105</v>
      </c>
      <c r="AD264" s="329">
        <f t="shared" si="199"/>
        <v>121</v>
      </c>
      <c r="AE264" s="343">
        <f t="shared" si="200"/>
        <v>115</v>
      </c>
      <c r="AF264" s="329">
        <f t="shared" si="201"/>
        <v>120</v>
      </c>
      <c r="AG264" s="342">
        <f t="shared" si="202"/>
        <v>-8.3333333333333329E-2</v>
      </c>
    </row>
    <row r="265" spans="2:33">
      <c r="B265" s="337" t="s">
        <v>941</v>
      </c>
      <c r="C265" s="337">
        <v>105</v>
      </c>
      <c r="D265" s="337">
        <v>3</v>
      </c>
      <c r="E265" s="346">
        <v>0</v>
      </c>
      <c r="G265" s="337" t="s">
        <v>904</v>
      </c>
      <c r="H265" s="337">
        <v>10</v>
      </c>
      <c r="I265" s="345">
        <f t="shared" si="186"/>
        <v>115</v>
      </c>
      <c r="L265" s="335">
        <v>518</v>
      </c>
      <c r="N265" s="332">
        <f t="shared" si="187"/>
        <v>518</v>
      </c>
      <c r="O265" s="332">
        <f t="shared" si="188"/>
        <v>4.3166666666666664</v>
      </c>
      <c r="P265" s="332">
        <f t="shared" si="189"/>
        <v>0</v>
      </c>
      <c r="Q265" s="329">
        <f t="shared" si="190"/>
        <v>0</v>
      </c>
      <c r="R265" s="332">
        <f t="shared" si="191"/>
        <v>0</v>
      </c>
      <c r="S265" s="344">
        <v>1</v>
      </c>
      <c r="T265" s="332">
        <f t="shared" si="192"/>
        <v>0</v>
      </c>
      <c r="V265" s="332">
        <f t="shared" si="193"/>
        <v>518</v>
      </c>
      <c r="W265" s="332">
        <f t="shared" si="194"/>
        <v>518</v>
      </c>
      <c r="X265" s="344">
        <v>1</v>
      </c>
      <c r="Y265" s="332">
        <f t="shared" si="195"/>
        <v>518</v>
      </c>
      <c r="Z265" s="332">
        <f t="shared" si="196"/>
        <v>518</v>
      </c>
      <c r="AA265" s="332">
        <f t="shared" si="197"/>
        <v>0</v>
      </c>
      <c r="AB265" s="332">
        <f t="shared" si="203"/>
        <v>0</v>
      </c>
      <c r="AC265" s="343">
        <f t="shared" si="198"/>
        <v>105.16666666666667</v>
      </c>
      <c r="AD265" s="329">
        <f t="shared" si="199"/>
        <v>121</v>
      </c>
      <c r="AE265" s="343">
        <f t="shared" si="200"/>
        <v>115.16666666666667</v>
      </c>
      <c r="AF265" s="329">
        <f t="shared" si="201"/>
        <v>120</v>
      </c>
      <c r="AG265" s="342">
        <f t="shared" si="202"/>
        <v>-8.3333333333333329E-2</v>
      </c>
    </row>
    <row r="266" spans="2:33">
      <c r="B266" s="337" t="s">
        <v>940</v>
      </c>
      <c r="C266" s="337">
        <v>106</v>
      </c>
      <c r="D266" s="337">
        <v>8</v>
      </c>
      <c r="E266" s="346">
        <v>0</v>
      </c>
      <c r="G266" s="337" t="s">
        <v>904</v>
      </c>
      <c r="H266" s="337">
        <v>10</v>
      </c>
      <c r="I266" s="345">
        <f t="shared" si="186"/>
        <v>116</v>
      </c>
      <c r="L266" s="335">
        <v>29251</v>
      </c>
      <c r="N266" s="332">
        <f t="shared" si="187"/>
        <v>29251</v>
      </c>
      <c r="O266" s="332">
        <f t="shared" si="188"/>
        <v>243.75833333333333</v>
      </c>
      <c r="P266" s="332">
        <f t="shared" si="189"/>
        <v>0</v>
      </c>
      <c r="Q266" s="329">
        <f t="shared" si="190"/>
        <v>0</v>
      </c>
      <c r="R266" s="332">
        <f t="shared" si="191"/>
        <v>0</v>
      </c>
      <c r="S266" s="344">
        <v>1</v>
      </c>
      <c r="T266" s="332">
        <f t="shared" si="192"/>
        <v>0</v>
      </c>
      <c r="V266" s="332">
        <f t="shared" si="193"/>
        <v>29251</v>
      </c>
      <c r="W266" s="332">
        <f t="shared" si="194"/>
        <v>29251</v>
      </c>
      <c r="X266" s="344">
        <v>1</v>
      </c>
      <c r="Y266" s="332">
        <f t="shared" si="195"/>
        <v>29251</v>
      </c>
      <c r="Z266" s="332">
        <f t="shared" si="196"/>
        <v>29251</v>
      </c>
      <c r="AA266" s="332">
        <f t="shared" si="197"/>
        <v>0</v>
      </c>
      <c r="AB266" s="332">
        <f t="shared" si="203"/>
        <v>0</v>
      </c>
      <c r="AC266" s="343">
        <f t="shared" si="198"/>
        <v>106.58333333333333</v>
      </c>
      <c r="AD266" s="329">
        <f t="shared" si="199"/>
        <v>121</v>
      </c>
      <c r="AE266" s="343">
        <f t="shared" si="200"/>
        <v>116.58333333333333</v>
      </c>
      <c r="AF266" s="329">
        <f t="shared" si="201"/>
        <v>120</v>
      </c>
      <c r="AG266" s="342">
        <f t="shared" si="202"/>
        <v>-8.3333333333333329E-2</v>
      </c>
    </row>
    <row r="267" spans="2:33">
      <c r="B267" s="413" t="s">
        <v>1163</v>
      </c>
      <c r="C267" s="337">
        <v>118</v>
      </c>
      <c r="D267" s="337">
        <v>1</v>
      </c>
      <c r="E267" s="346">
        <v>0</v>
      </c>
      <c r="G267" s="337" t="s">
        <v>904</v>
      </c>
      <c r="H267" s="337">
        <v>3</v>
      </c>
      <c r="I267" s="345">
        <f t="shared" si="186"/>
        <v>121</v>
      </c>
      <c r="L267" s="335">
        <v>5850.2000000000007</v>
      </c>
      <c r="N267" s="332">
        <f t="shared" si="187"/>
        <v>5850.2000000000007</v>
      </c>
      <c r="O267" s="332">
        <f t="shared" si="188"/>
        <v>162.50555555555556</v>
      </c>
      <c r="P267" s="332">
        <f t="shared" ref="P267:P275" si="204">IF(M267&gt;0,0,IF(OR(AC267&gt;AD267,AE267&lt;AF267),0,IF(AND(AE267&gt;=AF267,AE267&lt;=AD267),O267*((AE267-AF267)*12),IF(AND(AF267&lt;=AC267,AD267&gt;=AC267),((AD267-AC267)*12)*O267,IF(AE267&gt;AD267,12*O267,0)))))</f>
        <v>1950.0666666666666</v>
      </c>
      <c r="Q267" s="329">
        <f t="shared" ref="Q267:Q275" si="205">IF(M267=0,0,IF(AND(AG267&gt;=AF267,AG267&lt;=AE267),((AG267-AF267)*12)*O267,0))</f>
        <v>0</v>
      </c>
      <c r="R267" s="332">
        <f t="shared" ref="R267:R275" si="206">IF(Q267&gt;0,Q267,P267)</f>
        <v>1950.0666666666666</v>
      </c>
      <c r="S267" s="344">
        <v>1</v>
      </c>
      <c r="T267" s="332">
        <f t="shared" si="192"/>
        <v>1950.0666666666666</v>
      </c>
      <c r="V267" s="332">
        <f t="shared" ref="V267:V275" si="207">IF(AC267&gt;AD267,0,IF(AE267&lt;AF267,N267,IF(AND(AE267&gt;=AF267,AE267&lt;=AD267),(N267-R267),IF(AND(AF267&lt;=AC267,AD267&gt;=AC267),0,IF(AE267&gt;AD267,((AF267-AC267)*12)*O267,0)))))</f>
        <v>3900.1333333333341</v>
      </c>
      <c r="W267" s="332">
        <f t="shared" ref="W267:W275" si="208">V267*S267</f>
        <v>3900.1333333333341</v>
      </c>
      <c r="X267" s="344">
        <v>1</v>
      </c>
      <c r="Y267" s="332">
        <f t="shared" ref="Y267:Y275" si="209">W267*X267</f>
        <v>3900.1333333333341</v>
      </c>
      <c r="Z267" s="332">
        <f t="shared" ref="Z267:Z275" si="210">IF(M267&gt;0,0,Y267+T267*X267)*X267</f>
        <v>5850.2000000000007</v>
      </c>
      <c r="AA267" s="332">
        <f t="shared" si="197"/>
        <v>975.0333333333333</v>
      </c>
      <c r="AB267" s="332">
        <f t="shared" si="203"/>
        <v>0</v>
      </c>
      <c r="AC267" s="343">
        <f t="shared" si="198"/>
        <v>118</v>
      </c>
      <c r="AD267" s="329">
        <f t="shared" si="199"/>
        <v>121</v>
      </c>
      <c r="AE267" s="343">
        <f t="shared" si="200"/>
        <v>121</v>
      </c>
      <c r="AF267" s="329">
        <f t="shared" si="201"/>
        <v>120</v>
      </c>
      <c r="AG267" s="342">
        <f t="shared" si="202"/>
        <v>-8.3333333333333329E-2</v>
      </c>
    </row>
    <row r="268" spans="2:33">
      <c r="B268" s="337" t="s">
        <v>939</v>
      </c>
      <c r="C268" s="337">
        <v>107</v>
      </c>
      <c r="D268" s="337">
        <v>2</v>
      </c>
      <c r="E268" s="346">
        <v>0</v>
      </c>
      <c r="G268" s="337" t="s">
        <v>904</v>
      </c>
      <c r="H268" s="337">
        <v>10</v>
      </c>
      <c r="I268" s="345">
        <f t="shared" si="186"/>
        <v>117</v>
      </c>
      <c r="L268" s="335">
        <v>2128</v>
      </c>
      <c r="N268" s="332">
        <f t="shared" si="187"/>
        <v>2128</v>
      </c>
      <c r="O268" s="332">
        <f t="shared" si="188"/>
        <v>17.733333333333334</v>
      </c>
      <c r="P268" s="332">
        <f t="shared" si="204"/>
        <v>0</v>
      </c>
      <c r="Q268" s="329">
        <f t="shared" si="205"/>
        <v>0</v>
      </c>
      <c r="R268" s="332">
        <f t="shared" si="206"/>
        <v>0</v>
      </c>
      <c r="S268" s="344">
        <v>1</v>
      </c>
      <c r="T268" s="332">
        <f t="shared" si="192"/>
        <v>0</v>
      </c>
      <c r="V268" s="332">
        <f t="shared" si="207"/>
        <v>2128</v>
      </c>
      <c r="W268" s="332">
        <f t="shared" si="208"/>
        <v>2128</v>
      </c>
      <c r="X268" s="344">
        <v>1</v>
      </c>
      <c r="Y268" s="332">
        <f t="shared" si="209"/>
        <v>2128</v>
      </c>
      <c r="Z268" s="332">
        <f t="shared" si="210"/>
        <v>2128</v>
      </c>
      <c r="AA268" s="332">
        <f t="shared" si="197"/>
        <v>0</v>
      </c>
      <c r="AB268" s="332">
        <f t="shared" si="203"/>
        <v>0</v>
      </c>
      <c r="AC268" s="343">
        <f t="shared" si="198"/>
        <v>107.08333333333333</v>
      </c>
      <c r="AD268" s="329">
        <f t="shared" si="199"/>
        <v>121</v>
      </c>
      <c r="AE268" s="343">
        <f t="shared" si="200"/>
        <v>117.08333333333333</v>
      </c>
      <c r="AF268" s="329">
        <f t="shared" si="201"/>
        <v>120</v>
      </c>
      <c r="AG268" s="342">
        <f t="shared" si="202"/>
        <v>-8.3333333333333329E-2</v>
      </c>
    </row>
    <row r="269" spans="2:33">
      <c r="B269" s="413" t="s">
        <v>1164</v>
      </c>
      <c r="C269" s="337">
        <v>118</v>
      </c>
      <c r="D269" s="337">
        <v>1</v>
      </c>
      <c r="E269" s="346">
        <v>0</v>
      </c>
      <c r="G269" s="337" t="s">
        <v>904</v>
      </c>
      <c r="H269" s="337">
        <v>3</v>
      </c>
      <c r="I269" s="345">
        <f t="shared" si="186"/>
        <v>121</v>
      </c>
      <c r="L269" s="335">
        <v>425.59999999999991</v>
      </c>
      <c r="N269" s="332">
        <f t="shared" si="187"/>
        <v>425.59999999999991</v>
      </c>
      <c r="O269" s="332">
        <f t="shared" si="188"/>
        <v>11.822222222222221</v>
      </c>
      <c r="P269" s="332">
        <f t="shared" si="204"/>
        <v>141.86666666666665</v>
      </c>
      <c r="Q269" s="329">
        <f t="shared" si="205"/>
        <v>0</v>
      </c>
      <c r="R269" s="332">
        <f t="shared" si="206"/>
        <v>141.86666666666665</v>
      </c>
      <c r="S269" s="344">
        <v>1</v>
      </c>
      <c r="T269" s="332">
        <f t="shared" si="192"/>
        <v>141.86666666666665</v>
      </c>
      <c r="V269" s="332">
        <f t="shared" si="207"/>
        <v>283.73333333333323</v>
      </c>
      <c r="W269" s="332">
        <f t="shared" si="208"/>
        <v>283.73333333333323</v>
      </c>
      <c r="X269" s="344">
        <v>1</v>
      </c>
      <c r="Y269" s="332">
        <f t="shared" si="209"/>
        <v>283.73333333333323</v>
      </c>
      <c r="Z269" s="332">
        <f t="shared" si="210"/>
        <v>425.59999999999991</v>
      </c>
      <c r="AA269" s="332">
        <f t="shared" si="197"/>
        <v>70.933333333333337</v>
      </c>
      <c r="AB269" s="332">
        <f t="shared" si="203"/>
        <v>0</v>
      </c>
      <c r="AC269" s="343">
        <f t="shared" si="198"/>
        <v>118</v>
      </c>
      <c r="AD269" s="329">
        <f t="shared" si="199"/>
        <v>121</v>
      </c>
      <c r="AE269" s="343">
        <f t="shared" si="200"/>
        <v>121</v>
      </c>
      <c r="AF269" s="329">
        <f t="shared" si="201"/>
        <v>120</v>
      </c>
      <c r="AG269" s="342">
        <f t="shared" si="202"/>
        <v>-8.3333333333333329E-2</v>
      </c>
    </row>
    <row r="270" spans="2:33">
      <c r="B270" s="337" t="s">
        <v>938</v>
      </c>
      <c r="C270" s="337">
        <v>107</v>
      </c>
      <c r="D270" s="337">
        <v>2</v>
      </c>
      <c r="E270" s="346">
        <v>0</v>
      </c>
      <c r="G270" s="337" t="s">
        <v>904</v>
      </c>
      <c r="H270" s="337">
        <v>10</v>
      </c>
      <c r="I270" s="345">
        <f t="shared" si="186"/>
        <v>117</v>
      </c>
      <c r="L270" s="335">
        <v>1143</v>
      </c>
      <c r="N270" s="332">
        <f t="shared" si="187"/>
        <v>1143</v>
      </c>
      <c r="O270" s="332">
        <f t="shared" si="188"/>
        <v>9.5250000000000004</v>
      </c>
      <c r="P270" s="332">
        <f t="shared" si="204"/>
        <v>0</v>
      </c>
      <c r="Q270" s="329">
        <f t="shared" si="205"/>
        <v>0</v>
      </c>
      <c r="R270" s="332">
        <f t="shared" si="206"/>
        <v>0</v>
      </c>
      <c r="S270" s="344">
        <v>1</v>
      </c>
      <c r="T270" s="332">
        <f t="shared" si="192"/>
        <v>0</v>
      </c>
      <c r="V270" s="332">
        <f t="shared" si="207"/>
        <v>1143</v>
      </c>
      <c r="W270" s="332">
        <f t="shared" si="208"/>
        <v>1143</v>
      </c>
      <c r="X270" s="344">
        <v>1</v>
      </c>
      <c r="Y270" s="332">
        <f t="shared" si="209"/>
        <v>1143</v>
      </c>
      <c r="Z270" s="332">
        <f t="shared" si="210"/>
        <v>1143</v>
      </c>
      <c r="AA270" s="332">
        <f t="shared" si="197"/>
        <v>0</v>
      </c>
      <c r="AB270" s="332">
        <f t="shared" si="203"/>
        <v>0</v>
      </c>
      <c r="AC270" s="343">
        <f t="shared" si="198"/>
        <v>107.08333333333333</v>
      </c>
      <c r="AD270" s="329">
        <f t="shared" si="199"/>
        <v>121</v>
      </c>
      <c r="AE270" s="343">
        <f t="shared" si="200"/>
        <v>117.08333333333333</v>
      </c>
      <c r="AF270" s="329">
        <f t="shared" si="201"/>
        <v>120</v>
      </c>
      <c r="AG270" s="342">
        <f t="shared" si="202"/>
        <v>-8.3333333333333329E-2</v>
      </c>
    </row>
    <row r="271" spans="2:33">
      <c r="B271" s="413" t="s">
        <v>1165</v>
      </c>
      <c r="C271" s="337">
        <v>118</v>
      </c>
      <c r="D271" s="337">
        <v>1</v>
      </c>
      <c r="E271" s="346">
        <v>0</v>
      </c>
      <c r="G271" s="337" t="s">
        <v>904</v>
      </c>
      <c r="H271" s="337">
        <v>3</v>
      </c>
      <c r="I271" s="345">
        <f t="shared" si="186"/>
        <v>121</v>
      </c>
      <c r="L271" s="335">
        <v>228.60000000000002</v>
      </c>
      <c r="N271" s="332">
        <f t="shared" si="187"/>
        <v>228.60000000000002</v>
      </c>
      <c r="O271" s="332">
        <f t="shared" si="188"/>
        <v>6.3500000000000005</v>
      </c>
      <c r="P271" s="332">
        <f t="shared" si="204"/>
        <v>76.2</v>
      </c>
      <c r="Q271" s="329">
        <f t="shared" si="205"/>
        <v>0</v>
      </c>
      <c r="R271" s="332">
        <f t="shared" si="206"/>
        <v>76.2</v>
      </c>
      <c r="S271" s="344">
        <v>1</v>
      </c>
      <c r="T271" s="332">
        <f t="shared" si="192"/>
        <v>76.2</v>
      </c>
      <c r="V271" s="332">
        <f t="shared" si="207"/>
        <v>152.40000000000003</v>
      </c>
      <c r="W271" s="332">
        <f t="shared" si="208"/>
        <v>152.40000000000003</v>
      </c>
      <c r="X271" s="344">
        <v>1</v>
      </c>
      <c r="Y271" s="332">
        <f t="shared" si="209"/>
        <v>152.40000000000003</v>
      </c>
      <c r="Z271" s="332">
        <f t="shared" si="210"/>
        <v>228.60000000000002</v>
      </c>
      <c r="AA271" s="332">
        <f t="shared" si="197"/>
        <v>38.099999999999994</v>
      </c>
      <c r="AB271" s="332">
        <f t="shared" si="203"/>
        <v>0</v>
      </c>
      <c r="AC271" s="343">
        <f t="shared" si="198"/>
        <v>118</v>
      </c>
      <c r="AD271" s="329">
        <f t="shared" si="199"/>
        <v>121</v>
      </c>
      <c r="AE271" s="343">
        <f t="shared" si="200"/>
        <v>121</v>
      </c>
      <c r="AF271" s="329">
        <f t="shared" si="201"/>
        <v>120</v>
      </c>
      <c r="AG271" s="342">
        <f t="shared" si="202"/>
        <v>-8.3333333333333329E-2</v>
      </c>
    </row>
    <row r="272" spans="2:33">
      <c r="B272" s="337" t="s">
        <v>937</v>
      </c>
      <c r="C272" s="337">
        <v>107</v>
      </c>
      <c r="D272" s="337">
        <v>11</v>
      </c>
      <c r="E272" s="346">
        <v>0</v>
      </c>
      <c r="G272" s="337" t="s">
        <v>904</v>
      </c>
      <c r="H272" s="337">
        <v>10</v>
      </c>
      <c r="I272" s="345">
        <f t="shared" si="186"/>
        <v>117</v>
      </c>
      <c r="L272" s="335">
        <v>1404</v>
      </c>
      <c r="N272" s="332">
        <f t="shared" si="187"/>
        <v>1404</v>
      </c>
      <c r="O272" s="332">
        <f t="shared" si="188"/>
        <v>11.700000000000001</v>
      </c>
      <c r="P272" s="332">
        <f t="shared" si="204"/>
        <v>0</v>
      </c>
      <c r="Q272" s="329">
        <f t="shared" si="205"/>
        <v>0</v>
      </c>
      <c r="R272" s="332">
        <f t="shared" si="206"/>
        <v>0</v>
      </c>
      <c r="S272" s="344">
        <v>1</v>
      </c>
      <c r="T272" s="332">
        <f t="shared" si="192"/>
        <v>0</v>
      </c>
      <c r="V272" s="332">
        <f t="shared" si="207"/>
        <v>1404</v>
      </c>
      <c r="W272" s="332">
        <f t="shared" si="208"/>
        <v>1404</v>
      </c>
      <c r="X272" s="344">
        <v>1</v>
      </c>
      <c r="Y272" s="332">
        <f t="shared" si="209"/>
        <v>1404</v>
      </c>
      <c r="Z272" s="332">
        <f t="shared" si="210"/>
        <v>1404</v>
      </c>
      <c r="AA272" s="332">
        <f t="shared" si="197"/>
        <v>0</v>
      </c>
      <c r="AB272" s="332">
        <f t="shared" si="203"/>
        <v>0</v>
      </c>
      <c r="AC272" s="343">
        <f t="shared" si="198"/>
        <v>107.83333333333333</v>
      </c>
      <c r="AD272" s="329">
        <f t="shared" si="199"/>
        <v>121</v>
      </c>
      <c r="AE272" s="343">
        <f t="shared" si="200"/>
        <v>117.83333333333333</v>
      </c>
      <c r="AF272" s="329">
        <f t="shared" si="201"/>
        <v>120</v>
      </c>
      <c r="AG272" s="342">
        <f t="shared" si="202"/>
        <v>-8.3333333333333329E-2</v>
      </c>
    </row>
    <row r="273" spans="1:33">
      <c r="B273" s="413" t="s">
        <v>1166</v>
      </c>
      <c r="C273" s="337">
        <v>118</v>
      </c>
      <c r="D273" s="337">
        <v>1</v>
      </c>
      <c r="E273" s="346">
        <v>0</v>
      </c>
      <c r="G273" s="337" t="s">
        <v>904</v>
      </c>
      <c r="H273" s="337">
        <v>3</v>
      </c>
      <c r="I273" s="345">
        <f t="shared" si="186"/>
        <v>121</v>
      </c>
      <c r="L273" s="335">
        <v>280.79999999999995</v>
      </c>
      <c r="N273" s="332">
        <f t="shared" si="187"/>
        <v>280.79999999999995</v>
      </c>
      <c r="O273" s="332">
        <f t="shared" si="188"/>
        <v>7.799999999999998</v>
      </c>
      <c r="P273" s="332">
        <f t="shared" si="204"/>
        <v>93.59999999999998</v>
      </c>
      <c r="Q273" s="329">
        <f t="shared" si="205"/>
        <v>0</v>
      </c>
      <c r="R273" s="332">
        <f t="shared" si="206"/>
        <v>93.59999999999998</v>
      </c>
      <c r="S273" s="344">
        <v>1</v>
      </c>
      <c r="T273" s="332">
        <f t="shared" si="192"/>
        <v>93.59999999999998</v>
      </c>
      <c r="V273" s="332">
        <f t="shared" si="207"/>
        <v>187.2</v>
      </c>
      <c r="W273" s="332">
        <f t="shared" si="208"/>
        <v>187.2</v>
      </c>
      <c r="X273" s="344">
        <v>1</v>
      </c>
      <c r="Y273" s="332">
        <f t="shared" si="209"/>
        <v>187.2</v>
      </c>
      <c r="Z273" s="332">
        <f t="shared" si="210"/>
        <v>280.79999999999995</v>
      </c>
      <c r="AA273" s="332">
        <f t="shared" si="197"/>
        <v>46.799999999999983</v>
      </c>
      <c r="AB273" s="332">
        <f t="shared" si="203"/>
        <v>0</v>
      </c>
      <c r="AC273" s="343">
        <f t="shared" si="198"/>
        <v>118</v>
      </c>
      <c r="AD273" s="329">
        <f t="shared" si="199"/>
        <v>121</v>
      </c>
      <c r="AE273" s="343">
        <f t="shared" si="200"/>
        <v>121</v>
      </c>
      <c r="AF273" s="329">
        <f t="shared" si="201"/>
        <v>120</v>
      </c>
      <c r="AG273" s="342">
        <f t="shared" si="202"/>
        <v>-8.3333333333333329E-2</v>
      </c>
    </row>
    <row r="274" spans="1:33">
      <c r="B274" s="337" t="s">
        <v>936</v>
      </c>
      <c r="C274" s="337">
        <v>108</v>
      </c>
      <c r="D274" s="337">
        <v>7</v>
      </c>
      <c r="E274" s="346">
        <v>0</v>
      </c>
      <c r="G274" s="337" t="s">
        <v>904</v>
      </c>
      <c r="H274" s="337">
        <v>10</v>
      </c>
      <c r="I274" s="345">
        <f t="shared" si="186"/>
        <v>118</v>
      </c>
      <c r="L274" s="335">
        <v>4104</v>
      </c>
      <c r="N274" s="332">
        <f t="shared" si="187"/>
        <v>4104</v>
      </c>
      <c r="O274" s="332">
        <f t="shared" si="188"/>
        <v>34.199999999999996</v>
      </c>
      <c r="P274" s="419">
        <v>0</v>
      </c>
      <c r="Q274" s="329">
        <f t="shared" si="205"/>
        <v>0</v>
      </c>
      <c r="R274" s="332">
        <f t="shared" si="206"/>
        <v>0</v>
      </c>
      <c r="S274" s="344">
        <v>1</v>
      </c>
      <c r="T274" s="332">
        <f t="shared" si="192"/>
        <v>0</v>
      </c>
      <c r="V274" s="332">
        <f t="shared" si="207"/>
        <v>4104</v>
      </c>
      <c r="W274" s="332">
        <f t="shared" si="208"/>
        <v>4104</v>
      </c>
      <c r="X274" s="344">
        <v>1</v>
      </c>
      <c r="Y274" s="332">
        <f t="shared" si="209"/>
        <v>4104</v>
      </c>
      <c r="Z274" s="332">
        <f t="shared" si="210"/>
        <v>4104</v>
      </c>
      <c r="AA274" s="332">
        <f t="shared" si="197"/>
        <v>0</v>
      </c>
      <c r="AB274" s="332">
        <f t="shared" si="203"/>
        <v>0</v>
      </c>
      <c r="AC274" s="343">
        <f t="shared" si="198"/>
        <v>108.5</v>
      </c>
      <c r="AD274" s="329">
        <f t="shared" si="199"/>
        <v>121</v>
      </c>
      <c r="AE274" s="343">
        <f t="shared" si="200"/>
        <v>118.5</v>
      </c>
      <c r="AF274" s="329">
        <f t="shared" si="201"/>
        <v>120</v>
      </c>
      <c r="AG274" s="342">
        <f t="shared" si="202"/>
        <v>-8.3333333333333329E-2</v>
      </c>
    </row>
    <row r="275" spans="1:33">
      <c r="B275" s="413" t="s">
        <v>1167</v>
      </c>
      <c r="C275" s="337">
        <v>118</v>
      </c>
      <c r="D275" s="337">
        <v>1</v>
      </c>
      <c r="E275" s="346">
        <v>0</v>
      </c>
      <c r="G275" s="337" t="s">
        <v>904</v>
      </c>
      <c r="H275" s="337">
        <v>3</v>
      </c>
      <c r="I275" s="345">
        <f t="shared" si="186"/>
        <v>121</v>
      </c>
      <c r="L275" s="335">
        <v>820.80000000000018</v>
      </c>
      <c r="N275" s="332">
        <f t="shared" si="187"/>
        <v>820.80000000000018</v>
      </c>
      <c r="O275" s="332">
        <f t="shared" si="188"/>
        <v>22.800000000000008</v>
      </c>
      <c r="P275" s="332">
        <f t="shared" si="204"/>
        <v>273.60000000000008</v>
      </c>
      <c r="Q275" s="329">
        <f t="shared" si="205"/>
        <v>0</v>
      </c>
      <c r="R275" s="332">
        <f t="shared" si="206"/>
        <v>273.60000000000008</v>
      </c>
      <c r="S275" s="344">
        <v>1</v>
      </c>
      <c r="T275" s="332">
        <f t="shared" si="192"/>
        <v>273.60000000000008</v>
      </c>
      <c r="V275" s="332">
        <f t="shared" si="207"/>
        <v>547.20000000000005</v>
      </c>
      <c r="W275" s="332">
        <f t="shared" si="208"/>
        <v>547.20000000000005</v>
      </c>
      <c r="X275" s="344">
        <v>1</v>
      </c>
      <c r="Y275" s="332">
        <f t="shared" si="209"/>
        <v>547.20000000000005</v>
      </c>
      <c r="Z275" s="332">
        <f t="shared" si="210"/>
        <v>820.80000000000018</v>
      </c>
      <c r="AA275" s="332">
        <f t="shared" si="197"/>
        <v>136.80000000000007</v>
      </c>
      <c r="AB275" s="332">
        <f t="shared" si="203"/>
        <v>0</v>
      </c>
      <c r="AC275" s="343">
        <f t="shared" si="198"/>
        <v>118</v>
      </c>
      <c r="AD275" s="329">
        <f t="shared" si="199"/>
        <v>121</v>
      </c>
      <c r="AE275" s="343">
        <f t="shared" si="200"/>
        <v>121</v>
      </c>
      <c r="AF275" s="329">
        <f t="shared" si="201"/>
        <v>120</v>
      </c>
      <c r="AG275" s="342">
        <f t="shared" si="202"/>
        <v>-8.3333333333333329E-2</v>
      </c>
    </row>
    <row r="276" spans="1:33">
      <c r="B276" s="337" t="s">
        <v>935</v>
      </c>
      <c r="C276" s="337">
        <v>109</v>
      </c>
      <c r="D276" s="337">
        <v>7</v>
      </c>
      <c r="E276" s="346">
        <v>0</v>
      </c>
      <c r="G276" s="337" t="s">
        <v>904</v>
      </c>
      <c r="H276" s="337">
        <v>10</v>
      </c>
      <c r="I276" s="345">
        <f t="shared" si="186"/>
        <v>119</v>
      </c>
      <c r="L276" s="335">
        <v>795</v>
      </c>
      <c r="N276" s="332">
        <f t="shared" si="187"/>
        <v>795</v>
      </c>
      <c r="O276" s="332">
        <f t="shared" si="188"/>
        <v>6.625</v>
      </c>
      <c r="P276" s="332">
        <f t="shared" si="189"/>
        <v>0</v>
      </c>
      <c r="Q276" s="329">
        <f t="shared" si="190"/>
        <v>0</v>
      </c>
      <c r="R276" s="332">
        <f t="shared" si="191"/>
        <v>0</v>
      </c>
      <c r="S276" s="344">
        <v>1</v>
      </c>
      <c r="T276" s="332">
        <f t="shared" si="192"/>
        <v>0</v>
      </c>
      <c r="V276" s="332">
        <f t="shared" si="193"/>
        <v>795</v>
      </c>
      <c r="W276" s="332">
        <f t="shared" si="194"/>
        <v>795</v>
      </c>
      <c r="X276" s="344">
        <v>1</v>
      </c>
      <c r="Y276" s="332">
        <f t="shared" si="195"/>
        <v>795</v>
      </c>
      <c r="Z276" s="332">
        <f t="shared" si="196"/>
        <v>795</v>
      </c>
      <c r="AA276" s="332">
        <f t="shared" si="197"/>
        <v>0</v>
      </c>
      <c r="AB276" s="332">
        <f t="shared" si="203"/>
        <v>0</v>
      </c>
      <c r="AC276" s="343">
        <f t="shared" si="198"/>
        <v>109.5</v>
      </c>
      <c r="AD276" s="329">
        <f t="shared" si="199"/>
        <v>121</v>
      </c>
      <c r="AE276" s="343">
        <f t="shared" si="200"/>
        <v>119.5</v>
      </c>
      <c r="AF276" s="329">
        <f t="shared" si="201"/>
        <v>120</v>
      </c>
      <c r="AG276" s="342">
        <f t="shared" si="202"/>
        <v>-8.3333333333333329E-2</v>
      </c>
    </row>
    <row r="277" spans="1:33">
      <c r="B277" s="337" t="s">
        <v>934</v>
      </c>
      <c r="C277" s="337">
        <v>108</v>
      </c>
      <c r="D277" s="337">
        <v>12</v>
      </c>
      <c r="E277" s="346">
        <v>0</v>
      </c>
      <c r="G277" s="337" t="s">
        <v>904</v>
      </c>
      <c r="H277" s="337">
        <v>10</v>
      </c>
      <c r="I277" s="345">
        <f t="shared" si="186"/>
        <v>118</v>
      </c>
      <c r="L277" s="335">
        <v>2646</v>
      </c>
      <c r="N277" s="332">
        <f t="shared" si="187"/>
        <v>2646</v>
      </c>
      <c r="O277" s="332">
        <f t="shared" si="188"/>
        <v>22.05</v>
      </c>
      <c r="P277" s="419">
        <v>0</v>
      </c>
      <c r="Q277" s="329">
        <f t="shared" si="190"/>
        <v>0</v>
      </c>
      <c r="R277" s="332">
        <f t="shared" si="191"/>
        <v>0</v>
      </c>
      <c r="S277" s="344">
        <v>1</v>
      </c>
      <c r="T277" s="332">
        <f t="shared" si="192"/>
        <v>0</v>
      </c>
      <c r="V277" s="332">
        <f t="shared" si="193"/>
        <v>2646</v>
      </c>
      <c r="W277" s="332">
        <f t="shared" si="194"/>
        <v>2646</v>
      </c>
      <c r="X277" s="344">
        <v>1</v>
      </c>
      <c r="Y277" s="332">
        <f t="shared" si="195"/>
        <v>2646</v>
      </c>
      <c r="Z277" s="332">
        <f t="shared" si="196"/>
        <v>2646</v>
      </c>
      <c r="AA277" s="332">
        <f t="shared" si="197"/>
        <v>0</v>
      </c>
      <c r="AB277" s="332">
        <f t="shared" si="203"/>
        <v>0</v>
      </c>
      <c r="AC277" s="343">
        <f t="shared" si="198"/>
        <v>108.91666666666667</v>
      </c>
      <c r="AD277" s="329">
        <f t="shared" si="199"/>
        <v>121</v>
      </c>
      <c r="AE277" s="343">
        <f t="shared" si="200"/>
        <v>118.91666666666667</v>
      </c>
      <c r="AF277" s="329">
        <f t="shared" si="201"/>
        <v>120</v>
      </c>
      <c r="AG277" s="342">
        <f t="shared" si="202"/>
        <v>-8.3333333333333329E-2</v>
      </c>
    </row>
    <row r="278" spans="1:33">
      <c r="A278" s="418"/>
      <c r="B278" s="337" t="s">
        <v>933</v>
      </c>
      <c r="C278" s="337">
        <v>112</v>
      </c>
      <c r="D278" s="337">
        <v>12</v>
      </c>
      <c r="E278" s="426">
        <v>0</v>
      </c>
      <c r="G278" s="337" t="s">
        <v>904</v>
      </c>
      <c r="H278" s="337">
        <v>10</v>
      </c>
      <c r="I278" s="345">
        <f t="shared" si="186"/>
        <v>122</v>
      </c>
      <c r="L278" s="335">
        <v>10063</v>
      </c>
      <c r="N278" s="332">
        <f t="shared" si="187"/>
        <v>10063</v>
      </c>
      <c r="O278" s="332">
        <f t="shared" si="188"/>
        <v>83.858333333333334</v>
      </c>
      <c r="P278" s="332">
        <f t="shared" si="189"/>
        <v>1006.3</v>
      </c>
      <c r="Q278" s="329">
        <f t="shared" si="190"/>
        <v>0</v>
      </c>
      <c r="R278" s="332">
        <f t="shared" si="191"/>
        <v>1006.3</v>
      </c>
      <c r="S278" s="344">
        <v>1</v>
      </c>
      <c r="T278" s="332">
        <f t="shared" si="192"/>
        <v>1006.3</v>
      </c>
      <c r="V278" s="332">
        <f t="shared" si="193"/>
        <v>7127.9583333333285</v>
      </c>
      <c r="W278" s="332">
        <f t="shared" si="194"/>
        <v>7127.9583333333285</v>
      </c>
      <c r="X278" s="344">
        <v>1</v>
      </c>
      <c r="Y278" s="332">
        <f t="shared" si="195"/>
        <v>7127.9583333333285</v>
      </c>
      <c r="Z278" s="332">
        <f t="shared" si="196"/>
        <v>8134.2583333333287</v>
      </c>
      <c r="AA278" s="332">
        <f t="shared" si="197"/>
        <v>2431.8916666666714</v>
      </c>
      <c r="AB278" s="332">
        <f t="shared" si="203"/>
        <v>1928.7416666666713</v>
      </c>
      <c r="AC278" s="343">
        <f t="shared" si="198"/>
        <v>112.91666666666667</v>
      </c>
      <c r="AD278" s="329">
        <f t="shared" si="199"/>
        <v>121</v>
      </c>
      <c r="AE278" s="343">
        <f t="shared" si="200"/>
        <v>122.91666666666667</v>
      </c>
      <c r="AF278" s="329">
        <f t="shared" si="201"/>
        <v>120</v>
      </c>
      <c r="AG278" s="342">
        <f t="shared" si="202"/>
        <v>-8.3333333333333329E-2</v>
      </c>
    </row>
    <row r="279" spans="1:33">
      <c r="A279" s="418"/>
      <c r="B279" s="337" t="s">
        <v>932</v>
      </c>
      <c r="C279" s="337">
        <v>116</v>
      </c>
      <c r="D279" s="337">
        <v>8</v>
      </c>
      <c r="E279" s="426">
        <v>0</v>
      </c>
      <c r="G279" s="337" t="s">
        <v>904</v>
      </c>
      <c r="H279" s="337">
        <v>10</v>
      </c>
      <c r="I279" s="345">
        <f t="shared" si="186"/>
        <v>126</v>
      </c>
      <c r="L279" s="335">
        <v>3040</v>
      </c>
      <c r="N279" s="332">
        <f t="shared" si="187"/>
        <v>3040</v>
      </c>
      <c r="O279" s="332">
        <f t="shared" si="188"/>
        <v>25.333333333333332</v>
      </c>
      <c r="P279" s="332">
        <f t="shared" si="189"/>
        <v>304</v>
      </c>
      <c r="Q279" s="329">
        <f t="shared" si="190"/>
        <v>0</v>
      </c>
      <c r="R279" s="332">
        <f t="shared" si="191"/>
        <v>304</v>
      </c>
      <c r="S279" s="344">
        <v>1</v>
      </c>
      <c r="T279" s="332">
        <f t="shared" si="192"/>
        <v>304</v>
      </c>
      <c r="V279" s="332">
        <f t="shared" si="193"/>
        <v>1038.6666666666681</v>
      </c>
      <c r="W279" s="332">
        <f t="shared" si="194"/>
        <v>1038.6666666666681</v>
      </c>
      <c r="X279" s="344">
        <v>1</v>
      </c>
      <c r="Y279" s="332">
        <f t="shared" si="195"/>
        <v>1038.6666666666681</v>
      </c>
      <c r="Z279" s="332">
        <f t="shared" si="196"/>
        <v>1342.6666666666681</v>
      </c>
      <c r="AA279" s="332">
        <f t="shared" si="197"/>
        <v>1849.3333333333319</v>
      </c>
      <c r="AB279" s="332">
        <f t="shared" si="203"/>
        <v>1697.3333333333319</v>
      </c>
      <c r="AC279" s="343">
        <f t="shared" si="198"/>
        <v>116.58333333333333</v>
      </c>
      <c r="AD279" s="329">
        <f t="shared" si="199"/>
        <v>121</v>
      </c>
      <c r="AE279" s="343">
        <f t="shared" si="200"/>
        <v>126.58333333333333</v>
      </c>
      <c r="AF279" s="329">
        <f t="shared" si="201"/>
        <v>120</v>
      </c>
      <c r="AG279" s="342">
        <f t="shared" si="202"/>
        <v>-8.3333333333333329E-2</v>
      </c>
    </row>
    <row r="280" spans="1:33">
      <c r="A280" s="418"/>
      <c r="B280" s="337" t="s">
        <v>931</v>
      </c>
      <c r="C280" s="337">
        <v>118</v>
      </c>
      <c r="D280" s="337">
        <v>8</v>
      </c>
      <c r="E280" s="426">
        <v>0</v>
      </c>
      <c r="G280" s="337" t="s">
        <v>904</v>
      </c>
      <c r="H280" s="337">
        <v>10</v>
      </c>
      <c r="I280" s="345">
        <f t="shared" ref="I280:I282" si="211">+C280+H280</f>
        <v>128</v>
      </c>
      <c r="L280" s="697">
        <v>3084</v>
      </c>
      <c r="N280" s="332">
        <f t="shared" ref="N280:N282" si="212">L280-L280*E280</f>
        <v>3084</v>
      </c>
      <c r="O280" s="332">
        <f t="shared" ref="O280:O282" si="213">N280/H280/12</f>
        <v>25.7</v>
      </c>
      <c r="P280" s="332">
        <f t="shared" si="189"/>
        <v>308.39999999999998</v>
      </c>
      <c r="Q280" s="329">
        <f t="shared" ref="Q280:Q282" si="214">IF(M280=0,0,IF(AND(AG280&gt;=AF280,AG280&lt;=AE280),((AG280-AF280)*12)*O280,0))</f>
        <v>0</v>
      </c>
      <c r="R280" s="332">
        <f t="shared" ref="R280:R282" si="215">IF(Q280&gt;0,Q280,P280)</f>
        <v>308.39999999999998</v>
      </c>
      <c r="S280" s="344">
        <v>1</v>
      </c>
      <c r="T280" s="332">
        <f t="shared" ref="T280:T282" si="216">S280*SUM(P280:Q280)</f>
        <v>308.39999999999998</v>
      </c>
      <c r="V280" s="332">
        <f t="shared" ref="V280:V282" si="217">IF(AC280&gt;AD280,0,IF(AE280&lt;AF280,N280,IF(AND(AE280&gt;=AF280,AE280&lt;=AD280),(N280-R280),IF(AND(AF280&lt;=AC280,AD280&gt;=AC280),0,IF(AE280&gt;AD280,((AF280-AC280)*12)*O280,0)))))</f>
        <v>436.90000000000146</v>
      </c>
      <c r="W280" s="332">
        <f t="shared" ref="W280:W282" si="218">V280*S280</f>
        <v>436.90000000000146</v>
      </c>
      <c r="X280" s="344">
        <v>1</v>
      </c>
      <c r="Y280" s="332">
        <f t="shared" ref="Y280:Y282" si="219">W280*X280</f>
        <v>436.90000000000146</v>
      </c>
      <c r="Z280" s="332">
        <f t="shared" ref="Z280:Z282" si="220">IF(M280&gt;0,0,Y280+T280*X280)*X280</f>
        <v>745.30000000000143</v>
      </c>
      <c r="AA280" s="332">
        <f t="shared" ref="AA280:AA282" si="221">IF(M280&gt;0,(L280-Y280)/2,IF(AC280&gt;=AF280,(((L280*S280)*X280)-Z280)/2,((((L280*S280)*X280)-Y280)+(((L280*S280)*X280)-Z280))/2))</f>
        <v>2492.8999999999987</v>
      </c>
      <c r="AB280" s="332">
        <f t="shared" ref="AB280:AB282" si="222">L280-Z280</f>
        <v>2338.6999999999985</v>
      </c>
      <c r="AC280" s="343">
        <f t="shared" si="198"/>
        <v>118.58333333333333</v>
      </c>
      <c r="AD280" s="329">
        <f t="shared" si="199"/>
        <v>121</v>
      </c>
      <c r="AE280" s="343">
        <f t="shared" si="200"/>
        <v>128.58333333333334</v>
      </c>
      <c r="AF280" s="329">
        <f t="shared" si="201"/>
        <v>120</v>
      </c>
      <c r="AG280" s="342">
        <f t="shared" si="202"/>
        <v>-8.3333333333333329E-2</v>
      </c>
    </row>
    <row r="281" spans="1:33">
      <c r="A281" s="418"/>
      <c r="B281" s="337" t="s">
        <v>1337</v>
      </c>
      <c r="C281" s="337">
        <v>119</v>
      </c>
      <c r="D281" s="337">
        <v>3</v>
      </c>
      <c r="E281" s="426">
        <v>0</v>
      </c>
      <c r="G281" s="337" t="s">
        <v>904</v>
      </c>
      <c r="H281" s="337">
        <v>10</v>
      </c>
      <c r="I281" s="345">
        <f t="shared" si="211"/>
        <v>129</v>
      </c>
      <c r="L281" s="450">
        <v>550</v>
      </c>
      <c r="N281" s="332">
        <f t="shared" si="212"/>
        <v>550</v>
      </c>
      <c r="O281" s="332">
        <f t="shared" si="213"/>
        <v>4.583333333333333</v>
      </c>
      <c r="P281" s="332">
        <f t="shared" si="189"/>
        <v>55</v>
      </c>
      <c r="Q281" s="329">
        <f t="shared" si="214"/>
        <v>0</v>
      </c>
      <c r="R281" s="332">
        <f t="shared" si="215"/>
        <v>55</v>
      </c>
      <c r="S281" s="344">
        <v>1</v>
      </c>
      <c r="T281" s="332">
        <f t="shared" si="216"/>
        <v>55</v>
      </c>
      <c r="V281" s="332">
        <f t="shared" si="217"/>
        <v>45.833333333333073</v>
      </c>
      <c r="W281" s="332">
        <f t="shared" si="218"/>
        <v>45.833333333333073</v>
      </c>
      <c r="X281" s="344">
        <v>1</v>
      </c>
      <c r="Y281" s="332">
        <f t="shared" si="219"/>
        <v>45.833333333333073</v>
      </c>
      <c r="Z281" s="332">
        <f t="shared" si="220"/>
        <v>100.83333333333307</v>
      </c>
      <c r="AA281" s="332">
        <f t="shared" si="221"/>
        <v>476.66666666666691</v>
      </c>
      <c r="AB281" s="332">
        <f t="shared" si="222"/>
        <v>449.16666666666691</v>
      </c>
      <c r="AC281" s="343">
        <f t="shared" si="198"/>
        <v>119.16666666666667</v>
      </c>
      <c r="AD281" s="329">
        <f t="shared" si="199"/>
        <v>121</v>
      </c>
      <c r="AE281" s="343">
        <f t="shared" si="200"/>
        <v>129.16666666666666</v>
      </c>
      <c r="AF281" s="329">
        <f t="shared" si="201"/>
        <v>120</v>
      </c>
      <c r="AG281" s="342">
        <f t="shared" si="202"/>
        <v>-8.3333333333333329E-2</v>
      </c>
    </row>
    <row r="282" spans="1:33">
      <c r="A282" s="418"/>
      <c r="B282" s="337" t="s">
        <v>1338</v>
      </c>
      <c r="C282" s="337">
        <v>119</v>
      </c>
      <c r="D282" s="337">
        <v>8</v>
      </c>
      <c r="E282" s="426">
        <v>0</v>
      </c>
      <c r="G282" s="337" t="s">
        <v>904</v>
      </c>
      <c r="H282" s="337">
        <v>10</v>
      </c>
      <c r="I282" s="345">
        <f t="shared" si="211"/>
        <v>129</v>
      </c>
      <c r="L282" s="450">
        <v>9738</v>
      </c>
      <c r="N282" s="332">
        <f t="shared" si="212"/>
        <v>9738</v>
      </c>
      <c r="O282" s="332">
        <f t="shared" si="213"/>
        <v>81.149999999999991</v>
      </c>
      <c r="P282" s="332">
        <f t="shared" ref="P282" si="223">IF(M282&gt;0,0,IF(OR(AC282&gt;AD282,AE282&lt;AF282),0,IF(AND(AE282&gt;=AF282,AE282&lt;=AD282),O282*((AE282-AF282)*12),IF(AND(AF282&lt;=AC282,AD282&gt;=AC282),((AD282-AC282)*12)*O282,IF(AE282&gt;AD282,12*O282,0)))))</f>
        <v>973.8</v>
      </c>
      <c r="Q282" s="329">
        <f t="shared" si="214"/>
        <v>0</v>
      </c>
      <c r="R282" s="332">
        <f t="shared" si="215"/>
        <v>973.8</v>
      </c>
      <c r="S282" s="344">
        <v>1</v>
      </c>
      <c r="T282" s="332">
        <f t="shared" si="216"/>
        <v>973.8</v>
      </c>
      <c r="V282" s="332">
        <f t="shared" si="217"/>
        <v>405.75000000000455</v>
      </c>
      <c r="W282" s="332">
        <f t="shared" si="218"/>
        <v>405.75000000000455</v>
      </c>
      <c r="X282" s="344">
        <v>1</v>
      </c>
      <c r="Y282" s="332">
        <f t="shared" si="219"/>
        <v>405.75000000000455</v>
      </c>
      <c r="Z282" s="332">
        <f t="shared" si="220"/>
        <v>1379.5500000000045</v>
      </c>
      <c r="AA282" s="332">
        <f t="shared" si="221"/>
        <v>8845.3499999999949</v>
      </c>
      <c r="AB282" s="332">
        <f t="shared" si="222"/>
        <v>8358.4499999999953</v>
      </c>
      <c r="AC282" s="343">
        <f t="shared" si="198"/>
        <v>119.58333333333333</v>
      </c>
      <c r="AD282" s="329">
        <f t="shared" si="199"/>
        <v>121</v>
      </c>
      <c r="AE282" s="343">
        <f t="shared" si="200"/>
        <v>129.58333333333334</v>
      </c>
      <c r="AF282" s="329">
        <f t="shared" si="201"/>
        <v>120</v>
      </c>
      <c r="AG282" s="342">
        <f t="shared" si="202"/>
        <v>-8.3333333333333329E-2</v>
      </c>
    </row>
    <row r="283" spans="1:33">
      <c r="A283" s="713"/>
      <c r="B283" s="337" t="s">
        <v>1384</v>
      </c>
      <c r="C283" s="337">
        <v>120</v>
      </c>
      <c r="D283" s="337">
        <v>8</v>
      </c>
      <c r="E283" s="426">
        <v>0</v>
      </c>
      <c r="G283" s="337" t="s">
        <v>904</v>
      </c>
      <c r="H283" s="337">
        <v>10</v>
      </c>
      <c r="I283" s="345">
        <f t="shared" si="186"/>
        <v>130</v>
      </c>
      <c r="L283" s="697">
        <v>2166</v>
      </c>
      <c r="N283" s="332">
        <f t="shared" si="187"/>
        <v>2166</v>
      </c>
      <c r="O283" s="332">
        <f t="shared" si="188"/>
        <v>18.05</v>
      </c>
      <c r="P283" s="332">
        <f t="shared" si="189"/>
        <v>90.250000000001023</v>
      </c>
      <c r="Q283" s="329">
        <f t="shared" si="190"/>
        <v>0</v>
      </c>
      <c r="R283" s="332">
        <f t="shared" si="191"/>
        <v>90.250000000001023</v>
      </c>
      <c r="S283" s="344">
        <v>1</v>
      </c>
      <c r="T283" s="332">
        <f t="shared" si="192"/>
        <v>90.250000000001023</v>
      </c>
      <c r="V283" s="332">
        <f t="shared" si="193"/>
        <v>0</v>
      </c>
      <c r="W283" s="332">
        <f t="shared" si="194"/>
        <v>0</v>
      </c>
      <c r="X283" s="344">
        <v>1</v>
      </c>
      <c r="Y283" s="332">
        <f t="shared" si="195"/>
        <v>0</v>
      </c>
      <c r="Z283" s="332">
        <f t="shared" si="196"/>
        <v>90.250000000001023</v>
      </c>
      <c r="AA283" s="332">
        <f t="shared" si="197"/>
        <v>1037.8749999999995</v>
      </c>
      <c r="AB283" s="332">
        <f t="shared" si="203"/>
        <v>2075.7499999999991</v>
      </c>
      <c r="AC283" s="343">
        <f t="shared" si="198"/>
        <v>120.58333333333333</v>
      </c>
      <c r="AD283" s="329">
        <f t="shared" si="199"/>
        <v>121</v>
      </c>
      <c r="AE283" s="343">
        <f t="shared" si="200"/>
        <v>130.58333333333334</v>
      </c>
      <c r="AF283" s="329">
        <f t="shared" si="201"/>
        <v>120</v>
      </c>
      <c r="AG283" s="342">
        <f t="shared" si="202"/>
        <v>-8.3333333333333329E-2</v>
      </c>
    </row>
    <row r="284" spans="1:33">
      <c r="I284" s="334"/>
      <c r="L284" s="332"/>
      <c r="N284" s="332"/>
      <c r="R284" s="332"/>
      <c r="T284" s="347"/>
      <c r="Y284" s="332"/>
      <c r="Z284" s="332"/>
      <c r="AA284" s="347"/>
      <c r="AB284" s="347"/>
    </row>
    <row r="285" spans="1:33" ht="16.5" thickBot="1">
      <c r="B285" s="337" t="s">
        <v>930</v>
      </c>
      <c r="I285" s="334"/>
      <c r="L285" s="340">
        <f>SUM(L259:L284)</f>
        <v>88650</v>
      </c>
      <c r="N285" s="332">
        <f>SUM(N259:N284)</f>
        <v>88650</v>
      </c>
      <c r="P285" s="361"/>
      <c r="R285" s="332"/>
      <c r="T285" s="339">
        <f>SUM(T259:T284)</f>
        <v>5273.0833333333339</v>
      </c>
      <c r="V285" s="332">
        <f>SUM(V259:V284)</f>
        <v>66528.77499999998</v>
      </c>
      <c r="W285" s="332">
        <f>SUM(W259:W284)</f>
        <v>66528.77499999998</v>
      </c>
      <c r="Y285" s="332">
        <f>SUM(Y259:Y284)</f>
        <v>66528.77499999998</v>
      </c>
      <c r="Z285" s="332">
        <f>SUM(Z259:Z284)</f>
        <v>71801.858333333337</v>
      </c>
      <c r="AA285" s="339">
        <f>SUM(AA259:AA284)</f>
        <v>18401.683333333331</v>
      </c>
      <c r="AB285" s="339">
        <f>SUM(AB259:AB284)</f>
        <v>16848.141666666663</v>
      </c>
    </row>
    <row r="286" spans="1:33" ht="16.5" thickTop="1">
      <c r="I286" s="334" t="s">
        <v>902</v>
      </c>
      <c r="L286" s="338">
        <f>SUM(L259:L282)</f>
        <v>86484</v>
      </c>
      <c r="N286" s="332"/>
      <c r="R286" s="332"/>
      <c r="T286" s="347"/>
      <c r="Y286" s="332"/>
      <c r="Z286" s="332"/>
      <c r="AA286" s="347"/>
      <c r="AB286" s="347"/>
    </row>
    <row r="287" spans="1:33">
      <c r="I287" s="334"/>
      <c r="L287" s="332"/>
      <c r="N287" s="332"/>
      <c r="R287" s="332"/>
      <c r="T287" s="347"/>
      <c r="Y287" s="332"/>
      <c r="Z287" s="332"/>
      <c r="AA287" s="347"/>
      <c r="AB287" s="347"/>
    </row>
    <row r="288" spans="1:33">
      <c r="B288" s="337" t="s">
        <v>929</v>
      </c>
      <c r="C288" s="337">
        <v>90</v>
      </c>
      <c r="D288" s="337">
        <v>5</v>
      </c>
      <c r="E288" s="346">
        <v>0</v>
      </c>
      <c r="G288" s="337" t="s">
        <v>904</v>
      </c>
      <c r="H288" s="337">
        <v>10</v>
      </c>
      <c r="I288" s="345">
        <f>+C288+H288</f>
        <v>100</v>
      </c>
      <c r="L288" s="335">
        <v>2500</v>
      </c>
      <c r="N288" s="332">
        <f>L288-L288*E288</f>
        <v>2500</v>
      </c>
      <c r="O288" s="332">
        <f>N288/H288/12</f>
        <v>20.833333333333332</v>
      </c>
      <c r="P288" s="332">
        <f>IF(M288&gt;0,0,IF(OR(AC288&gt;AD288,AE288&lt;AF288),0,IF(AND(AE288&gt;=AF288,AE288&lt;=AD288),O288*((AE288-AF288)*12),IF(AND(AF288&lt;=AC288,AD288&gt;=AC288),((AD288-AC288)*12)*O288,IF(AE288&gt;AD288,12*O288,0)))))</f>
        <v>0</v>
      </c>
      <c r="Q288" s="329">
        <f>IF(M288=0,0,IF(AND(AG288&gt;=AF288,AG288&lt;=AE288),((AG288-AF288)*12)*O288,0))</f>
        <v>0</v>
      </c>
      <c r="R288" s="332">
        <f>IF(Q288&gt;0,Q288,P288)</f>
        <v>0</v>
      </c>
      <c r="S288" s="344">
        <v>0</v>
      </c>
      <c r="T288" s="332">
        <f>S288*SUM(P288:Q288)</f>
        <v>0</v>
      </c>
      <c r="V288" s="332">
        <f>IF(AC288&gt;AD288,0,IF(AE288&lt;AF288,N288,IF(AND(AE288&gt;=AF288,AE288&lt;=AD288),(N288-R288),IF(AND(AF288&lt;=AC288,AD288&gt;=AC288),0,IF(AE288&gt;AD288,((AF288-AC288)*12)*O288,0)))))</f>
        <v>2500</v>
      </c>
      <c r="W288" s="332">
        <f>V288*S288</f>
        <v>0</v>
      </c>
      <c r="X288" s="344">
        <v>1</v>
      </c>
      <c r="Y288" s="332">
        <f>W288*X288</f>
        <v>0</v>
      </c>
      <c r="Z288" s="332">
        <f>IF(M288&gt;0,0,Y288+T288*X288)*X288</f>
        <v>0</v>
      </c>
      <c r="AA288" s="332">
        <f>IF(M288&gt;0,(L288-Y288)/2,IF(AC288&gt;=AF288,(((L288*S288)*X288)-Z288)/2,((((L288*S288)*X288)-Y288)+(((L288*S288)*X288)-Z288))/2))</f>
        <v>0</v>
      </c>
      <c r="AB288" s="332">
        <v>0</v>
      </c>
      <c r="AC288" s="343">
        <f>$C288+(($D288-1)/12)</f>
        <v>90.333333333333329</v>
      </c>
      <c r="AD288" s="329">
        <f>($N$5+1)-($N$2/12)</f>
        <v>121</v>
      </c>
      <c r="AE288" s="343">
        <f>$I288+(($D288-1)/12)</f>
        <v>100.33333333333333</v>
      </c>
      <c r="AF288" s="329">
        <f>$N$4+($N$3/12)</f>
        <v>120</v>
      </c>
      <c r="AG288" s="342">
        <f>$J288+(($K288-1)/12)</f>
        <v>-8.3333333333333329E-2</v>
      </c>
    </row>
    <row r="289" spans="1:33">
      <c r="B289" s="337" t="s">
        <v>928</v>
      </c>
      <c r="C289" s="337">
        <v>90</v>
      </c>
      <c r="D289" s="337">
        <v>7</v>
      </c>
      <c r="E289" s="346">
        <v>0</v>
      </c>
      <c r="G289" s="337" t="s">
        <v>904</v>
      </c>
      <c r="H289" s="337">
        <v>10</v>
      </c>
      <c r="I289" s="345">
        <f>+C289+H289</f>
        <v>100</v>
      </c>
      <c r="L289" s="335">
        <v>600</v>
      </c>
      <c r="N289" s="332">
        <f>L289-L289*E289</f>
        <v>600</v>
      </c>
      <c r="O289" s="332">
        <f>N289/H289/12</f>
        <v>5</v>
      </c>
      <c r="P289" s="332">
        <f>IF(M289&gt;0,0,IF(OR(AC289&gt;AD289,AE289&lt;AF289),0,IF(AND(AE289&gt;=AF289,AE289&lt;=AD289),O289*((AE289-AF289)*12),IF(AND(AF289&lt;=AC289,AD289&gt;=AC289),((AD289-AC289)*12)*O289,IF(AE289&gt;AD289,12*O289,0)))))</f>
        <v>0</v>
      </c>
      <c r="Q289" s="329">
        <f>IF(M289=0,0,IF(AND(AG289&gt;=AF289,AG289&lt;=AE289),((AG289-AF289)*12)*O289,0))</f>
        <v>0</v>
      </c>
      <c r="R289" s="332">
        <f>IF(Q289&gt;0,Q289,P289)</f>
        <v>0</v>
      </c>
      <c r="S289" s="344">
        <v>0</v>
      </c>
      <c r="T289" s="332">
        <f>S289*SUM(P289:Q289)</f>
        <v>0</v>
      </c>
      <c r="V289" s="332">
        <f>IF(AC289&gt;AD289,0,IF(AE289&lt;AF289,N289,IF(AND(AE289&gt;=AF289,AE289&lt;=AD289),(N289-R289),IF(AND(AF289&lt;=AC289,AD289&gt;=AC289),0,IF(AE289&gt;AD289,((AF289-AC289)*12)*O289,0)))))</f>
        <v>600</v>
      </c>
      <c r="W289" s="332">
        <f>V289*S289</f>
        <v>0</v>
      </c>
      <c r="X289" s="344">
        <v>1</v>
      </c>
      <c r="Y289" s="332">
        <f>W289*X289</f>
        <v>0</v>
      </c>
      <c r="Z289" s="332">
        <f>IF(M289&gt;0,0,Y289+T289*X289)*X289</f>
        <v>0</v>
      </c>
      <c r="AA289" s="332">
        <f>IF(M289&gt;0,(L289-Y289)/2,IF(AC289&gt;=AF289,(((L289*S289)*X289)-Z289)/2,((((L289*S289)*X289)-Y289)+(((L289*S289)*X289)-Z289))/2))</f>
        <v>0</v>
      </c>
      <c r="AB289" s="332">
        <v>0</v>
      </c>
      <c r="AC289" s="343">
        <f>$C289+(($D289-1)/12)</f>
        <v>90.5</v>
      </c>
      <c r="AD289" s="329">
        <f>($N$5+1)-($N$2/12)</f>
        <v>121</v>
      </c>
      <c r="AE289" s="343">
        <f>$I289+(($D289-1)/12)</f>
        <v>100.5</v>
      </c>
      <c r="AF289" s="329">
        <f>$N$4+($N$3/12)</f>
        <v>120</v>
      </c>
      <c r="AG289" s="342">
        <f>$J289+(($K289-1)/12)</f>
        <v>-8.3333333333333329E-2</v>
      </c>
    </row>
    <row r="290" spans="1:33">
      <c r="B290" s="337" t="s">
        <v>927</v>
      </c>
      <c r="C290" s="337">
        <v>100</v>
      </c>
      <c r="D290" s="337">
        <v>4</v>
      </c>
      <c r="E290" s="346">
        <v>0</v>
      </c>
      <c r="G290" s="337" t="s">
        <v>904</v>
      </c>
      <c r="H290" s="337">
        <v>10</v>
      </c>
      <c r="I290" s="345">
        <f>+C290+H290</f>
        <v>110</v>
      </c>
      <c r="L290" s="335">
        <v>1076</v>
      </c>
      <c r="N290" s="332">
        <f>L290-L290*E290</f>
        <v>1076</v>
      </c>
      <c r="O290" s="332">
        <f>N290/H290/12</f>
        <v>8.9666666666666668</v>
      </c>
      <c r="P290" s="332">
        <f>IF(M290&gt;0,0,IF(OR(AC290&gt;AD290,AE290&lt;AF290),0,IF(AND(AE290&gt;=AF290,AE290&lt;=AD290),O290*((AE290-AF290)*12),IF(AND(AF290&lt;=AC290,AD290&gt;=AC290),((AD290-AC290)*12)*O290,IF(AE290&gt;AD290,12*O290,0)))))</f>
        <v>0</v>
      </c>
      <c r="Q290" s="329">
        <f>IF(M290=0,0,IF(AND(AG290&gt;=AF290,AG290&lt;=AE290),((AG290-AF290)*12)*O290,0))</f>
        <v>0</v>
      </c>
      <c r="R290" s="332">
        <f>IF(Q290&gt;0,Q290,P290)</f>
        <v>0</v>
      </c>
      <c r="S290" s="344">
        <v>0</v>
      </c>
      <c r="T290" s="332">
        <f>S290*SUM(P290:Q290)</f>
        <v>0</v>
      </c>
      <c r="V290" s="332">
        <f>IF(AC290&gt;AD290,0,IF(AE290&lt;AF290,N290,IF(AND(AE290&gt;=AF290,AE290&lt;=AD290),(N290-R290),IF(AND(AF290&lt;=AC290,AD290&gt;=AC290),0,IF(AE290&gt;AD290,((AF290-AC290)*12)*O290,0)))))</f>
        <v>1076</v>
      </c>
      <c r="W290" s="332">
        <f>V290*S290</f>
        <v>0</v>
      </c>
      <c r="X290" s="344">
        <v>1</v>
      </c>
      <c r="Y290" s="332">
        <f>W290*X290</f>
        <v>0</v>
      </c>
      <c r="Z290" s="332">
        <f>IF(M290&gt;0,0,Y290+T290*X290)*X290</f>
        <v>0</v>
      </c>
      <c r="AA290" s="332">
        <f>IF(M290&gt;0,(L290-Y290)/2,IF(AC290&gt;=AF290,(((L290*S290)*X290)-Z290)/2,((((L290*S290)*X290)-Y290)+(((L290*S290)*X290)-Z290))/2))</f>
        <v>0</v>
      </c>
      <c r="AB290" s="332">
        <v>0</v>
      </c>
      <c r="AC290" s="343">
        <f>$C290+(($D290-1)/12)</f>
        <v>100.25</v>
      </c>
      <c r="AD290" s="329">
        <f>($N$5+1)-($N$2/12)</f>
        <v>121</v>
      </c>
      <c r="AE290" s="343">
        <f>$I290+(($D290-1)/12)</f>
        <v>110.25</v>
      </c>
      <c r="AF290" s="329">
        <f>$N$4+($N$3/12)</f>
        <v>120</v>
      </c>
      <c r="AG290" s="342">
        <f>$J290+(($K290-1)/12)</f>
        <v>-8.3333333333333329E-2</v>
      </c>
    </row>
    <row r="291" spans="1:33">
      <c r="A291" s="418"/>
      <c r="B291" s="337" t="s">
        <v>926</v>
      </c>
      <c r="C291" s="337">
        <v>116</v>
      </c>
      <c r="D291" s="337">
        <v>10</v>
      </c>
      <c r="E291" s="346">
        <v>0.2</v>
      </c>
      <c r="G291" s="337" t="s">
        <v>904</v>
      </c>
      <c r="H291" s="337">
        <v>10</v>
      </c>
      <c r="I291" s="345">
        <f>+C291+H291</f>
        <v>126</v>
      </c>
      <c r="L291" s="335">
        <v>44977</v>
      </c>
      <c r="N291" s="332">
        <f>L291-L291*E291</f>
        <v>35981.599999999999</v>
      </c>
      <c r="O291" s="332">
        <f>N291/H291/12</f>
        <v>299.84666666666664</v>
      </c>
      <c r="P291" s="332">
        <f>IF(M291&gt;0,0,IF(OR(AC291&gt;AD291,AE291&lt;AF291),0,IF(AND(AE291&gt;=AF291,AE291&lt;=AD291),O291*((AE291-AF291)*12),IF(AND(AF291&lt;=AC291,AD291&gt;=AC291),((AD291-AC291)*12)*O291,IF(AE291&gt;AD291,12*O291,0)))))</f>
        <v>3598.16</v>
      </c>
      <c r="Q291" s="329">
        <f>IF(M291=0,0,IF(AND(AG291&gt;=AF291,AG291&lt;=AE291),((AG291-AF291)*12)*O291,0))</f>
        <v>0</v>
      </c>
      <c r="R291" s="332">
        <f>IF(Q291&gt;0,Q291,P291)</f>
        <v>3598.16</v>
      </c>
      <c r="S291" s="344">
        <v>0</v>
      </c>
      <c r="T291" s="332">
        <f>S291*SUM(P291:Q291)</f>
        <v>0</v>
      </c>
      <c r="V291" s="332">
        <f>IF(AC291&gt;AD291,0,IF(AE291&lt;AF291,N291,IF(AND(AE291&gt;=AF291,AE291&lt;=AD291),(N291-R291),IF(AND(AF291&lt;=AC291,AD291&gt;=AC291),0,IF(AE291&gt;AD291,((AF291-AC291)*12)*O291,0)))))</f>
        <v>11694.019999999999</v>
      </c>
      <c r="W291" s="332">
        <f>V291*S291</f>
        <v>0</v>
      </c>
      <c r="X291" s="344">
        <v>1</v>
      </c>
      <c r="Y291" s="332">
        <f>W291*X291</f>
        <v>0</v>
      </c>
      <c r="Z291" s="332">
        <f>IF(M291&gt;0,0,Y291+T291*X291)*X291</f>
        <v>0</v>
      </c>
      <c r="AA291" s="332">
        <f>IF(M291&gt;0,(L291-Y291)/2,IF(AC291&gt;=AF291,(((L291*S291)*X291)-Z291)/2,((((L291*S291)*X291)-Y291)+(((L291*S291)*X291)-Z291))/2))</f>
        <v>0</v>
      </c>
      <c r="AB291" s="332">
        <v>0</v>
      </c>
      <c r="AC291" s="343">
        <f>$C291+(($D291-1)/12)</f>
        <v>116.75</v>
      </c>
      <c r="AD291" s="329">
        <f>($N$5+1)-($N$2/12)</f>
        <v>121</v>
      </c>
      <c r="AE291" s="343">
        <f>$I291+(($D291-1)/12)</f>
        <v>126.75</v>
      </c>
      <c r="AF291" s="329">
        <f>$N$4+($N$3/12)</f>
        <v>120</v>
      </c>
      <c r="AG291" s="342">
        <f>$J291+(($K291-1)/12)</f>
        <v>-8.3333333333333329E-2</v>
      </c>
    </row>
    <row r="292" spans="1:33">
      <c r="B292" s="337" t="s">
        <v>1385</v>
      </c>
      <c r="C292" s="337">
        <v>120</v>
      </c>
      <c r="D292" s="337">
        <v>4</v>
      </c>
      <c r="E292" s="346">
        <v>0.2</v>
      </c>
      <c r="G292" s="337" t="s">
        <v>904</v>
      </c>
      <c r="H292" s="337">
        <v>10</v>
      </c>
      <c r="I292" s="345">
        <f>+C292+H292</f>
        <v>130</v>
      </c>
      <c r="L292" s="335">
        <v>24500</v>
      </c>
      <c r="N292" s="332">
        <f>L292-L292*E292</f>
        <v>19600</v>
      </c>
      <c r="O292" s="332">
        <f>N292/H292/12</f>
        <v>163.33333333333334</v>
      </c>
      <c r="P292" s="332">
        <f>IF(M292&gt;0,0,IF(OR(AC292&gt;AD292,AE292&lt;AF292),0,IF(AND(AE292&gt;=AF292,AE292&lt;=AD292),O292*((AE292-AF292)*12),IF(AND(AF292&lt;=AC292,AD292&gt;=AC292),((AD292-AC292)*12)*O292,IF(AE292&gt;AD292,12*O292,0)))))</f>
        <v>1470</v>
      </c>
      <c r="Q292" s="329">
        <f>IF(M292=0,0,IF(AND(AG292&gt;=AF292,AG292&lt;=AE292),((AG292-AF292)*12)*O292,0))</f>
        <v>0</v>
      </c>
      <c r="R292" s="332">
        <f>IF(Q292&gt;0,Q292,P292)</f>
        <v>1470</v>
      </c>
      <c r="S292" s="344">
        <v>0</v>
      </c>
      <c r="T292" s="332">
        <f>S292*SUM(P292:Q292)</f>
        <v>0</v>
      </c>
      <c r="V292" s="332">
        <f>IF(AC292&gt;AD292,0,IF(AE292&lt;AF292,N292,IF(AND(AE292&gt;=AF292,AE292&lt;=AD292),(N292-R292),IF(AND(AF292&lt;=AC292,AD292&gt;=AC292),0,IF(AE292&gt;AD292,((AF292-AC292)*12)*O292,0)))))</f>
        <v>0</v>
      </c>
      <c r="W292" s="332">
        <f>V292*S292</f>
        <v>0</v>
      </c>
      <c r="X292" s="344">
        <v>1</v>
      </c>
      <c r="Y292" s="332">
        <f>W292*X292</f>
        <v>0</v>
      </c>
      <c r="Z292" s="332">
        <f>IF(M292&gt;0,0,Y292+T292*X292)*X292</f>
        <v>0</v>
      </c>
      <c r="AA292" s="332">
        <f>IF(M292&gt;0,(L292-Y292)/2,IF(AC292&gt;=AF292,(((L292*S292)*X292)-Z292)/2,((((L292*S292)*X292)-Y292)+(((L292*S292)*X292)-Z292))/2))</f>
        <v>0</v>
      </c>
      <c r="AB292" s="332">
        <v>0</v>
      </c>
      <c r="AC292" s="343">
        <f>$C292+(($D292-1)/12)</f>
        <v>120.25</v>
      </c>
      <c r="AD292" s="329">
        <f>($N$5+1)-($N$2/12)</f>
        <v>121</v>
      </c>
      <c r="AE292" s="343">
        <f>$I292+(($D292-1)/12)</f>
        <v>130.25</v>
      </c>
      <c r="AF292" s="329">
        <f>$N$4+($N$3/12)</f>
        <v>120</v>
      </c>
      <c r="AG292" s="342">
        <f>$J292+(($K292-1)/12)</f>
        <v>-8.3333333333333329E-2</v>
      </c>
    </row>
    <row r="293" spans="1:33">
      <c r="I293" s="334"/>
      <c r="L293" s="332"/>
      <c r="N293" s="332"/>
      <c r="R293" s="332"/>
      <c r="T293" s="333"/>
      <c r="Y293" s="332"/>
      <c r="Z293" s="332"/>
      <c r="AA293" s="333"/>
      <c r="AB293" s="359">
        <v>0</v>
      </c>
    </row>
    <row r="294" spans="1:33" ht="16.5" thickBot="1">
      <c r="B294" s="337" t="s">
        <v>925</v>
      </c>
      <c r="I294" s="334"/>
      <c r="L294" s="332">
        <f>SUM(L288:L293)</f>
        <v>73653</v>
      </c>
      <c r="N294" s="332">
        <f>SUM(N288:N293)</f>
        <v>59757.599999999999</v>
      </c>
      <c r="R294" s="332"/>
      <c r="T294" s="339">
        <f>SUM(T288:T293)</f>
        <v>0</v>
      </c>
      <c r="V294" s="332">
        <f>SUM(V288:V293)</f>
        <v>15870.019999999999</v>
      </c>
      <c r="W294" s="332">
        <f>SUM(W288:W293)</f>
        <v>0</v>
      </c>
      <c r="Y294" s="332">
        <f>SUM(Y288:Y293)</f>
        <v>0</v>
      </c>
      <c r="Z294" s="332">
        <f>SUM(Z288:Z293)</f>
        <v>0</v>
      </c>
      <c r="AA294" s="339">
        <f>SUM(AA288:AA293)</f>
        <v>0</v>
      </c>
      <c r="AB294" s="347"/>
    </row>
    <row r="295" spans="1:33" ht="16.5" thickTop="1">
      <c r="I295" s="334" t="s">
        <v>902</v>
      </c>
      <c r="L295" s="338">
        <f>SUM(L288:L291)</f>
        <v>49153</v>
      </c>
      <c r="N295" s="332"/>
      <c r="R295" s="332"/>
      <c r="T295" s="333"/>
      <c r="Y295" s="332"/>
      <c r="Z295" s="332"/>
      <c r="AA295" s="333"/>
      <c r="AB295" s="333"/>
    </row>
    <row r="296" spans="1:33">
      <c r="B296" s="337" t="s">
        <v>924</v>
      </c>
      <c r="I296" s="334"/>
      <c r="L296" s="332"/>
      <c r="N296" s="332"/>
      <c r="R296" s="332"/>
      <c r="T296" s="333"/>
      <c r="Y296" s="332"/>
      <c r="Z296" s="332"/>
      <c r="AA296" s="333"/>
      <c r="AB296" s="333"/>
    </row>
    <row r="297" spans="1:33">
      <c r="B297" s="337" t="s">
        <v>923</v>
      </c>
      <c r="C297" s="337">
        <v>87</v>
      </c>
      <c r="D297" s="337">
        <v>11</v>
      </c>
      <c r="E297" s="346">
        <v>0</v>
      </c>
      <c r="G297" s="337" t="s">
        <v>904</v>
      </c>
      <c r="H297" s="337">
        <v>10</v>
      </c>
      <c r="I297" s="345">
        <f t="shared" ref="I297:I316" si="224">+C297+H297</f>
        <v>97</v>
      </c>
      <c r="L297" s="335">
        <v>600</v>
      </c>
      <c r="N297" s="332">
        <f t="shared" ref="N297:N316" si="225">L297-L297*E297</f>
        <v>600</v>
      </c>
      <c r="O297" s="332">
        <f t="shared" ref="O297:O316" si="226">N297/H297/12</f>
        <v>5</v>
      </c>
      <c r="P297" s="332">
        <f t="shared" ref="P297:P316" si="227">IF(M297&gt;0,0,IF(OR(AC297&gt;AD297,AE297&lt;AF297),0,IF(AND(AE297&gt;=AF297,AE297&lt;=AD297),O297*((AE297-AF297)*12),IF(AND(AF297&lt;=AC297,AD297&gt;=AC297),((AD297-AC297)*12)*O297,IF(AE297&gt;AD297,12*O297,0)))))</f>
        <v>0</v>
      </c>
      <c r="Q297" s="329">
        <f t="shared" ref="Q297:Q316" si="228">IF(M297=0,0,IF(AND(AG297&gt;=AF297,AG297&lt;=AE297),((AG297-AF297)*12)*O297,0))</f>
        <v>0</v>
      </c>
      <c r="R297" s="332">
        <f t="shared" ref="R297:R316" si="229">IF(Q297&gt;0,Q297,P297)</f>
        <v>0</v>
      </c>
      <c r="S297" s="344">
        <v>1</v>
      </c>
      <c r="T297" s="332">
        <f t="shared" ref="T297:T316" si="230">S297*SUM(P297:Q297)</f>
        <v>0</v>
      </c>
      <c r="V297" s="332">
        <f t="shared" ref="V297:V316" si="231">IF(AC297&gt;AD297,0,IF(AE297&lt;AF297,N297,IF(AND(AE297&gt;=AF297,AE297&lt;=AD297),(N297-R297),IF(AND(AF297&lt;=AC297,AD297&gt;=AC297),0,IF(AE297&gt;AD297,((AF297-AC297)*12)*O297,0)))))</f>
        <v>600</v>
      </c>
      <c r="W297" s="332">
        <f t="shared" ref="W297:W316" si="232">V297*S297</f>
        <v>600</v>
      </c>
      <c r="X297" s="344">
        <v>1</v>
      </c>
      <c r="Y297" s="332">
        <f t="shared" ref="Y297:Y316" si="233">W297*X297</f>
        <v>600</v>
      </c>
      <c r="Z297" s="332">
        <f t="shared" ref="Z297:Z316" si="234">IF(M297&gt;0,0,Y297+T297*X297)*X297</f>
        <v>600</v>
      </c>
      <c r="AA297" s="332">
        <f t="shared" ref="AA297:AA316" si="235">IF(M297&gt;0,(L297-Y297)/2,IF(AC297&gt;=AF297,(((L297*S297)*X297)-Z297)/2,((((L297*S297)*X297)-Y297)+(((L297*S297)*X297)-Z297))/2))</f>
        <v>0</v>
      </c>
      <c r="AB297" s="332">
        <f>L297-Z297</f>
        <v>0</v>
      </c>
      <c r="AC297" s="343">
        <f t="shared" ref="AC297:AC316" si="236">$C297+(($D297-1)/12)</f>
        <v>87.833333333333329</v>
      </c>
      <c r="AD297" s="329">
        <f t="shared" ref="AD297:AD316" si="237">($N$5+1)-($N$2/12)</f>
        <v>121</v>
      </c>
      <c r="AE297" s="343">
        <f t="shared" ref="AE297:AE316" si="238">$I297+(($D297-1)/12)</f>
        <v>97.833333333333329</v>
      </c>
      <c r="AF297" s="329">
        <f t="shared" ref="AF297:AF316" si="239">$N$4+($N$3/12)</f>
        <v>120</v>
      </c>
      <c r="AG297" s="342">
        <f t="shared" ref="AG297:AG316" si="240">$J297+(($K297-1)/12)</f>
        <v>-8.3333333333333329E-2</v>
      </c>
    </row>
    <row r="298" spans="1:33">
      <c r="B298" s="337" t="s">
        <v>922</v>
      </c>
      <c r="C298" s="337">
        <v>91</v>
      </c>
      <c r="D298" s="337">
        <v>10</v>
      </c>
      <c r="E298" s="346">
        <v>0</v>
      </c>
      <c r="G298" s="337" t="s">
        <v>904</v>
      </c>
      <c r="H298" s="337">
        <v>10</v>
      </c>
      <c r="I298" s="345">
        <f t="shared" si="224"/>
        <v>101</v>
      </c>
      <c r="L298" s="335">
        <v>302</v>
      </c>
      <c r="N298" s="332">
        <f t="shared" si="225"/>
        <v>302</v>
      </c>
      <c r="O298" s="332">
        <f t="shared" si="226"/>
        <v>2.5166666666666666</v>
      </c>
      <c r="P298" s="332">
        <f t="shared" si="227"/>
        <v>0</v>
      </c>
      <c r="Q298" s="329">
        <f t="shared" si="228"/>
        <v>0</v>
      </c>
      <c r="R298" s="332">
        <f t="shared" si="229"/>
        <v>0</v>
      </c>
      <c r="S298" s="344">
        <v>1</v>
      </c>
      <c r="T298" s="332">
        <f t="shared" si="230"/>
        <v>0</v>
      </c>
      <c r="V298" s="332">
        <f t="shared" si="231"/>
        <v>302</v>
      </c>
      <c r="W298" s="332">
        <f t="shared" si="232"/>
        <v>302</v>
      </c>
      <c r="X298" s="344">
        <v>1</v>
      </c>
      <c r="Y298" s="332">
        <f t="shared" si="233"/>
        <v>302</v>
      </c>
      <c r="Z298" s="332">
        <f t="shared" si="234"/>
        <v>302</v>
      </c>
      <c r="AA298" s="332">
        <f t="shared" si="235"/>
        <v>0</v>
      </c>
      <c r="AB298" s="332">
        <f t="shared" ref="AB298:AB316" si="241">L298-Z298</f>
        <v>0</v>
      </c>
      <c r="AC298" s="343">
        <f t="shared" si="236"/>
        <v>91.75</v>
      </c>
      <c r="AD298" s="329">
        <f t="shared" si="237"/>
        <v>121</v>
      </c>
      <c r="AE298" s="343">
        <f t="shared" si="238"/>
        <v>101.75</v>
      </c>
      <c r="AF298" s="329">
        <f t="shared" si="239"/>
        <v>120</v>
      </c>
      <c r="AG298" s="342">
        <f t="shared" si="240"/>
        <v>-8.3333333333333329E-2</v>
      </c>
    </row>
    <row r="299" spans="1:33">
      <c r="B299" s="337" t="s">
        <v>921</v>
      </c>
      <c r="C299" s="337">
        <v>99</v>
      </c>
      <c r="D299" s="337">
        <v>1</v>
      </c>
      <c r="E299" s="346">
        <v>0</v>
      </c>
      <c r="G299" s="337" t="s">
        <v>904</v>
      </c>
      <c r="H299" s="337">
        <v>10</v>
      </c>
      <c r="I299" s="345">
        <f t="shared" si="224"/>
        <v>109</v>
      </c>
      <c r="L299" s="335">
        <v>1273</v>
      </c>
      <c r="N299" s="332">
        <f t="shared" si="225"/>
        <v>1273</v>
      </c>
      <c r="O299" s="332">
        <f t="shared" si="226"/>
        <v>10.608333333333333</v>
      </c>
      <c r="P299" s="332">
        <f t="shared" si="227"/>
        <v>0</v>
      </c>
      <c r="Q299" s="329">
        <f t="shared" si="228"/>
        <v>0</v>
      </c>
      <c r="R299" s="332">
        <f t="shared" si="229"/>
        <v>0</v>
      </c>
      <c r="S299" s="344">
        <v>1</v>
      </c>
      <c r="T299" s="332">
        <f t="shared" si="230"/>
        <v>0</v>
      </c>
      <c r="V299" s="332">
        <f t="shared" si="231"/>
        <v>1273</v>
      </c>
      <c r="W299" s="332">
        <f t="shared" si="232"/>
        <v>1273</v>
      </c>
      <c r="X299" s="344">
        <v>1</v>
      </c>
      <c r="Y299" s="332">
        <f t="shared" si="233"/>
        <v>1273</v>
      </c>
      <c r="Z299" s="332">
        <f t="shared" si="234"/>
        <v>1273</v>
      </c>
      <c r="AA299" s="332">
        <f t="shared" si="235"/>
        <v>0</v>
      </c>
      <c r="AB299" s="332">
        <f t="shared" si="241"/>
        <v>0</v>
      </c>
      <c r="AC299" s="343">
        <f t="shared" si="236"/>
        <v>99</v>
      </c>
      <c r="AD299" s="329">
        <f t="shared" si="237"/>
        <v>121</v>
      </c>
      <c r="AE299" s="343">
        <f t="shared" si="238"/>
        <v>109</v>
      </c>
      <c r="AF299" s="329">
        <f t="shared" si="239"/>
        <v>120</v>
      </c>
      <c r="AG299" s="342">
        <f t="shared" si="240"/>
        <v>-8.3333333333333329E-2</v>
      </c>
    </row>
    <row r="300" spans="1:33">
      <c r="B300" s="337" t="s">
        <v>920</v>
      </c>
      <c r="C300" s="337">
        <v>101</v>
      </c>
      <c r="D300" s="337">
        <v>7</v>
      </c>
      <c r="E300" s="346">
        <v>0</v>
      </c>
      <c r="G300" s="337" t="s">
        <v>904</v>
      </c>
      <c r="H300" s="337">
        <v>10</v>
      </c>
      <c r="I300" s="345">
        <f t="shared" si="224"/>
        <v>111</v>
      </c>
      <c r="L300" s="335">
        <v>2190</v>
      </c>
      <c r="N300" s="332">
        <f t="shared" si="225"/>
        <v>2190</v>
      </c>
      <c r="O300" s="332">
        <f t="shared" si="226"/>
        <v>18.25</v>
      </c>
      <c r="P300" s="332">
        <f t="shared" si="227"/>
        <v>0</v>
      </c>
      <c r="Q300" s="329">
        <f t="shared" si="228"/>
        <v>0</v>
      </c>
      <c r="R300" s="332">
        <f t="shared" si="229"/>
        <v>0</v>
      </c>
      <c r="S300" s="344">
        <v>1</v>
      </c>
      <c r="T300" s="332">
        <f t="shared" si="230"/>
        <v>0</v>
      </c>
      <c r="V300" s="332">
        <f t="shared" si="231"/>
        <v>2190</v>
      </c>
      <c r="W300" s="332">
        <f t="shared" si="232"/>
        <v>2190</v>
      </c>
      <c r="X300" s="344">
        <v>1</v>
      </c>
      <c r="Y300" s="332">
        <f t="shared" si="233"/>
        <v>2190</v>
      </c>
      <c r="Z300" s="332">
        <f t="shared" si="234"/>
        <v>2190</v>
      </c>
      <c r="AA300" s="332">
        <f t="shared" si="235"/>
        <v>0</v>
      </c>
      <c r="AB300" s="332">
        <f t="shared" si="241"/>
        <v>0</v>
      </c>
      <c r="AC300" s="343">
        <f t="shared" si="236"/>
        <v>101.5</v>
      </c>
      <c r="AD300" s="329">
        <f t="shared" si="237"/>
        <v>121</v>
      </c>
      <c r="AE300" s="343">
        <f t="shared" si="238"/>
        <v>111.5</v>
      </c>
      <c r="AF300" s="329">
        <f t="shared" si="239"/>
        <v>120</v>
      </c>
      <c r="AG300" s="342">
        <f t="shared" si="240"/>
        <v>-8.3333333333333329E-2</v>
      </c>
    </row>
    <row r="301" spans="1:33">
      <c r="B301" s="337" t="s">
        <v>919</v>
      </c>
      <c r="C301" s="337">
        <v>102</v>
      </c>
      <c r="D301" s="337">
        <v>12</v>
      </c>
      <c r="E301" s="346">
        <v>0</v>
      </c>
      <c r="G301" s="337" t="s">
        <v>904</v>
      </c>
      <c r="H301" s="337">
        <v>10</v>
      </c>
      <c r="I301" s="345">
        <f t="shared" si="224"/>
        <v>112</v>
      </c>
      <c r="L301" s="335">
        <v>1230</v>
      </c>
      <c r="N301" s="332">
        <f t="shared" si="225"/>
        <v>1230</v>
      </c>
      <c r="O301" s="332">
        <f t="shared" si="226"/>
        <v>10.25</v>
      </c>
      <c r="P301" s="332">
        <f t="shared" si="227"/>
        <v>0</v>
      </c>
      <c r="Q301" s="329">
        <f t="shared" si="228"/>
        <v>0</v>
      </c>
      <c r="R301" s="332">
        <f t="shared" si="229"/>
        <v>0</v>
      </c>
      <c r="S301" s="344">
        <v>1</v>
      </c>
      <c r="T301" s="332">
        <f t="shared" si="230"/>
        <v>0</v>
      </c>
      <c r="V301" s="332">
        <f t="shared" si="231"/>
        <v>1230</v>
      </c>
      <c r="W301" s="332">
        <f t="shared" si="232"/>
        <v>1230</v>
      </c>
      <c r="X301" s="344">
        <v>1</v>
      </c>
      <c r="Y301" s="332">
        <f t="shared" si="233"/>
        <v>1230</v>
      </c>
      <c r="Z301" s="332">
        <f t="shared" si="234"/>
        <v>1230</v>
      </c>
      <c r="AA301" s="332">
        <f t="shared" si="235"/>
        <v>0</v>
      </c>
      <c r="AB301" s="332">
        <f t="shared" si="241"/>
        <v>0</v>
      </c>
      <c r="AC301" s="343">
        <f t="shared" si="236"/>
        <v>102.91666666666667</v>
      </c>
      <c r="AD301" s="329">
        <f t="shared" si="237"/>
        <v>121</v>
      </c>
      <c r="AE301" s="343">
        <f t="shared" si="238"/>
        <v>112.91666666666667</v>
      </c>
      <c r="AF301" s="329">
        <f t="shared" si="239"/>
        <v>120</v>
      </c>
      <c r="AG301" s="342">
        <f t="shared" si="240"/>
        <v>-8.3333333333333329E-2</v>
      </c>
    </row>
    <row r="302" spans="1:33">
      <c r="B302" s="337" t="s">
        <v>918</v>
      </c>
      <c r="C302" s="337">
        <v>104</v>
      </c>
      <c r="D302" s="337">
        <v>12</v>
      </c>
      <c r="E302" s="346">
        <v>0</v>
      </c>
      <c r="G302" s="337" t="s">
        <v>904</v>
      </c>
      <c r="H302" s="337">
        <v>10</v>
      </c>
      <c r="I302" s="345">
        <f t="shared" si="224"/>
        <v>114</v>
      </c>
      <c r="L302" s="335">
        <v>3009</v>
      </c>
      <c r="N302" s="332">
        <f t="shared" si="225"/>
        <v>3009</v>
      </c>
      <c r="O302" s="332">
        <f t="shared" si="226"/>
        <v>25.074999999999999</v>
      </c>
      <c r="P302" s="332">
        <f t="shared" si="227"/>
        <v>0</v>
      </c>
      <c r="Q302" s="329">
        <f t="shared" si="228"/>
        <v>0</v>
      </c>
      <c r="R302" s="332">
        <f t="shared" si="229"/>
        <v>0</v>
      </c>
      <c r="S302" s="344">
        <v>1</v>
      </c>
      <c r="T302" s="332">
        <f t="shared" si="230"/>
        <v>0</v>
      </c>
      <c r="V302" s="332">
        <f t="shared" si="231"/>
        <v>3009</v>
      </c>
      <c r="W302" s="332">
        <f t="shared" si="232"/>
        <v>3009</v>
      </c>
      <c r="X302" s="344">
        <v>1</v>
      </c>
      <c r="Y302" s="332">
        <f t="shared" si="233"/>
        <v>3009</v>
      </c>
      <c r="Z302" s="332">
        <f t="shared" si="234"/>
        <v>3009</v>
      </c>
      <c r="AA302" s="332">
        <f t="shared" si="235"/>
        <v>0</v>
      </c>
      <c r="AB302" s="332">
        <f t="shared" si="241"/>
        <v>0</v>
      </c>
      <c r="AC302" s="343">
        <f t="shared" si="236"/>
        <v>104.91666666666667</v>
      </c>
      <c r="AD302" s="329">
        <f t="shared" si="237"/>
        <v>121</v>
      </c>
      <c r="AE302" s="343">
        <f t="shared" si="238"/>
        <v>114.91666666666667</v>
      </c>
      <c r="AF302" s="329">
        <f t="shared" si="239"/>
        <v>120</v>
      </c>
      <c r="AG302" s="342">
        <f t="shared" si="240"/>
        <v>-8.3333333333333329E-2</v>
      </c>
    </row>
    <row r="303" spans="1:33">
      <c r="B303" s="337" t="s">
        <v>917</v>
      </c>
      <c r="C303" s="337">
        <v>104</v>
      </c>
      <c r="D303" s="337">
        <v>12</v>
      </c>
      <c r="E303" s="346">
        <v>0</v>
      </c>
      <c r="G303" s="337" t="s">
        <v>904</v>
      </c>
      <c r="H303" s="337">
        <v>10</v>
      </c>
      <c r="I303" s="345">
        <f t="shared" si="224"/>
        <v>114</v>
      </c>
      <c r="L303" s="335">
        <v>3586</v>
      </c>
      <c r="N303" s="332">
        <f t="shared" si="225"/>
        <v>3586</v>
      </c>
      <c r="O303" s="332">
        <f t="shared" si="226"/>
        <v>29.883333333333336</v>
      </c>
      <c r="P303" s="332">
        <f t="shared" si="227"/>
        <v>0</v>
      </c>
      <c r="Q303" s="329">
        <f t="shared" si="228"/>
        <v>0</v>
      </c>
      <c r="R303" s="332">
        <f t="shared" si="229"/>
        <v>0</v>
      </c>
      <c r="S303" s="344">
        <v>1</v>
      </c>
      <c r="T303" s="332">
        <f t="shared" si="230"/>
        <v>0</v>
      </c>
      <c r="V303" s="332">
        <f t="shared" si="231"/>
        <v>3586</v>
      </c>
      <c r="W303" s="332">
        <f t="shared" si="232"/>
        <v>3586</v>
      </c>
      <c r="X303" s="344">
        <v>1</v>
      </c>
      <c r="Y303" s="332">
        <f t="shared" si="233"/>
        <v>3586</v>
      </c>
      <c r="Z303" s="332">
        <f t="shared" si="234"/>
        <v>3586</v>
      </c>
      <c r="AA303" s="332">
        <f t="shared" si="235"/>
        <v>0</v>
      </c>
      <c r="AB303" s="332">
        <f t="shared" si="241"/>
        <v>0</v>
      </c>
      <c r="AC303" s="343">
        <f t="shared" si="236"/>
        <v>104.91666666666667</v>
      </c>
      <c r="AD303" s="329">
        <f t="shared" si="237"/>
        <v>121</v>
      </c>
      <c r="AE303" s="343">
        <f t="shared" si="238"/>
        <v>114.91666666666667</v>
      </c>
      <c r="AF303" s="329">
        <f t="shared" si="239"/>
        <v>120</v>
      </c>
      <c r="AG303" s="342">
        <f t="shared" si="240"/>
        <v>-8.3333333333333329E-2</v>
      </c>
    </row>
    <row r="304" spans="1:33">
      <c r="B304" s="337" t="s">
        <v>916</v>
      </c>
      <c r="C304" s="337">
        <v>105</v>
      </c>
      <c r="D304" s="337">
        <v>1</v>
      </c>
      <c r="E304" s="346">
        <v>0</v>
      </c>
      <c r="G304" s="337" t="s">
        <v>904</v>
      </c>
      <c r="H304" s="337">
        <v>10</v>
      </c>
      <c r="I304" s="345">
        <f t="shared" si="224"/>
        <v>115</v>
      </c>
      <c r="L304" s="335">
        <v>1077</v>
      </c>
      <c r="N304" s="332">
        <f t="shared" si="225"/>
        <v>1077</v>
      </c>
      <c r="O304" s="332">
        <f t="shared" si="226"/>
        <v>8.9749999999999996</v>
      </c>
      <c r="P304" s="332">
        <f t="shared" si="227"/>
        <v>0</v>
      </c>
      <c r="Q304" s="329">
        <f t="shared" si="228"/>
        <v>0</v>
      </c>
      <c r="R304" s="332">
        <f t="shared" si="229"/>
        <v>0</v>
      </c>
      <c r="S304" s="344">
        <v>1</v>
      </c>
      <c r="T304" s="332">
        <f t="shared" si="230"/>
        <v>0</v>
      </c>
      <c r="V304" s="332">
        <f t="shared" si="231"/>
        <v>1077</v>
      </c>
      <c r="W304" s="332">
        <f t="shared" si="232"/>
        <v>1077</v>
      </c>
      <c r="X304" s="344">
        <v>1</v>
      </c>
      <c r="Y304" s="332">
        <f t="shared" si="233"/>
        <v>1077</v>
      </c>
      <c r="Z304" s="332">
        <f t="shared" si="234"/>
        <v>1077</v>
      </c>
      <c r="AA304" s="332">
        <f t="shared" si="235"/>
        <v>0</v>
      </c>
      <c r="AB304" s="332">
        <f t="shared" si="241"/>
        <v>0</v>
      </c>
      <c r="AC304" s="343">
        <f t="shared" si="236"/>
        <v>105</v>
      </c>
      <c r="AD304" s="329">
        <f t="shared" si="237"/>
        <v>121</v>
      </c>
      <c r="AE304" s="343">
        <f t="shared" si="238"/>
        <v>115</v>
      </c>
      <c r="AF304" s="329">
        <f t="shared" si="239"/>
        <v>120</v>
      </c>
      <c r="AG304" s="342">
        <f t="shared" si="240"/>
        <v>-8.3333333333333329E-2</v>
      </c>
    </row>
    <row r="305" spans="1:33">
      <c r="B305" s="337" t="s">
        <v>915</v>
      </c>
      <c r="C305" s="337">
        <v>105</v>
      </c>
      <c r="D305" s="337">
        <v>3</v>
      </c>
      <c r="E305" s="346">
        <v>0</v>
      </c>
      <c r="G305" s="337" t="s">
        <v>904</v>
      </c>
      <c r="H305" s="337">
        <v>10</v>
      </c>
      <c r="I305" s="345">
        <f t="shared" si="224"/>
        <v>115</v>
      </c>
      <c r="L305" s="335">
        <v>660</v>
      </c>
      <c r="N305" s="332">
        <f t="shared" si="225"/>
        <v>660</v>
      </c>
      <c r="O305" s="332">
        <f t="shared" si="226"/>
        <v>5.5</v>
      </c>
      <c r="P305" s="332">
        <f t="shared" si="227"/>
        <v>0</v>
      </c>
      <c r="Q305" s="329">
        <f t="shared" si="228"/>
        <v>0</v>
      </c>
      <c r="R305" s="332">
        <f t="shared" si="229"/>
        <v>0</v>
      </c>
      <c r="S305" s="344">
        <v>1</v>
      </c>
      <c r="T305" s="332">
        <f t="shared" si="230"/>
        <v>0</v>
      </c>
      <c r="V305" s="332">
        <f t="shared" si="231"/>
        <v>660</v>
      </c>
      <c r="W305" s="332">
        <f t="shared" si="232"/>
        <v>660</v>
      </c>
      <c r="X305" s="344">
        <v>1</v>
      </c>
      <c r="Y305" s="332">
        <f t="shared" si="233"/>
        <v>660</v>
      </c>
      <c r="Z305" s="332">
        <f t="shared" si="234"/>
        <v>660</v>
      </c>
      <c r="AA305" s="332">
        <f t="shared" si="235"/>
        <v>0</v>
      </c>
      <c r="AB305" s="332">
        <f t="shared" si="241"/>
        <v>0</v>
      </c>
      <c r="AC305" s="343">
        <f t="shared" si="236"/>
        <v>105.16666666666667</v>
      </c>
      <c r="AD305" s="329">
        <f t="shared" si="237"/>
        <v>121</v>
      </c>
      <c r="AE305" s="343">
        <f t="shared" si="238"/>
        <v>115.16666666666667</v>
      </c>
      <c r="AF305" s="329">
        <f t="shared" si="239"/>
        <v>120</v>
      </c>
      <c r="AG305" s="342">
        <f t="shared" si="240"/>
        <v>-8.3333333333333329E-2</v>
      </c>
    </row>
    <row r="306" spans="1:33">
      <c r="B306" s="337" t="s">
        <v>914</v>
      </c>
      <c r="C306" s="337">
        <v>105</v>
      </c>
      <c r="D306" s="337">
        <v>6</v>
      </c>
      <c r="E306" s="346">
        <v>0</v>
      </c>
      <c r="G306" s="337" t="s">
        <v>904</v>
      </c>
      <c r="H306" s="337">
        <v>10</v>
      </c>
      <c r="I306" s="345">
        <f t="shared" si="224"/>
        <v>115</v>
      </c>
      <c r="L306" s="335">
        <v>885</v>
      </c>
      <c r="N306" s="332">
        <f t="shared" si="225"/>
        <v>885</v>
      </c>
      <c r="O306" s="332">
        <f t="shared" si="226"/>
        <v>7.375</v>
      </c>
      <c r="P306" s="332">
        <f t="shared" si="227"/>
        <v>0</v>
      </c>
      <c r="Q306" s="329">
        <f t="shared" si="228"/>
        <v>0</v>
      </c>
      <c r="R306" s="332">
        <f t="shared" si="229"/>
        <v>0</v>
      </c>
      <c r="S306" s="344">
        <v>1</v>
      </c>
      <c r="T306" s="332">
        <f t="shared" si="230"/>
        <v>0</v>
      </c>
      <c r="V306" s="332">
        <f t="shared" si="231"/>
        <v>885</v>
      </c>
      <c r="W306" s="332">
        <f t="shared" si="232"/>
        <v>885</v>
      </c>
      <c r="X306" s="344">
        <v>1</v>
      </c>
      <c r="Y306" s="332">
        <f t="shared" si="233"/>
        <v>885</v>
      </c>
      <c r="Z306" s="332">
        <f t="shared" si="234"/>
        <v>885</v>
      </c>
      <c r="AA306" s="332">
        <f t="shared" si="235"/>
        <v>0</v>
      </c>
      <c r="AB306" s="332">
        <f t="shared" si="241"/>
        <v>0</v>
      </c>
      <c r="AC306" s="343">
        <f t="shared" si="236"/>
        <v>105.41666666666667</v>
      </c>
      <c r="AD306" s="329">
        <f t="shared" si="237"/>
        <v>121</v>
      </c>
      <c r="AE306" s="343">
        <f t="shared" si="238"/>
        <v>115.41666666666667</v>
      </c>
      <c r="AF306" s="329">
        <f t="shared" si="239"/>
        <v>120</v>
      </c>
      <c r="AG306" s="342">
        <f t="shared" si="240"/>
        <v>-8.3333333333333329E-2</v>
      </c>
    </row>
    <row r="307" spans="1:33">
      <c r="B307" s="337" t="s">
        <v>913</v>
      </c>
      <c r="C307" s="337">
        <v>106</v>
      </c>
      <c r="D307" s="337">
        <v>4</v>
      </c>
      <c r="E307" s="346">
        <v>0</v>
      </c>
      <c r="G307" s="337" t="s">
        <v>904</v>
      </c>
      <c r="H307" s="337">
        <v>5</v>
      </c>
      <c r="I307" s="345">
        <f t="shared" si="224"/>
        <v>111</v>
      </c>
      <c r="L307" s="335">
        <v>2118</v>
      </c>
      <c r="N307" s="332">
        <f t="shared" si="225"/>
        <v>2118</v>
      </c>
      <c r="O307" s="332">
        <f t="shared" si="226"/>
        <v>35.300000000000004</v>
      </c>
      <c r="P307" s="332">
        <f t="shared" si="227"/>
        <v>0</v>
      </c>
      <c r="Q307" s="329">
        <f t="shared" si="228"/>
        <v>0</v>
      </c>
      <c r="R307" s="332">
        <f t="shared" si="229"/>
        <v>0</v>
      </c>
      <c r="S307" s="344">
        <v>1</v>
      </c>
      <c r="T307" s="332">
        <f t="shared" si="230"/>
        <v>0</v>
      </c>
      <c r="V307" s="332">
        <f t="shared" si="231"/>
        <v>2118</v>
      </c>
      <c r="W307" s="332">
        <f t="shared" si="232"/>
        <v>2118</v>
      </c>
      <c r="X307" s="344">
        <v>1</v>
      </c>
      <c r="Y307" s="332">
        <f t="shared" si="233"/>
        <v>2118</v>
      </c>
      <c r="Z307" s="332">
        <f t="shared" si="234"/>
        <v>2118</v>
      </c>
      <c r="AA307" s="332">
        <f t="shared" si="235"/>
        <v>0</v>
      </c>
      <c r="AB307" s="332">
        <f t="shared" si="241"/>
        <v>0</v>
      </c>
      <c r="AC307" s="343">
        <f t="shared" si="236"/>
        <v>106.25</v>
      </c>
      <c r="AD307" s="329">
        <f t="shared" si="237"/>
        <v>121</v>
      </c>
      <c r="AE307" s="343">
        <f t="shared" si="238"/>
        <v>111.25</v>
      </c>
      <c r="AF307" s="329">
        <f t="shared" si="239"/>
        <v>120</v>
      </c>
      <c r="AG307" s="342">
        <f t="shared" si="240"/>
        <v>-8.3333333333333329E-2</v>
      </c>
    </row>
    <row r="308" spans="1:33">
      <c r="B308" s="337" t="s">
        <v>912</v>
      </c>
      <c r="C308" s="337">
        <v>106</v>
      </c>
      <c r="D308" s="337">
        <v>5</v>
      </c>
      <c r="E308" s="346">
        <v>0</v>
      </c>
      <c r="G308" s="337" t="s">
        <v>904</v>
      </c>
      <c r="H308" s="337">
        <v>5</v>
      </c>
      <c r="I308" s="345">
        <f t="shared" si="224"/>
        <v>111</v>
      </c>
      <c r="L308" s="335">
        <v>982</v>
      </c>
      <c r="N308" s="332">
        <f t="shared" si="225"/>
        <v>982</v>
      </c>
      <c r="O308" s="332">
        <f t="shared" si="226"/>
        <v>16.366666666666667</v>
      </c>
      <c r="P308" s="332">
        <f t="shared" si="227"/>
        <v>0</v>
      </c>
      <c r="Q308" s="329">
        <f t="shared" si="228"/>
        <v>0</v>
      </c>
      <c r="R308" s="332">
        <f t="shared" si="229"/>
        <v>0</v>
      </c>
      <c r="S308" s="344">
        <v>1</v>
      </c>
      <c r="T308" s="332">
        <f t="shared" si="230"/>
        <v>0</v>
      </c>
      <c r="V308" s="332">
        <f t="shared" si="231"/>
        <v>982</v>
      </c>
      <c r="W308" s="332">
        <f t="shared" si="232"/>
        <v>982</v>
      </c>
      <c r="X308" s="344">
        <v>1</v>
      </c>
      <c r="Y308" s="332">
        <f t="shared" si="233"/>
        <v>982</v>
      </c>
      <c r="Z308" s="332">
        <f t="shared" si="234"/>
        <v>982</v>
      </c>
      <c r="AA308" s="332">
        <f t="shared" si="235"/>
        <v>0</v>
      </c>
      <c r="AB308" s="332">
        <f t="shared" si="241"/>
        <v>0</v>
      </c>
      <c r="AC308" s="343">
        <f t="shared" si="236"/>
        <v>106.33333333333333</v>
      </c>
      <c r="AD308" s="329">
        <f t="shared" si="237"/>
        <v>121</v>
      </c>
      <c r="AE308" s="343">
        <f t="shared" si="238"/>
        <v>111.33333333333333</v>
      </c>
      <c r="AF308" s="329">
        <f t="shared" si="239"/>
        <v>120</v>
      </c>
      <c r="AG308" s="342">
        <f t="shared" si="240"/>
        <v>-8.3333333333333329E-2</v>
      </c>
    </row>
    <row r="309" spans="1:33">
      <c r="B309" s="337" t="s">
        <v>911</v>
      </c>
      <c r="C309" s="337">
        <v>106</v>
      </c>
      <c r="D309" s="337">
        <v>10</v>
      </c>
      <c r="E309" s="346">
        <v>0</v>
      </c>
      <c r="G309" s="337" t="s">
        <v>904</v>
      </c>
      <c r="H309" s="337">
        <v>5</v>
      </c>
      <c r="I309" s="345">
        <f t="shared" si="224"/>
        <v>111</v>
      </c>
      <c r="L309" s="335">
        <v>1083</v>
      </c>
      <c r="N309" s="332">
        <f t="shared" si="225"/>
        <v>1083</v>
      </c>
      <c r="O309" s="332">
        <f t="shared" si="226"/>
        <v>18.05</v>
      </c>
      <c r="P309" s="332">
        <f t="shared" si="227"/>
        <v>0</v>
      </c>
      <c r="Q309" s="329">
        <f t="shared" si="228"/>
        <v>0</v>
      </c>
      <c r="R309" s="332">
        <f t="shared" si="229"/>
        <v>0</v>
      </c>
      <c r="S309" s="344">
        <v>1</v>
      </c>
      <c r="T309" s="332">
        <f t="shared" si="230"/>
        <v>0</v>
      </c>
      <c r="V309" s="332">
        <f t="shared" si="231"/>
        <v>1083</v>
      </c>
      <c r="W309" s="332">
        <f t="shared" si="232"/>
        <v>1083</v>
      </c>
      <c r="X309" s="344">
        <v>1</v>
      </c>
      <c r="Y309" s="332">
        <f t="shared" si="233"/>
        <v>1083</v>
      </c>
      <c r="Z309" s="332">
        <f t="shared" si="234"/>
        <v>1083</v>
      </c>
      <c r="AA309" s="332">
        <f t="shared" si="235"/>
        <v>0</v>
      </c>
      <c r="AB309" s="332">
        <f t="shared" si="241"/>
        <v>0</v>
      </c>
      <c r="AC309" s="343">
        <f t="shared" si="236"/>
        <v>106.75</v>
      </c>
      <c r="AD309" s="329">
        <f t="shared" si="237"/>
        <v>121</v>
      </c>
      <c r="AE309" s="343">
        <f t="shared" si="238"/>
        <v>111.75</v>
      </c>
      <c r="AF309" s="329">
        <f t="shared" si="239"/>
        <v>120</v>
      </c>
      <c r="AG309" s="342">
        <f t="shared" si="240"/>
        <v>-8.3333333333333329E-2</v>
      </c>
    </row>
    <row r="310" spans="1:33">
      <c r="B310" s="337" t="s">
        <v>910</v>
      </c>
      <c r="C310" s="337">
        <v>107</v>
      </c>
      <c r="D310" s="337">
        <v>4</v>
      </c>
      <c r="E310" s="346">
        <v>0</v>
      </c>
      <c r="G310" s="337" t="s">
        <v>904</v>
      </c>
      <c r="H310" s="337">
        <v>5</v>
      </c>
      <c r="I310" s="345">
        <f t="shared" si="224"/>
        <v>112</v>
      </c>
      <c r="L310" s="335">
        <v>1100</v>
      </c>
      <c r="N310" s="332">
        <f t="shared" si="225"/>
        <v>1100</v>
      </c>
      <c r="O310" s="332">
        <f t="shared" si="226"/>
        <v>18.333333333333332</v>
      </c>
      <c r="P310" s="332">
        <f t="shared" si="227"/>
        <v>0</v>
      </c>
      <c r="Q310" s="329">
        <f t="shared" si="228"/>
        <v>0</v>
      </c>
      <c r="R310" s="332">
        <f t="shared" si="229"/>
        <v>0</v>
      </c>
      <c r="S310" s="344">
        <v>1</v>
      </c>
      <c r="T310" s="332">
        <f t="shared" si="230"/>
        <v>0</v>
      </c>
      <c r="V310" s="332">
        <f t="shared" si="231"/>
        <v>1100</v>
      </c>
      <c r="W310" s="332">
        <f t="shared" si="232"/>
        <v>1100</v>
      </c>
      <c r="X310" s="344">
        <v>1</v>
      </c>
      <c r="Y310" s="332">
        <f t="shared" si="233"/>
        <v>1100</v>
      </c>
      <c r="Z310" s="332">
        <f t="shared" si="234"/>
        <v>1100</v>
      </c>
      <c r="AA310" s="332">
        <f t="shared" si="235"/>
        <v>0</v>
      </c>
      <c r="AB310" s="332">
        <f t="shared" si="241"/>
        <v>0</v>
      </c>
      <c r="AC310" s="343">
        <f t="shared" si="236"/>
        <v>107.25</v>
      </c>
      <c r="AD310" s="329">
        <f t="shared" si="237"/>
        <v>121</v>
      </c>
      <c r="AE310" s="343">
        <f t="shared" si="238"/>
        <v>112.25</v>
      </c>
      <c r="AF310" s="329">
        <f t="shared" si="239"/>
        <v>120</v>
      </c>
      <c r="AG310" s="342">
        <f t="shared" si="240"/>
        <v>-8.3333333333333329E-2</v>
      </c>
    </row>
    <row r="311" spans="1:33">
      <c r="B311" s="337" t="s">
        <v>909</v>
      </c>
      <c r="C311" s="337">
        <v>107</v>
      </c>
      <c r="D311" s="337">
        <v>9</v>
      </c>
      <c r="E311" s="346">
        <v>0</v>
      </c>
      <c r="G311" s="337" t="s">
        <v>904</v>
      </c>
      <c r="H311" s="337">
        <v>5</v>
      </c>
      <c r="I311" s="345">
        <f t="shared" si="224"/>
        <v>112</v>
      </c>
      <c r="L311" s="335">
        <v>2201</v>
      </c>
      <c r="N311" s="332">
        <f t="shared" si="225"/>
        <v>2201</v>
      </c>
      <c r="O311" s="332">
        <f t="shared" si="226"/>
        <v>36.68333333333333</v>
      </c>
      <c r="P311" s="332">
        <f t="shared" si="227"/>
        <v>0</v>
      </c>
      <c r="Q311" s="329">
        <f t="shared" si="228"/>
        <v>0</v>
      </c>
      <c r="R311" s="332">
        <f t="shared" si="229"/>
        <v>0</v>
      </c>
      <c r="S311" s="344">
        <v>1</v>
      </c>
      <c r="T311" s="332">
        <f t="shared" si="230"/>
        <v>0</v>
      </c>
      <c r="V311" s="332">
        <f t="shared" si="231"/>
        <v>2201</v>
      </c>
      <c r="W311" s="332">
        <f t="shared" si="232"/>
        <v>2201</v>
      </c>
      <c r="X311" s="344">
        <v>1</v>
      </c>
      <c r="Y311" s="332">
        <f t="shared" si="233"/>
        <v>2201</v>
      </c>
      <c r="Z311" s="332">
        <f t="shared" si="234"/>
        <v>2201</v>
      </c>
      <c r="AA311" s="332">
        <f t="shared" si="235"/>
        <v>0</v>
      </c>
      <c r="AB311" s="332">
        <f t="shared" si="241"/>
        <v>0</v>
      </c>
      <c r="AC311" s="343">
        <f t="shared" si="236"/>
        <v>107.66666666666667</v>
      </c>
      <c r="AD311" s="329">
        <f t="shared" si="237"/>
        <v>121</v>
      </c>
      <c r="AE311" s="343">
        <f t="shared" si="238"/>
        <v>112.66666666666667</v>
      </c>
      <c r="AF311" s="329">
        <f t="shared" si="239"/>
        <v>120</v>
      </c>
      <c r="AG311" s="342">
        <f t="shared" si="240"/>
        <v>-8.3333333333333329E-2</v>
      </c>
    </row>
    <row r="312" spans="1:33" ht="16.5" customHeight="1">
      <c r="B312" s="337" t="s">
        <v>908</v>
      </c>
      <c r="C312" s="337">
        <v>107</v>
      </c>
      <c r="D312" s="337">
        <v>11</v>
      </c>
      <c r="E312" s="346">
        <v>0</v>
      </c>
      <c r="G312" s="337" t="s">
        <v>904</v>
      </c>
      <c r="H312" s="337">
        <v>5</v>
      </c>
      <c r="I312" s="345">
        <f t="shared" si="224"/>
        <v>112</v>
      </c>
      <c r="L312" s="335">
        <v>235</v>
      </c>
      <c r="N312" s="332">
        <f t="shared" si="225"/>
        <v>235</v>
      </c>
      <c r="O312" s="332">
        <f t="shared" si="226"/>
        <v>3.9166666666666665</v>
      </c>
      <c r="P312" s="332">
        <f t="shared" si="227"/>
        <v>0</v>
      </c>
      <c r="Q312" s="329">
        <f t="shared" si="228"/>
        <v>0</v>
      </c>
      <c r="R312" s="332">
        <f t="shared" si="229"/>
        <v>0</v>
      </c>
      <c r="S312" s="344">
        <v>1</v>
      </c>
      <c r="T312" s="332">
        <f t="shared" si="230"/>
        <v>0</v>
      </c>
      <c r="V312" s="332">
        <f t="shared" si="231"/>
        <v>235</v>
      </c>
      <c r="W312" s="332">
        <f t="shared" si="232"/>
        <v>235</v>
      </c>
      <c r="X312" s="344">
        <v>1</v>
      </c>
      <c r="Y312" s="332">
        <f t="shared" si="233"/>
        <v>235</v>
      </c>
      <c r="Z312" s="332">
        <f t="shared" si="234"/>
        <v>235</v>
      </c>
      <c r="AA312" s="332">
        <f t="shared" si="235"/>
        <v>0</v>
      </c>
      <c r="AB312" s="332">
        <f t="shared" si="241"/>
        <v>0</v>
      </c>
      <c r="AC312" s="343">
        <f t="shared" si="236"/>
        <v>107.83333333333333</v>
      </c>
      <c r="AD312" s="329">
        <f t="shared" si="237"/>
        <v>121</v>
      </c>
      <c r="AE312" s="343">
        <f t="shared" si="238"/>
        <v>112.83333333333333</v>
      </c>
      <c r="AF312" s="329">
        <f t="shared" si="239"/>
        <v>120</v>
      </c>
      <c r="AG312" s="342">
        <f t="shared" si="240"/>
        <v>-8.3333333333333329E-2</v>
      </c>
    </row>
    <row r="313" spans="1:33" ht="16.5" customHeight="1">
      <c r="B313" s="337" t="s">
        <v>907</v>
      </c>
      <c r="C313" s="337">
        <v>108</v>
      </c>
      <c r="D313" s="337">
        <v>7</v>
      </c>
      <c r="E313" s="346">
        <v>0</v>
      </c>
      <c r="G313" s="337" t="s">
        <v>904</v>
      </c>
      <c r="H313" s="337">
        <v>5</v>
      </c>
      <c r="I313" s="345">
        <f t="shared" si="224"/>
        <v>113</v>
      </c>
      <c r="L313" s="335">
        <v>987</v>
      </c>
      <c r="M313" s="341"/>
      <c r="N313" s="332">
        <f t="shared" si="225"/>
        <v>987</v>
      </c>
      <c r="O313" s="332">
        <f t="shared" si="226"/>
        <v>16.45</v>
      </c>
      <c r="P313" s="332">
        <f t="shared" si="227"/>
        <v>0</v>
      </c>
      <c r="Q313" s="329">
        <f t="shared" si="228"/>
        <v>0</v>
      </c>
      <c r="R313" s="332">
        <f t="shared" si="229"/>
        <v>0</v>
      </c>
      <c r="S313" s="344">
        <v>1</v>
      </c>
      <c r="T313" s="332">
        <f t="shared" si="230"/>
        <v>0</v>
      </c>
      <c r="V313" s="332">
        <f t="shared" si="231"/>
        <v>987</v>
      </c>
      <c r="W313" s="332">
        <f t="shared" si="232"/>
        <v>987</v>
      </c>
      <c r="X313" s="344">
        <v>1</v>
      </c>
      <c r="Y313" s="332">
        <f t="shared" si="233"/>
        <v>987</v>
      </c>
      <c r="Z313" s="332">
        <f t="shared" si="234"/>
        <v>987</v>
      </c>
      <c r="AA313" s="332">
        <f t="shared" si="235"/>
        <v>0</v>
      </c>
      <c r="AB313" s="332">
        <f t="shared" si="241"/>
        <v>0</v>
      </c>
      <c r="AC313" s="343">
        <f t="shared" si="236"/>
        <v>108.5</v>
      </c>
      <c r="AD313" s="329">
        <f t="shared" si="237"/>
        <v>121</v>
      </c>
      <c r="AE313" s="343">
        <f t="shared" si="238"/>
        <v>113.5</v>
      </c>
      <c r="AF313" s="329">
        <f t="shared" si="239"/>
        <v>120</v>
      </c>
      <c r="AG313" s="342">
        <f t="shared" si="240"/>
        <v>-8.3333333333333329E-2</v>
      </c>
    </row>
    <row r="314" spans="1:33">
      <c r="B314" s="337" t="s">
        <v>906</v>
      </c>
      <c r="C314" s="337">
        <v>111</v>
      </c>
      <c r="D314" s="337">
        <v>10</v>
      </c>
      <c r="E314" s="346">
        <v>0</v>
      </c>
      <c r="G314" s="337" t="s">
        <v>904</v>
      </c>
      <c r="H314" s="337">
        <v>10</v>
      </c>
      <c r="I314" s="345">
        <f t="shared" si="224"/>
        <v>121</v>
      </c>
      <c r="L314" s="335">
        <v>2580</v>
      </c>
      <c r="M314" s="341"/>
      <c r="N314" s="332">
        <f t="shared" si="225"/>
        <v>2580</v>
      </c>
      <c r="O314" s="332">
        <f t="shared" si="226"/>
        <v>21.5</v>
      </c>
      <c r="P314" s="332">
        <f t="shared" si="227"/>
        <v>258</v>
      </c>
      <c r="Q314" s="329">
        <f t="shared" si="228"/>
        <v>0</v>
      </c>
      <c r="R314" s="332">
        <f t="shared" si="229"/>
        <v>258</v>
      </c>
      <c r="S314" s="344">
        <v>1</v>
      </c>
      <c r="T314" s="332">
        <f t="shared" si="230"/>
        <v>258</v>
      </c>
      <c r="V314" s="332">
        <f t="shared" si="231"/>
        <v>2128.5</v>
      </c>
      <c r="W314" s="332">
        <f t="shared" si="232"/>
        <v>2128.5</v>
      </c>
      <c r="X314" s="344">
        <v>1</v>
      </c>
      <c r="Y314" s="332">
        <f t="shared" si="233"/>
        <v>2128.5</v>
      </c>
      <c r="Z314" s="332">
        <f t="shared" si="234"/>
        <v>2386.5</v>
      </c>
      <c r="AA314" s="332">
        <f t="shared" si="235"/>
        <v>322.5</v>
      </c>
      <c r="AB314" s="332">
        <f t="shared" si="241"/>
        <v>193.5</v>
      </c>
      <c r="AC314" s="343">
        <f t="shared" si="236"/>
        <v>111.75</v>
      </c>
      <c r="AD314" s="329">
        <f t="shared" si="237"/>
        <v>121</v>
      </c>
      <c r="AE314" s="343">
        <f t="shared" si="238"/>
        <v>121.75</v>
      </c>
      <c r="AF314" s="329">
        <f t="shared" si="239"/>
        <v>120</v>
      </c>
      <c r="AG314" s="342">
        <f t="shared" si="240"/>
        <v>-8.3333333333333329E-2</v>
      </c>
    </row>
    <row r="315" spans="1:33">
      <c r="A315" s="418"/>
      <c r="B315" s="337" t="s">
        <v>905</v>
      </c>
      <c r="C315" s="337">
        <v>114</v>
      </c>
      <c r="D315" s="337">
        <v>11</v>
      </c>
      <c r="E315" s="346">
        <v>0</v>
      </c>
      <c r="G315" s="337" t="s">
        <v>904</v>
      </c>
      <c r="H315" s="337">
        <v>5</v>
      </c>
      <c r="I315" s="345">
        <f t="shared" ref="I315" si="242">+C315+H315</f>
        <v>119</v>
      </c>
      <c r="L315" s="335">
        <v>1331</v>
      </c>
      <c r="M315" s="341"/>
      <c r="N315" s="332">
        <f t="shared" ref="N315" si="243">L315-L315*E315</f>
        <v>1331</v>
      </c>
      <c r="O315" s="332">
        <f t="shared" ref="O315" si="244">N315/H315/12</f>
        <v>22.183333333333334</v>
      </c>
      <c r="P315" s="332">
        <f t="shared" ref="P315" si="245">IF(M315&gt;0,0,IF(OR(AC315&gt;AD315,AE315&lt;AF315),0,IF(AND(AE315&gt;=AF315,AE315&lt;=AD315),O315*((AE315-AF315)*12),IF(AND(AF315&lt;=AC315,AD315&gt;=AC315),((AD315-AC315)*12)*O315,IF(AE315&gt;AD315,12*O315,0)))))</f>
        <v>0</v>
      </c>
      <c r="Q315" s="329">
        <f t="shared" ref="Q315" si="246">IF(M315=0,0,IF(AND(AG315&gt;=AF315,AG315&lt;=AE315),((AG315-AF315)*12)*O315,0))</f>
        <v>0</v>
      </c>
      <c r="R315" s="332">
        <f t="shared" ref="R315" si="247">IF(Q315&gt;0,Q315,P315)</f>
        <v>0</v>
      </c>
      <c r="S315" s="344">
        <v>1</v>
      </c>
      <c r="T315" s="332">
        <f t="shared" ref="T315" si="248">S315*SUM(P315:Q315)</f>
        <v>0</v>
      </c>
      <c r="V315" s="332">
        <f t="shared" ref="V315" si="249">IF(AC315&gt;AD315,0,IF(AE315&lt;AF315,N315,IF(AND(AE315&gt;=AF315,AE315&lt;=AD315),(N315-R315),IF(AND(AF315&lt;=AC315,AD315&gt;=AC315),0,IF(AE315&gt;AD315,((AF315-AC315)*12)*O315,0)))))</f>
        <v>1331</v>
      </c>
      <c r="W315" s="332">
        <f t="shared" ref="W315" si="250">V315*S315</f>
        <v>1331</v>
      </c>
      <c r="X315" s="344">
        <v>1</v>
      </c>
      <c r="Y315" s="332">
        <f t="shared" ref="Y315" si="251">W315*X315</f>
        <v>1331</v>
      </c>
      <c r="Z315" s="332">
        <f t="shared" ref="Z315" si="252">IF(M315&gt;0,0,Y315+T315*X315)*X315</f>
        <v>1331</v>
      </c>
      <c r="AA315" s="332">
        <f t="shared" ref="AA315" si="253">IF(M315&gt;0,(L315-Y315)/2,IF(AC315&gt;=AF315,(((L315*S315)*X315)-Z315)/2,((((L315*S315)*X315)-Y315)+(((L315*S315)*X315)-Z315))/2))</f>
        <v>0</v>
      </c>
      <c r="AB315" s="332">
        <f t="shared" ref="AB315" si="254">L315-Z315</f>
        <v>0</v>
      </c>
      <c r="AC315" s="343">
        <f t="shared" si="236"/>
        <v>114.83333333333333</v>
      </c>
      <c r="AD315" s="329">
        <f t="shared" si="237"/>
        <v>121</v>
      </c>
      <c r="AE315" s="343">
        <f t="shared" si="238"/>
        <v>119.83333333333333</v>
      </c>
      <c r="AF315" s="329">
        <f t="shared" si="239"/>
        <v>120</v>
      </c>
      <c r="AG315" s="342">
        <f t="shared" si="240"/>
        <v>-8.3333333333333329E-2</v>
      </c>
    </row>
    <row r="316" spans="1:33">
      <c r="B316" s="337" t="s">
        <v>910</v>
      </c>
      <c r="C316" s="337">
        <v>120</v>
      </c>
      <c r="D316" s="337">
        <v>5</v>
      </c>
      <c r="E316" s="346">
        <v>0</v>
      </c>
      <c r="G316" s="337" t="s">
        <v>904</v>
      </c>
      <c r="H316" s="337">
        <v>5</v>
      </c>
      <c r="I316" s="345">
        <f t="shared" si="224"/>
        <v>125</v>
      </c>
      <c r="L316" s="335">
        <v>1383</v>
      </c>
      <c r="M316" s="341"/>
      <c r="N316" s="332">
        <f t="shared" si="225"/>
        <v>1383</v>
      </c>
      <c r="O316" s="332">
        <f t="shared" si="226"/>
        <v>23.05</v>
      </c>
      <c r="P316" s="332">
        <f t="shared" si="227"/>
        <v>184.40000000000131</v>
      </c>
      <c r="Q316" s="329">
        <f t="shared" si="228"/>
        <v>0</v>
      </c>
      <c r="R316" s="332">
        <f t="shared" si="229"/>
        <v>184.40000000000131</v>
      </c>
      <c r="S316" s="344">
        <v>1</v>
      </c>
      <c r="T316" s="332">
        <f t="shared" si="230"/>
        <v>184.40000000000131</v>
      </c>
      <c r="V316" s="332">
        <f t="shared" si="231"/>
        <v>0</v>
      </c>
      <c r="W316" s="332">
        <f t="shared" si="232"/>
        <v>0</v>
      </c>
      <c r="X316" s="344">
        <v>1</v>
      </c>
      <c r="Y316" s="332">
        <f t="shared" si="233"/>
        <v>0</v>
      </c>
      <c r="Z316" s="332">
        <f t="shared" si="234"/>
        <v>184.40000000000131</v>
      </c>
      <c r="AA316" s="332">
        <f t="shared" si="235"/>
        <v>599.29999999999939</v>
      </c>
      <c r="AB316" s="332">
        <f t="shared" si="241"/>
        <v>1198.5999999999988</v>
      </c>
      <c r="AC316" s="343">
        <f t="shared" si="236"/>
        <v>120.33333333333333</v>
      </c>
      <c r="AD316" s="329">
        <f t="shared" si="237"/>
        <v>121</v>
      </c>
      <c r="AE316" s="343">
        <f t="shared" si="238"/>
        <v>125.33333333333333</v>
      </c>
      <c r="AF316" s="329">
        <f t="shared" si="239"/>
        <v>120</v>
      </c>
      <c r="AG316" s="342">
        <f t="shared" si="240"/>
        <v>-8.3333333333333329E-2</v>
      </c>
    </row>
    <row r="317" spans="1:33">
      <c r="I317" s="334"/>
      <c r="L317" s="332"/>
      <c r="M317" s="341"/>
      <c r="N317" s="332"/>
      <c r="R317" s="332"/>
      <c r="T317" s="333"/>
      <c r="Y317" s="332"/>
      <c r="Z317" s="332"/>
      <c r="AA317" s="333"/>
      <c r="AB317" s="333"/>
    </row>
    <row r="318" spans="1:33" ht="16.5" thickBot="1">
      <c r="B318" s="337" t="s">
        <v>903</v>
      </c>
      <c r="I318" s="334"/>
      <c r="L318" s="340">
        <f>SUM(L297:L317)</f>
        <v>28812</v>
      </c>
      <c r="M318" s="332">
        <f>SUM(M297:M317)</f>
        <v>0</v>
      </c>
      <c r="N318" s="332">
        <f>SUM(N297:N317)</f>
        <v>28812</v>
      </c>
      <c r="R318" s="332"/>
      <c r="T318" s="339">
        <f>SUM(T297:T317)</f>
        <v>442.40000000000134</v>
      </c>
      <c r="V318" s="332">
        <f>SUM(V297:V317)</f>
        <v>26977.5</v>
      </c>
      <c r="W318" s="332">
        <f>SUM(W297:W317)</f>
        <v>26977.5</v>
      </c>
      <c r="Y318" s="332">
        <f>SUM(Y297:Y317)</f>
        <v>26977.5</v>
      </c>
      <c r="Z318" s="332">
        <f>SUM(Z297:Z317)</f>
        <v>27419.9</v>
      </c>
      <c r="AA318" s="339">
        <f>SUM(AA297:AA317)</f>
        <v>921.79999999999939</v>
      </c>
      <c r="AB318" s="339">
        <f>SUM(AB297:AB317)</f>
        <v>1392.0999999999988</v>
      </c>
    </row>
    <row r="319" spans="1:33" ht="16.5" thickTop="1">
      <c r="I319" s="334" t="s">
        <v>902</v>
      </c>
      <c r="L319" s="338">
        <f>SUM(L297:L315)</f>
        <v>27429</v>
      </c>
      <c r="N319" s="332"/>
      <c r="R319" s="332"/>
      <c r="T319" s="333"/>
      <c r="Y319" s="332"/>
      <c r="Z319" s="332"/>
      <c r="AA319" s="333"/>
      <c r="AB319" s="333"/>
    </row>
    <row r="320" spans="1:33">
      <c r="I320" s="334"/>
      <c r="L320" s="332"/>
      <c r="N320" s="332"/>
      <c r="R320" s="332"/>
      <c r="T320" s="333"/>
      <c r="Y320" s="332"/>
      <c r="Z320" s="332"/>
      <c r="AA320" s="333"/>
      <c r="AB320" s="333"/>
    </row>
    <row r="321" spans="2:38" ht="16.5" thickBot="1">
      <c r="B321" s="337" t="s">
        <v>901</v>
      </c>
      <c r="I321" s="334" t="s">
        <v>900</v>
      </c>
      <c r="L321" s="335">
        <f>+L51+L59+L183+L208+L241+L248+L255+L285+L294+L318</f>
        <v>3058206.875</v>
      </c>
      <c r="M321" s="335"/>
      <c r="N321" s="335">
        <f>+N51+N59+N183+N208+N241+N248+N255+N285+N294+N318</f>
        <v>3379445.4750000001</v>
      </c>
      <c r="R321" s="332"/>
      <c r="T321" s="336">
        <f>ROUND(+T51+T59+T183+T208+T241+T248+T255+T285+T294+T318,0)</f>
        <v>262508</v>
      </c>
      <c r="V321" s="335">
        <f>+V51+V59+V183+V208+V241+V248+V255+V285+V294+V318</f>
        <v>1963930.0009761907</v>
      </c>
      <c r="W321" s="335">
        <f>+W51+W59+W183+W208+W241+W248+W255+W285+W294+W318</f>
        <v>1890685.0009761907</v>
      </c>
      <c r="Y321" s="335">
        <f>+Y51+Y59+Y183+Y208+Y241+Y248+Y255+Y285+Y294+Y318</f>
        <v>1890685.0009761907</v>
      </c>
      <c r="Z321" s="335">
        <f>+Z51+Z59+Z183+Z208+Z241+Z248+Z255+Z285+Z294+Z318</f>
        <v>1864649.994690476</v>
      </c>
      <c r="AA321" s="336">
        <f>+AA51+AA59+AA183+AA208+AA241+AA248+AA255+AA285+AA294+AA318</f>
        <v>1108193.907166667</v>
      </c>
      <c r="AB321" s="336">
        <f>+AB51+AB59+AB183+AB208+AB241+AB248+AB255+AB285+AB294+AB318</f>
        <v>1057787.4103095238</v>
      </c>
      <c r="AI321" s="329">
        <f>SUM(AI13:AI318)</f>
        <v>172000</v>
      </c>
      <c r="AJ321" s="329">
        <f>SUM(AJ13:AJ318)</f>
        <v>290565</v>
      </c>
      <c r="AK321" s="329">
        <f>SUM(AK13:AK318)</f>
        <v>184608</v>
      </c>
      <c r="AL321" s="329">
        <f>SUM(AL13:AL318)</f>
        <v>118129</v>
      </c>
    </row>
    <row r="322" spans="2:38" ht="16.5" thickTop="1">
      <c r="I322" s="334" t="s">
        <v>899</v>
      </c>
      <c r="L322" s="335">
        <f>+L52+L60+L184+L209+L242+L249+L256+L286+L295+L319</f>
        <v>3010028.875</v>
      </c>
      <c r="N322" s="332"/>
      <c r="R322" s="332"/>
      <c r="T322" s="333" t="s">
        <v>327</v>
      </c>
      <c r="Y322" s="332"/>
      <c r="Z322" s="332"/>
      <c r="AA322" s="333" t="s">
        <v>898</v>
      </c>
      <c r="AB322" s="333"/>
      <c r="AI322" s="329" t="s">
        <v>327</v>
      </c>
    </row>
    <row r="323" spans="2:38">
      <c r="I323" s="334"/>
      <c r="L323" s="332"/>
      <c r="N323" s="332"/>
      <c r="R323" s="332"/>
      <c r="T323" s="333"/>
      <c r="Y323" s="332"/>
      <c r="Z323" s="332"/>
      <c r="AA323" s="333"/>
      <c r="AB323" s="333"/>
    </row>
    <row r="324" spans="2:38">
      <c r="I324" s="334"/>
      <c r="R324" s="332"/>
      <c r="T324" s="333"/>
      <c r="Y324" s="332"/>
      <c r="Z324" s="332"/>
      <c r="AA324" s="333"/>
      <c r="AB324" s="333"/>
    </row>
    <row r="325" spans="2:38">
      <c r="I325" s="334"/>
      <c r="R325" s="332"/>
      <c r="T325" s="333"/>
      <c r="Y325" s="332"/>
      <c r="Z325" s="332"/>
      <c r="AA325" s="333"/>
      <c r="AB325" s="333"/>
    </row>
    <row r="326" spans="2:38">
      <c r="R326" s="332"/>
      <c r="T326" s="333"/>
      <c r="Y326" s="332"/>
      <c r="Z326" s="332"/>
      <c r="AA326" s="333"/>
      <c r="AB326" s="333"/>
    </row>
    <row r="327" spans="2:38">
      <c r="R327" s="332"/>
      <c r="T327" s="333"/>
      <c r="Y327" s="332"/>
      <c r="Z327" s="332"/>
      <c r="AA327" s="333"/>
      <c r="AB327" s="333"/>
    </row>
    <row r="328" spans="2:38">
      <c r="R328" s="332"/>
      <c r="T328" s="333"/>
      <c r="Y328" s="332"/>
      <c r="Z328" s="332"/>
      <c r="AA328" s="333"/>
      <c r="AB328" s="333"/>
    </row>
    <row r="329" spans="2:38">
      <c r="I329" s="334"/>
      <c r="R329" s="332"/>
      <c r="T329" s="333"/>
      <c r="Y329" s="332"/>
      <c r="Z329" s="332"/>
      <c r="AA329" s="333"/>
      <c r="AB329" s="333"/>
    </row>
    <row r="330" spans="2:38">
      <c r="I330" s="334"/>
      <c r="R330" s="332"/>
      <c r="T330" s="333"/>
      <c r="Y330" s="332"/>
      <c r="Z330" s="332"/>
      <c r="AA330" s="333"/>
      <c r="AB330" s="333"/>
    </row>
    <row r="331" spans="2:38">
      <c r="I331" s="334"/>
      <c r="R331" s="332"/>
      <c r="T331" s="333"/>
      <c r="Y331" s="332"/>
      <c r="Z331" s="332"/>
      <c r="AA331" s="333"/>
      <c r="AB331" s="333"/>
    </row>
    <row r="332" spans="2:38">
      <c r="I332" s="334"/>
      <c r="R332" s="332"/>
      <c r="T332" s="333"/>
      <c r="Y332" s="332"/>
      <c r="Z332" s="332"/>
      <c r="AA332" s="333"/>
      <c r="AB332" s="333"/>
    </row>
    <row r="333" spans="2:38">
      <c r="I333" s="334"/>
      <c r="L333" s="329" t="s">
        <v>327</v>
      </c>
      <c r="R333" s="332"/>
      <c r="T333" s="333"/>
      <c r="Y333" s="332"/>
      <c r="Z333" s="332"/>
      <c r="AA333" s="333"/>
      <c r="AB333" s="333"/>
    </row>
    <row r="334" spans="2:38">
      <c r="I334" s="334"/>
      <c r="R334" s="332"/>
      <c r="T334" s="333"/>
      <c r="Y334" s="332"/>
      <c r="Z334" s="332"/>
      <c r="AA334" s="333"/>
      <c r="AB334" s="333"/>
    </row>
    <row r="335" spans="2:38">
      <c r="I335" s="334"/>
      <c r="R335" s="332"/>
      <c r="T335" s="333"/>
      <c r="Y335" s="332"/>
      <c r="Z335" s="332"/>
      <c r="AA335" s="333"/>
      <c r="AB335" s="333"/>
    </row>
    <row r="336" spans="2:38">
      <c r="I336" s="334"/>
      <c r="R336" s="332"/>
      <c r="T336" s="333"/>
      <c r="Y336" s="332"/>
      <c r="Z336" s="332"/>
      <c r="AA336" s="333"/>
      <c r="AB336" s="333"/>
    </row>
    <row r="337" spans="2:28">
      <c r="I337" s="334"/>
      <c r="L337" s="332"/>
      <c r="N337" s="332"/>
      <c r="R337" s="332"/>
      <c r="T337" s="333"/>
      <c r="Y337" s="332"/>
      <c r="Z337" s="332"/>
      <c r="AA337" s="333"/>
      <c r="AB337" s="333"/>
    </row>
    <row r="338" spans="2:28">
      <c r="I338" s="334"/>
      <c r="L338" s="332"/>
      <c r="N338" s="332"/>
      <c r="R338" s="332"/>
      <c r="T338" s="333"/>
      <c r="Y338" s="332"/>
      <c r="Z338" s="332"/>
      <c r="AA338" s="333"/>
      <c r="AB338" s="333"/>
    </row>
    <row r="339" spans="2:28">
      <c r="I339" s="334"/>
      <c r="L339" s="332"/>
      <c r="N339" s="332"/>
      <c r="R339" s="332"/>
      <c r="T339" s="333"/>
      <c r="Y339" s="332"/>
      <c r="Z339" s="332"/>
      <c r="AA339" s="333"/>
      <c r="AB339" s="333"/>
    </row>
    <row r="340" spans="2:28">
      <c r="I340" s="334"/>
      <c r="L340" s="332"/>
      <c r="N340" s="332"/>
      <c r="R340" s="332"/>
      <c r="T340" s="333"/>
      <c r="Y340" s="332"/>
      <c r="Z340" s="332"/>
      <c r="AA340" s="333"/>
      <c r="AB340" s="333"/>
    </row>
    <row r="341" spans="2:28">
      <c r="I341" s="334"/>
      <c r="L341" s="332"/>
      <c r="N341" s="332"/>
      <c r="R341" s="332"/>
      <c r="T341" s="333"/>
      <c r="Y341" s="332"/>
      <c r="Z341" s="332"/>
      <c r="AA341" s="333"/>
      <c r="AB341" s="333"/>
    </row>
    <row r="342" spans="2:28">
      <c r="I342" s="334"/>
      <c r="L342" s="332"/>
      <c r="N342" s="332"/>
      <c r="R342" s="332"/>
      <c r="T342" s="333"/>
      <c r="Y342" s="332"/>
      <c r="Z342" s="332"/>
      <c r="AA342" s="333"/>
      <c r="AB342" s="333"/>
    </row>
    <row r="343" spans="2:28">
      <c r="I343" s="334"/>
      <c r="L343" s="332"/>
      <c r="N343" s="332"/>
      <c r="R343" s="332"/>
      <c r="T343" s="333"/>
      <c r="Y343" s="332"/>
      <c r="Z343" s="332"/>
      <c r="AA343" s="333"/>
      <c r="AB343" s="333"/>
    </row>
    <row r="344" spans="2:28">
      <c r="I344" s="334"/>
      <c r="L344" s="332"/>
      <c r="N344" s="332"/>
      <c r="R344" s="332"/>
      <c r="T344" s="333"/>
      <c r="Y344" s="332"/>
      <c r="Z344" s="332"/>
      <c r="AA344" s="333"/>
      <c r="AB344" s="333"/>
    </row>
    <row r="345" spans="2:28">
      <c r="I345" s="334"/>
      <c r="L345" s="332"/>
      <c r="N345" s="332"/>
      <c r="R345" s="332"/>
      <c r="T345" s="333"/>
      <c r="Y345" s="332"/>
      <c r="Z345" s="332"/>
      <c r="AA345" s="333"/>
      <c r="AB345" s="333"/>
    </row>
    <row r="346" spans="2:28">
      <c r="I346" s="334"/>
      <c r="L346" s="332"/>
      <c r="N346" s="332"/>
      <c r="R346" s="332"/>
      <c r="T346" s="333"/>
      <c r="Y346" s="332"/>
      <c r="Z346" s="332"/>
      <c r="AA346" s="333"/>
      <c r="AB346" s="333"/>
    </row>
    <row r="347" spans="2:28">
      <c r="I347" s="334"/>
      <c r="L347" s="332"/>
      <c r="N347" s="332"/>
      <c r="R347" s="332"/>
      <c r="T347" s="333"/>
      <c r="Y347" s="332"/>
      <c r="Z347" s="332"/>
      <c r="AA347" s="333"/>
      <c r="AB347" s="333"/>
    </row>
    <row r="348" spans="2:28">
      <c r="L348" s="332"/>
      <c r="Y348" s="332"/>
      <c r="Z348" s="332"/>
    </row>
    <row r="349" spans="2:28">
      <c r="L349" s="332"/>
      <c r="Y349" s="332"/>
      <c r="Z349" s="332"/>
      <c r="AA349" s="332"/>
      <c r="AB349" s="332"/>
    </row>
    <row r="350" spans="2:28">
      <c r="Y350" s="332"/>
      <c r="Z350" s="332"/>
      <c r="AA350" s="332"/>
      <c r="AB350" s="332"/>
    </row>
    <row r="351" spans="2:28" ht="19.5">
      <c r="B351" s="331" t="s">
        <v>897</v>
      </c>
      <c r="C351" s="330"/>
      <c r="D351" s="330"/>
    </row>
    <row r="352" spans="2:28">
      <c r="B352" s="330" t="s">
        <v>896</v>
      </c>
      <c r="C352" s="330"/>
      <c r="D352" s="330"/>
    </row>
    <row r="353" spans="2:4">
      <c r="B353" s="330"/>
      <c r="C353" s="330" t="s">
        <v>895</v>
      </c>
      <c r="D353" s="330"/>
    </row>
    <row r="354" spans="2:4">
      <c r="B354" s="330"/>
      <c r="C354" s="330" t="s">
        <v>894</v>
      </c>
      <c r="D354" s="330"/>
    </row>
    <row r="355" spans="2:4">
      <c r="B355" s="330"/>
      <c r="C355" s="330" t="s">
        <v>892</v>
      </c>
      <c r="D355" s="330" t="s">
        <v>893</v>
      </c>
    </row>
    <row r="356" spans="2:4">
      <c r="B356" s="330"/>
      <c r="C356" s="330" t="s">
        <v>892</v>
      </c>
      <c r="D356" s="330" t="s">
        <v>891</v>
      </c>
    </row>
  </sheetData>
  <pageMargins left="0.17" right="0.17" top="0.5" bottom="0.5" header="0.5" footer="0.5"/>
  <pageSetup scale="40" fitToHeight="5" orientation="landscape" horizontalDpi="4294967293" verticalDpi="4294967293"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3"/>
  <sheetViews>
    <sheetView zoomScaleNormal="100" workbookViewId="0">
      <selection activeCell="G3" sqref="G3"/>
    </sheetView>
  </sheetViews>
  <sheetFormatPr defaultRowHeight="12.75"/>
  <cols>
    <col min="2" max="2" width="27.140625" customWidth="1"/>
    <col min="3" max="3" width="17.140625" customWidth="1"/>
    <col min="4" max="4" width="15" customWidth="1"/>
    <col min="5" max="5" width="21.85546875" customWidth="1"/>
    <col min="6" max="6" width="14.7109375" customWidth="1"/>
    <col min="7" max="7" width="4.28515625" customWidth="1"/>
    <col min="8" max="8" width="14.42578125" customWidth="1"/>
    <col min="12" max="12" width="16.28515625" customWidth="1"/>
    <col min="14" max="14" width="15.42578125" customWidth="1"/>
    <col min="16" max="16" width="15.28515625" customWidth="1"/>
  </cols>
  <sheetData>
    <row r="1" spans="1:16">
      <c r="C1" s="2" t="s">
        <v>206</v>
      </c>
      <c r="D1" s="2"/>
      <c r="E1" s="2"/>
    </row>
    <row r="2" spans="1:16">
      <c r="C2" s="2"/>
      <c r="D2" s="2"/>
      <c r="E2" s="2"/>
      <c r="F2" s="693" t="s">
        <v>1414</v>
      </c>
      <c r="G2" s="693" t="s">
        <v>691</v>
      </c>
    </row>
    <row r="3" spans="1:16">
      <c r="C3" s="2" t="s">
        <v>207</v>
      </c>
      <c r="D3" s="2"/>
      <c r="E3" s="2"/>
    </row>
    <row r="4" spans="1:16">
      <c r="C4" s="2"/>
      <c r="D4" s="2"/>
      <c r="E4" s="2"/>
    </row>
    <row r="5" spans="1:16">
      <c r="C5" s="698" t="s">
        <v>1350</v>
      </c>
      <c r="D5" s="2"/>
      <c r="E5" s="2"/>
    </row>
    <row r="6" spans="1:16">
      <c r="C6" s="2"/>
      <c r="D6" s="2"/>
      <c r="E6" s="2"/>
    </row>
    <row r="7" spans="1:16">
      <c r="C7" s="2" t="s">
        <v>208</v>
      </c>
      <c r="D7" s="2"/>
      <c r="E7" s="2"/>
    </row>
    <row r="9" spans="1:16">
      <c r="L9" t="s">
        <v>1355</v>
      </c>
    </row>
    <row r="10" spans="1:16">
      <c r="F10" s="2"/>
      <c r="L10" t="s">
        <v>1356</v>
      </c>
      <c r="P10" s="47">
        <f>+D91</f>
        <v>348451.67999999895</v>
      </c>
    </row>
    <row r="11" spans="1:16">
      <c r="D11" s="54"/>
      <c r="F11" s="54"/>
      <c r="H11" s="54"/>
      <c r="L11" t="s">
        <v>1357</v>
      </c>
    </row>
    <row r="13" spans="1:16">
      <c r="B13" t="s">
        <v>209</v>
      </c>
    </row>
    <row r="14" spans="1:16">
      <c r="A14">
        <v>1011</v>
      </c>
      <c r="B14" t="s">
        <v>210</v>
      </c>
      <c r="D14" s="60">
        <v>25263.45</v>
      </c>
      <c r="L14" s="60">
        <v>25263.45</v>
      </c>
      <c r="N14" s="73">
        <f t="shared" ref="N14:N21" si="0">+D14-L14</f>
        <v>0</v>
      </c>
    </row>
    <row r="15" spans="1:16">
      <c r="A15">
        <v>1012</v>
      </c>
      <c r="B15" t="s">
        <v>277</v>
      </c>
      <c r="D15" s="61">
        <v>363009.25</v>
      </c>
      <c r="L15" s="61">
        <v>363009.25</v>
      </c>
      <c r="N15" s="73">
        <f t="shared" si="0"/>
        <v>0</v>
      </c>
    </row>
    <row r="16" spans="1:16">
      <c r="A16">
        <v>1016</v>
      </c>
      <c r="B16" t="s">
        <v>211</v>
      </c>
      <c r="D16" s="47">
        <v>168648.08</v>
      </c>
      <c r="L16" s="47">
        <v>168648.08</v>
      </c>
      <c r="N16" s="73">
        <f t="shared" si="0"/>
        <v>0</v>
      </c>
    </row>
    <row r="17" spans="1:16">
      <c r="A17">
        <v>1018</v>
      </c>
      <c r="B17" t="s">
        <v>276</v>
      </c>
      <c r="D17" s="47">
        <v>30463.95</v>
      </c>
      <c r="L17" s="47">
        <v>30463.95</v>
      </c>
      <c r="N17" s="73">
        <f t="shared" si="0"/>
        <v>0</v>
      </c>
    </row>
    <row r="18" spans="1:16">
      <c r="A18">
        <v>1020</v>
      </c>
      <c r="B18" t="s">
        <v>318</v>
      </c>
      <c r="D18" s="47">
        <v>104544.67</v>
      </c>
      <c r="L18" s="47">
        <v>104544.67</v>
      </c>
      <c r="N18" s="73">
        <f t="shared" si="0"/>
        <v>0</v>
      </c>
    </row>
    <row r="19" spans="1:16">
      <c r="A19">
        <v>1062</v>
      </c>
      <c r="B19" t="s">
        <v>212</v>
      </c>
      <c r="D19" s="47">
        <v>9340.77</v>
      </c>
      <c r="L19" s="47">
        <v>9340.77</v>
      </c>
      <c r="N19" s="73">
        <f t="shared" si="0"/>
        <v>0</v>
      </c>
    </row>
    <row r="20" spans="1:16">
      <c r="A20">
        <v>1064</v>
      </c>
      <c r="B20" t="s">
        <v>213</v>
      </c>
      <c r="D20" s="47">
        <v>56267.56</v>
      </c>
      <c r="L20" s="47">
        <v>56267.56</v>
      </c>
      <c r="N20" s="73">
        <f t="shared" si="0"/>
        <v>0</v>
      </c>
    </row>
    <row r="21" spans="1:16">
      <c r="A21">
        <v>1122</v>
      </c>
      <c r="B21" t="s">
        <v>214</v>
      </c>
      <c r="D21" s="47">
        <v>283700.14</v>
      </c>
      <c r="L21" s="47">
        <v>283700.14</v>
      </c>
      <c r="N21" s="73">
        <f t="shared" si="0"/>
        <v>0</v>
      </c>
    </row>
    <row r="22" spans="1:16">
      <c r="A22">
        <v>1128</v>
      </c>
      <c r="B22" t="s">
        <v>215</v>
      </c>
      <c r="D22" s="47">
        <v>0</v>
      </c>
      <c r="L22" s="47">
        <v>0</v>
      </c>
      <c r="N22" s="73"/>
    </row>
    <row r="23" spans="1:16">
      <c r="A23">
        <v>1130</v>
      </c>
      <c r="B23" t="s">
        <v>216</v>
      </c>
      <c r="D23" s="47">
        <v>31563.040000000001</v>
      </c>
      <c r="L23" s="47">
        <v>31563.040000000001</v>
      </c>
      <c r="N23" s="73">
        <f>+D23-L23</f>
        <v>0</v>
      </c>
    </row>
    <row r="24" spans="1:16">
      <c r="A24">
        <v>1174</v>
      </c>
      <c r="B24" t="s">
        <v>217</v>
      </c>
      <c r="D24" s="62">
        <v>11061.88</v>
      </c>
      <c r="L24" s="62">
        <v>11061.88</v>
      </c>
      <c r="N24" s="73">
        <f>+D24-L24</f>
        <v>0</v>
      </c>
      <c r="O24" t="s">
        <v>319</v>
      </c>
    </row>
    <row r="25" spans="1:16">
      <c r="D25" s="47"/>
      <c r="L25" s="47"/>
      <c r="N25" s="73"/>
    </row>
    <row r="26" spans="1:16">
      <c r="B26" t="s">
        <v>218</v>
      </c>
      <c r="D26" s="62">
        <f>SUM(D14:D24)</f>
        <v>1083862.7899999998</v>
      </c>
      <c r="L26" s="62">
        <f>SUM(L14:L24)</f>
        <v>1083862.7899999998</v>
      </c>
      <c r="N26" s="73">
        <f>+D26-L26</f>
        <v>0</v>
      </c>
      <c r="P26" s="73">
        <f>+N26</f>
        <v>0</v>
      </c>
    </row>
    <row r="27" spans="1:16">
      <c r="N27" s="73"/>
    </row>
    <row r="28" spans="1:16">
      <c r="B28" t="s">
        <v>219</v>
      </c>
      <c r="N28" s="73"/>
    </row>
    <row r="29" spans="1:16">
      <c r="A29">
        <v>1222</v>
      </c>
      <c r="B29" t="s">
        <v>220</v>
      </c>
      <c r="D29" s="17">
        <v>1768464</v>
      </c>
      <c r="F29">
        <v>1564335</v>
      </c>
      <c r="H29" s="17">
        <f t="shared" ref="H29:H37" si="1">D29-F29</f>
        <v>204129</v>
      </c>
      <c r="I29" s="83"/>
      <c r="L29" s="17">
        <v>1606470.36</v>
      </c>
      <c r="N29" s="73">
        <f t="shared" ref="N29:N39" si="2">+D29-L29</f>
        <v>161993.6399999999</v>
      </c>
    </row>
    <row r="30" spans="1:16">
      <c r="A30">
        <v>1224</v>
      </c>
      <c r="B30" t="s">
        <v>221</v>
      </c>
      <c r="D30" s="47">
        <v>838692</v>
      </c>
      <c r="F30">
        <v>793420</v>
      </c>
      <c r="H30" s="17">
        <f t="shared" si="1"/>
        <v>45272</v>
      </c>
      <c r="I30" s="83"/>
      <c r="L30" s="47">
        <v>838695.31</v>
      </c>
      <c r="N30" s="73">
        <f t="shared" si="2"/>
        <v>-3.3100000000558794</v>
      </c>
    </row>
    <row r="31" spans="1:16">
      <c r="A31">
        <v>1226</v>
      </c>
      <c r="B31" t="s">
        <v>325</v>
      </c>
      <c r="D31" s="47">
        <v>4302</v>
      </c>
      <c r="F31">
        <v>3462</v>
      </c>
      <c r="H31" s="17">
        <f>D31-F31</f>
        <v>840</v>
      </c>
      <c r="I31" s="83"/>
      <c r="L31" s="47">
        <v>4302.3999999999996</v>
      </c>
      <c r="N31" s="73">
        <f>+D31-L31</f>
        <v>-0.3999999999996362</v>
      </c>
    </row>
    <row r="32" spans="1:16">
      <c r="A32">
        <v>1230</v>
      </c>
      <c r="B32" t="s">
        <v>222</v>
      </c>
      <c r="D32" s="47">
        <v>170740</v>
      </c>
      <c r="F32">
        <v>156541</v>
      </c>
      <c r="H32" s="17">
        <f t="shared" si="1"/>
        <v>14199</v>
      </c>
      <c r="I32" s="83"/>
      <c r="L32" s="47">
        <v>141241.60999999999</v>
      </c>
      <c r="N32" s="73">
        <f t="shared" si="2"/>
        <v>29498.390000000014</v>
      </c>
    </row>
    <row r="33" spans="1:16">
      <c r="A33">
        <v>1240</v>
      </c>
      <c r="B33" t="s">
        <v>223</v>
      </c>
      <c r="D33" s="47">
        <v>78878</v>
      </c>
      <c r="F33">
        <v>68590</v>
      </c>
      <c r="H33" s="17">
        <f t="shared" si="1"/>
        <v>10288</v>
      </c>
      <c r="I33" s="83"/>
      <c r="L33" s="47">
        <v>78671.350000000006</v>
      </c>
      <c r="N33" s="73">
        <f t="shared" si="2"/>
        <v>206.64999999999418</v>
      </c>
    </row>
    <row r="34" spans="1:16">
      <c r="A34">
        <v>1250</v>
      </c>
      <c r="B34" t="s">
        <v>224</v>
      </c>
      <c r="D34" s="47">
        <v>27430</v>
      </c>
      <c r="F34">
        <v>27430</v>
      </c>
      <c r="H34" s="17">
        <f t="shared" si="1"/>
        <v>0</v>
      </c>
      <c r="L34" s="47">
        <v>27430.13</v>
      </c>
      <c r="N34" s="73">
        <f t="shared" si="2"/>
        <v>-0.13000000000101863</v>
      </c>
    </row>
    <row r="35" spans="1:16">
      <c r="A35">
        <v>1291</v>
      </c>
      <c r="B35" t="s">
        <v>225</v>
      </c>
      <c r="D35" s="47">
        <v>-1539603</v>
      </c>
      <c r="F35">
        <v>-1358096</v>
      </c>
      <c r="H35" s="17">
        <f t="shared" si="1"/>
        <v>-181507</v>
      </c>
      <c r="I35" s="83"/>
      <c r="L35" s="47">
        <v>-2496530.02</v>
      </c>
      <c r="N35" s="73">
        <f t="shared" si="2"/>
        <v>956927.02</v>
      </c>
    </row>
    <row r="36" spans="1:16">
      <c r="A36">
        <v>1422</v>
      </c>
      <c r="B36" t="s">
        <v>192</v>
      </c>
      <c r="D36" s="47">
        <v>49153</v>
      </c>
      <c r="F36">
        <v>49153</v>
      </c>
      <c r="H36" s="17">
        <f t="shared" si="1"/>
        <v>0</v>
      </c>
      <c r="I36" s="83"/>
      <c r="L36" s="47">
        <v>49152.98</v>
      </c>
      <c r="N36" s="73">
        <f t="shared" si="2"/>
        <v>1.9999999996798579E-2</v>
      </c>
    </row>
    <row r="37" spans="1:16">
      <c r="A37">
        <v>1491</v>
      </c>
      <c r="B37" t="s">
        <v>225</v>
      </c>
      <c r="D37" s="62">
        <v>-15870</v>
      </c>
      <c r="F37">
        <v>-12272</v>
      </c>
      <c r="H37" s="17">
        <f t="shared" si="1"/>
        <v>-3598</v>
      </c>
      <c r="I37" s="83"/>
      <c r="L37" s="62">
        <v>-33347.980000000003</v>
      </c>
      <c r="N37" s="78">
        <f t="shared" si="2"/>
        <v>17477.980000000003</v>
      </c>
    </row>
    <row r="38" spans="1:16">
      <c r="D38" s="47"/>
      <c r="L38" s="47"/>
      <c r="N38" s="73">
        <f t="shared" si="2"/>
        <v>0</v>
      </c>
    </row>
    <row r="39" spans="1:16">
      <c r="B39" t="s">
        <v>226</v>
      </c>
      <c r="D39" s="62">
        <f>SUM(D29:D37)</f>
        <v>1382186</v>
      </c>
      <c r="L39" s="62">
        <f>SUM(L29:L37)</f>
        <v>216086.13999999966</v>
      </c>
      <c r="N39" s="73">
        <f t="shared" si="2"/>
        <v>1166099.8600000003</v>
      </c>
      <c r="P39" s="73">
        <f>+F39-N39</f>
        <v>-1166099.8600000003</v>
      </c>
    </row>
    <row r="40" spans="1:16">
      <c r="N40" s="73"/>
    </row>
    <row r="41" spans="1:16">
      <c r="B41" t="s">
        <v>227</v>
      </c>
      <c r="N41" s="73"/>
    </row>
    <row r="42" spans="1:16">
      <c r="A42">
        <v>1616</v>
      </c>
      <c r="B42" t="s">
        <v>228</v>
      </c>
      <c r="D42" s="47">
        <v>10842.02</v>
      </c>
      <c r="L42" s="47">
        <v>7369.17</v>
      </c>
      <c r="N42" s="73">
        <f>+D42-L42</f>
        <v>3472.8500000000004</v>
      </c>
    </row>
    <row r="43" spans="1:16">
      <c r="D43" s="62">
        <v>0</v>
      </c>
      <c r="L43" s="62">
        <v>0</v>
      </c>
      <c r="N43" s="73"/>
    </row>
    <row r="44" spans="1:16">
      <c r="D44" s="47"/>
      <c r="L44" s="47"/>
      <c r="N44" s="73">
        <f>+D44-L44</f>
        <v>0</v>
      </c>
    </row>
    <row r="45" spans="1:16">
      <c r="B45" t="s">
        <v>229</v>
      </c>
      <c r="D45" s="62">
        <f>SUM(D42:D43)</f>
        <v>10842.02</v>
      </c>
      <c r="L45" s="62">
        <f>SUM(L42:L43)</f>
        <v>7369.17</v>
      </c>
      <c r="N45" s="73">
        <f>+D45-L45</f>
        <v>3472.8500000000004</v>
      </c>
      <c r="P45" s="73">
        <f>N45</f>
        <v>3472.8500000000004</v>
      </c>
    </row>
    <row r="46" spans="1:16">
      <c r="N46" s="73">
        <f>+D46-L46</f>
        <v>0</v>
      </c>
    </row>
    <row r="47" spans="1:16" ht="13.5" thickBot="1">
      <c r="B47" t="s">
        <v>230</v>
      </c>
      <c r="D47" s="59">
        <f>+D26+D39+D45</f>
        <v>2476890.81</v>
      </c>
      <c r="L47" s="59">
        <f>+L26+L39+L45</f>
        <v>1307318.0999999994</v>
      </c>
      <c r="N47" s="73">
        <f>+D47-L47</f>
        <v>1169572.7100000007</v>
      </c>
      <c r="P47">
        <f>SUM(P14:P45)</f>
        <v>-1162627.0100000002</v>
      </c>
    </row>
    <row r="48" spans="1:16" ht="13.5" thickTop="1">
      <c r="N48" s="73"/>
    </row>
    <row r="49" spans="3:14">
      <c r="N49" s="73"/>
    </row>
    <row r="50" spans="3:14">
      <c r="N50" s="73"/>
    </row>
    <row r="51" spans="3:14">
      <c r="N51" s="73"/>
    </row>
    <row r="52" spans="3:14">
      <c r="N52" s="73"/>
    </row>
    <row r="53" spans="3:14">
      <c r="N53" s="73"/>
    </row>
    <row r="54" spans="3:14">
      <c r="N54" s="73"/>
    </row>
    <row r="55" spans="3:14">
      <c r="C55" s="2" t="s">
        <v>231</v>
      </c>
      <c r="D55" s="2"/>
      <c r="E55" s="2"/>
      <c r="F55" s="2"/>
      <c r="L55" s="2"/>
      <c r="N55" s="73"/>
    </row>
    <row r="56" spans="3:14">
      <c r="C56" s="2"/>
      <c r="D56" s="2"/>
      <c r="E56" s="2"/>
      <c r="F56" s="2"/>
      <c r="L56" s="2"/>
      <c r="N56" s="73"/>
    </row>
    <row r="57" spans="3:14">
      <c r="C57" s="2" t="s">
        <v>207</v>
      </c>
      <c r="D57" s="2"/>
      <c r="E57" s="2"/>
      <c r="F57" s="2"/>
      <c r="L57" s="2"/>
      <c r="N57" s="73"/>
    </row>
    <row r="58" spans="3:14">
      <c r="C58" s="2"/>
      <c r="D58" s="2"/>
      <c r="E58" s="2"/>
      <c r="F58" s="2"/>
      <c r="L58" s="2"/>
      <c r="N58" s="73"/>
    </row>
    <row r="59" spans="3:14">
      <c r="C59" s="2" t="str">
        <f>+C5</f>
        <v>AS OF 12/31/19</v>
      </c>
      <c r="D59" s="2"/>
      <c r="E59" s="2"/>
      <c r="F59" s="2"/>
      <c r="L59" s="2"/>
      <c r="N59" s="73"/>
    </row>
    <row r="60" spans="3:14">
      <c r="C60" s="2"/>
      <c r="D60" s="2"/>
      <c r="E60" s="2"/>
      <c r="F60" s="2"/>
      <c r="L60" s="2"/>
      <c r="N60" s="73"/>
    </row>
    <row r="61" spans="3:14">
      <c r="C61" s="2" t="s">
        <v>232</v>
      </c>
      <c r="D61" s="2"/>
      <c r="E61" s="2"/>
      <c r="F61" s="2"/>
      <c r="L61" s="2"/>
      <c r="N61" s="73"/>
    </row>
    <row r="62" spans="3:14">
      <c r="C62" s="2" t="s">
        <v>233</v>
      </c>
      <c r="D62" s="2"/>
      <c r="E62" s="2"/>
      <c r="F62" s="2"/>
      <c r="L62" s="2"/>
      <c r="N62" s="73"/>
    </row>
    <row r="63" spans="3:14">
      <c r="N63" s="73"/>
    </row>
    <row r="64" spans="3:14">
      <c r="N64" s="73"/>
    </row>
    <row r="65" spans="1:16">
      <c r="B65" t="s">
        <v>234</v>
      </c>
      <c r="N65" s="73"/>
    </row>
    <row r="66" spans="1:16">
      <c r="A66">
        <v>2052</v>
      </c>
      <c r="B66" t="s">
        <v>235</v>
      </c>
      <c r="D66" s="52">
        <v>71601.929999999993</v>
      </c>
      <c r="L66" s="52">
        <v>71601.929999999993</v>
      </c>
      <c r="N66" s="73">
        <f t="shared" ref="N66:N81" si="3">+D66-L66</f>
        <v>0</v>
      </c>
    </row>
    <row r="67" spans="1:16">
      <c r="A67">
        <v>2080</v>
      </c>
      <c r="B67" t="s">
        <v>253</v>
      </c>
      <c r="D67" s="47">
        <v>10442.469999999999</v>
      </c>
      <c r="L67" s="47">
        <v>10442.469999999999</v>
      </c>
      <c r="N67" s="73">
        <f t="shared" si="3"/>
        <v>0</v>
      </c>
    </row>
    <row r="68" spans="1:16">
      <c r="A68">
        <v>2122</v>
      </c>
      <c r="B68" t="s">
        <v>289</v>
      </c>
      <c r="D68" s="47">
        <v>-249.16</v>
      </c>
      <c r="L68" s="47">
        <v>-249.16</v>
      </c>
      <c r="N68" s="73">
        <f t="shared" si="3"/>
        <v>0</v>
      </c>
    </row>
    <row r="69" spans="1:16">
      <c r="A69">
        <v>2124</v>
      </c>
      <c r="B69" t="s">
        <v>236</v>
      </c>
      <c r="D69" s="47">
        <v>129.05000000000001</v>
      </c>
      <c r="L69" s="47">
        <v>129.05000000000001</v>
      </c>
      <c r="N69" s="73">
        <f t="shared" si="3"/>
        <v>0</v>
      </c>
    </row>
    <row r="70" spans="1:16">
      <c r="A70">
        <v>2125</v>
      </c>
      <c r="B70" t="s">
        <v>1351</v>
      </c>
      <c r="D70" s="47">
        <v>489.48</v>
      </c>
      <c r="L70" s="47">
        <v>489.48</v>
      </c>
      <c r="N70" s="73">
        <f t="shared" ref="N70" si="4">+D70-L70</f>
        <v>0</v>
      </c>
    </row>
    <row r="71" spans="1:16">
      <c r="A71">
        <v>2126</v>
      </c>
      <c r="B71" t="s">
        <v>237</v>
      </c>
      <c r="D71" s="47">
        <v>89.01</v>
      </c>
      <c r="L71" s="47">
        <v>89.01</v>
      </c>
      <c r="N71" s="73">
        <f t="shared" si="3"/>
        <v>0</v>
      </c>
    </row>
    <row r="72" spans="1:16">
      <c r="A72">
        <v>2128</v>
      </c>
      <c r="B72" t="s">
        <v>238</v>
      </c>
      <c r="D72" s="47">
        <v>8112.97</v>
      </c>
      <c r="L72" s="47">
        <v>8112.97</v>
      </c>
      <c r="N72" s="73">
        <f t="shared" si="3"/>
        <v>0</v>
      </c>
    </row>
    <row r="73" spans="1:16">
      <c r="A73">
        <v>2142</v>
      </c>
      <c r="B73" t="s">
        <v>239</v>
      </c>
      <c r="D73" s="47">
        <v>8839.01</v>
      </c>
      <c r="L73" s="47">
        <v>8839.01</v>
      </c>
      <c r="N73" s="73">
        <f t="shared" si="3"/>
        <v>0</v>
      </c>
    </row>
    <row r="74" spans="1:16">
      <c r="A74">
        <v>2144</v>
      </c>
      <c r="B74" t="s">
        <v>240</v>
      </c>
      <c r="D74" s="47">
        <v>668.57</v>
      </c>
      <c r="L74" s="47">
        <v>668.57</v>
      </c>
      <c r="N74" s="73">
        <f t="shared" si="3"/>
        <v>0</v>
      </c>
    </row>
    <row r="75" spans="1:16">
      <c r="A75">
        <v>2146</v>
      </c>
      <c r="B75" t="s">
        <v>1352</v>
      </c>
      <c r="D75" s="47">
        <v>23000.07</v>
      </c>
      <c r="L75" s="47">
        <v>23000.07</v>
      </c>
      <c r="N75" s="73">
        <f t="shared" ref="N75" si="5">+D75-L75</f>
        <v>0</v>
      </c>
    </row>
    <row r="76" spans="1:16">
      <c r="A76">
        <v>2180</v>
      </c>
      <c r="B76" t="s">
        <v>241</v>
      </c>
      <c r="D76" s="62">
        <v>95376</v>
      </c>
      <c r="L76" s="62">
        <v>95376</v>
      </c>
      <c r="N76" s="73">
        <f t="shared" si="3"/>
        <v>0</v>
      </c>
    </row>
    <row r="77" spans="1:16">
      <c r="D77" s="47"/>
      <c r="L77" s="47"/>
      <c r="N77" s="73">
        <f t="shared" si="3"/>
        <v>0</v>
      </c>
    </row>
    <row r="78" spans="1:16">
      <c r="B78" t="s">
        <v>242</v>
      </c>
      <c r="D78" s="62">
        <f>SUM(D66:D76)</f>
        <v>218499.4</v>
      </c>
      <c r="L78" s="62">
        <f>SUM(L66:L76)</f>
        <v>218499.4</v>
      </c>
      <c r="N78" s="73">
        <f t="shared" si="3"/>
        <v>0</v>
      </c>
      <c r="P78" s="73">
        <f>+N78</f>
        <v>0</v>
      </c>
    </row>
    <row r="79" spans="1:16">
      <c r="N79" s="73">
        <f t="shared" si="3"/>
        <v>0</v>
      </c>
    </row>
    <row r="80" spans="1:16">
      <c r="B80" t="s">
        <v>243</v>
      </c>
      <c r="N80" s="73">
        <f t="shared" si="3"/>
        <v>0</v>
      </c>
    </row>
    <row r="81" spans="1:14">
      <c r="A81">
        <v>2326</v>
      </c>
      <c r="B81" t="s">
        <v>299</v>
      </c>
      <c r="D81" s="47">
        <v>116043.38</v>
      </c>
      <c r="L81" s="47">
        <v>116043.38</v>
      </c>
      <c r="N81" s="73">
        <f t="shared" si="3"/>
        <v>0</v>
      </c>
    </row>
    <row r="82" spans="1:14">
      <c r="A82">
        <v>2324</v>
      </c>
      <c r="B82" t="s">
        <v>326</v>
      </c>
      <c r="D82" s="47">
        <v>37836.300000000003</v>
      </c>
      <c r="L82" s="47">
        <v>37836.300000000003</v>
      </c>
      <c r="N82" s="73">
        <f t="shared" ref="N82:N97" si="6">+D82-L82</f>
        <v>0</v>
      </c>
    </row>
    <row r="83" spans="1:14">
      <c r="A83">
        <v>2330</v>
      </c>
      <c r="B83" t="s">
        <v>299</v>
      </c>
      <c r="D83" s="47">
        <v>161700.57999999999</v>
      </c>
      <c r="L83" s="47">
        <v>161700.57999999999</v>
      </c>
      <c r="N83" s="73"/>
    </row>
    <row r="84" spans="1:14">
      <c r="A84">
        <v>2380</v>
      </c>
      <c r="B84" t="s">
        <v>244</v>
      </c>
      <c r="D84" s="62">
        <v>-95376</v>
      </c>
      <c r="L84" s="62">
        <v>-95376</v>
      </c>
      <c r="N84" s="73">
        <f t="shared" si="6"/>
        <v>0</v>
      </c>
    </row>
    <row r="85" spans="1:14">
      <c r="D85" s="47"/>
      <c r="L85" s="47"/>
      <c r="N85" s="73">
        <f t="shared" si="6"/>
        <v>0</v>
      </c>
    </row>
    <row r="86" spans="1:14">
      <c r="B86" t="s">
        <v>245</v>
      </c>
      <c r="D86" s="62">
        <f>SUM(D81:D84)</f>
        <v>220204.26</v>
      </c>
      <c r="L86" s="62">
        <f>SUM(L81:L84)</f>
        <v>220204.26</v>
      </c>
      <c r="N86" s="73">
        <f t="shared" si="6"/>
        <v>0</v>
      </c>
    </row>
    <row r="87" spans="1:14">
      <c r="D87" s="47"/>
      <c r="L87" s="47"/>
      <c r="N87" s="73">
        <f t="shared" si="6"/>
        <v>0</v>
      </c>
    </row>
    <row r="88" spans="1:14">
      <c r="B88" t="s">
        <v>246</v>
      </c>
      <c r="D88" s="47"/>
      <c r="E88" t="s">
        <v>320</v>
      </c>
      <c r="F88" s="47">
        <v>1910453</v>
      </c>
      <c r="L88" s="47"/>
      <c r="N88" s="73">
        <f t="shared" si="6"/>
        <v>0</v>
      </c>
    </row>
    <row r="89" spans="1:14">
      <c r="A89">
        <v>2701</v>
      </c>
      <c r="B89" t="s">
        <v>247</v>
      </c>
      <c r="D89" s="47">
        <v>11600</v>
      </c>
      <c r="E89" s="83" t="s">
        <v>322</v>
      </c>
      <c r="F89" s="79">
        <v>0</v>
      </c>
      <c r="L89" s="47">
        <v>11600</v>
      </c>
      <c r="N89" s="73">
        <f t="shared" si="6"/>
        <v>0</v>
      </c>
    </row>
    <row r="90" spans="1:14">
      <c r="A90">
        <v>2932</v>
      </c>
      <c r="B90" t="s">
        <v>248</v>
      </c>
      <c r="D90" s="47">
        <v>1790453</v>
      </c>
      <c r="E90" t="s">
        <v>321</v>
      </c>
      <c r="F90" s="80">
        <v>-120000</v>
      </c>
      <c r="L90" s="47">
        <v>778320.05</v>
      </c>
      <c r="N90" s="73">
        <f t="shared" si="6"/>
        <v>1012132.95</v>
      </c>
    </row>
    <row r="91" spans="1:14">
      <c r="B91" t="s">
        <v>252</v>
      </c>
      <c r="D91" s="62">
        <f>+D218</f>
        <v>348451.67999999895</v>
      </c>
      <c r="F91" s="79">
        <f>SUM(F88:F90)</f>
        <v>1790453</v>
      </c>
      <c r="L91" s="62">
        <v>78694.39</v>
      </c>
      <c r="N91" s="73">
        <f t="shared" si="6"/>
        <v>269757.28999999893</v>
      </c>
    </row>
    <row r="92" spans="1:14">
      <c r="D92" s="47"/>
      <c r="L92" s="47"/>
      <c r="N92" s="73">
        <f t="shared" si="6"/>
        <v>0</v>
      </c>
    </row>
    <row r="93" spans="1:14">
      <c r="B93" t="s">
        <v>249</v>
      </c>
      <c r="D93" s="62">
        <f>SUM(D89:D91)</f>
        <v>2150504.6799999988</v>
      </c>
      <c r="L93" s="62">
        <f>SUM(L89:L91)</f>
        <v>868614.44000000006</v>
      </c>
      <c r="N93" s="73">
        <f t="shared" si="6"/>
        <v>1281890.2399999988</v>
      </c>
    </row>
    <row r="94" spans="1:14">
      <c r="N94" s="73">
        <f t="shared" si="6"/>
        <v>0</v>
      </c>
    </row>
    <row r="95" spans="1:14" ht="13.5" thickBot="1">
      <c r="B95" t="s">
        <v>250</v>
      </c>
      <c r="D95" s="59">
        <f>+D78+D86+D93</f>
        <v>2589208.3399999989</v>
      </c>
      <c r="L95" s="59">
        <f>+L78+L86+L93</f>
        <v>1307318.1000000001</v>
      </c>
      <c r="N95" s="73">
        <f t="shared" si="6"/>
        <v>1281890.2399999988</v>
      </c>
    </row>
    <row r="96" spans="1:14" ht="13.5" thickTop="1">
      <c r="N96" s="73">
        <f t="shared" si="6"/>
        <v>0</v>
      </c>
    </row>
    <row r="97" spans="1:14">
      <c r="B97" t="s">
        <v>251</v>
      </c>
      <c r="D97" s="81">
        <f>+D47-D95</f>
        <v>-112317.52999999886</v>
      </c>
      <c r="L97" s="81">
        <f>+L47-L95</f>
        <v>0</v>
      </c>
      <c r="N97" s="73">
        <f t="shared" si="6"/>
        <v>-112317.52999999886</v>
      </c>
    </row>
    <row r="98" spans="1:14">
      <c r="E98" s="58">
        <f>(D78+D86)/D95</f>
        <v>0.16943544218616266</v>
      </c>
    </row>
    <row r="99" spans="1:14">
      <c r="B99" s="83"/>
      <c r="C99" t="s">
        <v>327</v>
      </c>
    </row>
    <row r="100" spans="1:14">
      <c r="B100" s="83"/>
    </row>
    <row r="105" spans="1:14">
      <c r="A105" s="83" t="s">
        <v>323</v>
      </c>
    </row>
    <row r="108" spans="1:14" ht="13.5" thickBot="1">
      <c r="D108" s="3" t="str">
        <f>+C59</f>
        <v>AS OF 12/31/19</v>
      </c>
      <c r="F108" t="s">
        <v>87</v>
      </c>
    </row>
    <row r="109" spans="1:14" ht="13.5" thickTop="1"/>
    <row r="110" spans="1:14">
      <c r="A110" t="s">
        <v>3</v>
      </c>
    </row>
    <row r="111" spans="1:14">
      <c r="A111">
        <v>3100</v>
      </c>
      <c r="B111" t="s">
        <v>5</v>
      </c>
      <c r="D111" s="6">
        <f>'Monthy Income Statements'!O10</f>
        <v>1870785.01</v>
      </c>
    </row>
    <row r="112" spans="1:14">
      <c r="A112">
        <v>3112</v>
      </c>
      <c r="B112" t="s">
        <v>6</v>
      </c>
      <c r="D112" s="6">
        <f>'Monthy Income Statements'!O11</f>
        <v>238465.85</v>
      </c>
    </row>
    <row r="113" spans="1:6">
      <c r="A113">
        <v>3114</v>
      </c>
      <c r="B113" t="s">
        <v>7</v>
      </c>
      <c r="D113" s="6">
        <f>'Monthy Income Statements'!O12</f>
        <v>104963.68999999999</v>
      </c>
    </row>
    <row r="114" spans="1:6">
      <c r="A114">
        <v>3300</v>
      </c>
      <c r="B114" t="s">
        <v>8</v>
      </c>
      <c r="D114" s="6">
        <f>'Monthy Income Statements'!O13</f>
        <v>242661.77999999997</v>
      </c>
    </row>
    <row r="115" spans="1:6">
      <c r="A115">
        <v>3310</v>
      </c>
      <c r="B115" t="s">
        <v>9</v>
      </c>
      <c r="D115" s="6">
        <f>'Monthy Income Statements'!O14</f>
        <v>325201.94999999995</v>
      </c>
      <c r="E115" s="6"/>
      <c r="F115" s="6"/>
    </row>
    <row r="116" spans="1:6">
      <c r="A116">
        <v>3410</v>
      </c>
      <c r="B116" t="s">
        <v>328</v>
      </c>
      <c r="D116" s="6">
        <f>'Monthy Income Statements'!O15</f>
        <v>60443.009999999995</v>
      </c>
    </row>
    <row r="117" spans="1:6">
      <c r="A117">
        <v>3450</v>
      </c>
      <c r="B117" t="s">
        <v>329</v>
      </c>
      <c r="D117" s="6">
        <f>'Monthy Income Statements'!O16</f>
        <v>32792</v>
      </c>
    </row>
    <row r="118" spans="1:6">
      <c r="A118">
        <v>3460</v>
      </c>
      <c r="B118" t="s">
        <v>10</v>
      </c>
      <c r="D118" s="6">
        <f>'Monthy Income Statements'!O17</f>
        <v>0</v>
      </c>
    </row>
    <row r="119" spans="1:6">
      <c r="A119">
        <v>3500</v>
      </c>
      <c r="B119" t="s">
        <v>11</v>
      </c>
      <c r="D119" s="43">
        <f>'Monthy Income Statements'!O18</f>
        <v>0</v>
      </c>
    </row>
    <row r="120" spans="1:6">
      <c r="D120" s="6"/>
    </row>
    <row r="121" spans="1:6" ht="13.5" thickBot="1">
      <c r="B121" t="s">
        <v>4</v>
      </c>
      <c r="D121" s="7">
        <f>SUM(D111:D119)</f>
        <v>2875313.2899999991</v>
      </c>
      <c r="F121" s="7">
        <f>SUM(F111:F119)</f>
        <v>0</v>
      </c>
    </row>
    <row r="122" spans="1:6">
      <c r="D122" s="6"/>
    </row>
    <row r="123" spans="1:6">
      <c r="A123" t="s">
        <v>12</v>
      </c>
      <c r="D123" s="6"/>
    </row>
    <row r="124" spans="1:6">
      <c r="A124" t="s">
        <v>13</v>
      </c>
      <c r="D124" s="6"/>
    </row>
    <row r="125" spans="1:6">
      <c r="A125">
        <v>4116</v>
      </c>
      <c r="B125" t="s">
        <v>29</v>
      </c>
      <c r="D125" s="82">
        <f>'Monthy Income Statements'!O24</f>
        <v>83193.929999999993</v>
      </c>
    </row>
    <row r="126" spans="1:6">
      <c r="A126">
        <v>4117</v>
      </c>
      <c r="B126" t="s">
        <v>291</v>
      </c>
      <c r="D126" s="82">
        <f>'Monthy Income Statements'!O25</f>
        <v>2615</v>
      </c>
    </row>
    <row r="127" spans="1:6">
      <c r="A127">
        <v>4118</v>
      </c>
      <c r="B127" t="s">
        <v>30</v>
      </c>
      <c r="D127" s="82">
        <f>'Monthy Income Statements'!O26</f>
        <v>15025</v>
      </c>
    </row>
    <row r="128" spans="1:6">
      <c r="A128">
        <v>4120</v>
      </c>
      <c r="B128" t="s">
        <v>294</v>
      </c>
      <c r="D128" s="82">
        <f>'Monthy Income Statements'!O27</f>
        <v>338</v>
      </c>
    </row>
    <row r="129" spans="1:4">
      <c r="A129">
        <v>4122</v>
      </c>
      <c r="B129" t="s">
        <v>330</v>
      </c>
      <c r="D129" s="82">
        <f>'Monthy Income Statements'!O28</f>
        <v>7783.5</v>
      </c>
    </row>
    <row r="130" spans="1:4">
      <c r="A130">
        <v>4132</v>
      </c>
      <c r="B130" t="s">
        <v>31</v>
      </c>
      <c r="D130" s="82">
        <f>'Monthy Income Statements'!O29</f>
        <v>40504.65</v>
      </c>
    </row>
    <row r="131" spans="1:4">
      <c r="A131">
        <v>4133</v>
      </c>
      <c r="B131" t="s">
        <v>292</v>
      </c>
      <c r="D131" s="82">
        <f>'Monthy Income Statements'!O30</f>
        <v>4755.2</v>
      </c>
    </row>
    <row r="132" spans="1:4">
      <c r="A132">
        <v>4134</v>
      </c>
      <c r="B132" t="s">
        <v>32</v>
      </c>
      <c r="D132" s="82">
        <f>'Monthy Income Statements'!O31</f>
        <v>10268.18</v>
      </c>
    </row>
    <row r="133" spans="1:4">
      <c r="A133">
        <v>4134</v>
      </c>
      <c r="B133" t="s">
        <v>293</v>
      </c>
      <c r="D133" s="82">
        <f>'Monthy Income Statements'!O32</f>
        <v>0</v>
      </c>
    </row>
    <row r="134" spans="1:4">
      <c r="A134">
        <v>4138</v>
      </c>
      <c r="B134" t="s">
        <v>331</v>
      </c>
      <c r="D134" s="82">
        <f>'Monthy Income Statements'!O33</f>
        <v>588.45000000000005</v>
      </c>
    </row>
    <row r="135" spans="1:4">
      <c r="A135">
        <v>4160</v>
      </c>
      <c r="B135" t="s">
        <v>33</v>
      </c>
      <c r="D135" s="82">
        <f>'Monthy Income Statements'!O34</f>
        <v>20948.329999999998</v>
      </c>
    </row>
    <row r="136" spans="1:4">
      <c r="A136">
        <v>4162</v>
      </c>
      <c r="B136" t="s">
        <v>290</v>
      </c>
      <c r="D136" s="82">
        <f>'Monthy Income Statements'!O35</f>
        <v>3649.63</v>
      </c>
    </row>
    <row r="137" spans="1:4">
      <c r="A137">
        <v>4164</v>
      </c>
      <c r="B137" t="s">
        <v>1354</v>
      </c>
      <c r="D137" s="82">
        <f>'Monthy Income Statements'!O36</f>
        <v>0</v>
      </c>
    </row>
    <row r="138" spans="1:4">
      <c r="A138">
        <v>4180</v>
      </c>
      <c r="B138" t="s">
        <v>34</v>
      </c>
      <c r="D138" s="82">
        <f>'Monthy Income Statements'!O37</f>
        <v>19397.82</v>
      </c>
    </row>
    <row r="139" spans="1:4">
      <c r="A139" t="s">
        <v>16</v>
      </c>
      <c r="D139" s="6"/>
    </row>
    <row r="140" spans="1:4">
      <c r="A140">
        <v>4210</v>
      </c>
      <c r="B140" t="s">
        <v>35</v>
      </c>
      <c r="D140" s="6">
        <v>0</v>
      </c>
    </row>
    <row r="141" spans="1:4">
      <c r="A141">
        <v>4213</v>
      </c>
      <c r="B141" t="s">
        <v>36</v>
      </c>
      <c r="D141" s="82">
        <f>'Monthy Income Statements'!O40</f>
        <v>301117.20999999996</v>
      </c>
    </row>
    <row r="142" spans="1:4">
      <c r="A142">
        <v>4215</v>
      </c>
      <c r="B142" t="s">
        <v>37</v>
      </c>
      <c r="D142" s="82">
        <f>'Monthy Income Statements'!O41</f>
        <v>29844.639999999999</v>
      </c>
    </row>
    <row r="143" spans="1:4">
      <c r="A143">
        <v>4217</v>
      </c>
      <c r="B143" t="s">
        <v>285</v>
      </c>
      <c r="D143" s="82">
        <f>'Monthy Income Statements'!O42</f>
        <v>13967.380000000001</v>
      </c>
    </row>
    <row r="144" spans="1:4">
      <c r="A144">
        <v>4222</v>
      </c>
      <c r="B144" t="s">
        <v>332</v>
      </c>
      <c r="D144" s="82">
        <f>'Monthy Income Statements'!O43</f>
        <v>7804.25</v>
      </c>
    </row>
    <row r="145" spans="1:4">
      <c r="A145">
        <v>4240</v>
      </c>
      <c r="B145" t="s">
        <v>38</v>
      </c>
      <c r="D145" s="82">
        <f>'Monthy Income Statements'!O44</f>
        <v>58804.080000000009</v>
      </c>
    </row>
    <row r="146" spans="1:4">
      <c r="A146">
        <v>4242</v>
      </c>
      <c r="B146" t="s">
        <v>283</v>
      </c>
      <c r="D146" s="82">
        <f>'Monthy Income Statements'!O45</f>
        <v>13077.73</v>
      </c>
    </row>
    <row r="147" spans="1:4">
      <c r="A147">
        <v>4244</v>
      </c>
      <c r="B147" t="s">
        <v>333</v>
      </c>
      <c r="D147" s="82">
        <f>'Monthy Income Statements'!O46</f>
        <v>1737.8500000000004</v>
      </c>
    </row>
    <row r="148" spans="1:4">
      <c r="A148">
        <v>4280</v>
      </c>
      <c r="B148" t="s">
        <v>39</v>
      </c>
      <c r="D148" s="82">
        <f>'Monthy Income Statements'!O47</f>
        <v>7655.6</v>
      </c>
    </row>
    <row r="149" spans="1:4">
      <c r="A149">
        <v>4282</v>
      </c>
      <c r="B149" t="s">
        <v>335</v>
      </c>
      <c r="D149" s="82">
        <f>'Monthy Income Statements'!O48</f>
        <v>0</v>
      </c>
    </row>
    <row r="150" spans="1:4">
      <c r="A150" t="s">
        <v>17</v>
      </c>
      <c r="D150" s="6"/>
    </row>
    <row r="151" spans="1:4">
      <c r="A151">
        <v>4360</v>
      </c>
      <c r="B151" t="s">
        <v>40</v>
      </c>
      <c r="D151" s="82">
        <f>'Monthy Income Statements'!O50</f>
        <v>426116.67</v>
      </c>
    </row>
    <row r="152" spans="1:4">
      <c r="A152">
        <v>4361</v>
      </c>
      <c r="B152" t="s">
        <v>41</v>
      </c>
      <c r="D152" s="82">
        <f>'Monthy Income Statements'!O51</f>
        <v>213487.51000000004</v>
      </c>
    </row>
    <row r="153" spans="1:4">
      <c r="A153">
        <v>4362</v>
      </c>
      <c r="B153" t="s">
        <v>42</v>
      </c>
      <c r="D153" s="82">
        <f>'Monthy Income Statements'!O52</f>
        <v>235042.99</v>
      </c>
    </row>
    <row r="154" spans="1:4">
      <c r="A154">
        <v>4363</v>
      </c>
      <c r="B154" t="s">
        <v>43</v>
      </c>
      <c r="D154" s="82">
        <f>'Monthy Income Statements'!O53</f>
        <v>110827.33</v>
      </c>
    </row>
    <row r="155" spans="1:4">
      <c r="A155">
        <v>4380</v>
      </c>
      <c r="B155" t="s">
        <v>336</v>
      </c>
      <c r="D155" s="82">
        <f>'Monthy Income Statements'!O54</f>
        <v>11064.91</v>
      </c>
    </row>
    <row r="156" spans="1:4">
      <c r="A156" t="s">
        <v>14</v>
      </c>
      <c r="D156" s="6"/>
    </row>
    <row r="157" spans="1:4">
      <c r="A157">
        <v>4430</v>
      </c>
      <c r="B157" t="s">
        <v>44</v>
      </c>
      <c r="D157" s="82">
        <f>'Monthy Income Statements'!O56</f>
        <v>0</v>
      </c>
    </row>
    <row r="158" spans="1:4">
      <c r="A158">
        <v>4450</v>
      </c>
      <c r="B158" t="s">
        <v>45</v>
      </c>
      <c r="D158" s="82">
        <f>'Monthy Income Statements'!O57</f>
        <v>2130</v>
      </c>
    </row>
    <row r="159" spans="1:4">
      <c r="A159" t="s">
        <v>15</v>
      </c>
      <c r="D159" s="6"/>
    </row>
    <row r="160" spans="1:4">
      <c r="A160">
        <v>4530</v>
      </c>
      <c r="B160" t="s">
        <v>46</v>
      </c>
      <c r="D160" s="82">
        <f>'Monthy Income Statements'!O59</f>
        <v>66676.709999999992</v>
      </c>
    </row>
    <row r="161" spans="1:4">
      <c r="A161">
        <v>4540</v>
      </c>
      <c r="B161" t="s">
        <v>47</v>
      </c>
      <c r="D161" s="82">
        <f>'Monthy Income Statements'!O60</f>
        <v>23068.21</v>
      </c>
    </row>
    <row r="162" spans="1:4">
      <c r="A162">
        <v>4580</v>
      </c>
      <c r="B162" t="s">
        <v>48</v>
      </c>
      <c r="D162" s="82">
        <f>'Monthy Income Statements'!O61</f>
        <v>0</v>
      </c>
    </row>
    <row r="163" spans="1:4">
      <c r="A163" t="s">
        <v>18</v>
      </c>
      <c r="D163" s="6"/>
    </row>
    <row r="164" spans="1:4">
      <c r="A164">
        <v>4611</v>
      </c>
      <c r="B164" t="s">
        <v>49</v>
      </c>
      <c r="D164" s="82">
        <f>'Monthy Income Statements'!O63</f>
        <v>74116.66</v>
      </c>
    </row>
    <row r="165" spans="1:4">
      <c r="A165">
        <v>4612</v>
      </c>
      <c r="B165" t="s">
        <v>50</v>
      </c>
      <c r="D165" s="82">
        <f>'Monthy Income Statements'!O64</f>
        <v>11708.92</v>
      </c>
    </row>
    <row r="166" spans="1:4">
      <c r="A166">
        <v>4613</v>
      </c>
      <c r="B166" t="s">
        <v>51</v>
      </c>
      <c r="D166" s="82">
        <f>'Monthy Income Statements'!O65</f>
        <v>114765.61</v>
      </c>
    </row>
    <row r="167" spans="1:4">
      <c r="A167">
        <v>4620</v>
      </c>
      <c r="B167" t="s">
        <v>52</v>
      </c>
      <c r="D167" s="82">
        <f>'Monthy Income Statements'!O66</f>
        <v>30096.98</v>
      </c>
    </row>
    <row r="168" spans="1:4">
      <c r="A168">
        <v>4622</v>
      </c>
      <c r="B168" t="s">
        <v>53</v>
      </c>
      <c r="D168" s="82">
        <f>'Monthy Income Statements'!O67</f>
        <v>0</v>
      </c>
    </row>
    <row r="169" spans="1:4">
      <c r="A169">
        <v>4624</v>
      </c>
      <c r="B169" t="s">
        <v>54</v>
      </c>
      <c r="D169" s="82">
        <f>'Monthy Income Statements'!O68</f>
        <v>134.02000000000001</v>
      </c>
    </row>
    <row r="170" spans="1:4">
      <c r="A170">
        <v>4625</v>
      </c>
      <c r="B170" t="s">
        <v>55</v>
      </c>
      <c r="D170" s="82">
        <f>'Monthy Income Statements'!O69</f>
        <v>2951.18</v>
      </c>
    </row>
    <row r="171" spans="1:4">
      <c r="A171">
        <v>4627</v>
      </c>
      <c r="B171" t="s">
        <v>56</v>
      </c>
      <c r="D171" s="82">
        <f>'Monthy Income Statements'!O70</f>
        <v>1878.3</v>
      </c>
    </row>
    <row r="172" spans="1:4">
      <c r="A172">
        <v>4628</v>
      </c>
      <c r="B172" t="s">
        <v>1348</v>
      </c>
      <c r="D172" s="82">
        <f>'Monthy Income Statements'!O71</f>
        <v>10945.22</v>
      </c>
    </row>
    <row r="173" spans="1:4">
      <c r="A173">
        <v>4630</v>
      </c>
      <c r="B173" t="s">
        <v>57</v>
      </c>
      <c r="D173" s="82">
        <f>'Monthy Income Statements'!O72</f>
        <v>563.22</v>
      </c>
    </row>
    <row r="174" spans="1:4">
      <c r="A174">
        <v>4640</v>
      </c>
      <c r="B174" t="s">
        <v>58</v>
      </c>
      <c r="D174" s="82">
        <f>'Monthy Income Statements'!O73</f>
        <v>17256.570000000003</v>
      </c>
    </row>
    <row r="175" spans="1:4">
      <c r="A175">
        <v>4650</v>
      </c>
      <c r="B175" t="s">
        <v>59</v>
      </c>
      <c r="D175" s="82">
        <f>'Monthy Income Statements'!O74</f>
        <v>71695.320000000022</v>
      </c>
    </row>
    <row r="176" spans="1:4">
      <c r="A176">
        <v>4652</v>
      </c>
      <c r="B176" t="s">
        <v>60</v>
      </c>
      <c r="D176" s="82">
        <f>'Monthy Income Statements'!O75</f>
        <v>11897.100000000002</v>
      </c>
    </row>
    <row r="177" spans="1:9">
      <c r="A177">
        <v>4660</v>
      </c>
      <c r="B177" t="s">
        <v>61</v>
      </c>
      <c r="D177" s="82">
        <f>'Monthy Income Statements'!O76</f>
        <v>0</v>
      </c>
    </row>
    <row r="178" spans="1:9">
      <c r="A178">
        <v>4670</v>
      </c>
      <c r="B178" t="s">
        <v>62</v>
      </c>
      <c r="D178" s="82">
        <f>'Monthy Income Statements'!O77</f>
        <v>0</v>
      </c>
    </row>
    <row r="179" spans="1:9">
      <c r="A179">
        <v>4680</v>
      </c>
      <c r="B179" t="s">
        <v>63</v>
      </c>
      <c r="D179" s="82">
        <f>'Monthy Income Statements'!O78</f>
        <v>11877.03</v>
      </c>
    </row>
    <row r="180" spans="1:9">
      <c r="A180">
        <v>4692</v>
      </c>
      <c r="B180" t="s">
        <v>64</v>
      </c>
      <c r="D180" s="82">
        <f>'Monthy Income Statements'!O79</f>
        <v>11157.03</v>
      </c>
    </row>
    <row r="181" spans="1:9">
      <c r="A181">
        <v>4694</v>
      </c>
      <c r="B181" t="s">
        <v>65</v>
      </c>
      <c r="D181" s="82">
        <f>'Monthy Income Statements'!O80</f>
        <v>0</v>
      </c>
    </row>
    <row r="182" spans="1:9">
      <c r="A182">
        <v>4698</v>
      </c>
      <c r="B182" t="s">
        <v>66</v>
      </c>
      <c r="D182" s="82">
        <f>'Monthy Income Statements'!O81</f>
        <v>240.11</v>
      </c>
    </row>
    <row r="183" spans="1:9">
      <c r="A183" t="s">
        <v>19</v>
      </c>
      <c r="D183" s="6"/>
    </row>
    <row r="184" spans="1:9">
      <c r="A184">
        <v>5010</v>
      </c>
      <c r="B184" t="s">
        <v>67</v>
      </c>
      <c r="C184" s="699">
        <f>+'Results of Operations Staff '!F84</f>
        <v>262508</v>
      </c>
      <c r="D184" s="699">
        <v>206827</v>
      </c>
      <c r="E184" s="6">
        <f>+'Results of Operations Staff '!C84</f>
        <v>0</v>
      </c>
      <c r="F184" s="6">
        <f>+E184-D184</f>
        <v>-206827</v>
      </c>
    </row>
    <row r="185" spans="1:9">
      <c r="A185">
        <v>5100</v>
      </c>
      <c r="B185" t="s">
        <v>68</v>
      </c>
      <c r="C185" s="699">
        <f>+'Results of Operations Staff '!F85</f>
        <v>-476</v>
      </c>
      <c r="D185" s="699">
        <v>-2588</v>
      </c>
      <c r="E185" s="6">
        <f>+'Results of Operations Staff '!C85</f>
        <v>-40000</v>
      </c>
      <c r="F185" s="6">
        <f>+E185-D185</f>
        <v>-37412</v>
      </c>
    </row>
    <row r="186" spans="1:9">
      <c r="A186" t="s">
        <v>20</v>
      </c>
      <c r="D186" s="6"/>
    </row>
    <row r="187" spans="1:9">
      <c r="A187">
        <v>5151</v>
      </c>
      <c r="B187" t="s">
        <v>69</v>
      </c>
      <c r="D187" s="82">
        <f>'Monthy Income Statements'!O86</f>
        <v>0</v>
      </c>
    </row>
    <row r="188" spans="1:9">
      <c r="A188" t="s">
        <v>21</v>
      </c>
      <c r="D188" s="6"/>
    </row>
    <row r="189" spans="1:9">
      <c r="A189">
        <v>5220</v>
      </c>
      <c r="B189" t="s">
        <v>70</v>
      </c>
      <c r="D189" s="82">
        <f>'Monthy Income Statements'!O88</f>
        <v>6540.25</v>
      </c>
    </row>
    <row r="190" spans="1:9">
      <c r="A190">
        <v>5230</v>
      </c>
      <c r="B190" t="s">
        <v>71</v>
      </c>
      <c r="D190" s="82">
        <f>'Monthy Income Statements'!O89</f>
        <v>2427.35</v>
      </c>
    </row>
    <row r="191" spans="1:9">
      <c r="A191">
        <v>5240</v>
      </c>
      <c r="B191" t="s">
        <v>72</v>
      </c>
      <c r="D191" s="82">
        <f>'Monthy Income Statements'!O90</f>
        <v>50664.69</v>
      </c>
      <c r="I191" s="71"/>
    </row>
    <row r="192" spans="1:9">
      <c r="A192">
        <v>5241</v>
      </c>
      <c r="B192" t="s">
        <v>73</v>
      </c>
      <c r="D192" s="82">
        <f>'Monthy Income Statements'!O91</f>
        <v>618.75</v>
      </c>
    </row>
    <row r="193" spans="1:9">
      <c r="A193">
        <v>5242</v>
      </c>
      <c r="B193" t="s">
        <v>74</v>
      </c>
      <c r="D193" s="82">
        <f>'Monthy Income Statements'!O92</f>
        <v>622.97</v>
      </c>
    </row>
    <row r="194" spans="1:9">
      <c r="A194">
        <v>5260</v>
      </c>
      <c r="B194" t="s">
        <v>75</v>
      </c>
      <c r="D194" s="82">
        <f>'Monthy Income Statements'!O93</f>
        <v>50840.360000000008</v>
      </c>
    </row>
    <row r="195" spans="1:9">
      <c r="A195">
        <v>5270</v>
      </c>
      <c r="B195" t="s">
        <v>76</v>
      </c>
      <c r="D195" s="82">
        <f>'Monthy Income Statements'!O94</f>
        <v>7041.33</v>
      </c>
    </row>
    <row r="196" spans="1:9">
      <c r="A196">
        <v>5290</v>
      </c>
      <c r="B196" t="s">
        <v>77</v>
      </c>
      <c r="D196" s="82">
        <f>'Monthy Income Statements'!O95</f>
        <v>-22611.07</v>
      </c>
    </row>
    <row r="197" spans="1:9">
      <c r="A197" t="s">
        <v>22</v>
      </c>
      <c r="D197" s="6"/>
    </row>
    <row r="198" spans="1:9">
      <c r="A198">
        <v>5320</v>
      </c>
      <c r="B198" t="s">
        <v>78</v>
      </c>
      <c r="D198" s="82">
        <f>'Monthy Income Statements'!O97</f>
        <v>83436</v>
      </c>
    </row>
    <row r="199" spans="1:9" ht="13.5" thickBot="1">
      <c r="A199">
        <v>5320</v>
      </c>
      <c r="B199" t="s">
        <v>371</v>
      </c>
      <c r="D199" s="7">
        <f>'Monthy Income Statements'!O98</f>
        <v>28800</v>
      </c>
    </row>
    <row r="200" spans="1:9">
      <c r="D200" s="6"/>
    </row>
    <row r="201" spans="1:9" ht="13.5" thickBot="1">
      <c r="B201" t="s">
        <v>23</v>
      </c>
      <c r="D201" s="7">
        <f>SUM(D125:D199)</f>
        <v>2515393.66</v>
      </c>
      <c r="F201" s="7">
        <f>SUM(F125:F199)</f>
        <v>-244239</v>
      </c>
      <c r="H201" s="2"/>
    </row>
    <row r="202" spans="1:9">
      <c r="D202" s="6"/>
      <c r="H202" s="2" t="s">
        <v>85</v>
      </c>
    </row>
    <row r="203" spans="1:9" ht="13.5" thickBot="1">
      <c r="B203" t="s">
        <v>24</v>
      </c>
      <c r="D203" s="7">
        <f>+D121-D201</f>
        <v>359919.62999999896</v>
      </c>
      <c r="F203" s="6">
        <f>+F121-F201</f>
        <v>244239</v>
      </c>
      <c r="H203" s="8">
        <f>+D203+F203</f>
        <v>604158.62999999896</v>
      </c>
      <c r="I203" s="70" t="str">
        <f>IF(ROUND(H203,2)=ROUND('Results of Operations Staff '!C103,2),"OK","err")</f>
        <v>OK</v>
      </c>
    </row>
    <row r="204" spans="1:9">
      <c r="D204" s="6"/>
    </row>
    <row r="205" spans="1:9">
      <c r="A205" t="s">
        <v>25</v>
      </c>
      <c r="D205" s="6"/>
    </row>
    <row r="206" spans="1:9">
      <c r="A206">
        <v>6110</v>
      </c>
      <c r="B206" t="s">
        <v>79</v>
      </c>
      <c r="D206" s="82">
        <f>'Monthy Income Statements'!O105</f>
        <v>0</v>
      </c>
      <c r="F206" s="6"/>
    </row>
    <row r="207" spans="1:9">
      <c r="A207">
        <v>6200</v>
      </c>
      <c r="B207" t="s">
        <v>80</v>
      </c>
      <c r="D207" s="82">
        <f>'Monthy Income Statements'!O106</f>
        <v>0</v>
      </c>
      <c r="E207" s="6">
        <f>'Monthy Income Statements'!N106</f>
        <v>0</v>
      </c>
      <c r="F207" s="6">
        <f>E207-D207</f>
        <v>0</v>
      </c>
    </row>
    <row r="208" spans="1:9">
      <c r="A208">
        <v>6455</v>
      </c>
      <c r="B208" t="s">
        <v>386</v>
      </c>
      <c r="D208" s="82">
        <v>-3598</v>
      </c>
      <c r="E208" s="6">
        <f>'Monthy Income Statements'!N107</f>
        <v>0</v>
      </c>
      <c r="F208" s="6">
        <f>+E208-D208</f>
        <v>3598</v>
      </c>
    </row>
    <row r="209" spans="1:8">
      <c r="A209">
        <v>6512</v>
      </c>
      <c r="B209" t="s">
        <v>81</v>
      </c>
      <c r="D209" s="82">
        <f>'Monthy Income Statements'!O108</f>
        <v>1986.3</v>
      </c>
      <c r="F209" s="6"/>
    </row>
    <row r="210" spans="1:8">
      <c r="A210">
        <v>6514</v>
      </c>
      <c r="B210" t="s">
        <v>82</v>
      </c>
      <c r="D210" s="82">
        <f>'Monthy Income Statements'!O109</f>
        <v>0</v>
      </c>
      <c r="F210" s="6"/>
    </row>
    <row r="211" spans="1:8">
      <c r="A211">
        <v>7110</v>
      </c>
      <c r="B211" t="s">
        <v>83</v>
      </c>
      <c r="D211" s="82">
        <f>'Monthy Income Statements'!O110</f>
        <v>-13484.35</v>
      </c>
      <c r="F211" s="6"/>
    </row>
    <row r="212" spans="1:8" ht="13.5" thickBot="1">
      <c r="A212">
        <v>6120</v>
      </c>
      <c r="B212" t="s">
        <v>84</v>
      </c>
      <c r="D212" s="7">
        <f>'Monthy Income Statements'!O111</f>
        <v>3628.1</v>
      </c>
      <c r="E212" s="84"/>
      <c r="F212" s="85"/>
      <c r="H212" s="76"/>
    </row>
    <row r="213" spans="1:8">
      <c r="D213" s="6"/>
    </row>
    <row r="214" spans="1:8" ht="13.5" thickBot="1">
      <c r="B214" t="s">
        <v>26</v>
      </c>
      <c r="D214" s="7">
        <f>SUM(D206:D212)</f>
        <v>-11467.95</v>
      </c>
      <c r="F214" s="7">
        <f>SUM(F206:F212)</f>
        <v>3598</v>
      </c>
    </row>
    <row r="215" spans="1:8">
      <c r="D215" s="6"/>
      <c r="F215" s="6"/>
    </row>
    <row r="216" spans="1:8" ht="13.5" thickBot="1">
      <c r="B216" t="s">
        <v>27</v>
      </c>
      <c r="D216" s="7">
        <f>+D203+D214</f>
        <v>348451.67999999895</v>
      </c>
      <c r="F216" s="7">
        <f>+F203+F214</f>
        <v>247837</v>
      </c>
      <c r="H216" s="8">
        <f>+D216+F216</f>
        <v>596288.679999999</v>
      </c>
    </row>
    <row r="217" spans="1:8">
      <c r="D217" s="6"/>
      <c r="F217" s="6"/>
    </row>
    <row r="218" spans="1:8" ht="13.5" thickBot="1">
      <c r="B218" t="s">
        <v>28</v>
      </c>
      <c r="D218" s="8">
        <f>+D216</f>
        <v>348451.67999999895</v>
      </c>
      <c r="F218" s="8">
        <f>+F216</f>
        <v>247837</v>
      </c>
      <c r="H218" s="8">
        <f>+D218+F218</f>
        <v>596288.679999999</v>
      </c>
    </row>
    <row r="219" spans="1:8" ht="13.5" thickTop="1">
      <c r="D219" s="6"/>
    </row>
    <row r="220" spans="1:8">
      <c r="D220" s="6"/>
    </row>
    <row r="221" spans="1:8">
      <c r="D221" s="6"/>
    </row>
    <row r="222" spans="1:8">
      <c r="D222" s="6"/>
    </row>
    <row r="223" spans="1:8">
      <c r="D223" s="6"/>
    </row>
  </sheetData>
  <phoneticPr fontId="0" type="noConversion"/>
  <pageMargins left="0.75" right="0.75" top="1" bottom="1" header="0.5" footer="0.5"/>
  <pageSetup scale="73" fitToHeight="3" orientation="portrait" horizontalDpi="4294967293" verticalDpi="4294967293" r:id="rId1"/>
  <headerFooter alignWithMargins="0"/>
  <rowBreaks count="2" manualBreakCount="2">
    <brk id="53" max="11" man="1"/>
    <brk id="106" max="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topLeftCell="A25" workbookViewId="0">
      <selection activeCell="D4" sqref="D4"/>
    </sheetView>
  </sheetViews>
  <sheetFormatPr defaultRowHeight="12.75"/>
  <cols>
    <col min="1" max="1" width="5.5703125" customWidth="1"/>
    <col min="2" max="2" width="28" customWidth="1"/>
    <col min="3" max="13" width="11.7109375" customWidth="1"/>
    <col min="14" max="14" width="12.28515625" customWidth="1"/>
    <col min="15" max="15" width="12.5703125" customWidth="1"/>
  </cols>
  <sheetData>
    <row r="1" spans="1:15">
      <c r="A1" t="s">
        <v>0</v>
      </c>
    </row>
    <row r="3" spans="1:15">
      <c r="A3" t="s">
        <v>1</v>
      </c>
      <c r="D3" s="693" t="s">
        <v>1414</v>
      </c>
      <c r="E3" s="693" t="s">
        <v>702</v>
      </c>
    </row>
    <row r="5" spans="1:15">
      <c r="A5" t="s">
        <v>1371</v>
      </c>
    </row>
    <row r="7" spans="1:15" ht="13.5" thickBot="1">
      <c r="C7" s="3">
        <v>43861</v>
      </c>
      <c r="D7" s="3">
        <v>43890</v>
      </c>
      <c r="E7" s="3">
        <v>43921</v>
      </c>
      <c r="F7" s="3">
        <v>43951</v>
      </c>
      <c r="G7" s="3">
        <v>43982</v>
      </c>
      <c r="H7" s="3">
        <v>44012</v>
      </c>
      <c r="I7" s="3">
        <v>44043</v>
      </c>
      <c r="J7" s="3">
        <v>44074</v>
      </c>
      <c r="K7" s="3">
        <v>44104</v>
      </c>
      <c r="L7" s="3">
        <v>44135</v>
      </c>
      <c r="M7" s="3">
        <v>44165</v>
      </c>
      <c r="N7" s="3">
        <v>44196</v>
      </c>
      <c r="O7" s="4" t="s">
        <v>2</v>
      </c>
    </row>
    <row r="8" spans="1:15" ht="13.5" thickTop="1"/>
    <row r="9" spans="1:15">
      <c r="A9" t="s">
        <v>3</v>
      </c>
    </row>
    <row r="10" spans="1:15">
      <c r="A10">
        <v>3100</v>
      </c>
      <c r="B10" t="s">
        <v>5</v>
      </c>
      <c r="C10" s="6">
        <v>113887.44</v>
      </c>
      <c r="D10" s="6">
        <v>102353</v>
      </c>
      <c r="E10" s="6">
        <v>120750.62</v>
      </c>
      <c r="F10" s="6">
        <v>131977.42000000001</v>
      </c>
      <c r="G10" s="6">
        <v>142687.70000000001</v>
      </c>
      <c r="H10" s="6">
        <v>178750.28</v>
      </c>
      <c r="I10" s="6">
        <v>211851.37</v>
      </c>
      <c r="J10" s="6">
        <v>210068.5</v>
      </c>
      <c r="K10" s="6">
        <v>207506.27</v>
      </c>
      <c r="L10" s="6">
        <v>181826.16</v>
      </c>
      <c r="M10" s="6">
        <v>145805.64000000001</v>
      </c>
      <c r="N10" s="6">
        <v>123320.61</v>
      </c>
      <c r="O10" s="6">
        <f t="shared" ref="O10:O18" si="0">SUM(C10:N10)</f>
        <v>1870785.01</v>
      </c>
    </row>
    <row r="11" spans="1:15">
      <c r="A11">
        <v>3112</v>
      </c>
      <c r="B11" t="s">
        <v>6</v>
      </c>
      <c r="C11" s="6">
        <v>20661.150000000001</v>
      </c>
      <c r="D11" s="6">
        <v>17885.98</v>
      </c>
      <c r="E11" s="6">
        <v>20120.82</v>
      </c>
      <c r="F11" s="6">
        <v>21088.26</v>
      </c>
      <c r="G11" s="6">
        <v>19657.71</v>
      </c>
      <c r="H11" s="6">
        <v>20954.03</v>
      </c>
      <c r="I11" s="6">
        <v>17451.55</v>
      </c>
      <c r="J11" s="87">
        <v>19660.29</v>
      </c>
      <c r="K11" s="6">
        <v>20713.349999999999</v>
      </c>
      <c r="L11" s="6">
        <v>21317.13</v>
      </c>
      <c r="M11" s="87">
        <v>18112.86</v>
      </c>
      <c r="N11" s="6">
        <v>20842.72</v>
      </c>
      <c r="O11" s="6">
        <f t="shared" si="0"/>
        <v>238465.85</v>
      </c>
    </row>
    <row r="12" spans="1:15">
      <c r="A12">
        <v>3114</v>
      </c>
      <c r="B12" t="s">
        <v>7</v>
      </c>
      <c r="C12" s="6">
        <v>8657.16</v>
      </c>
      <c r="D12" s="6">
        <v>8449.16</v>
      </c>
      <c r="E12" s="6">
        <v>8411.9500000000007</v>
      </c>
      <c r="F12" s="6">
        <v>8401.4</v>
      </c>
      <c r="G12" s="6">
        <v>8526.0499999999993</v>
      </c>
      <c r="H12" s="6">
        <v>8430.98</v>
      </c>
      <c r="I12" s="6">
        <v>8830.41</v>
      </c>
      <c r="J12" s="6">
        <v>9035.81</v>
      </c>
      <c r="K12" s="6">
        <v>8824.67</v>
      </c>
      <c r="L12" s="6">
        <v>8776.0300000000007</v>
      </c>
      <c r="M12" s="6">
        <v>9339.06</v>
      </c>
      <c r="N12" s="6">
        <v>9281.01</v>
      </c>
      <c r="O12" s="6">
        <f t="shared" si="0"/>
        <v>104963.68999999999</v>
      </c>
    </row>
    <row r="13" spans="1:15">
      <c r="A13">
        <v>3300</v>
      </c>
      <c r="B13" t="s">
        <v>8</v>
      </c>
      <c r="C13" s="6">
        <v>16231.92</v>
      </c>
      <c r="D13" s="6">
        <v>16954.14</v>
      </c>
      <c r="E13" s="6">
        <v>18497.2</v>
      </c>
      <c r="F13" s="6">
        <v>16136.69</v>
      </c>
      <c r="G13" s="6">
        <v>19737.23</v>
      </c>
      <c r="H13" s="6">
        <v>23355.78</v>
      </c>
      <c r="I13" s="6">
        <v>26912.240000000002</v>
      </c>
      <c r="J13" s="6">
        <v>22586.61</v>
      </c>
      <c r="K13" s="6">
        <v>18120.490000000002</v>
      </c>
      <c r="L13" s="6">
        <v>24111.24</v>
      </c>
      <c r="M13" s="6">
        <v>19562.099999999999</v>
      </c>
      <c r="N13" s="6">
        <v>20456.14</v>
      </c>
      <c r="O13" s="6">
        <f t="shared" si="0"/>
        <v>242661.77999999997</v>
      </c>
    </row>
    <row r="14" spans="1:15">
      <c r="A14">
        <v>3310</v>
      </c>
      <c r="B14" t="s">
        <v>9</v>
      </c>
      <c r="C14" s="6">
        <v>19783.04</v>
      </c>
      <c r="D14" s="6">
        <v>18752.240000000002</v>
      </c>
      <c r="E14" s="6">
        <v>20145.400000000001</v>
      </c>
      <c r="F14" s="6">
        <v>17532.77</v>
      </c>
      <c r="G14" s="6">
        <v>23314.98</v>
      </c>
      <c r="H14" s="6">
        <v>30188.799999999999</v>
      </c>
      <c r="I14" s="6">
        <v>37465.800000000003</v>
      </c>
      <c r="J14" s="6">
        <v>35522.19</v>
      </c>
      <c r="K14" s="6">
        <v>32644.3</v>
      </c>
      <c r="L14" s="6">
        <v>32308.79</v>
      </c>
      <c r="M14" s="6">
        <v>26843.040000000001</v>
      </c>
      <c r="N14" s="6">
        <v>30700.6</v>
      </c>
      <c r="O14" s="6">
        <f t="shared" si="0"/>
        <v>325201.94999999995</v>
      </c>
    </row>
    <row r="15" spans="1:15">
      <c r="A15">
        <v>3410</v>
      </c>
      <c r="B15" t="s">
        <v>328</v>
      </c>
      <c r="C15" s="6">
        <v>4424.93</v>
      </c>
      <c r="D15" s="6">
        <v>4300.5200000000004</v>
      </c>
      <c r="E15" s="6">
        <v>4384.57</v>
      </c>
      <c r="F15" s="6">
        <v>4613.8100000000004</v>
      </c>
      <c r="G15" s="6">
        <v>5009.99</v>
      </c>
      <c r="H15" s="6">
        <v>5231.57</v>
      </c>
      <c r="I15" s="6">
        <v>5429.11</v>
      </c>
      <c r="J15" s="6">
        <v>5639.83</v>
      </c>
      <c r="K15" s="6">
        <v>5662.7</v>
      </c>
      <c r="L15" s="6">
        <v>5430.23</v>
      </c>
      <c r="M15" s="6">
        <v>5173.71</v>
      </c>
      <c r="N15" s="6">
        <v>5142.04</v>
      </c>
      <c r="O15" s="6">
        <f>SUM(C15:N15)</f>
        <v>60443.009999999995</v>
      </c>
    </row>
    <row r="16" spans="1:15">
      <c r="A16">
        <v>3450</v>
      </c>
      <c r="B16" t="s">
        <v>329</v>
      </c>
      <c r="C16" s="6">
        <v>1910</v>
      </c>
      <c r="D16" s="6">
        <v>1775</v>
      </c>
      <c r="E16" s="6">
        <v>1630</v>
      </c>
      <c r="F16" s="6">
        <v>1240</v>
      </c>
      <c r="G16" s="6">
        <v>2040</v>
      </c>
      <c r="H16" s="6">
        <v>2120</v>
      </c>
      <c r="I16" s="6">
        <v>3430</v>
      </c>
      <c r="J16" s="6">
        <v>5448.5</v>
      </c>
      <c r="K16" s="6">
        <v>2660</v>
      </c>
      <c r="L16" s="6">
        <v>2630</v>
      </c>
      <c r="M16" s="6">
        <v>1830</v>
      </c>
      <c r="N16" s="6">
        <v>6078.5</v>
      </c>
      <c r="O16" s="6">
        <f>SUM(C16:N16)</f>
        <v>32792</v>
      </c>
    </row>
    <row r="17" spans="1:15">
      <c r="A17">
        <v>3460</v>
      </c>
      <c r="B17" t="s">
        <v>10</v>
      </c>
      <c r="C17" s="6"/>
      <c r="D17" s="6"/>
      <c r="E17" s="6"/>
      <c r="F17" s="6"/>
      <c r="G17" s="6"/>
      <c r="H17" s="6"/>
      <c r="I17" s="6"/>
      <c r="J17" s="6"/>
      <c r="K17" s="6"/>
      <c r="L17" s="6"/>
      <c r="M17" s="6"/>
      <c r="N17" s="6"/>
      <c r="O17" s="6">
        <f t="shared" si="0"/>
        <v>0</v>
      </c>
    </row>
    <row r="18" spans="1:15" ht="13.5" thickBot="1">
      <c r="A18">
        <v>3500</v>
      </c>
      <c r="B18" t="s">
        <v>11</v>
      </c>
      <c r="C18" s="7"/>
      <c r="D18" s="7"/>
      <c r="E18" s="7"/>
      <c r="F18" s="7"/>
      <c r="G18" s="7"/>
      <c r="H18" s="7"/>
      <c r="I18" s="7"/>
      <c r="J18" s="7"/>
      <c r="K18" s="7"/>
      <c r="L18" s="7"/>
      <c r="M18" s="7"/>
      <c r="N18" s="7"/>
      <c r="O18" s="7">
        <f t="shared" si="0"/>
        <v>0</v>
      </c>
    </row>
    <row r="19" spans="1:15">
      <c r="C19" s="6"/>
      <c r="D19" s="6"/>
      <c r="E19" s="6"/>
      <c r="F19" s="6"/>
      <c r="G19" s="6"/>
      <c r="H19" s="6"/>
      <c r="I19" s="6"/>
      <c r="J19" s="6"/>
      <c r="K19" s="6"/>
      <c r="L19" s="6"/>
      <c r="M19" s="6"/>
      <c r="N19" s="6"/>
      <c r="O19" s="6"/>
    </row>
    <row r="20" spans="1:15" ht="13.5" thickBot="1">
      <c r="B20" t="s">
        <v>4</v>
      </c>
      <c r="C20" s="7">
        <f t="shared" ref="C20:K20" si="1">SUM(C10:C18)</f>
        <v>185555.64</v>
      </c>
      <c r="D20" s="7">
        <f t="shared" si="1"/>
        <v>170470.03999999998</v>
      </c>
      <c r="E20" s="7">
        <f t="shared" si="1"/>
        <v>193940.56000000003</v>
      </c>
      <c r="F20" s="7">
        <f t="shared" si="1"/>
        <v>200990.35</v>
      </c>
      <c r="G20" s="7">
        <f t="shared" si="1"/>
        <v>220973.66</v>
      </c>
      <c r="H20" s="7">
        <f t="shared" si="1"/>
        <v>269031.44</v>
      </c>
      <c r="I20" s="7">
        <f t="shared" si="1"/>
        <v>311370.48</v>
      </c>
      <c r="J20" s="7">
        <f t="shared" si="1"/>
        <v>307961.73000000004</v>
      </c>
      <c r="K20" s="7">
        <f t="shared" si="1"/>
        <v>296131.78000000003</v>
      </c>
      <c r="L20" s="7">
        <f t="shared" ref="L20:O20" si="2">SUM(L10:L18)</f>
        <v>276399.57999999996</v>
      </c>
      <c r="M20" s="7">
        <f t="shared" si="2"/>
        <v>226666.41</v>
      </c>
      <c r="N20" s="7">
        <f t="shared" si="2"/>
        <v>215821.62000000005</v>
      </c>
      <c r="O20" s="7">
        <f t="shared" si="2"/>
        <v>2875313.2899999991</v>
      </c>
    </row>
    <row r="21" spans="1:15">
      <c r="C21" s="6"/>
      <c r="D21" s="6"/>
      <c r="E21" s="6"/>
      <c r="F21" s="6"/>
      <c r="G21" s="6"/>
      <c r="H21" s="6"/>
      <c r="I21" s="6"/>
      <c r="J21" s="6"/>
      <c r="K21" s="6"/>
      <c r="L21" s="6"/>
      <c r="M21" s="6"/>
      <c r="N21" s="6"/>
      <c r="O21" s="6"/>
    </row>
    <row r="22" spans="1:15">
      <c r="A22" t="s">
        <v>12</v>
      </c>
      <c r="C22" s="6"/>
      <c r="D22" s="6"/>
      <c r="E22" s="6"/>
      <c r="F22" s="6"/>
      <c r="G22" s="6"/>
      <c r="H22" s="6"/>
      <c r="I22" s="6"/>
      <c r="J22" s="6"/>
      <c r="K22" s="6"/>
      <c r="L22" s="6"/>
      <c r="M22" s="6"/>
      <c r="N22" s="6"/>
      <c r="O22" s="6"/>
    </row>
    <row r="23" spans="1:15">
      <c r="A23" t="s">
        <v>13</v>
      </c>
      <c r="C23" s="6"/>
      <c r="D23" s="6"/>
      <c r="E23" s="6"/>
      <c r="F23" s="6"/>
      <c r="G23" s="6"/>
      <c r="H23" s="6"/>
      <c r="I23" s="6"/>
      <c r="J23" s="6"/>
      <c r="K23" s="6"/>
      <c r="L23" s="6"/>
      <c r="M23" s="6"/>
      <c r="N23" s="6"/>
      <c r="O23" s="6"/>
    </row>
    <row r="24" spans="1:15">
      <c r="A24">
        <v>4116</v>
      </c>
      <c r="B24" t="s">
        <v>29</v>
      </c>
      <c r="C24" s="6">
        <v>6088.87</v>
      </c>
      <c r="D24" s="6">
        <v>5264.28</v>
      </c>
      <c r="E24" s="6">
        <v>4858.88</v>
      </c>
      <c r="F24" s="6">
        <v>10580.1</v>
      </c>
      <c r="G24" s="6">
        <v>6210.05</v>
      </c>
      <c r="H24" s="6">
        <v>5465.2</v>
      </c>
      <c r="I24" s="6">
        <v>7261.25</v>
      </c>
      <c r="J24" s="6">
        <v>6307.4</v>
      </c>
      <c r="K24" s="6">
        <v>6595.7</v>
      </c>
      <c r="L24" s="6">
        <v>11249.7</v>
      </c>
      <c r="M24" s="6">
        <v>6354.8</v>
      </c>
      <c r="N24" s="6">
        <v>6957.7</v>
      </c>
      <c r="O24" s="6">
        <f t="shared" ref="O24:O53" si="3">SUM(C24:N24)</f>
        <v>83193.929999999993</v>
      </c>
    </row>
    <row r="25" spans="1:15">
      <c r="A25">
        <v>4117</v>
      </c>
      <c r="B25" t="s">
        <v>278</v>
      </c>
      <c r="C25" s="6">
        <v>635</v>
      </c>
      <c r="D25" s="6">
        <v>267</v>
      </c>
      <c r="E25" s="6">
        <v>204.5</v>
      </c>
      <c r="F25" s="6">
        <v>138.5</v>
      </c>
      <c r="G25" s="6">
        <v>160</v>
      </c>
      <c r="H25" s="6">
        <v>40</v>
      </c>
      <c r="I25" s="6">
        <v>60</v>
      </c>
      <c r="J25" s="6">
        <v>100</v>
      </c>
      <c r="K25" s="6">
        <v>31</v>
      </c>
      <c r="L25" s="6">
        <v>675.5</v>
      </c>
      <c r="M25" s="6">
        <v>170.5</v>
      </c>
      <c r="N25" s="6">
        <v>133</v>
      </c>
      <c r="O25" s="6">
        <f>SUM(C25:N25)</f>
        <v>2615</v>
      </c>
    </row>
    <row r="26" spans="1:15">
      <c r="A26">
        <v>4118</v>
      </c>
      <c r="B26" t="s">
        <v>30</v>
      </c>
      <c r="C26" s="6">
        <v>2239.75</v>
      </c>
      <c r="D26" s="6">
        <v>2241.75</v>
      </c>
      <c r="E26" s="6">
        <v>1982.25</v>
      </c>
      <c r="F26" s="6">
        <v>1830.5</v>
      </c>
      <c r="G26" s="6">
        <v>2065.5</v>
      </c>
      <c r="H26" s="6">
        <v>2037</v>
      </c>
      <c r="I26" s="6">
        <v>752.5</v>
      </c>
      <c r="J26" s="6">
        <v>190</v>
      </c>
      <c r="K26" s="6">
        <v>236</v>
      </c>
      <c r="L26" s="6">
        <v>891.75</v>
      </c>
      <c r="M26" s="6">
        <v>394.5</v>
      </c>
      <c r="N26" s="6">
        <v>163.5</v>
      </c>
      <c r="O26" s="6">
        <f t="shared" si="3"/>
        <v>15025</v>
      </c>
    </row>
    <row r="27" spans="1:15">
      <c r="A27">
        <v>4120</v>
      </c>
      <c r="B27" t="s">
        <v>279</v>
      </c>
      <c r="C27" s="6"/>
      <c r="D27" s="6">
        <v>0</v>
      </c>
      <c r="E27" s="6">
        <v>0</v>
      </c>
      <c r="F27" s="6"/>
      <c r="G27" s="6"/>
      <c r="H27" s="6">
        <v>338</v>
      </c>
      <c r="I27" s="6"/>
      <c r="J27" s="6"/>
      <c r="K27" s="6">
        <v>0</v>
      </c>
      <c r="L27" s="6"/>
      <c r="M27" s="6"/>
      <c r="N27" s="6">
        <v>0</v>
      </c>
      <c r="O27" s="6">
        <f>SUM(C27:N27)</f>
        <v>338</v>
      </c>
    </row>
    <row r="28" spans="1:15">
      <c r="A28">
        <v>4122</v>
      </c>
      <c r="B28" t="s">
        <v>330</v>
      </c>
      <c r="C28" s="6">
        <v>311</v>
      </c>
      <c r="D28" s="6">
        <v>549</v>
      </c>
      <c r="E28" s="6">
        <v>445</v>
      </c>
      <c r="F28" s="6">
        <v>662.5</v>
      </c>
      <c r="G28" s="6">
        <v>746.75</v>
      </c>
      <c r="H28" s="6">
        <v>769.75</v>
      </c>
      <c r="I28" s="6">
        <v>813</v>
      </c>
      <c r="J28" s="6">
        <v>669</v>
      </c>
      <c r="K28" s="6">
        <v>654</v>
      </c>
      <c r="L28" s="6">
        <v>729</v>
      </c>
      <c r="M28" s="6">
        <v>1000.5</v>
      </c>
      <c r="N28" s="6">
        <v>434</v>
      </c>
      <c r="O28" s="6">
        <f>SUM(C28:N28)</f>
        <v>7783.5</v>
      </c>
    </row>
    <row r="29" spans="1:15">
      <c r="A29">
        <v>4132</v>
      </c>
      <c r="B29" t="s">
        <v>31</v>
      </c>
      <c r="C29" s="6">
        <v>2278.9899999999998</v>
      </c>
      <c r="D29" s="6">
        <v>2988.27</v>
      </c>
      <c r="E29" s="6">
        <v>4452.49</v>
      </c>
      <c r="F29" s="6">
        <v>5134.74</v>
      </c>
      <c r="G29" s="6">
        <v>3885.99</v>
      </c>
      <c r="H29" s="6">
        <v>3962.86</v>
      </c>
      <c r="I29" s="6">
        <v>2074.23</v>
      </c>
      <c r="J29" s="6">
        <v>3060.63</v>
      </c>
      <c r="K29" s="6">
        <v>2363.0300000000002</v>
      </c>
      <c r="L29" s="6">
        <v>2621.78</v>
      </c>
      <c r="M29" s="6">
        <v>4563.62</v>
      </c>
      <c r="N29" s="6">
        <v>3118.02</v>
      </c>
      <c r="O29" s="6">
        <f t="shared" si="3"/>
        <v>40504.65</v>
      </c>
    </row>
    <row r="30" spans="1:15">
      <c r="A30">
        <v>4133</v>
      </c>
      <c r="B30" t="s">
        <v>280</v>
      </c>
      <c r="C30" s="6">
        <v>0</v>
      </c>
      <c r="D30" s="6">
        <v>0</v>
      </c>
      <c r="E30" s="6">
        <v>0</v>
      </c>
      <c r="F30" s="6">
        <v>228.02</v>
      </c>
      <c r="G30" s="6">
        <v>0</v>
      </c>
      <c r="H30" s="6"/>
      <c r="I30" s="6">
        <v>0</v>
      </c>
      <c r="J30" s="6">
        <v>839.88</v>
      </c>
      <c r="K30" s="6">
        <v>3663.26</v>
      </c>
      <c r="L30" s="6">
        <v>0</v>
      </c>
      <c r="M30" s="6">
        <v>0</v>
      </c>
      <c r="N30" s="6">
        <v>24.04</v>
      </c>
      <c r="O30" s="6">
        <f>SUM(C30:N30)</f>
        <v>4755.2</v>
      </c>
    </row>
    <row r="31" spans="1:15">
      <c r="A31">
        <v>4134</v>
      </c>
      <c r="B31" t="s">
        <v>32</v>
      </c>
      <c r="C31" s="6">
        <v>2065.29</v>
      </c>
      <c r="D31" s="6">
        <v>2035.85</v>
      </c>
      <c r="E31" s="6">
        <v>5577.21</v>
      </c>
      <c r="F31" s="6">
        <v>2189.6999999999998</v>
      </c>
      <c r="G31" s="6">
        <v>3753.36</v>
      </c>
      <c r="H31" s="6">
        <v>-8383.2099999999991</v>
      </c>
      <c r="I31" s="6">
        <v>2393.44</v>
      </c>
      <c r="J31" s="6">
        <v>253.23</v>
      </c>
      <c r="K31" s="6"/>
      <c r="L31" s="6">
        <v>0</v>
      </c>
      <c r="M31" s="6">
        <v>383.31</v>
      </c>
      <c r="N31" s="6">
        <v>0</v>
      </c>
      <c r="O31" s="6">
        <f t="shared" si="3"/>
        <v>10268.18</v>
      </c>
    </row>
    <row r="32" spans="1:15">
      <c r="A32">
        <v>4136</v>
      </c>
      <c r="B32" t="s">
        <v>281</v>
      </c>
      <c r="C32" s="6">
        <v>0</v>
      </c>
      <c r="D32" s="6"/>
      <c r="E32" s="6">
        <v>0</v>
      </c>
      <c r="F32" s="6">
        <v>0</v>
      </c>
      <c r="G32" s="6"/>
      <c r="H32" s="6">
        <v>1029.3800000000001</v>
      </c>
      <c r="I32" s="6">
        <v>0</v>
      </c>
      <c r="J32" s="6">
        <v>0</v>
      </c>
      <c r="K32" s="6">
        <v>0</v>
      </c>
      <c r="L32" s="6">
        <v>-1029.3800000000001</v>
      </c>
      <c r="M32" s="6"/>
      <c r="N32" s="6">
        <v>0</v>
      </c>
      <c r="O32" s="6">
        <f>SUM(C32:N32)</f>
        <v>0</v>
      </c>
    </row>
    <row r="33" spans="1:15">
      <c r="A33">
        <v>4138</v>
      </c>
      <c r="B33" t="s">
        <v>331</v>
      </c>
      <c r="C33" s="6">
        <v>0</v>
      </c>
      <c r="D33" s="6">
        <v>0</v>
      </c>
      <c r="E33" s="6"/>
      <c r="F33" s="6">
        <v>403.55</v>
      </c>
      <c r="G33" s="6"/>
      <c r="H33" s="6"/>
      <c r="I33" s="6">
        <v>0</v>
      </c>
      <c r="J33" s="6">
        <v>0</v>
      </c>
      <c r="K33" s="6">
        <v>0</v>
      </c>
      <c r="L33" s="6">
        <v>0</v>
      </c>
      <c r="M33" s="6">
        <v>0</v>
      </c>
      <c r="N33" s="6">
        <v>184.9</v>
      </c>
      <c r="O33" s="6">
        <f>SUM(C33:N33)</f>
        <v>588.45000000000005</v>
      </c>
    </row>
    <row r="34" spans="1:15">
      <c r="A34">
        <v>4160</v>
      </c>
      <c r="B34" t="s">
        <v>33</v>
      </c>
      <c r="C34" s="6">
        <v>0</v>
      </c>
      <c r="D34" s="6">
        <v>30.34</v>
      </c>
      <c r="E34" s="6">
        <v>562.28</v>
      </c>
      <c r="F34" s="6">
        <v>34.61</v>
      </c>
      <c r="G34" s="6">
        <v>3117.28</v>
      </c>
      <c r="H34" s="6">
        <v>3324.36</v>
      </c>
      <c r="I34" s="6">
        <v>5054</v>
      </c>
      <c r="J34" s="6">
        <v>2729.47</v>
      </c>
      <c r="K34" s="6">
        <v>270.81</v>
      </c>
      <c r="L34" s="6">
        <v>214.37</v>
      </c>
      <c r="M34" s="6">
        <v>4402.9399999999996</v>
      </c>
      <c r="N34" s="6">
        <v>1207.8699999999999</v>
      </c>
      <c r="O34" s="6">
        <f t="shared" si="3"/>
        <v>20948.329999999998</v>
      </c>
    </row>
    <row r="35" spans="1:15">
      <c r="A35">
        <v>4162</v>
      </c>
      <c r="B35" t="s">
        <v>282</v>
      </c>
      <c r="C35" s="6"/>
      <c r="D35" s="6"/>
      <c r="E35" s="6">
        <v>78</v>
      </c>
      <c r="F35" s="6"/>
      <c r="G35" s="6">
        <v>1689.08</v>
      </c>
      <c r="H35" s="6">
        <v>0</v>
      </c>
      <c r="I35" s="6">
        <v>0</v>
      </c>
      <c r="J35" s="6">
        <v>0</v>
      </c>
      <c r="K35" s="6">
        <v>0</v>
      </c>
      <c r="L35" s="6">
        <v>69.23</v>
      </c>
      <c r="M35" s="6">
        <v>1813.32</v>
      </c>
      <c r="N35" s="6">
        <v>0</v>
      </c>
      <c r="O35" s="6">
        <f>SUM(C35:N35)</f>
        <v>3649.63</v>
      </c>
    </row>
    <row r="36" spans="1:15">
      <c r="A36">
        <v>4164</v>
      </c>
      <c r="B36" t="s">
        <v>1304</v>
      </c>
      <c r="C36" s="6"/>
      <c r="D36" s="6"/>
      <c r="E36" s="6">
        <v>0</v>
      </c>
      <c r="F36" s="6"/>
      <c r="G36" s="6"/>
      <c r="H36" s="6"/>
      <c r="I36" s="6">
        <v>0</v>
      </c>
      <c r="J36" s="6"/>
      <c r="K36" s="6">
        <v>0</v>
      </c>
      <c r="L36" s="6">
        <v>0</v>
      </c>
      <c r="M36" s="6"/>
      <c r="N36" s="6">
        <v>0</v>
      </c>
      <c r="O36" s="6">
        <f>SUM(C36:N36)</f>
        <v>0</v>
      </c>
    </row>
    <row r="37" spans="1:15">
      <c r="A37">
        <v>4180</v>
      </c>
      <c r="B37" t="s">
        <v>34</v>
      </c>
      <c r="C37" s="6">
        <v>3342.43</v>
      </c>
      <c r="D37" s="6">
        <v>1362.41</v>
      </c>
      <c r="E37" s="6">
        <v>2751.63</v>
      </c>
      <c r="F37" s="6">
        <v>911.24</v>
      </c>
      <c r="G37" s="6">
        <v>1075.5899999999999</v>
      </c>
      <c r="H37" s="6">
        <v>248.12</v>
      </c>
      <c r="I37" s="6">
        <v>1498.14</v>
      </c>
      <c r="J37" s="6">
        <v>1396.37</v>
      </c>
      <c r="K37" s="6">
        <v>1867.72</v>
      </c>
      <c r="L37" s="6">
        <v>2572.2600000000002</v>
      </c>
      <c r="M37" s="6">
        <v>1116.23</v>
      </c>
      <c r="N37" s="6">
        <v>1255.68</v>
      </c>
      <c r="O37" s="6">
        <f t="shared" si="3"/>
        <v>19397.82</v>
      </c>
    </row>
    <row r="38" spans="1:15">
      <c r="A38" t="s">
        <v>16</v>
      </c>
      <c r="C38" s="6"/>
      <c r="D38" s="6"/>
      <c r="E38" s="6"/>
      <c r="F38" s="6"/>
      <c r="G38" s="6"/>
      <c r="H38" s="6"/>
      <c r="I38" s="6"/>
      <c r="J38" s="6"/>
      <c r="K38" s="6"/>
      <c r="L38" s="6"/>
      <c r="M38" s="6"/>
      <c r="N38" s="6"/>
      <c r="O38" s="6"/>
    </row>
    <row r="39" spans="1:15">
      <c r="A39">
        <v>4210</v>
      </c>
      <c r="B39" t="s">
        <v>35</v>
      </c>
      <c r="C39" s="6"/>
      <c r="D39" s="6"/>
      <c r="E39" s="6"/>
      <c r="F39" s="6"/>
      <c r="G39" s="6"/>
      <c r="H39" s="6"/>
      <c r="I39" s="6"/>
      <c r="J39" s="6"/>
      <c r="K39" s="6">
        <v>0</v>
      </c>
      <c r="L39" s="6"/>
      <c r="M39" s="6"/>
      <c r="N39" s="6">
        <v>0</v>
      </c>
      <c r="O39" s="6">
        <f t="shared" si="3"/>
        <v>0</v>
      </c>
    </row>
    <row r="40" spans="1:15">
      <c r="A40">
        <v>4213</v>
      </c>
      <c r="B40" t="s">
        <v>36</v>
      </c>
      <c r="C40" s="6">
        <v>21712.3</v>
      </c>
      <c r="D40" s="6">
        <v>23313.63</v>
      </c>
      <c r="E40" s="6">
        <v>16106</v>
      </c>
      <c r="F40" s="6">
        <v>27225.35</v>
      </c>
      <c r="G40" s="6">
        <v>19363.95</v>
      </c>
      <c r="H40" s="6">
        <v>20618.599999999999</v>
      </c>
      <c r="I40" s="6">
        <v>28765.07</v>
      </c>
      <c r="J40" s="6">
        <v>25332.799999999999</v>
      </c>
      <c r="K40" s="6">
        <v>26619.73</v>
      </c>
      <c r="L40" s="6">
        <v>37682.26</v>
      </c>
      <c r="M40" s="6">
        <v>21448.48</v>
      </c>
      <c r="N40" s="6">
        <v>32929.040000000001</v>
      </c>
      <c r="O40" s="6">
        <f t="shared" si="3"/>
        <v>301117.20999999996</v>
      </c>
    </row>
    <row r="41" spans="1:15">
      <c r="A41">
        <v>4215</v>
      </c>
      <c r="B41" t="s">
        <v>37</v>
      </c>
      <c r="C41" s="6">
        <v>1934.13</v>
      </c>
      <c r="D41" s="6">
        <v>1747.13</v>
      </c>
      <c r="E41" s="6">
        <v>2041.88</v>
      </c>
      <c r="F41" s="6">
        <v>2924.25</v>
      </c>
      <c r="G41" s="6">
        <v>2002.5</v>
      </c>
      <c r="H41" s="6">
        <v>2512</v>
      </c>
      <c r="I41" s="6">
        <v>2430</v>
      </c>
      <c r="J41" s="6">
        <v>2532</v>
      </c>
      <c r="K41" s="6">
        <v>3146.75</v>
      </c>
      <c r="L41" s="6">
        <v>3594.5</v>
      </c>
      <c r="M41" s="6">
        <v>2705.5</v>
      </c>
      <c r="N41" s="6">
        <v>2274</v>
      </c>
      <c r="O41" s="6">
        <f t="shared" si="3"/>
        <v>29844.639999999999</v>
      </c>
    </row>
    <row r="42" spans="1:15">
      <c r="A42">
        <v>4217</v>
      </c>
      <c r="B42" t="s">
        <v>284</v>
      </c>
      <c r="C42" s="6">
        <v>854.38</v>
      </c>
      <c r="D42" s="6">
        <v>186</v>
      </c>
      <c r="E42" s="6">
        <v>528.5</v>
      </c>
      <c r="F42" s="6">
        <v>2030</v>
      </c>
      <c r="G42" s="6">
        <v>1644</v>
      </c>
      <c r="H42" s="6">
        <v>1751.5</v>
      </c>
      <c r="I42" s="6">
        <v>1583</v>
      </c>
      <c r="J42" s="6">
        <v>433.5</v>
      </c>
      <c r="K42" s="6">
        <v>558.5</v>
      </c>
      <c r="L42" s="6">
        <v>2180.5</v>
      </c>
      <c r="M42" s="6">
        <v>1287.5</v>
      </c>
      <c r="N42" s="6">
        <v>930</v>
      </c>
      <c r="O42" s="6">
        <f>SUM(C42:N42)</f>
        <v>13967.380000000001</v>
      </c>
    </row>
    <row r="43" spans="1:15">
      <c r="A43">
        <v>4222</v>
      </c>
      <c r="B43" t="s">
        <v>332</v>
      </c>
      <c r="C43" s="6">
        <v>798.5</v>
      </c>
      <c r="D43" s="6">
        <v>424.25</v>
      </c>
      <c r="E43" s="6">
        <v>502.5</v>
      </c>
      <c r="F43" s="6">
        <v>1034.5</v>
      </c>
      <c r="G43" s="6">
        <v>770.5</v>
      </c>
      <c r="H43" s="6">
        <v>710</v>
      </c>
      <c r="I43" s="6">
        <v>635.25</v>
      </c>
      <c r="J43" s="6">
        <v>643.5</v>
      </c>
      <c r="K43" s="6">
        <v>627</v>
      </c>
      <c r="L43" s="6">
        <v>594</v>
      </c>
      <c r="M43" s="6">
        <v>495</v>
      </c>
      <c r="N43" s="6">
        <v>569.25</v>
      </c>
      <c r="O43" s="6">
        <f>SUM(C43:N43)</f>
        <v>7804.25</v>
      </c>
    </row>
    <row r="44" spans="1:15">
      <c r="A44">
        <v>4240</v>
      </c>
      <c r="B44" t="s">
        <v>38</v>
      </c>
      <c r="C44" s="6">
        <v>4345.33</v>
      </c>
      <c r="D44" s="6">
        <v>3777.9</v>
      </c>
      <c r="E44" s="6">
        <v>5175.72</v>
      </c>
      <c r="F44" s="6">
        <v>3833.34</v>
      </c>
      <c r="G44" s="6">
        <v>3210.32</v>
      </c>
      <c r="H44" s="6">
        <v>7840.22</v>
      </c>
      <c r="I44" s="6">
        <v>5201.4399999999996</v>
      </c>
      <c r="J44" s="6">
        <v>4596.53</v>
      </c>
      <c r="K44" s="6">
        <v>6422.7</v>
      </c>
      <c r="L44" s="6">
        <v>5421.91</v>
      </c>
      <c r="M44" s="6">
        <v>4307.87</v>
      </c>
      <c r="N44" s="6">
        <v>4670.8</v>
      </c>
      <c r="O44" s="6">
        <f t="shared" si="3"/>
        <v>58804.080000000009</v>
      </c>
    </row>
    <row r="45" spans="1:15">
      <c r="A45">
        <v>4242</v>
      </c>
      <c r="B45" t="s">
        <v>334</v>
      </c>
      <c r="C45" s="6">
        <v>1082.6199999999999</v>
      </c>
      <c r="D45" s="6">
        <v>1053.1500000000001</v>
      </c>
      <c r="E45" s="6">
        <v>1001.08</v>
      </c>
      <c r="F45" s="6">
        <v>910.31</v>
      </c>
      <c r="G45" s="6">
        <v>933.85</v>
      </c>
      <c r="H45" s="6">
        <v>891.47</v>
      </c>
      <c r="I45" s="6">
        <v>1315.08</v>
      </c>
      <c r="J45" s="6">
        <v>1116.78</v>
      </c>
      <c r="K45" s="6">
        <v>1106.81</v>
      </c>
      <c r="L45" s="6">
        <v>1236.1099999999999</v>
      </c>
      <c r="M45" s="6">
        <v>1158.32</v>
      </c>
      <c r="N45" s="6">
        <v>1272.1500000000001</v>
      </c>
      <c r="O45" s="6">
        <f>SUM(C45:N45)</f>
        <v>13077.73</v>
      </c>
    </row>
    <row r="46" spans="1:15">
      <c r="A46">
        <v>4244</v>
      </c>
      <c r="B46" t="s">
        <v>333</v>
      </c>
      <c r="C46" s="6">
        <v>144.71</v>
      </c>
      <c r="D46" s="6">
        <v>166.89</v>
      </c>
      <c r="E46" s="6">
        <v>132.15</v>
      </c>
      <c r="F46" s="6">
        <v>177.38</v>
      </c>
      <c r="G46" s="6">
        <v>206.96</v>
      </c>
      <c r="H46" s="6">
        <v>103.54</v>
      </c>
      <c r="I46" s="6">
        <v>110.25</v>
      </c>
      <c r="J46" s="6">
        <v>115.9</v>
      </c>
      <c r="K46" s="6">
        <v>153.77000000000001</v>
      </c>
      <c r="L46" s="6">
        <v>147.22</v>
      </c>
      <c r="M46" s="6">
        <v>152.18</v>
      </c>
      <c r="N46" s="6">
        <v>126.9</v>
      </c>
      <c r="O46" s="6">
        <f>SUM(C46:N46)</f>
        <v>1737.8500000000004</v>
      </c>
    </row>
    <row r="47" spans="1:15">
      <c r="A47">
        <v>4280</v>
      </c>
      <c r="B47" t="s">
        <v>39</v>
      </c>
      <c r="C47" s="6">
        <v>262.87</v>
      </c>
      <c r="D47" s="6">
        <v>30</v>
      </c>
      <c r="E47" s="6">
        <v>577.69000000000005</v>
      </c>
      <c r="F47" s="6">
        <v>234.92</v>
      </c>
      <c r="G47" s="6">
        <v>238.9</v>
      </c>
      <c r="H47" s="6">
        <v>332.16</v>
      </c>
      <c r="I47" s="6">
        <v>800.38</v>
      </c>
      <c r="J47" s="6">
        <v>3344.12</v>
      </c>
      <c r="K47" s="6">
        <v>478</v>
      </c>
      <c r="L47" s="6">
        <v>257.60000000000002</v>
      </c>
      <c r="M47" s="6">
        <v>1074.96</v>
      </c>
      <c r="N47" s="6">
        <v>24</v>
      </c>
      <c r="O47" s="6">
        <f t="shared" si="3"/>
        <v>7655.6</v>
      </c>
    </row>
    <row r="48" spans="1:15">
      <c r="A48">
        <v>4282</v>
      </c>
      <c r="B48" t="s">
        <v>335</v>
      </c>
      <c r="C48" s="6">
        <v>0</v>
      </c>
      <c r="D48" s="6">
        <v>0</v>
      </c>
      <c r="E48" s="6">
        <v>0</v>
      </c>
      <c r="F48" s="6">
        <v>0</v>
      </c>
      <c r="G48" s="6">
        <v>0</v>
      </c>
      <c r="H48" s="6">
        <v>0</v>
      </c>
      <c r="I48" s="6">
        <v>0</v>
      </c>
      <c r="J48" s="6">
        <v>0</v>
      </c>
      <c r="K48" s="6">
        <v>0</v>
      </c>
      <c r="L48" s="6">
        <v>0</v>
      </c>
      <c r="M48" s="6">
        <v>0</v>
      </c>
      <c r="N48" s="6">
        <v>0</v>
      </c>
      <c r="O48" s="6">
        <f>SUM(C48:N48)</f>
        <v>0</v>
      </c>
    </row>
    <row r="49" spans="1:15">
      <c r="A49" t="s">
        <v>17</v>
      </c>
      <c r="C49" s="6"/>
      <c r="D49" s="6"/>
      <c r="E49" s="6"/>
      <c r="F49" s="6"/>
      <c r="G49" s="6"/>
      <c r="H49" s="6"/>
      <c r="I49" s="6"/>
      <c r="J49" s="6"/>
      <c r="K49" s="6"/>
      <c r="L49" s="6"/>
      <c r="M49" s="6"/>
      <c r="N49" s="6"/>
      <c r="O49" s="6"/>
    </row>
    <row r="50" spans="1:15">
      <c r="A50">
        <v>4360</v>
      </c>
      <c r="B50" t="s">
        <v>40</v>
      </c>
      <c r="C50" s="6">
        <v>24567.51</v>
      </c>
      <c r="D50" s="6">
        <v>20862.599999999999</v>
      </c>
      <c r="E50" s="6">
        <v>25217.360000000001</v>
      </c>
      <c r="F50" s="6">
        <v>34113.279999999999</v>
      </c>
      <c r="G50" s="6">
        <v>34591.160000000003</v>
      </c>
      <c r="H50" s="6">
        <v>40913.879999999997</v>
      </c>
      <c r="I50" s="6">
        <v>54735.64</v>
      </c>
      <c r="J50" s="6">
        <v>49809.8</v>
      </c>
      <c r="K50" s="6">
        <v>44112</v>
      </c>
      <c r="L50" s="6">
        <v>38009.839999999997</v>
      </c>
      <c r="M50" s="6">
        <v>29702.080000000002</v>
      </c>
      <c r="N50" s="6">
        <v>29481.52</v>
      </c>
      <c r="O50" s="6">
        <f t="shared" si="3"/>
        <v>426116.67</v>
      </c>
    </row>
    <row r="51" spans="1:15">
      <c r="A51">
        <v>4361</v>
      </c>
      <c r="B51" t="s">
        <v>41</v>
      </c>
      <c r="C51" s="6">
        <v>11454.43</v>
      </c>
      <c r="D51" s="6">
        <v>11488.02</v>
      </c>
      <c r="E51" s="6">
        <v>12587.32</v>
      </c>
      <c r="F51" s="6">
        <v>9837.83</v>
      </c>
      <c r="G51" s="6">
        <v>14609.06</v>
      </c>
      <c r="H51" s="6">
        <v>19760.57</v>
      </c>
      <c r="I51" s="6">
        <v>26151.52</v>
      </c>
      <c r="J51" s="6">
        <v>27470.97</v>
      </c>
      <c r="K51" s="6">
        <v>23605.72</v>
      </c>
      <c r="L51" s="6">
        <v>20397.87</v>
      </c>
      <c r="M51" s="6">
        <v>16664.849999999999</v>
      </c>
      <c r="N51" s="6">
        <v>19459.349999999999</v>
      </c>
      <c r="O51" s="6">
        <f t="shared" si="3"/>
        <v>213487.51000000004</v>
      </c>
    </row>
    <row r="52" spans="1:15">
      <c r="A52">
        <v>4362</v>
      </c>
      <c r="B52" t="s">
        <v>42</v>
      </c>
      <c r="C52" s="6">
        <v>11797.16</v>
      </c>
      <c r="D52" s="6">
        <v>12591.82</v>
      </c>
      <c r="E52" s="6">
        <v>16472.849999999999</v>
      </c>
      <c r="F52" s="6">
        <v>15530.27</v>
      </c>
      <c r="G52" s="6">
        <v>18074.7</v>
      </c>
      <c r="H52" s="6">
        <v>24342.080000000002</v>
      </c>
      <c r="I52" s="6">
        <v>23622.83</v>
      </c>
      <c r="J52" s="6">
        <v>24140.36</v>
      </c>
      <c r="K52" s="6">
        <v>27150.92</v>
      </c>
      <c r="L52" s="6">
        <v>24536.49</v>
      </c>
      <c r="M52" s="6">
        <v>20509.54</v>
      </c>
      <c r="N52" s="6">
        <v>16273.97</v>
      </c>
      <c r="O52" s="6">
        <f t="shared" si="3"/>
        <v>235042.99</v>
      </c>
    </row>
    <row r="53" spans="1:15">
      <c r="A53">
        <v>4363</v>
      </c>
      <c r="B53" t="s">
        <v>43</v>
      </c>
      <c r="C53" s="6">
        <v>8295.5499999999993</v>
      </c>
      <c r="D53" s="6">
        <v>7126.83</v>
      </c>
      <c r="E53" s="6">
        <v>7720.55</v>
      </c>
      <c r="F53" s="6">
        <v>7880.22</v>
      </c>
      <c r="G53" s="6">
        <v>8218.27</v>
      </c>
      <c r="H53" s="6">
        <v>10438.23</v>
      </c>
      <c r="I53" s="6">
        <v>10496.06</v>
      </c>
      <c r="J53" s="6">
        <v>8063.57</v>
      </c>
      <c r="K53" s="6">
        <v>8916.6</v>
      </c>
      <c r="L53" s="6">
        <v>11711.78</v>
      </c>
      <c r="M53" s="6">
        <v>10648.75</v>
      </c>
      <c r="N53" s="6">
        <v>11310.92</v>
      </c>
      <c r="O53" s="6">
        <f t="shared" si="3"/>
        <v>110827.33</v>
      </c>
    </row>
    <row r="54" spans="1:15">
      <c r="A54">
        <v>4380</v>
      </c>
      <c r="B54" t="s">
        <v>336</v>
      </c>
      <c r="C54" s="6">
        <v>0</v>
      </c>
      <c r="D54" s="6">
        <v>0</v>
      </c>
      <c r="E54" s="6">
        <v>0</v>
      </c>
      <c r="F54" s="6">
        <v>0</v>
      </c>
      <c r="G54" s="6">
        <v>5477.5</v>
      </c>
      <c r="H54" s="6">
        <v>0</v>
      </c>
      <c r="I54" s="6">
        <v>0</v>
      </c>
      <c r="J54" s="6">
        <v>0</v>
      </c>
      <c r="K54" s="6">
        <v>0</v>
      </c>
      <c r="L54" s="6">
        <v>0</v>
      </c>
      <c r="M54" s="6">
        <v>3251.62</v>
      </c>
      <c r="N54" s="6">
        <v>2335.79</v>
      </c>
      <c r="O54" s="6">
        <f>SUM(C54:N54)</f>
        <v>11064.91</v>
      </c>
    </row>
    <row r="55" spans="1:15">
      <c r="A55" t="s">
        <v>14</v>
      </c>
      <c r="C55" s="6"/>
      <c r="D55" s="6"/>
      <c r="E55" s="6"/>
      <c r="F55" s="6"/>
      <c r="G55" s="6"/>
      <c r="H55" s="6"/>
      <c r="I55" s="6"/>
      <c r="J55" s="6"/>
      <c r="K55" s="6"/>
      <c r="L55" s="6"/>
      <c r="M55" s="6"/>
      <c r="N55" s="6"/>
      <c r="O55" s="6"/>
    </row>
    <row r="56" spans="1:15">
      <c r="A56">
        <v>4430</v>
      </c>
      <c r="B56" t="s">
        <v>44</v>
      </c>
      <c r="C56" s="6"/>
      <c r="D56" s="6"/>
      <c r="E56" s="6"/>
      <c r="F56" s="6"/>
      <c r="G56" s="6"/>
      <c r="H56" s="6"/>
      <c r="I56" s="6"/>
      <c r="J56" s="6"/>
      <c r="K56" s="6">
        <v>0</v>
      </c>
      <c r="L56" s="6"/>
      <c r="M56" s="6"/>
      <c r="N56" s="6">
        <v>0</v>
      </c>
      <c r="O56" s="6"/>
    </row>
    <row r="57" spans="1:15">
      <c r="A57">
        <v>4450</v>
      </c>
      <c r="B57" t="s">
        <v>45</v>
      </c>
      <c r="C57" s="6">
        <v>905</v>
      </c>
      <c r="D57" s="6">
        <v>415</v>
      </c>
      <c r="E57" s="6">
        <v>90</v>
      </c>
      <c r="F57" s="6">
        <v>90</v>
      </c>
      <c r="G57" s="6">
        <v>90</v>
      </c>
      <c r="H57" s="6">
        <v>90</v>
      </c>
      <c r="I57" s="6">
        <v>90</v>
      </c>
      <c r="J57" s="6">
        <v>90</v>
      </c>
      <c r="K57" s="6">
        <v>90</v>
      </c>
      <c r="L57" s="6">
        <v>90</v>
      </c>
      <c r="M57" s="6">
        <v>90</v>
      </c>
      <c r="N57" s="6">
        <v>0</v>
      </c>
      <c r="O57" s="6">
        <f>SUM(C57:N57)</f>
        <v>2130</v>
      </c>
    </row>
    <row r="58" spans="1:15">
      <c r="A58" t="s">
        <v>15</v>
      </c>
      <c r="C58" s="6"/>
      <c r="D58" s="6"/>
      <c r="E58" s="6"/>
      <c r="F58" s="6"/>
      <c r="G58" s="6"/>
      <c r="H58" s="6"/>
      <c r="I58" s="6"/>
      <c r="J58" s="6"/>
      <c r="K58" s="6"/>
      <c r="L58" s="6"/>
      <c r="M58" s="6"/>
      <c r="N58" s="6"/>
      <c r="O58" s="6"/>
    </row>
    <row r="59" spans="1:15">
      <c r="A59">
        <v>4530</v>
      </c>
      <c r="B59" t="s">
        <v>46</v>
      </c>
      <c r="C59" s="6">
        <v>4424.75</v>
      </c>
      <c r="D59" s="6">
        <v>4424.75</v>
      </c>
      <c r="E59" s="6">
        <v>5083.21</v>
      </c>
      <c r="F59" s="6">
        <v>5777.67</v>
      </c>
      <c r="G59" s="6">
        <v>5777.67</v>
      </c>
      <c r="H59" s="6">
        <v>5777.67</v>
      </c>
      <c r="I59" s="6">
        <v>5777.67</v>
      </c>
      <c r="J59" s="6">
        <v>5777.67</v>
      </c>
      <c r="K59" s="6">
        <v>5777.67</v>
      </c>
      <c r="L59" s="6">
        <v>5777.67</v>
      </c>
      <c r="M59" s="6">
        <v>5777.67</v>
      </c>
      <c r="N59" s="6">
        <v>6522.64</v>
      </c>
      <c r="O59" s="6">
        <f>SUM(C59:N59)</f>
        <v>66676.709999999992</v>
      </c>
    </row>
    <row r="60" spans="1:15">
      <c r="A60">
        <v>4540</v>
      </c>
      <c r="B60" t="s">
        <v>47</v>
      </c>
      <c r="C60" s="6">
        <v>1655.66</v>
      </c>
      <c r="D60" s="6">
        <v>1526.57</v>
      </c>
      <c r="E60" s="6">
        <v>1523.65</v>
      </c>
      <c r="F60" s="6">
        <v>2449.33</v>
      </c>
      <c r="G60" s="6">
        <v>1777.24</v>
      </c>
      <c r="H60" s="6">
        <v>1837.37</v>
      </c>
      <c r="I60" s="6">
        <v>1977.81</v>
      </c>
      <c r="J60" s="6">
        <v>1859.49</v>
      </c>
      <c r="K60" s="6">
        <v>1927.79</v>
      </c>
      <c r="L60" s="6">
        <v>3090.36</v>
      </c>
      <c r="M60" s="6">
        <v>1768.43</v>
      </c>
      <c r="N60" s="6">
        <v>1674.51</v>
      </c>
      <c r="O60" s="6">
        <f>SUM(C60:N60)</f>
        <v>23068.21</v>
      </c>
    </row>
    <row r="61" spans="1:15">
      <c r="A61">
        <v>4580</v>
      </c>
      <c r="B61" t="s">
        <v>48</v>
      </c>
      <c r="C61" s="6"/>
      <c r="D61" s="6"/>
      <c r="E61" s="6"/>
      <c r="F61" s="6"/>
      <c r="G61" s="6"/>
      <c r="H61" s="6"/>
      <c r="I61" s="6"/>
      <c r="J61" s="6"/>
      <c r="K61" s="6">
        <v>0</v>
      </c>
      <c r="L61" s="6"/>
      <c r="M61" s="6"/>
      <c r="N61" s="6">
        <v>0</v>
      </c>
      <c r="O61" s="6"/>
    </row>
    <row r="62" spans="1:15">
      <c r="A62" t="s">
        <v>18</v>
      </c>
      <c r="C62" s="6"/>
      <c r="D62" s="6"/>
      <c r="E62" s="6"/>
      <c r="F62" s="6"/>
      <c r="G62" s="6"/>
      <c r="H62" s="6"/>
      <c r="I62" s="6"/>
      <c r="J62" s="6"/>
      <c r="K62" s="6"/>
      <c r="L62" s="6"/>
      <c r="M62" s="6"/>
      <c r="N62" s="6"/>
      <c r="O62" s="6"/>
    </row>
    <row r="63" spans="1:15">
      <c r="A63">
        <v>4611</v>
      </c>
      <c r="B63" t="s">
        <v>49</v>
      </c>
      <c r="C63" s="6">
        <v>6058.33</v>
      </c>
      <c r="D63" s="6">
        <v>6058.33</v>
      </c>
      <c r="E63" s="6">
        <v>6200</v>
      </c>
      <c r="F63" s="6">
        <v>6200</v>
      </c>
      <c r="G63" s="6">
        <v>6200</v>
      </c>
      <c r="H63" s="6">
        <v>6200</v>
      </c>
      <c r="I63" s="6">
        <v>6200</v>
      </c>
      <c r="J63" s="6">
        <v>6200</v>
      </c>
      <c r="K63" s="6">
        <v>6200</v>
      </c>
      <c r="L63" s="6">
        <v>6200</v>
      </c>
      <c r="M63" s="6">
        <v>6200</v>
      </c>
      <c r="N63" s="6">
        <v>6200</v>
      </c>
      <c r="O63" s="6">
        <f t="shared" ref="O63:O81" si="4">SUM(C63:N63)</f>
        <v>74116.66</v>
      </c>
    </row>
    <row r="64" spans="1:15">
      <c r="A64">
        <v>4612</v>
      </c>
      <c r="B64" t="s">
        <v>50</v>
      </c>
      <c r="C64" s="6">
        <v>678</v>
      </c>
      <c r="D64" s="6">
        <v>688.13</v>
      </c>
      <c r="E64" s="6">
        <v>1028.3800000000001</v>
      </c>
      <c r="F64" s="6">
        <v>1108.5</v>
      </c>
      <c r="G64" s="6">
        <v>1090</v>
      </c>
      <c r="H64" s="6">
        <v>802.5</v>
      </c>
      <c r="I64" s="6">
        <v>940.5</v>
      </c>
      <c r="J64" s="6">
        <v>964.5</v>
      </c>
      <c r="K64" s="6">
        <v>885</v>
      </c>
      <c r="L64" s="6">
        <v>1371</v>
      </c>
      <c r="M64" s="6">
        <v>894</v>
      </c>
      <c r="N64" s="6">
        <v>1258.4100000000001</v>
      </c>
      <c r="O64" s="6">
        <f t="shared" si="4"/>
        <v>11708.92</v>
      </c>
    </row>
    <row r="65" spans="1:15">
      <c r="A65">
        <v>4613</v>
      </c>
      <c r="B65" t="s">
        <v>51</v>
      </c>
      <c r="C65" s="6">
        <v>7325</v>
      </c>
      <c r="D65" s="6">
        <v>7325</v>
      </c>
      <c r="E65" s="6">
        <v>7700</v>
      </c>
      <c r="F65" s="6">
        <v>7700</v>
      </c>
      <c r="G65" s="6">
        <v>9700</v>
      </c>
      <c r="H65" s="6">
        <v>8700</v>
      </c>
      <c r="I65" s="6">
        <v>8700</v>
      </c>
      <c r="J65" s="6">
        <v>8700</v>
      </c>
      <c r="K65" s="6">
        <v>8700</v>
      </c>
      <c r="L65" s="6">
        <v>8700</v>
      </c>
      <c r="M65" s="6">
        <v>8700</v>
      </c>
      <c r="N65" s="6">
        <v>22815.61</v>
      </c>
      <c r="O65" s="6">
        <f t="shared" si="4"/>
        <v>114765.61</v>
      </c>
    </row>
    <row r="66" spans="1:15">
      <c r="A66">
        <v>4620</v>
      </c>
      <c r="B66" t="s">
        <v>52</v>
      </c>
      <c r="C66" s="6">
        <v>3586.14</v>
      </c>
      <c r="D66" s="6">
        <v>2202.4</v>
      </c>
      <c r="E66" s="6">
        <v>2260.17</v>
      </c>
      <c r="F66" s="6">
        <v>1844.55</v>
      </c>
      <c r="G66" s="6">
        <v>2183.5300000000002</v>
      </c>
      <c r="H66" s="6">
        <v>1916.07</v>
      </c>
      <c r="I66" s="6">
        <v>2300.9</v>
      </c>
      <c r="J66" s="6">
        <v>2513.4899999999998</v>
      </c>
      <c r="K66" s="6">
        <v>2723.98</v>
      </c>
      <c r="L66" s="6">
        <v>2611.48</v>
      </c>
      <c r="M66" s="6">
        <v>2847.48</v>
      </c>
      <c r="N66" s="6">
        <v>3106.79</v>
      </c>
      <c r="O66" s="6">
        <f t="shared" si="4"/>
        <v>30096.98</v>
      </c>
    </row>
    <row r="67" spans="1:15">
      <c r="A67">
        <v>4622</v>
      </c>
      <c r="B67" t="s">
        <v>53</v>
      </c>
      <c r="C67" s="6"/>
      <c r="D67" s="6"/>
      <c r="E67" s="6"/>
      <c r="F67" s="6"/>
      <c r="G67" s="6"/>
      <c r="H67" s="6"/>
      <c r="I67" s="6"/>
      <c r="J67" s="6"/>
      <c r="K67" s="6">
        <v>0</v>
      </c>
      <c r="L67" s="6"/>
      <c r="M67" s="6"/>
      <c r="N67" s="6">
        <v>0</v>
      </c>
      <c r="O67" s="6">
        <f t="shared" si="4"/>
        <v>0</v>
      </c>
    </row>
    <row r="68" spans="1:15">
      <c r="A68">
        <v>4624</v>
      </c>
      <c r="B68" t="s">
        <v>54</v>
      </c>
      <c r="C68" s="6">
        <v>0</v>
      </c>
      <c r="D68" s="6">
        <v>134.02000000000001</v>
      </c>
      <c r="E68" s="6"/>
      <c r="F68" s="6"/>
      <c r="G68" s="6"/>
      <c r="H68" s="6"/>
      <c r="I68" s="6">
        <v>0</v>
      </c>
      <c r="J68" s="6"/>
      <c r="K68" s="6"/>
      <c r="L68" s="6">
        <v>0</v>
      </c>
      <c r="M68" s="6">
        <v>0</v>
      </c>
      <c r="N68" s="6">
        <v>0</v>
      </c>
      <c r="O68" s="6">
        <f t="shared" si="4"/>
        <v>134.02000000000001</v>
      </c>
    </row>
    <row r="69" spans="1:15">
      <c r="A69">
        <v>4625</v>
      </c>
      <c r="B69" t="s">
        <v>55</v>
      </c>
      <c r="C69" s="6">
        <v>450.2</v>
      </c>
      <c r="D69" s="6">
        <v>501.64</v>
      </c>
      <c r="E69" s="6">
        <v>149.34</v>
      </c>
      <c r="F69" s="6">
        <v>127.62</v>
      </c>
      <c r="G69" s="6">
        <v>107.07</v>
      </c>
      <c r="H69" s="6">
        <v>210.65</v>
      </c>
      <c r="I69" s="6">
        <v>654.62</v>
      </c>
      <c r="J69" s="6">
        <v>133.22999999999999</v>
      </c>
      <c r="K69" s="6">
        <v>131.32</v>
      </c>
      <c r="L69" s="6">
        <v>104.9</v>
      </c>
      <c r="M69" s="6">
        <v>107.16</v>
      </c>
      <c r="N69" s="6">
        <v>273.43</v>
      </c>
      <c r="O69" s="6">
        <f t="shared" si="4"/>
        <v>2951.18</v>
      </c>
    </row>
    <row r="70" spans="1:15">
      <c r="A70">
        <v>4627</v>
      </c>
      <c r="B70" t="s">
        <v>56</v>
      </c>
      <c r="C70" s="6">
        <v>400</v>
      </c>
      <c r="D70" s="6">
        <v>0</v>
      </c>
      <c r="E70" s="6">
        <v>0</v>
      </c>
      <c r="F70" s="6">
        <v>240</v>
      </c>
      <c r="G70" s="6">
        <v>110</v>
      </c>
      <c r="H70" s="6">
        <v>611</v>
      </c>
      <c r="I70" s="6">
        <v>0</v>
      </c>
      <c r="J70" s="6">
        <v>0</v>
      </c>
      <c r="K70" s="6">
        <v>165</v>
      </c>
      <c r="L70" s="6">
        <v>166.2</v>
      </c>
      <c r="M70" s="6">
        <v>165</v>
      </c>
      <c r="N70" s="6">
        <v>21.1</v>
      </c>
      <c r="O70" s="6">
        <f t="shared" si="4"/>
        <v>1878.3</v>
      </c>
    </row>
    <row r="71" spans="1:15">
      <c r="A71">
        <v>4627</v>
      </c>
      <c r="B71" t="s">
        <v>1348</v>
      </c>
      <c r="C71" s="6">
        <v>623.55999999999995</v>
      </c>
      <c r="D71" s="6">
        <v>676.31</v>
      </c>
      <c r="E71" s="6">
        <v>612.47</v>
      </c>
      <c r="F71" s="6">
        <v>694.83</v>
      </c>
      <c r="G71" s="6">
        <v>677.45</v>
      </c>
      <c r="H71" s="6">
        <v>719.91</v>
      </c>
      <c r="I71" s="6">
        <v>1359.62</v>
      </c>
      <c r="J71" s="6">
        <v>1214.8599999999999</v>
      </c>
      <c r="K71" s="6">
        <v>1228.2</v>
      </c>
      <c r="L71" s="6">
        <v>1224.06</v>
      </c>
      <c r="M71" s="6">
        <v>1206.58</v>
      </c>
      <c r="N71" s="6">
        <v>707.37</v>
      </c>
      <c r="O71" s="6">
        <f t="shared" ref="O71" si="5">SUM(C71:N71)</f>
        <v>10945.22</v>
      </c>
    </row>
    <row r="72" spans="1:15">
      <c r="A72">
        <v>4630</v>
      </c>
      <c r="B72" t="s">
        <v>57</v>
      </c>
      <c r="C72" s="6">
        <v>0</v>
      </c>
      <c r="D72" s="6">
        <v>0</v>
      </c>
      <c r="E72" s="6">
        <v>0</v>
      </c>
      <c r="F72" s="6"/>
      <c r="G72" s="6"/>
      <c r="H72" s="6"/>
      <c r="I72" s="6">
        <v>0</v>
      </c>
      <c r="J72" s="6">
        <v>0</v>
      </c>
      <c r="K72" s="6">
        <v>456</v>
      </c>
      <c r="L72" s="6">
        <v>0</v>
      </c>
      <c r="M72" s="6">
        <v>107.22</v>
      </c>
      <c r="N72" s="6">
        <v>0</v>
      </c>
      <c r="O72" s="6">
        <f t="shared" si="4"/>
        <v>563.22</v>
      </c>
    </row>
    <row r="73" spans="1:15">
      <c r="A73">
        <v>4640</v>
      </c>
      <c r="B73" t="s">
        <v>58</v>
      </c>
      <c r="C73" s="6">
        <v>1934.34</v>
      </c>
      <c r="D73" s="6">
        <v>1570.67</v>
      </c>
      <c r="E73" s="6">
        <v>1460.48</v>
      </c>
      <c r="F73" s="6">
        <v>1527.52</v>
      </c>
      <c r="G73" s="6">
        <v>1276.8499999999999</v>
      </c>
      <c r="H73" s="6">
        <v>895.26</v>
      </c>
      <c r="I73" s="6">
        <v>1567.44</v>
      </c>
      <c r="J73" s="6">
        <v>1222.8599999999999</v>
      </c>
      <c r="K73" s="6">
        <v>1096.77</v>
      </c>
      <c r="L73" s="6">
        <v>1283.4000000000001</v>
      </c>
      <c r="M73" s="6">
        <v>1830.07</v>
      </c>
      <c r="N73" s="6">
        <v>1590.91</v>
      </c>
      <c r="O73" s="6">
        <f t="shared" si="4"/>
        <v>17256.570000000003</v>
      </c>
    </row>
    <row r="74" spans="1:15">
      <c r="A74">
        <v>4650</v>
      </c>
      <c r="B74" t="s">
        <v>59</v>
      </c>
      <c r="C74" s="6">
        <v>8763.92</v>
      </c>
      <c r="D74" s="6">
        <v>6372.8</v>
      </c>
      <c r="E74" s="6">
        <v>5576.2</v>
      </c>
      <c r="F74" s="6">
        <v>6372.8</v>
      </c>
      <c r="G74" s="6">
        <v>6372.8</v>
      </c>
      <c r="H74" s="6">
        <v>6372.8</v>
      </c>
      <c r="I74" s="6">
        <v>6372.8</v>
      </c>
      <c r="J74" s="6">
        <v>0</v>
      </c>
      <c r="K74" s="6">
        <v>6372.8</v>
      </c>
      <c r="L74" s="6">
        <v>6372.8</v>
      </c>
      <c r="M74" s="6">
        <v>6372.8</v>
      </c>
      <c r="N74" s="6">
        <v>6372.8</v>
      </c>
      <c r="O74" s="6">
        <f t="shared" si="4"/>
        <v>71695.320000000022</v>
      </c>
    </row>
    <row r="75" spans="1:15">
      <c r="A75">
        <v>4652</v>
      </c>
      <c r="B75" t="s">
        <v>60</v>
      </c>
      <c r="C75" s="6">
        <v>829.08</v>
      </c>
      <c r="D75" s="6">
        <v>907.45</v>
      </c>
      <c r="E75" s="6">
        <v>772.19</v>
      </c>
      <c r="F75" s="6">
        <v>1115.93</v>
      </c>
      <c r="G75" s="6">
        <v>902.54</v>
      </c>
      <c r="H75" s="6">
        <v>908.52</v>
      </c>
      <c r="I75" s="6">
        <v>1058.51</v>
      </c>
      <c r="J75" s="6">
        <v>946.89</v>
      </c>
      <c r="K75" s="6">
        <v>967.08</v>
      </c>
      <c r="L75" s="6">
        <v>1243.77</v>
      </c>
      <c r="M75" s="6">
        <v>888.99</v>
      </c>
      <c r="N75" s="6">
        <v>1356.15</v>
      </c>
      <c r="O75" s="6">
        <f t="shared" si="4"/>
        <v>11897.100000000002</v>
      </c>
    </row>
    <row r="76" spans="1:15">
      <c r="A76">
        <v>4660</v>
      </c>
      <c r="B76" t="s">
        <v>61</v>
      </c>
      <c r="C76" s="6"/>
      <c r="D76" s="6"/>
      <c r="E76" s="6"/>
      <c r="F76" s="6"/>
      <c r="G76" s="6"/>
      <c r="H76" s="6"/>
      <c r="I76" s="6"/>
      <c r="J76" s="6"/>
      <c r="K76" s="6">
        <v>0</v>
      </c>
      <c r="L76" s="6"/>
      <c r="M76" s="6"/>
      <c r="N76" s="6">
        <v>0</v>
      </c>
      <c r="O76" s="6">
        <f t="shared" si="4"/>
        <v>0</v>
      </c>
    </row>
    <row r="77" spans="1:15">
      <c r="A77">
        <v>4670</v>
      </c>
      <c r="B77" t="s">
        <v>62</v>
      </c>
      <c r="C77" s="6"/>
      <c r="D77" s="6"/>
      <c r="E77" s="6"/>
      <c r="F77" s="6"/>
      <c r="G77" s="6"/>
      <c r="H77" s="6"/>
      <c r="I77" s="6"/>
      <c r="J77" s="6"/>
      <c r="K77" s="6">
        <v>0</v>
      </c>
      <c r="L77" s="6"/>
      <c r="M77" s="6"/>
      <c r="N77" s="6">
        <v>0</v>
      </c>
      <c r="O77" s="6">
        <f t="shared" si="4"/>
        <v>0</v>
      </c>
    </row>
    <row r="78" spans="1:15">
      <c r="A78">
        <v>4680</v>
      </c>
      <c r="B78" t="s">
        <v>63</v>
      </c>
      <c r="C78" s="6"/>
      <c r="D78" s="6">
        <v>0</v>
      </c>
      <c r="E78" s="6"/>
      <c r="F78" s="6">
        <v>11877.03</v>
      </c>
      <c r="G78" s="6"/>
      <c r="H78" s="6"/>
      <c r="I78" s="6"/>
      <c r="J78" s="6"/>
      <c r="K78" s="6">
        <v>0</v>
      </c>
      <c r="L78" s="6"/>
      <c r="M78" s="6"/>
      <c r="N78" s="6">
        <v>0</v>
      </c>
      <c r="O78" s="6">
        <f t="shared" si="4"/>
        <v>11877.03</v>
      </c>
    </row>
    <row r="79" spans="1:15">
      <c r="A79">
        <v>4692</v>
      </c>
      <c r="B79" t="s">
        <v>64</v>
      </c>
      <c r="C79" s="6">
        <v>1400.34</v>
      </c>
      <c r="D79" s="6">
        <v>815.45</v>
      </c>
      <c r="E79" s="6">
        <v>617.65</v>
      </c>
      <c r="F79" s="6">
        <v>574.26</v>
      </c>
      <c r="G79" s="6">
        <v>574.28</v>
      </c>
      <c r="H79" s="6">
        <v>706.17</v>
      </c>
      <c r="I79" s="6">
        <v>2039.64</v>
      </c>
      <c r="J79" s="6">
        <v>1049.6400000000001</v>
      </c>
      <c r="K79" s="6">
        <v>617.95000000000005</v>
      </c>
      <c r="L79" s="6">
        <v>714.66</v>
      </c>
      <c r="M79" s="6">
        <v>1236.46</v>
      </c>
      <c r="N79" s="6">
        <v>810.53</v>
      </c>
      <c r="O79" s="6">
        <f t="shared" si="4"/>
        <v>11157.03</v>
      </c>
    </row>
    <row r="80" spans="1:15">
      <c r="A80">
        <v>4694</v>
      </c>
      <c r="B80" t="s">
        <v>65</v>
      </c>
      <c r="C80" s="6"/>
      <c r="D80" s="6"/>
      <c r="E80" s="6"/>
      <c r="F80" s="6"/>
      <c r="G80" s="6"/>
      <c r="H80" s="6"/>
      <c r="I80" s="6"/>
      <c r="J80" s="6"/>
      <c r="K80" s="6">
        <v>0</v>
      </c>
      <c r="L80" s="6"/>
      <c r="M80" s="6"/>
      <c r="N80" s="6">
        <v>0</v>
      </c>
      <c r="O80" s="6">
        <f t="shared" si="4"/>
        <v>0</v>
      </c>
    </row>
    <row r="81" spans="1:15">
      <c r="A81">
        <v>4698</v>
      </c>
      <c r="B81" t="s">
        <v>66</v>
      </c>
      <c r="C81" s="6"/>
      <c r="D81" s="6">
        <v>0</v>
      </c>
      <c r="E81" s="6">
        <v>0</v>
      </c>
      <c r="F81" s="6">
        <v>0</v>
      </c>
      <c r="G81" s="6">
        <v>0</v>
      </c>
      <c r="H81" s="6"/>
      <c r="I81" s="6"/>
      <c r="J81" s="6"/>
      <c r="K81" s="6">
        <v>0</v>
      </c>
      <c r="L81" s="6">
        <v>240.11</v>
      </c>
      <c r="M81" s="6"/>
      <c r="N81" s="6">
        <v>0</v>
      </c>
      <c r="O81" s="6">
        <f t="shared" si="4"/>
        <v>240.11</v>
      </c>
    </row>
    <row r="82" spans="1:15">
      <c r="A82" t="s">
        <v>19</v>
      </c>
      <c r="C82" s="6"/>
      <c r="D82" s="6"/>
      <c r="E82" s="6"/>
      <c r="F82" s="6"/>
      <c r="G82" s="6"/>
      <c r="H82" s="6"/>
      <c r="I82" s="6"/>
      <c r="J82" s="6"/>
      <c r="K82" s="6"/>
      <c r="L82" s="6"/>
      <c r="M82" s="6"/>
      <c r="N82" s="6"/>
      <c r="O82" s="6"/>
    </row>
    <row r="83" spans="1:15">
      <c r="A83">
        <v>5010</v>
      </c>
      <c r="B83" t="s">
        <v>67</v>
      </c>
      <c r="C83" s="6"/>
      <c r="D83" s="6"/>
      <c r="E83" s="6"/>
      <c r="F83" s="6"/>
      <c r="G83" s="6"/>
      <c r="H83" s="6"/>
      <c r="I83" s="6"/>
      <c r="J83" s="6"/>
      <c r="K83" s="6">
        <v>0</v>
      </c>
      <c r="L83" s="6"/>
      <c r="M83" s="6"/>
      <c r="N83" s="6">
        <v>0</v>
      </c>
      <c r="O83" s="6">
        <f>SUM(C83:N83)</f>
        <v>0</v>
      </c>
    </row>
    <row r="84" spans="1:15">
      <c r="A84">
        <v>5100</v>
      </c>
      <c r="B84" t="s">
        <v>68</v>
      </c>
      <c r="C84" s="6"/>
      <c r="D84" s="6"/>
      <c r="E84" s="6"/>
      <c r="F84" s="6"/>
      <c r="G84" s="6"/>
      <c r="H84" s="6"/>
      <c r="I84" s="6"/>
      <c r="J84" s="6"/>
      <c r="K84" s="6">
        <v>0</v>
      </c>
      <c r="L84" s="6"/>
      <c r="M84" s="6">
        <v>-40000</v>
      </c>
      <c r="N84" s="6">
        <v>0</v>
      </c>
      <c r="O84" s="6">
        <f>SUM(C84:N84)</f>
        <v>-40000</v>
      </c>
    </row>
    <row r="85" spans="1:15">
      <c r="A85" t="s">
        <v>20</v>
      </c>
      <c r="C85" s="6"/>
      <c r="D85" s="6"/>
      <c r="E85" s="6"/>
      <c r="F85" s="6"/>
      <c r="G85" s="6"/>
      <c r="H85" s="6"/>
      <c r="I85" s="6"/>
      <c r="J85" s="6"/>
      <c r="K85" s="6"/>
      <c r="L85" s="6"/>
      <c r="M85" s="6"/>
      <c r="N85" s="6"/>
      <c r="O85" s="6"/>
    </row>
    <row r="86" spans="1:15">
      <c r="A86">
        <v>5151</v>
      </c>
      <c r="B86" t="s">
        <v>69</v>
      </c>
      <c r="C86" s="6"/>
      <c r="D86" s="6"/>
      <c r="E86" s="6"/>
      <c r="F86" s="6"/>
      <c r="G86" s="6"/>
      <c r="H86" s="6"/>
      <c r="I86" s="6"/>
      <c r="J86" s="6"/>
      <c r="K86" s="6">
        <v>0</v>
      </c>
      <c r="L86" s="6"/>
      <c r="M86" s="6"/>
      <c r="N86" s="6">
        <v>0</v>
      </c>
      <c r="O86" s="6">
        <f>SUM(C86:N86)</f>
        <v>0</v>
      </c>
    </row>
    <row r="87" spans="1:15">
      <c r="A87" t="s">
        <v>21</v>
      </c>
      <c r="C87" s="6"/>
      <c r="D87" s="6"/>
      <c r="E87" s="6"/>
      <c r="F87" s="6"/>
      <c r="G87" s="6"/>
      <c r="H87" s="6"/>
      <c r="I87" s="6"/>
      <c r="J87" s="6"/>
      <c r="K87" s="6"/>
      <c r="L87" s="6"/>
      <c r="M87" s="6"/>
      <c r="N87" s="6"/>
      <c r="O87" s="6"/>
    </row>
    <row r="88" spans="1:15">
      <c r="A88">
        <v>5220</v>
      </c>
      <c r="B88" t="s">
        <v>70</v>
      </c>
      <c r="C88" s="6">
        <v>1463</v>
      </c>
      <c r="D88" s="6">
        <v>0</v>
      </c>
      <c r="E88" s="6">
        <v>1166.5</v>
      </c>
      <c r="F88" s="6">
        <v>0</v>
      </c>
      <c r="G88" s="6"/>
      <c r="H88" s="6">
        <v>203.5</v>
      </c>
      <c r="I88" s="6">
        <v>1441</v>
      </c>
      <c r="J88" s="6">
        <v>1216.25</v>
      </c>
      <c r="K88" s="6">
        <v>105.5</v>
      </c>
      <c r="L88" s="6">
        <v>47.25</v>
      </c>
      <c r="M88" s="6">
        <v>130</v>
      </c>
      <c r="N88" s="6">
        <v>767.25</v>
      </c>
      <c r="O88" s="6">
        <f t="shared" ref="O88:O97" si="6">SUM(C88:N88)</f>
        <v>6540.25</v>
      </c>
    </row>
    <row r="89" spans="1:15">
      <c r="A89">
        <v>5230</v>
      </c>
      <c r="B89" t="s">
        <v>71</v>
      </c>
      <c r="C89" s="6"/>
      <c r="D89" s="6"/>
      <c r="E89" s="6"/>
      <c r="F89" s="6">
        <v>1213.73</v>
      </c>
      <c r="G89" s="6"/>
      <c r="H89" s="6"/>
      <c r="I89" s="6"/>
      <c r="J89" s="6"/>
      <c r="K89" s="6">
        <v>0</v>
      </c>
      <c r="L89" s="6">
        <v>1213.6199999999999</v>
      </c>
      <c r="M89" s="6"/>
      <c r="N89" s="6">
        <v>0</v>
      </c>
      <c r="O89" s="6">
        <f t="shared" si="6"/>
        <v>2427.35</v>
      </c>
    </row>
    <row r="90" spans="1:15">
      <c r="A90">
        <v>5240</v>
      </c>
      <c r="B90" t="s">
        <v>72</v>
      </c>
      <c r="C90" s="6">
        <v>3720.61</v>
      </c>
      <c r="D90" s="6">
        <v>3676.95</v>
      </c>
      <c r="E90" s="6">
        <v>3182.25</v>
      </c>
      <c r="F90" s="6">
        <v>4699.76</v>
      </c>
      <c r="G90" s="6">
        <v>3821.44</v>
      </c>
      <c r="H90" s="6">
        <v>3820.79</v>
      </c>
      <c r="I90" s="6">
        <v>4447.74</v>
      </c>
      <c r="J90" s="6">
        <v>3983.62</v>
      </c>
      <c r="K90" s="6">
        <v>4150.42</v>
      </c>
      <c r="L90" s="6">
        <v>5650.94</v>
      </c>
      <c r="M90" s="6">
        <v>3798.31</v>
      </c>
      <c r="N90" s="6">
        <v>5711.86</v>
      </c>
      <c r="O90" s="6">
        <f t="shared" si="6"/>
        <v>50664.69</v>
      </c>
    </row>
    <row r="91" spans="1:15">
      <c r="A91">
        <v>5241</v>
      </c>
      <c r="B91" t="s">
        <v>73</v>
      </c>
      <c r="C91" s="6">
        <v>289.86</v>
      </c>
      <c r="D91" s="6">
        <v>138.36000000000001</v>
      </c>
      <c r="E91" s="6">
        <v>26.93</v>
      </c>
      <c r="F91" s="6">
        <v>30.47</v>
      </c>
      <c r="G91" s="6">
        <v>13.18</v>
      </c>
      <c r="H91" s="6">
        <v>11.51</v>
      </c>
      <c r="I91" s="6">
        <v>15.23</v>
      </c>
      <c r="J91" s="6">
        <v>12.34</v>
      </c>
      <c r="K91" s="6">
        <v>17.41</v>
      </c>
      <c r="L91" s="6">
        <v>46.39</v>
      </c>
      <c r="M91" s="6">
        <v>13.21</v>
      </c>
      <c r="N91" s="6">
        <v>3.86</v>
      </c>
      <c r="O91" s="6">
        <f t="shared" si="6"/>
        <v>618.75</v>
      </c>
    </row>
    <row r="92" spans="1:15">
      <c r="A92">
        <v>5242</v>
      </c>
      <c r="B92" t="s">
        <v>74</v>
      </c>
      <c r="C92" s="6">
        <v>128.53</v>
      </c>
      <c r="D92" s="6">
        <v>126.95</v>
      </c>
      <c r="E92" s="6">
        <v>108.89</v>
      </c>
      <c r="F92" s="6">
        <v>163.81</v>
      </c>
      <c r="G92" s="6">
        <v>132.04</v>
      </c>
      <c r="H92" s="6">
        <v>132.01</v>
      </c>
      <c r="I92" s="6">
        <v>148.91</v>
      </c>
      <c r="J92" s="6">
        <v>119.74</v>
      </c>
      <c r="K92" s="6">
        <v>122.64</v>
      </c>
      <c r="L92" s="6">
        <v>173.16</v>
      </c>
      <c r="M92" s="6">
        <v>110.56</v>
      </c>
      <c r="N92" s="6">
        <v>-844.27</v>
      </c>
      <c r="O92" s="6">
        <f t="shared" si="6"/>
        <v>622.97</v>
      </c>
    </row>
    <row r="93" spans="1:15">
      <c r="A93">
        <v>5260</v>
      </c>
      <c r="B93" t="s">
        <v>75</v>
      </c>
      <c r="C93" s="6">
        <v>2756.66</v>
      </c>
      <c r="D93" s="6">
        <v>2613.66</v>
      </c>
      <c r="E93" s="6">
        <v>2942.9</v>
      </c>
      <c r="F93" s="6">
        <v>3576.06</v>
      </c>
      <c r="G93" s="6">
        <v>3907.85</v>
      </c>
      <c r="H93" s="6">
        <v>4768.6899999999996</v>
      </c>
      <c r="I93" s="6">
        <v>5528.56</v>
      </c>
      <c r="J93" s="6">
        <v>5409.64</v>
      </c>
      <c r="K93" s="6">
        <v>5288.31</v>
      </c>
      <c r="L93" s="6">
        <v>4882.8999999999996</v>
      </c>
      <c r="M93" s="6">
        <v>3989.3</v>
      </c>
      <c r="N93" s="6">
        <v>5175.83</v>
      </c>
      <c r="O93" s="6">
        <f t="shared" si="6"/>
        <v>50840.360000000008</v>
      </c>
    </row>
    <row r="94" spans="1:15">
      <c r="A94">
        <v>5270</v>
      </c>
      <c r="B94" t="s">
        <v>76</v>
      </c>
      <c r="C94" s="6">
        <v>0</v>
      </c>
      <c r="D94" s="6">
        <v>2347.11</v>
      </c>
      <c r="E94" s="6">
        <v>2347.11</v>
      </c>
      <c r="F94" s="6">
        <v>0</v>
      </c>
      <c r="G94" s="6"/>
      <c r="H94" s="6">
        <v>2347.11</v>
      </c>
      <c r="I94" s="6"/>
      <c r="J94" s="6">
        <v>0</v>
      </c>
      <c r="K94" s="6">
        <v>0</v>
      </c>
      <c r="L94" s="6"/>
      <c r="M94" s="6">
        <v>0</v>
      </c>
      <c r="N94" s="6">
        <v>0</v>
      </c>
      <c r="O94" s="6">
        <f t="shared" si="6"/>
        <v>7041.33</v>
      </c>
    </row>
    <row r="95" spans="1:15">
      <c r="A95">
        <v>5290</v>
      </c>
      <c r="B95" t="s">
        <v>77</v>
      </c>
      <c r="C95" s="6">
        <v>200</v>
      </c>
      <c r="D95" s="6"/>
      <c r="E95" s="6">
        <v>101</v>
      </c>
      <c r="F95" s="6"/>
      <c r="G95" s="6"/>
      <c r="H95" s="6">
        <v>0</v>
      </c>
      <c r="I95" s="6"/>
      <c r="J95" s="6">
        <v>55</v>
      </c>
      <c r="K95" s="6">
        <v>13</v>
      </c>
      <c r="L95" s="6"/>
      <c r="M95" s="6"/>
      <c r="N95" s="6">
        <v>-22980.07</v>
      </c>
      <c r="O95" s="6">
        <f t="shared" si="6"/>
        <v>-22611.07</v>
      </c>
    </row>
    <row r="96" spans="1:15">
      <c r="A96" t="s">
        <v>22</v>
      </c>
      <c r="C96" s="6"/>
      <c r="D96" s="6"/>
      <c r="E96" s="6"/>
      <c r="F96" s="6"/>
      <c r="G96" s="6"/>
      <c r="H96" s="6"/>
      <c r="I96" s="6"/>
      <c r="J96" s="6"/>
      <c r="K96" s="6"/>
      <c r="L96" s="6"/>
      <c r="M96" s="6"/>
      <c r="N96" s="6"/>
      <c r="O96" s="6"/>
    </row>
    <row r="97" spans="1:15">
      <c r="A97">
        <v>5320</v>
      </c>
      <c r="B97" t="s">
        <v>78</v>
      </c>
      <c r="C97" s="6">
        <v>6953</v>
      </c>
      <c r="D97" s="6">
        <v>6953</v>
      </c>
      <c r="E97" s="6">
        <v>6953</v>
      </c>
      <c r="F97" s="6">
        <v>6953</v>
      </c>
      <c r="G97" s="6">
        <v>6953</v>
      </c>
      <c r="H97" s="6">
        <v>6953</v>
      </c>
      <c r="I97" s="6">
        <v>6953</v>
      </c>
      <c r="J97" s="6">
        <v>6953</v>
      </c>
      <c r="K97" s="6">
        <v>6953</v>
      </c>
      <c r="L97" s="6">
        <v>6953</v>
      </c>
      <c r="M97" s="6">
        <v>6953</v>
      </c>
      <c r="N97" s="6">
        <v>6953</v>
      </c>
      <c r="O97" s="6">
        <f t="shared" si="6"/>
        <v>83436</v>
      </c>
    </row>
    <row r="98" spans="1:15" ht="13.5" thickBot="1">
      <c r="A98">
        <v>5322</v>
      </c>
      <c r="B98" s="83" t="s">
        <v>371</v>
      </c>
      <c r="C98" s="7">
        <v>2400</v>
      </c>
      <c r="D98" s="7">
        <v>2400</v>
      </c>
      <c r="E98" s="7">
        <v>2400</v>
      </c>
      <c r="F98" s="7">
        <v>2400</v>
      </c>
      <c r="G98" s="7">
        <v>2400</v>
      </c>
      <c r="H98" s="7">
        <v>2400</v>
      </c>
      <c r="I98" s="7">
        <v>2400</v>
      </c>
      <c r="J98" s="7">
        <v>2400</v>
      </c>
      <c r="K98" s="7">
        <v>2400</v>
      </c>
      <c r="L98" s="7">
        <v>2400</v>
      </c>
      <c r="M98" s="7">
        <v>2400</v>
      </c>
      <c r="N98" s="7">
        <v>2400</v>
      </c>
      <c r="O98" s="7">
        <f>SUM(C98:N98)</f>
        <v>28800</v>
      </c>
    </row>
    <row r="99" spans="1:15">
      <c r="C99" s="6"/>
      <c r="D99" s="6"/>
      <c r="E99" s="6"/>
      <c r="F99" s="6"/>
      <c r="G99" s="6"/>
      <c r="H99" s="6"/>
      <c r="I99" s="6"/>
      <c r="J99" s="6"/>
      <c r="K99" s="6"/>
      <c r="L99" s="6"/>
      <c r="M99" s="6"/>
      <c r="N99" s="6"/>
      <c r="O99" s="6"/>
    </row>
    <row r="100" spans="1:15" ht="13.5" thickBot="1">
      <c r="B100" t="s">
        <v>23</v>
      </c>
      <c r="C100" s="7">
        <f t="shared" ref="C100:K100" si="7">SUM(C24:C98)</f>
        <v>161156.79999999996</v>
      </c>
      <c r="D100" s="7">
        <f t="shared" si="7"/>
        <v>149381.67000000001</v>
      </c>
      <c r="E100" s="7">
        <f t="shared" si="7"/>
        <v>161278.16000000003</v>
      </c>
      <c r="F100" s="7">
        <f t="shared" si="7"/>
        <v>194581.97999999995</v>
      </c>
      <c r="G100" s="7">
        <f t="shared" si="7"/>
        <v>186112.21000000002</v>
      </c>
      <c r="H100" s="7">
        <f t="shared" si="7"/>
        <v>195430.24000000002</v>
      </c>
      <c r="I100" s="7">
        <f t="shared" si="7"/>
        <v>235727.03000000003</v>
      </c>
      <c r="J100" s="7">
        <f t="shared" si="7"/>
        <v>213968.03</v>
      </c>
      <c r="K100" s="7">
        <f t="shared" si="7"/>
        <v>214969.86000000004</v>
      </c>
      <c r="L100" s="7">
        <f>SUM(L24:L98)</f>
        <v>224321.96</v>
      </c>
      <c r="M100" s="7">
        <f>SUM(M24:M98)</f>
        <v>149192.60999999996</v>
      </c>
      <c r="N100" s="7">
        <f>SUM(N24:N98)</f>
        <v>185034.11000000002</v>
      </c>
      <c r="O100" s="7">
        <f>SUM(O24:O98)</f>
        <v>2271154.66</v>
      </c>
    </row>
    <row r="101" spans="1:15">
      <c r="C101" s="6"/>
      <c r="D101" s="6"/>
      <c r="E101" s="6"/>
      <c r="F101" s="6"/>
      <c r="G101" s="6"/>
      <c r="H101" s="6"/>
      <c r="I101" s="6"/>
      <c r="J101" s="6"/>
      <c r="K101" s="6"/>
      <c r="L101" s="6"/>
      <c r="M101" s="6"/>
      <c r="N101" s="6"/>
      <c r="O101" s="6"/>
    </row>
    <row r="102" spans="1:15" ht="13.5" thickBot="1">
      <c r="B102" t="s">
        <v>24</v>
      </c>
      <c r="C102" s="7">
        <f t="shared" ref="C102:K102" si="8">+C20-C100</f>
        <v>24398.840000000055</v>
      </c>
      <c r="D102" s="7">
        <f t="shared" si="8"/>
        <v>21088.369999999966</v>
      </c>
      <c r="E102" s="7">
        <f t="shared" si="8"/>
        <v>32662.399999999994</v>
      </c>
      <c r="F102" s="7">
        <f t="shared" si="8"/>
        <v>6408.3700000000536</v>
      </c>
      <c r="G102" s="7">
        <f t="shared" si="8"/>
        <v>34861.449999999983</v>
      </c>
      <c r="H102" s="7">
        <f t="shared" si="8"/>
        <v>73601.199999999983</v>
      </c>
      <c r="I102" s="7">
        <f t="shared" si="8"/>
        <v>75643.449999999953</v>
      </c>
      <c r="J102" s="7">
        <f t="shared" si="8"/>
        <v>93993.700000000041</v>
      </c>
      <c r="K102" s="7">
        <f t="shared" si="8"/>
        <v>81161.919999999984</v>
      </c>
      <c r="L102" s="7">
        <f>+L20-L100</f>
        <v>52077.619999999966</v>
      </c>
      <c r="M102" s="7">
        <f>+M20-M100</f>
        <v>77473.800000000047</v>
      </c>
      <c r="N102" s="7">
        <f>+N20-N100</f>
        <v>30787.510000000038</v>
      </c>
      <c r="O102" s="7">
        <f>+O20-O100</f>
        <v>604158.62999999896</v>
      </c>
    </row>
    <row r="103" spans="1:15">
      <c r="C103" s="6"/>
      <c r="D103" s="6"/>
      <c r="E103" s="6"/>
      <c r="F103" s="6"/>
      <c r="G103" s="6"/>
      <c r="H103" s="6"/>
      <c r="I103" s="6"/>
      <c r="J103" s="6"/>
      <c r="K103" s="6"/>
      <c r="L103" s="6"/>
      <c r="M103" s="6"/>
      <c r="N103" s="6"/>
      <c r="O103" s="6"/>
    </row>
    <row r="104" spans="1:15">
      <c r="A104" t="s">
        <v>25</v>
      </c>
      <c r="C104" s="6"/>
      <c r="D104" s="6"/>
      <c r="E104" s="6"/>
      <c r="F104" s="6"/>
      <c r="G104" s="6"/>
      <c r="H104" s="6"/>
      <c r="I104" s="6"/>
      <c r="J104" s="6"/>
      <c r="K104" s="6"/>
      <c r="L104" s="6"/>
      <c r="M104" s="6"/>
      <c r="N104" s="6"/>
      <c r="O104" s="6"/>
    </row>
    <row r="105" spans="1:15">
      <c r="A105">
        <v>6110</v>
      </c>
      <c r="B105" t="s">
        <v>79</v>
      </c>
      <c r="C105" s="6">
        <v>0</v>
      </c>
      <c r="D105" s="6">
        <v>0</v>
      </c>
      <c r="E105" s="6">
        <v>0</v>
      </c>
      <c r="F105" s="6">
        <v>0</v>
      </c>
      <c r="G105" s="6">
        <v>0</v>
      </c>
      <c r="H105" s="6">
        <v>0</v>
      </c>
      <c r="I105" s="6">
        <v>0</v>
      </c>
      <c r="J105" s="6">
        <v>0</v>
      </c>
      <c r="K105" s="6">
        <v>0</v>
      </c>
      <c r="L105" s="6">
        <v>0</v>
      </c>
      <c r="M105" s="6">
        <v>0</v>
      </c>
      <c r="N105" s="6">
        <v>0</v>
      </c>
      <c r="O105" s="6">
        <f t="shared" ref="O105:O110" si="9">SUM(C105:N105)</f>
        <v>0</v>
      </c>
    </row>
    <row r="106" spans="1:15">
      <c r="A106">
        <v>6200</v>
      </c>
      <c r="B106" t="s">
        <v>80</v>
      </c>
      <c r="C106" s="6">
        <v>0</v>
      </c>
      <c r="D106" s="6">
        <v>0</v>
      </c>
      <c r="E106" s="6">
        <v>0</v>
      </c>
      <c r="F106" s="6">
        <v>0</v>
      </c>
      <c r="G106" s="6">
        <v>0</v>
      </c>
      <c r="H106" s="6">
        <v>0</v>
      </c>
      <c r="I106" s="6">
        <v>0</v>
      </c>
      <c r="J106" s="6">
        <v>0</v>
      </c>
      <c r="K106" s="6">
        <v>0</v>
      </c>
      <c r="L106" s="6">
        <v>0</v>
      </c>
      <c r="M106" s="6">
        <v>0</v>
      </c>
      <c r="N106" s="6">
        <v>0</v>
      </c>
      <c r="O106" s="6">
        <f t="shared" si="9"/>
        <v>0</v>
      </c>
    </row>
    <row r="107" spans="1:15">
      <c r="A107">
        <v>6455</v>
      </c>
      <c r="B107" t="s">
        <v>386</v>
      </c>
      <c r="C107" s="6">
        <v>0</v>
      </c>
      <c r="D107" s="6">
        <v>0</v>
      </c>
      <c r="E107" s="6">
        <v>0</v>
      </c>
      <c r="F107" s="6">
        <v>0</v>
      </c>
      <c r="G107" s="6">
        <v>0</v>
      </c>
      <c r="H107" s="6">
        <v>0</v>
      </c>
      <c r="I107" s="6">
        <v>0</v>
      </c>
      <c r="J107" s="6">
        <v>0</v>
      </c>
      <c r="K107" s="6">
        <v>0</v>
      </c>
      <c r="L107" s="6">
        <v>0</v>
      </c>
      <c r="M107" s="6">
        <v>0</v>
      </c>
      <c r="N107" s="6">
        <v>0</v>
      </c>
      <c r="O107" s="6">
        <f t="shared" si="9"/>
        <v>0</v>
      </c>
    </row>
    <row r="108" spans="1:15">
      <c r="A108">
        <v>6512</v>
      </c>
      <c r="B108" t="s">
        <v>81</v>
      </c>
      <c r="C108" s="6">
        <v>287.11</v>
      </c>
      <c r="D108" s="6">
        <v>30.4</v>
      </c>
      <c r="E108" s="6">
        <v>37.840000000000003</v>
      </c>
      <c r="F108" s="6">
        <v>16.88</v>
      </c>
      <c r="G108" s="6">
        <v>189.54</v>
      </c>
      <c r="H108" s="6">
        <v>319.66000000000003</v>
      </c>
      <c r="I108" s="6">
        <v>16.21</v>
      </c>
      <c r="J108" s="6">
        <v>16.14</v>
      </c>
      <c r="K108" s="6">
        <v>14.99</v>
      </c>
      <c r="L108" s="6">
        <v>11.68</v>
      </c>
      <c r="M108" s="6">
        <v>11.27</v>
      </c>
      <c r="N108" s="6">
        <v>1034.58</v>
      </c>
      <c r="O108" s="6">
        <f t="shared" si="9"/>
        <v>1986.3</v>
      </c>
    </row>
    <row r="109" spans="1:15">
      <c r="A109">
        <v>6514</v>
      </c>
      <c r="B109" t="s">
        <v>82</v>
      </c>
      <c r="C109" s="6">
        <v>0</v>
      </c>
      <c r="D109" s="6">
        <v>0</v>
      </c>
      <c r="E109" s="6">
        <v>0</v>
      </c>
      <c r="F109" s="6">
        <v>0</v>
      </c>
      <c r="G109" s="6">
        <v>0</v>
      </c>
      <c r="H109" s="6">
        <v>0</v>
      </c>
      <c r="I109" s="6">
        <v>0</v>
      </c>
      <c r="J109" s="6">
        <v>0</v>
      </c>
      <c r="K109" s="6">
        <v>0</v>
      </c>
      <c r="L109" s="6">
        <v>0</v>
      </c>
      <c r="M109" s="6">
        <v>0</v>
      </c>
      <c r="N109" s="6">
        <v>0</v>
      </c>
      <c r="O109" s="6">
        <f t="shared" si="9"/>
        <v>0</v>
      </c>
    </row>
    <row r="110" spans="1:15">
      <c r="A110">
        <v>7110</v>
      </c>
      <c r="B110" t="s">
        <v>83</v>
      </c>
      <c r="C110" s="6">
        <v>-1281.1600000000001</v>
      </c>
      <c r="D110" s="6">
        <v>-1250.31</v>
      </c>
      <c r="E110" s="6">
        <v>-1387.57</v>
      </c>
      <c r="F110" s="6">
        <v>-1188.22</v>
      </c>
      <c r="G110" s="6">
        <v>-1156.99</v>
      </c>
      <c r="H110" s="6">
        <v>-1125.6199999999999</v>
      </c>
      <c r="I110" s="6">
        <v>-1094.1300000000001</v>
      </c>
      <c r="J110" s="6">
        <v>-1062.53</v>
      </c>
      <c r="K110" s="6">
        <v>-1030.78</v>
      </c>
      <c r="L110" s="6">
        <v>-998.9</v>
      </c>
      <c r="M110" s="6">
        <v>-966.9</v>
      </c>
      <c r="N110" s="6">
        <v>-941.24</v>
      </c>
      <c r="O110" s="6">
        <f t="shared" si="9"/>
        <v>-13484.35</v>
      </c>
    </row>
    <row r="111" spans="1:15" ht="13.5" thickBot="1">
      <c r="A111">
        <v>6120</v>
      </c>
      <c r="B111" t="s">
        <v>84</v>
      </c>
      <c r="C111" s="7"/>
      <c r="D111" s="7"/>
      <c r="E111" s="7"/>
      <c r="F111" s="7"/>
      <c r="G111" s="7"/>
      <c r="H111" s="7"/>
      <c r="I111" s="7"/>
      <c r="J111" s="7"/>
      <c r="K111" s="7"/>
      <c r="L111" s="7"/>
      <c r="M111" s="7"/>
      <c r="N111" s="7">
        <v>3628.1</v>
      </c>
      <c r="O111" s="7">
        <f>SUM(C111:N111)</f>
        <v>3628.1</v>
      </c>
    </row>
    <row r="112" spans="1:15">
      <c r="C112" s="6"/>
      <c r="D112" s="6"/>
      <c r="E112" s="6"/>
      <c r="F112" s="6"/>
      <c r="G112" s="6"/>
      <c r="H112" s="6"/>
      <c r="I112" s="6"/>
      <c r="J112" s="6"/>
      <c r="K112" s="6"/>
      <c r="L112" s="6"/>
      <c r="M112" s="6"/>
      <c r="N112" s="6"/>
      <c r="O112" s="6"/>
    </row>
    <row r="113" spans="2:15" ht="13.5" thickBot="1">
      <c r="B113" t="s">
        <v>26</v>
      </c>
      <c r="C113" s="7">
        <f t="shared" ref="C113:K113" si="10">SUM(C105:C111)</f>
        <v>-994.05000000000007</v>
      </c>
      <c r="D113" s="7">
        <f t="shared" si="10"/>
        <v>-1219.9099999999999</v>
      </c>
      <c r="E113" s="7">
        <f t="shared" si="10"/>
        <v>-1349.73</v>
      </c>
      <c r="F113" s="7">
        <f t="shared" si="10"/>
        <v>-1171.3399999999999</v>
      </c>
      <c r="G113" s="7">
        <f t="shared" si="10"/>
        <v>-967.45</v>
      </c>
      <c r="H113" s="7">
        <f t="shared" si="10"/>
        <v>-805.95999999999981</v>
      </c>
      <c r="I113" s="7">
        <f t="shared" si="10"/>
        <v>-1077.92</v>
      </c>
      <c r="J113" s="7">
        <f t="shared" si="10"/>
        <v>-1046.3899999999999</v>
      </c>
      <c r="K113" s="7">
        <f t="shared" si="10"/>
        <v>-1015.79</v>
      </c>
      <c r="L113" s="7">
        <f t="shared" ref="L113:O113" si="11">SUM(L105:L111)</f>
        <v>-987.22</v>
      </c>
      <c r="M113" s="7">
        <f t="shared" si="11"/>
        <v>-955.63</v>
      </c>
      <c r="N113" s="7">
        <f t="shared" si="11"/>
        <v>3721.4399999999996</v>
      </c>
      <c r="O113" s="7">
        <f t="shared" si="11"/>
        <v>-7869.9500000000007</v>
      </c>
    </row>
    <row r="114" spans="2:15">
      <c r="C114" s="6"/>
      <c r="D114" s="6"/>
      <c r="E114" s="6"/>
      <c r="F114" s="6"/>
      <c r="G114" s="6"/>
      <c r="H114" s="6"/>
      <c r="I114" s="6"/>
      <c r="J114" s="6"/>
      <c r="K114" s="6"/>
      <c r="L114" s="6"/>
      <c r="M114" s="6"/>
      <c r="N114" s="6"/>
      <c r="O114" s="6"/>
    </row>
    <row r="115" spans="2:15" ht="13.5" thickBot="1">
      <c r="B115" t="s">
        <v>27</v>
      </c>
      <c r="C115" s="7">
        <f t="shared" ref="C115:K115" si="12">+C102+C113</f>
        <v>23404.790000000055</v>
      </c>
      <c r="D115" s="7">
        <f t="shared" si="12"/>
        <v>19868.459999999966</v>
      </c>
      <c r="E115" s="7">
        <f t="shared" si="12"/>
        <v>31312.669999999995</v>
      </c>
      <c r="F115" s="7">
        <f t="shared" si="12"/>
        <v>5237.0300000000534</v>
      </c>
      <c r="G115" s="7">
        <f t="shared" si="12"/>
        <v>33893.999999999985</v>
      </c>
      <c r="H115" s="7">
        <f t="shared" si="12"/>
        <v>72795.239999999976</v>
      </c>
      <c r="I115" s="7">
        <f t="shared" si="12"/>
        <v>74565.529999999955</v>
      </c>
      <c r="J115" s="7">
        <f t="shared" si="12"/>
        <v>92947.310000000041</v>
      </c>
      <c r="K115" s="7">
        <f t="shared" si="12"/>
        <v>80146.12999999999</v>
      </c>
      <c r="L115" s="7">
        <f t="shared" ref="L115:O115" si="13">+L102+L113</f>
        <v>51090.399999999965</v>
      </c>
      <c r="M115" s="7">
        <f t="shared" si="13"/>
        <v>76518.170000000042</v>
      </c>
      <c r="N115" s="7">
        <f t="shared" si="13"/>
        <v>34508.950000000041</v>
      </c>
      <c r="O115" s="7">
        <f t="shared" si="13"/>
        <v>596288.679999999</v>
      </c>
    </row>
    <row r="116" spans="2:15">
      <c r="C116" s="6"/>
      <c r="D116" s="6"/>
      <c r="E116" s="6"/>
      <c r="F116" s="6"/>
      <c r="G116" s="6"/>
      <c r="H116" s="6"/>
      <c r="I116" s="6"/>
      <c r="J116" s="6"/>
      <c r="K116" s="6"/>
      <c r="L116" s="6"/>
      <c r="M116" s="6"/>
      <c r="N116" s="6"/>
      <c r="O116" s="6"/>
    </row>
    <row r="117" spans="2:15" ht="13.5" thickBot="1">
      <c r="B117" t="s">
        <v>28</v>
      </c>
      <c r="C117" s="8">
        <f t="shared" ref="C117:K117" si="14">+C115</f>
        <v>23404.790000000055</v>
      </c>
      <c r="D117" s="8">
        <f t="shared" si="14"/>
        <v>19868.459999999966</v>
      </c>
      <c r="E117" s="8">
        <f t="shared" si="14"/>
        <v>31312.669999999995</v>
      </c>
      <c r="F117" s="8">
        <f t="shared" si="14"/>
        <v>5237.0300000000534</v>
      </c>
      <c r="G117" s="8">
        <f t="shared" si="14"/>
        <v>33893.999999999985</v>
      </c>
      <c r="H117" s="8">
        <f t="shared" si="14"/>
        <v>72795.239999999976</v>
      </c>
      <c r="I117" s="8">
        <f t="shared" si="14"/>
        <v>74565.529999999955</v>
      </c>
      <c r="J117" s="8">
        <f t="shared" si="14"/>
        <v>92947.310000000041</v>
      </c>
      <c r="K117" s="8">
        <f t="shared" si="14"/>
        <v>80146.12999999999</v>
      </c>
      <c r="L117" s="8">
        <f t="shared" ref="L117:O117" si="15">+L115</f>
        <v>51090.399999999965</v>
      </c>
      <c r="M117" s="8">
        <f t="shared" si="15"/>
        <v>76518.170000000042</v>
      </c>
      <c r="N117" s="8">
        <f t="shared" si="15"/>
        <v>34508.950000000041</v>
      </c>
      <c r="O117" s="8">
        <f t="shared" si="15"/>
        <v>596288.679999999</v>
      </c>
    </row>
    <row r="118" spans="2:15" ht="13.5" thickTop="1">
      <c r="C118" s="6"/>
      <c r="D118" s="6"/>
      <c r="E118" s="6"/>
      <c r="F118" s="6"/>
      <c r="G118" s="6"/>
      <c r="H118" s="6"/>
      <c r="I118" s="6"/>
      <c r="J118" s="6"/>
      <c r="K118" s="6"/>
      <c r="L118" s="6"/>
      <c r="M118" s="6"/>
      <c r="N118" s="6"/>
      <c r="O118" s="6"/>
    </row>
    <row r="119" spans="2:15">
      <c r="C119" s="6"/>
      <c r="D119" s="6"/>
      <c r="E119" s="6"/>
      <c r="F119" s="6"/>
      <c r="G119" s="6"/>
      <c r="H119" s="6"/>
      <c r="I119" s="6"/>
      <c r="J119" s="6"/>
      <c r="K119" s="6"/>
      <c r="L119" s="6"/>
      <c r="M119" s="6"/>
      <c r="N119" s="6"/>
      <c r="O119" s="6"/>
    </row>
    <row r="120" spans="2:15">
      <c r="C120" s="6"/>
      <c r="D120" s="6"/>
      <c r="E120" s="6"/>
      <c r="F120" s="6"/>
      <c r="G120" s="6"/>
      <c r="H120" s="6"/>
      <c r="I120" s="6"/>
      <c r="J120" s="6"/>
      <c r="K120" s="6"/>
      <c r="L120" s="6"/>
      <c r="M120" s="6"/>
      <c r="N120" s="6"/>
      <c r="O120" s="6"/>
    </row>
    <row r="121" spans="2:15">
      <c r="C121" s="6"/>
      <c r="D121" s="6"/>
      <c r="E121" s="6"/>
      <c r="F121" s="6"/>
      <c r="G121" s="6"/>
      <c r="H121" s="6"/>
      <c r="I121" s="6"/>
      <c r="J121" s="6"/>
      <c r="K121" s="6"/>
      <c r="L121" s="6"/>
      <c r="M121" s="6"/>
      <c r="N121" s="6"/>
      <c r="O121" s="6"/>
    </row>
    <row r="122" spans="2:15">
      <c r="C122" s="6"/>
      <c r="D122" s="6"/>
      <c r="E122" s="6"/>
      <c r="F122" s="6"/>
      <c r="G122" s="6"/>
      <c r="H122" s="6"/>
      <c r="I122" s="6"/>
      <c r="J122" s="6"/>
      <c r="K122" s="6"/>
      <c r="L122" s="6"/>
      <c r="M122" s="6"/>
      <c r="N122" s="6"/>
      <c r="O122" s="6"/>
    </row>
    <row r="123" spans="2:15">
      <c r="C123" s="6"/>
      <c r="D123" s="6"/>
      <c r="E123" s="6"/>
      <c r="F123" s="6"/>
      <c r="G123" s="6"/>
      <c r="H123" s="6"/>
      <c r="I123" s="6"/>
      <c r="J123" s="6"/>
      <c r="K123" s="6"/>
      <c r="L123" s="6"/>
      <c r="M123" s="6"/>
      <c r="N123" s="6"/>
      <c r="O123" s="6"/>
    </row>
    <row r="124" spans="2:15">
      <c r="C124" s="6"/>
      <c r="D124" s="6"/>
      <c r="E124" s="6"/>
      <c r="F124" s="6"/>
      <c r="G124" s="6"/>
      <c r="H124" s="6"/>
      <c r="I124" s="6"/>
      <c r="J124" s="6"/>
      <c r="K124" s="6"/>
      <c r="L124" s="6"/>
      <c r="M124" s="6"/>
      <c r="N124" s="6"/>
      <c r="O124" s="6"/>
    </row>
    <row r="125" spans="2:15">
      <c r="C125" s="6"/>
      <c r="D125" s="6"/>
      <c r="E125" s="6"/>
      <c r="F125" s="6"/>
      <c r="G125" s="6"/>
      <c r="H125" s="6"/>
      <c r="I125" s="6"/>
      <c r="J125" s="6"/>
      <c r="K125" s="6"/>
      <c r="L125" s="6"/>
      <c r="M125" s="6"/>
      <c r="N125" s="6"/>
      <c r="O125" s="6"/>
    </row>
    <row r="126" spans="2:15">
      <c r="C126" s="6"/>
      <c r="D126" s="6"/>
      <c r="E126" s="6"/>
      <c r="F126" s="6"/>
      <c r="G126" s="6"/>
      <c r="H126" s="6"/>
      <c r="I126" s="6"/>
      <c r="J126" s="6"/>
      <c r="K126" s="6"/>
      <c r="L126" s="6"/>
      <c r="M126" s="6"/>
      <c r="N126" s="6"/>
      <c r="O126" s="6"/>
    </row>
    <row r="127" spans="2:15">
      <c r="C127" s="6"/>
      <c r="D127" s="6"/>
      <c r="E127" s="6"/>
      <c r="F127" s="6"/>
      <c r="G127" s="6"/>
      <c r="H127" s="6"/>
      <c r="I127" s="6"/>
      <c r="J127" s="6"/>
      <c r="K127" s="6"/>
      <c r="L127" s="6"/>
      <c r="M127" s="6"/>
      <c r="N127" s="6"/>
      <c r="O127" s="6"/>
    </row>
    <row r="128" spans="2:15">
      <c r="C128" s="6"/>
      <c r="D128" s="6"/>
      <c r="E128" s="6"/>
      <c r="F128" s="6"/>
      <c r="G128" s="6"/>
      <c r="H128" s="6"/>
      <c r="I128" s="6"/>
      <c r="J128" s="6"/>
      <c r="K128" s="6"/>
      <c r="L128" s="6"/>
      <c r="M128" s="6"/>
      <c r="N128" s="6"/>
      <c r="O128" s="6"/>
    </row>
    <row r="129" spans="3:15">
      <c r="C129" s="6"/>
      <c r="D129" s="6"/>
      <c r="E129" s="6"/>
      <c r="F129" s="6"/>
      <c r="G129" s="6"/>
      <c r="H129" s="6"/>
      <c r="I129" s="6"/>
      <c r="J129" s="6"/>
      <c r="K129" s="6"/>
      <c r="L129" s="6"/>
      <c r="M129" s="6"/>
      <c r="N129" s="6"/>
      <c r="O129" s="6"/>
    </row>
    <row r="130" spans="3:15">
      <c r="C130" s="6"/>
      <c r="D130" s="6"/>
      <c r="E130" s="6"/>
      <c r="F130" s="6"/>
      <c r="G130" s="6"/>
      <c r="H130" s="6"/>
      <c r="I130" s="6"/>
      <c r="J130" s="6"/>
      <c r="K130" s="6"/>
      <c r="L130" s="6"/>
      <c r="M130" s="6"/>
      <c r="N130" s="6"/>
      <c r="O130" s="6"/>
    </row>
    <row r="131" spans="3:15">
      <c r="C131" s="6"/>
      <c r="D131" s="6"/>
      <c r="E131" s="6"/>
      <c r="F131" s="6"/>
      <c r="G131" s="6"/>
      <c r="H131" s="6"/>
      <c r="I131" s="6"/>
      <c r="J131" s="6"/>
      <c r="K131" s="6"/>
      <c r="L131" s="6"/>
      <c r="M131" s="6"/>
      <c r="N131" s="6"/>
      <c r="O131" s="6"/>
    </row>
    <row r="132" spans="3:15">
      <c r="C132" s="6"/>
      <c r="D132" s="6"/>
      <c r="E132" s="6"/>
      <c r="F132" s="6"/>
      <c r="G132" s="6"/>
      <c r="H132" s="6"/>
      <c r="I132" s="6"/>
      <c r="J132" s="6"/>
      <c r="K132" s="6"/>
      <c r="L132" s="6"/>
      <c r="M132" s="6"/>
      <c r="N132" s="6"/>
      <c r="O132" s="6"/>
    </row>
    <row r="133" spans="3:15">
      <c r="C133" s="6"/>
      <c r="D133" s="6"/>
      <c r="E133" s="6"/>
      <c r="F133" s="6"/>
      <c r="G133" s="6"/>
      <c r="H133" s="6"/>
      <c r="I133" s="6"/>
      <c r="J133" s="6"/>
      <c r="K133" s="6"/>
      <c r="L133" s="6"/>
      <c r="M133" s="6"/>
      <c r="N133" s="6"/>
      <c r="O133" s="6"/>
    </row>
  </sheetData>
  <phoneticPr fontId="0" type="noConversion"/>
  <pageMargins left="0.23" right="0.59" top="0.49" bottom="0.5" header="0.49" footer="0.5"/>
  <pageSetup scale="70" fitToHeight="2"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0"/>
  <sheetViews>
    <sheetView zoomScale="98" zoomScaleNormal="98" workbookViewId="0">
      <pane xSplit="2" ySplit="9" topLeftCell="C55" activePane="bottomRight" state="frozen"/>
      <selection pane="topRight" activeCell="C1" sqref="C1"/>
      <selection pane="bottomLeft" activeCell="A10" sqref="A10"/>
      <selection pane="bottomRight" activeCell="L3" sqref="L3"/>
    </sheetView>
  </sheetViews>
  <sheetFormatPr defaultRowHeight="12.75"/>
  <cols>
    <col min="2" max="2" width="10.140625" customWidth="1"/>
    <col min="5" max="5" width="13.42578125" customWidth="1"/>
    <col min="6" max="6" width="11.28515625" customWidth="1"/>
    <col min="7" max="7" width="12.7109375" customWidth="1"/>
    <col min="9" max="9" width="10.28515625" bestFit="1" customWidth="1"/>
    <col min="10" max="10" width="13.28515625" customWidth="1"/>
    <col min="11" max="11" width="10.42578125" customWidth="1"/>
    <col min="15" max="15" width="13.85546875" customWidth="1"/>
    <col min="16" max="16" width="14.28515625" bestFit="1" customWidth="1"/>
    <col min="17" max="17" width="14.7109375" bestFit="1" customWidth="1"/>
    <col min="18" max="18" width="10.42578125" bestFit="1" customWidth="1"/>
  </cols>
  <sheetData>
    <row r="1" spans="1:16" ht="13.5" thickBot="1">
      <c r="A1" t="s">
        <v>0</v>
      </c>
      <c r="G1" t="s">
        <v>466</v>
      </c>
      <c r="J1" t="s">
        <v>465</v>
      </c>
    </row>
    <row r="2" spans="1:16" ht="13.5" thickBot="1">
      <c r="A2" t="s">
        <v>464</v>
      </c>
      <c r="G2" s="10">
        <f>+H2/E78</f>
        <v>4.3104970529367827E-2</v>
      </c>
      <c r="H2" s="141">
        <f>+'Lurito-Chelan'!E10</f>
        <v>65735.21109639635</v>
      </c>
      <c r="I2" t="s">
        <v>452</v>
      </c>
      <c r="J2" s="140">
        <f>+J80</f>
        <v>0</v>
      </c>
      <c r="K2" s="139">
        <f>+J2/E78</f>
        <v>0</v>
      </c>
      <c r="L2" s="138">
        <v>0</v>
      </c>
      <c r="N2" t="str">
        <f>IF(C78='Service Counts'!I76,"OK","Error")</f>
        <v>OK</v>
      </c>
      <c r="O2" t="s">
        <v>199</v>
      </c>
    </row>
    <row r="3" spans="1:16">
      <c r="A3" s="109" t="s">
        <v>1345</v>
      </c>
      <c r="H3" s="10">
        <f>+G2</f>
        <v>4.3104970529367827E-2</v>
      </c>
      <c r="I3" t="s">
        <v>463</v>
      </c>
    </row>
    <row r="4" spans="1:16">
      <c r="E4" s="693" t="s">
        <v>1414</v>
      </c>
      <c r="F4" s="693" t="s">
        <v>691</v>
      </c>
      <c r="H4" s="10">
        <f>+G2</f>
        <v>4.3104970529367827E-2</v>
      </c>
      <c r="I4" t="s">
        <v>462</v>
      </c>
      <c r="M4" t="s">
        <v>1176</v>
      </c>
    </row>
    <row r="5" spans="1:16">
      <c r="M5" s="447">
        <v>0</v>
      </c>
    </row>
    <row r="6" spans="1:16" ht="13.5" thickBot="1">
      <c r="A6" s="137" t="s">
        <v>461</v>
      </c>
      <c r="B6" s="5"/>
      <c r="C6" s="5"/>
    </row>
    <row r="7" spans="1:16">
      <c r="F7" s="136"/>
      <c r="G7" s="135" t="s">
        <v>458</v>
      </c>
      <c r="H7" s="134"/>
      <c r="I7" s="136"/>
      <c r="J7" s="135" t="s">
        <v>99</v>
      </c>
      <c r="K7" s="134"/>
    </row>
    <row r="8" spans="1:16">
      <c r="C8" s="2" t="s">
        <v>460</v>
      </c>
      <c r="D8" s="93" t="s">
        <v>459</v>
      </c>
      <c r="E8" s="93" t="s">
        <v>456</v>
      </c>
      <c r="F8" s="133" t="s">
        <v>458</v>
      </c>
      <c r="G8" s="93" t="s">
        <v>456</v>
      </c>
      <c r="H8" s="132" t="s">
        <v>455</v>
      </c>
      <c r="I8" s="133" t="s">
        <v>457</v>
      </c>
      <c r="J8" s="93" t="s">
        <v>456</v>
      </c>
      <c r="K8" s="132" t="s">
        <v>455</v>
      </c>
      <c r="M8" s="128"/>
      <c r="O8" s="445" t="s">
        <v>1177</v>
      </c>
      <c r="P8" s="445" t="s">
        <v>1178</v>
      </c>
    </row>
    <row r="9" spans="1:16" ht="13.5" thickBot="1">
      <c r="A9" s="5" t="s">
        <v>454</v>
      </c>
      <c r="B9" s="5"/>
      <c r="C9" s="20" t="s">
        <v>199</v>
      </c>
      <c r="D9" s="131" t="s">
        <v>100</v>
      </c>
      <c r="E9" s="131" t="s">
        <v>2</v>
      </c>
      <c r="F9" s="130" t="s">
        <v>453</v>
      </c>
      <c r="G9" s="20" t="s">
        <v>2</v>
      </c>
      <c r="H9" s="129" t="s">
        <v>452</v>
      </c>
      <c r="I9" s="130" t="s">
        <v>453</v>
      </c>
      <c r="J9" s="20" t="s">
        <v>2</v>
      </c>
      <c r="K9" s="129" t="s">
        <v>452</v>
      </c>
      <c r="M9" s="128"/>
      <c r="O9" s="445" t="s">
        <v>100</v>
      </c>
      <c r="P9" s="445" t="s">
        <v>1179</v>
      </c>
    </row>
    <row r="10" spans="1:16">
      <c r="A10" t="s">
        <v>451</v>
      </c>
      <c r="O10" s="442"/>
      <c r="P10" s="442"/>
    </row>
    <row r="11" spans="1:16">
      <c r="A11" t="s">
        <v>450</v>
      </c>
      <c r="C11" s="122">
        <f>+'Service Counts'!I10</f>
        <v>24</v>
      </c>
      <c r="D11" s="63">
        <f>+'Service Counts'!G10</f>
        <v>16.149999999999999</v>
      </c>
      <c r="E11" s="56">
        <f t="shared" ref="E11:E34" si="0">+C11*D11</f>
        <v>387.59999999999997</v>
      </c>
      <c r="F11" s="63">
        <f>+D11*(1+$H$4)</f>
        <v>16.846145274049288</v>
      </c>
      <c r="G11" s="63">
        <f t="shared" ref="G11:G34" si="1">+C11*F11</f>
        <v>404.30748657718289</v>
      </c>
      <c r="H11" s="10">
        <f t="shared" ref="H11:H34" si="2">+IF(C11=0,0,(G11-E11)/E11)</f>
        <v>4.3104970529367702E-2</v>
      </c>
      <c r="I11" s="126">
        <v>16.149999999999999</v>
      </c>
      <c r="J11" s="63">
        <f t="shared" ref="J11:J34" si="3">+C11*I11</f>
        <v>387.59999999999997</v>
      </c>
      <c r="K11" s="10">
        <f>+IF(C11=0,0,(J11-E11)/E11)</f>
        <v>0</v>
      </c>
      <c r="L11" s="63">
        <f>+D11*(1+$L$2)</f>
        <v>16.149999999999999</v>
      </c>
      <c r="M11" s="94">
        <f>(L11-D11)/D11</f>
        <v>0</v>
      </c>
      <c r="N11" s="84"/>
      <c r="O11" s="442">
        <f>ROUND(D11*(1+$M$5),2)</f>
        <v>16.149999999999999</v>
      </c>
      <c r="P11" s="446">
        <f>C11*O11</f>
        <v>387.59999999999997</v>
      </c>
    </row>
    <row r="12" spans="1:16">
      <c r="A12" s="402" t="s">
        <v>449</v>
      </c>
      <c r="C12" s="122">
        <f>+'Service Counts'!I11</f>
        <v>29</v>
      </c>
      <c r="D12" s="63">
        <f>+'Service Counts'!G11</f>
        <v>9.5</v>
      </c>
      <c r="E12" s="56">
        <f t="shared" si="0"/>
        <v>275.5</v>
      </c>
      <c r="F12" s="63">
        <f t="shared" ref="F12:F34" si="4">+D12*(1+$H$4)</f>
        <v>9.9094972200289941</v>
      </c>
      <c r="G12" s="63">
        <f t="shared" si="1"/>
        <v>287.37541938084081</v>
      </c>
      <c r="H12" s="10">
        <f t="shared" si="2"/>
        <v>4.310497052936773E-2</v>
      </c>
      <c r="I12" s="126">
        <v>9.5</v>
      </c>
      <c r="J12" s="53">
        <f t="shared" si="3"/>
        <v>275.5</v>
      </c>
      <c r="K12" s="10">
        <f t="shared" ref="K12:K34" si="5">+IF(C12=0,0,(J12-E12)/E12)</f>
        <v>0</v>
      </c>
      <c r="L12" s="63">
        <f t="shared" ref="L12:L34" si="6">+D12*(1+$L$2)</f>
        <v>9.5</v>
      </c>
      <c r="M12" s="94">
        <f t="shared" ref="M12:M18" si="7">(L12-D12)/D12</f>
        <v>0</v>
      </c>
      <c r="N12" s="84"/>
      <c r="O12" s="442">
        <f t="shared" ref="O12:O34" si="8">ROUND(D12*(1+$M$5),2)</f>
        <v>9.5</v>
      </c>
      <c r="P12" s="446">
        <f t="shared" ref="P12:P74" si="9">C12*O12</f>
        <v>275.5</v>
      </c>
    </row>
    <row r="13" spans="1:16">
      <c r="A13" s="402" t="s">
        <v>448</v>
      </c>
      <c r="C13" s="122">
        <f>+'Service Counts'!I12</f>
        <v>14</v>
      </c>
      <c r="D13" s="63">
        <f>+'Service Counts'!G12</f>
        <v>13.85</v>
      </c>
      <c r="E13" s="6">
        <f t="shared" si="0"/>
        <v>193.9</v>
      </c>
      <c r="F13" s="63">
        <f t="shared" si="4"/>
        <v>14.447003841831744</v>
      </c>
      <c r="G13" s="53">
        <f t="shared" si="1"/>
        <v>202.25805378564442</v>
      </c>
      <c r="H13" s="10">
        <f t="shared" si="2"/>
        <v>4.3104970529367792E-2</v>
      </c>
      <c r="I13" s="126">
        <v>13.85</v>
      </c>
      <c r="J13" s="53">
        <f t="shared" si="3"/>
        <v>193.9</v>
      </c>
      <c r="K13" s="10">
        <f t="shared" si="5"/>
        <v>0</v>
      </c>
      <c r="L13" s="63">
        <f>+D13*(1+$L$2)</f>
        <v>13.85</v>
      </c>
      <c r="M13" s="94">
        <f t="shared" si="7"/>
        <v>0</v>
      </c>
      <c r="N13" s="84"/>
      <c r="O13" s="442">
        <f t="shared" si="8"/>
        <v>13.85</v>
      </c>
      <c r="P13" s="446">
        <f t="shared" si="9"/>
        <v>193.9</v>
      </c>
    </row>
    <row r="14" spans="1:16">
      <c r="A14" s="402" t="s">
        <v>447</v>
      </c>
      <c r="C14" s="122">
        <f>+'Service Counts'!I13</f>
        <v>7</v>
      </c>
      <c r="D14" s="63">
        <f>+'Service Counts'!G13</f>
        <v>18.2</v>
      </c>
      <c r="E14" s="6">
        <f t="shared" si="0"/>
        <v>127.39999999999999</v>
      </c>
      <c r="F14" s="63">
        <f t="shared" si="4"/>
        <v>18.984510463634493</v>
      </c>
      <c r="G14" s="53">
        <f t="shared" si="1"/>
        <v>132.89157324544146</v>
      </c>
      <c r="H14" s="10">
        <f t="shared" si="2"/>
        <v>4.3104970529367917E-2</v>
      </c>
      <c r="I14" s="126">
        <v>18.2</v>
      </c>
      <c r="J14" s="53">
        <f t="shared" si="3"/>
        <v>127.39999999999999</v>
      </c>
      <c r="K14" s="10">
        <f t="shared" si="5"/>
        <v>0</v>
      </c>
      <c r="L14" s="63">
        <f t="shared" si="6"/>
        <v>18.2</v>
      </c>
      <c r="M14" s="94">
        <f t="shared" si="7"/>
        <v>0</v>
      </c>
      <c r="N14" s="84"/>
      <c r="O14" s="442">
        <f t="shared" si="8"/>
        <v>18.2</v>
      </c>
      <c r="P14" s="446">
        <f t="shared" si="9"/>
        <v>127.39999999999999</v>
      </c>
    </row>
    <row r="15" spans="1:16">
      <c r="A15" t="s">
        <v>446</v>
      </c>
      <c r="C15" s="122">
        <f>+'Service Counts'!I14</f>
        <v>494.1</v>
      </c>
      <c r="D15" s="63">
        <f>+'Service Counts'!G14</f>
        <v>19.850000000000001</v>
      </c>
      <c r="E15" s="6">
        <f t="shared" si="0"/>
        <v>9807.885000000002</v>
      </c>
      <c r="F15" s="63">
        <f t="shared" si="4"/>
        <v>20.705633665007952</v>
      </c>
      <c r="G15" s="53">
        <f t="shared" si="1"/>
        <v>10230.65359388043</v>
      </c>
      <c r="H15" s="10">
        <f t="shared" si="2"/>
        <v>4.3104970529367737E-2</v>
      </c>
      <c r="I15" s="126">
        <v>19.850000000000001</v>
      </c>
      <c r="J15" s="53">
        <f t="shared" si="3"/>
        <v>9807.885000000002</v>
      </c>
      <c r="K15" s="10">
        <f t="shared" si="5"/>
        <v>0</v>
      </c>
      <c r="L15" s="63">
        <f t="shared" si="6"/>
        <v>19.850000000000001</v>
      </c>
      <c r="M15" s="94">
        <f t="shared" si="7"/>
        <v>0</v>
      </c>
      <c r="N15" s="84"/>
      <c r="O15" s="442">
        <f t="shared" si="8"/>
        <v>19.850000000000001</v>
      </c>
      <c r="P15" s="446">
        <f t="shared" si="9"/>
        <v>9807.885000000002</v>
      </c>
    </row>
    <row r="16" spans="1:16">
      <c r="A16" t="s">
        <v>445</v>
      </c>
      <c r="C16" s="122">
        <f>+'Service Counts'!I15</f>
        <v>312.7</v>
      </c>
      <c r="D16" s="63">
        <f>+'Service Counts'!G15</f>
        <v>24.4</v>
      </c>
      <c r="E16" s="6">
        <f t="shared" si="0"/>
        <v>7629.8799999999992</v>
      </c>
      <c r="F16" s="63">
        <f t="shared" si="4"/>
        <v>25.451761280916571</v>
      </c>
      <c r="G16" s="53">
        <f t="shared" si="1"/>
        <v>7958.7657525426112</v>
      </c>
      <c r="H16" s="10">
        <f t="shared" si="2"/>
        <v>4.3104970529367695E-2</v>
      </c>
      <c r="I16" s="126">
        <v>24.4</v>
      </c>
      <c r="J16" s="53">
        <f t="shared" si="3"/>
        <v>7629.8799999999992</v>
      </c>
      <c r="K16" s="10">
        <f t="shared" si="5"/>
        <v>0</v>
      </c>
      <c r="L16" s="63">
        <f t="shared" si="6"/>
        <v>24.4</v>
      </c>
      <c r="M16" s="94">
        <f t="shared" si="7"/>
        <v>0</v>
      </c>
      <c r="N16" s="63"/>
      <c r="O16" s="442">
        <f t="shared" si="8"/>
        <v>24.4</v>
      </c>
      <c r="P16" s="446">
        <f t="shared" si="9"/>
        <v>7629.8799999999992</v>
      </c>
    </row>
    <row r="17" spans="1:16">
      <c r="A17" t="s">
        <v>444</v>
      </c>
      <c r="C17" s="122">
        <f>+'Service Counts'!I16</f>
        <v>41.95</v>
      </c>
      <c r="D17" s="63">
        <f>+'Service Counts'!G16</f>
        <v>30.6</v>
      </c>
      <c r="E17" s="6">
        <f t="shared" si="0"/>
        <v>1283.67</v>
      </c>
      <c r="F17" s="63">
        <f t="shared" si="4"/>
        <v>31.919012098198657</v>
      </c>
      <c r="G17" s="53">
        <f t="shared" si="1"/>
        <v>1339.0025575194338</v>
      </c>
      <c r="H17" s="10">
        <f t="shared" si="2"/>
        <v>4.3104970529367945E-2</v>
      </c>
      <c r="I17" s="126">
        <v>30.6</v>
      </c>
      <c r="J17" s="53">
        <f t="shared" si="3"/>
        <v>1283.67</v>
      </c>
      <c r="K17" s="10">
        <f t="shared" si="5"/>
        <v>0</v>
      </c>
      <c r="L17" s="63">
        <f t="shared" si="6"/>
        <v>30.6</v>
      </c>
      <c r="M17" s="94">
        <f t="shared" si="7"/>
        <v>0</v>
      </c>
      <c r="N17" s="63"/>
      <c r="O17" s="442">
        <f t="shared" si="8"/>
        <v>30.6</v>
      </c>
      <c r="P17" s="446">
        <f t="shared" si="9"/>
        <v>1283.67</v>
      </c>
    </row>
    <row r="18" spans="1:16">
      <c r="A18" t="s">
        <v>443</v>
      </c>
      <c r="C18" s="122">
        <f>+'Service Counts'!I17</f>
        <v>16.649999999999999</v>
      </c>
      <c r="D18" s="63">
        <f>+'Service Counts'!G17</f>
        <v>37.25</v>
      </c>
      <c r="E18" s="6">
        <f t="shared" si="0"/>
        <v>620.21249999999998</v>
      </c>
      <c r="F18" s="63">
        <f t="shared" si="4"/>
        <v>38.855660152218952</v>
      </c>
      <c r="G18" s="53">
        <f t="shared" si="1"/>
        <v>646.94674153444555</v>
      </c>
      <c r="H18" s="10">
        <f t="shared" si="2"/>
        <v>4.3104970529367875E-2</v>
      </c>
      <c r="I18" s="126">
        <v>37.25</v>
      </c>
      <c r="J18" s="53">
        <f t="shared" si="3"/>
        <v>620.21249999999998</v>
      </c>
      <c r="K18" s="10">
        <f>+IF(C18=0,0,(J18-E18)/E18)</f>
        <v>0</v>
      </c>
      <c r="L18" s="63">
        <f t="shared" si="6"/>
        <v>37.25</v>
      </c>
      <c r="M18" s="94">
        <f t="shared" si="7"/>
        <v>0</v>
      </c>
      <c r="N18" s="63"/>
      <c r="O18" s="442">
        <f t="shared" si="8"/>
        <v>37.25</v>
      </c>
      <c r="P18" s="446">
        <f t="shared" si="9"/>
        <v>620.21249999999998</v>
      </c>
    </row>
    <row r="19" spans="1:16">
      <c r="A19" t="s">
        <v>442</v>
      </c>
      <c r="C19" s="122">
        <f>+'Service Counts'!I18</f>
        <v>0</v>
      </c>
      <c r="D19" s="63">
        <f>+'Service Counts'!G18</f>
        <v>42.45</v>
      </c>
      <c r="E19" s="6">
        <f t="shared" si="0"/>
        <v>0</v>
      </c>
      <c r="F19" s="63">
        <f t="shared" si="4"/>
        <v>44.279805998971668</v>
      </c>
      <c r="G19" s="53">
        <f t="shared" si="1"/>
        <v>0</v>
      </c>
      <c r="H19" s="10">
        <f t="shared" si="2"/>
        <v>0</v>
      </c>
      <c r="I19" s="126">
        <v>42.45</v>
      </c>
      <c r="J19" s="53">
        <f t="shared" si="3"/>
        <v>0</v>
      </c>
      <c r="K19" s="444">
        <f t="shared" si="5"/>
        <v>0</v>
      </c>
      <c r="L19" s="63">
        <f>+D19*(1+$L$2)</f>
        <v>42.45</v>
      </c>
      <c r="M19" s="94">
        <f>(L19-D19)/D19</f>
        <v>0</v>
      </c>
      <c r="N19" s="63"/>
      <c r="O19" s="442">
        <f t="shared" si="8"/>
        <v>42.45</v>
      </c>
      <c r="P19" s="446">
        <f t="shared" si="9"/>
        <v>0</v>
      </c>
    </row>
    <row r="20" spans="1:16">
      <c r="A20" t="s">
        <v>441</v>
      </c>
      <c r="C20" s="122">
        <f>+'Service Counts'!I19</f>
        <v>24</v>
      </c>
      <c r="D20" s="63">
        <f>+'Service Counts'!G19</f>
        <v>49</v>
      </c>
      <c r="E20" s="6">
        <f t="shared" si="0"/>
        <v>1176</v>
      </c>
      <c r="F20" s="63">
        <f t="shared" si="4"/>
        <v>51.112143555939021</v>
      </c>
      <c r="G20" s="53">
        <f t="shared" si="1"/>
        <v>1226.6914453425366</v>
      </c>
      <c r="H20" s="10">
        <f t="shared" si="2"/>
        <v>4.310497052936782E-2</v>
      </c>
      <c r="I20" s="126">
        <v>49</v>
      </c>
      <c r="J20" s="53">
        <f t="shared" si="3"/>
        <v>1176</v>
      </c>
      <c r="K20" s="10">
        <f t="shared" si="5"/>
        <v>0</v>
      </c>
      <c r="L20" s="63">
        <f t="shared" si="6"/>
        <v>49</v>
      </c>
      <c r="M20" s="94">
        <f t="shared" ref="M20:M34" si="10">(L20-D20)/D20</f>
        <v>0</v>
      </c>
      <c r="N20" s="63"/>
      <c r="O20" s="442">
        <f t="shared" si="8"/>
        <v>49</v>
      </c>
      <c r="P20" s="446">
        <f t="shared" si="9"/>
        <v>1176</v>
      </c>
    </row>
    <row r="21" spans="1:16">
      <c r="A21" s="83" t="s">
        <v>440</v>
      </c>
      <c r="C21" s="122">
        <f>+'Service Counts'!I20</f>
        <v>52.6</v>
      </c>
      <c r="D21" s="63">
        <f>+'Service Counts'!G20</f>
        <v>13.15</v>
      </c>
      <c r="E21" s="6">
        <f t="shared" si="0"/>
        <v>691.69</v>
      </c>
      <c r="F21" s="63">
        <f t="shared" si="4"/>
        <v>13.716830362461186</v>
      </c>
      <c r="G21" s="53">
        <f t="shared" si="1"/>
        <v>721.50527706545847</v>
      </c>
      <c r="H21" s="10">
        <f t="shared" si="2"/>
        <v>4.3104970529367799E-2</v>
      </c>
      <c r="I21" s="126">
        <v>13.15</v>
      </c>
      <c r="J21" s="53">
        <f t="shared" si="3"/>
        <v>691.69</v>
      </c>
      <c r="K21" s="10">
        <f t="shared" si="5"/>
        <v>0</v>
      </c>
      <c r="L21" s="63">
        <f t="shared" si="6"/>
        <v>13.15</v>
      </c>
      <c r="M21" s="94">
        <f t="shared" si="10"/>
        <v>0</v>
      </c>
      <c r="N21" s="63"/>
      <c r="O21" s="442">
        <f t="shared" si="8"/>
        <v>13.15</v>
      </c>
      <c r="P21" s="446">
        <f t="shared" si="9"/>
        <v>691.69</v>
      </c>
    </row>
    <row r="22" spans="1:16">
      <c r="A22" s="83" t="s">
        <v>439</v>
      </c>
      <c r="C22" s="122">
        <f>+'Service Counts'!I21</f>
        <v>6154.9</v>
      </c>
      <c r="D22" s="63">
        <f>+'Service Counts'!G21</f>
        <v>19.850000000000001</v>
      </c>
      <c r="E22" s="6">
        <f t="shared" si="0"/>
        <v>122174.765</v>
      </c>
      <c r="F22" s="63">
        <f t="shared" si="4"/>
        <v>20.705633665007952</v>
      </c>
      <c r="G22" s="53">
        <f t="shared" si="1"/>
        <v>127441.10464475743</v>
      </c>
      <c r="H22" s="10">
        <f t="shared" si="2"/>
        <v>4.3104970529367778E-2</v>
      </c>
      <c r="I22" s="126">
        <v>19.850000000000001</v>
      </c>
      <c r="J22" s="53">
        <f t="shared" si="3"/>
        <v>122174.765</v>
      </c>
      <c r="K22" s="10">
        <f t="shared" si="5"/>
        <v>0</v>
      </c>
      <c r="L22" s="63">
        <f t="shared" si="6"/>
        <v>19.850000000000001</v>
      </c>
      <c r="M22" s="94">
        <f t="shared" si="10"/>
        <v>0</v>
      </c>
      <c r="N22" s="63"/>
      <c r="O22" s="442">
        <f t="shared" si="8"/>
        <v>19.850000000000001</v>
      </c>
      <c r="P22" s="446">
        <f t="shared" si="9"/>
        <v>122174.765</v>
      </c>
    </row>
    <row r="23" spans="1:16">
      <c r="A23" s="83" t="s">
        <v>438</v>
      </c>
      <c r="C23" s="122">
        <f>+'Service Counts'!I22</f>
        <v>0</v>
      </c>
      <c r="D23" s="63">
        <f>+'Service Counts'!G22</f>
        <v>39.700000000000003</v>
      </c>
      <c r="E23" s="6">
        <f t="shared" si="0"/>
        <v>0</v>
      </c>
      <c r="F23" s="63">
        <f t="shared" si="4"/>
        <v>41.411267330015903</v>
      </c>
      <c r="G23" s="53">
        <f t="shared" si="1"/>
        <v>0</v>
      </c>
      <c r="H23" s="10">
        <f t="shared" si="2"/>
        <v>0</v>
      </c>
      <c r="I23" s="126">
        <v>36.450000000000003</v>
      </c>
      <c r="J23" s="53">
        <f t="shared" si="3"/>
        <v>0</v>
      </c>
      <c r="K23" s="444">
        <f t="shared" si="5"/>
        <v>0</v>
      </c>
      <c r="L23" s="63">
        <f t="shared" si="6"/>
        <v>39.700000000000003</v>
      </c>
      <c r="M23" s="94">
        <f t="shared" si="10"/>
        <v>0</v>
      </c>
      <c r="N23" s="63"/>
      <c r="O23" s="442">
        <f t="shared" si="8"/>
        <v>39.700000000000003</v>
      </c>
      <c r="P23" s="446">
        <f t="shared" si="9"/>
        <v>0</v>
      </c>
    </row>
    <row r="24" spans="1:16">
      <c r="A24" t="s">
        <v>437</v>
      </c>
      <c r="C24" s="122">
        <f>+'Service Counts'!I23</f>
        <v>55.8</v>
      </c>
      <c r="D24" s="63">
        <f>+'Service Counts'!G23</f>
        <v>14.25</v>
      </c>
      <c r="E24" s="6">
        <f t="shared" si="0"/>
        <v>795.15</v>
      </c>
      <c r="F24" s="63">
        <f t="shared" si="4"/>
        <v>14.86424583004349</v>
      </c>
      <c r="G24" s="53">
        <f t="shared" si="1"/>
        <v>829.42491731642667</v>
      </c>
      <c r="H24" s="10">
        <f t="shared" si="2"/>
        <v>4.310497052936766E-2</v>
      </c>
      <c r="I24" s="126">
        <v>14.25</v>
      </c>
      <c r="J24" s="53">
        <f t="shared" si="3"/>
        <v>795.15</v>
      </c>
      <c r="K24" s="10">
        <f t="shared" si="5"/>
        <v>0</v>
      </c>
      <c r="L24" s="63">
        <f t="shared" si="6"/>
        <v>14.25</v>
      </c>
      <c r="M24" s="94">
        <f t="shared" si="10"/>
        <v>0</v>
      </c>
      <c r="N24" s="84"/>
      <c r="O24" s="442">
        <f t="shared" si="8"/>
        <v>14.25</v>
      </c>
      <c r="P24" s="446">
        <f t="shared" si="9"/>
        <v>795.15</v>
      </c>
    </row>
    <row r="25" spans="1:16">
      <c r="A25" t="s">
        <v>436</v>
      </c>
      <c r="C25" s="122">
        <f>+'Service Counts'!I24</f>
        <v>10263.200000000001</v>
      </c>
      <c r="D25" s="63">
        <f>+'Service Counts'!G24</f>
        <v>24.4</v>
      </c>
      <c r="E25" s="6">
        <f t="shared" si="0"/>
        <v>250422.08000000002</v>
      </c>
      <c r="F25" s="63">
        <f t="shared" si="4"/>
        <v>25.451761280916571</v>
      </c>
      <c r="G25" s="53">
        <f t="shared" si="1"/>
        <v>261216.51637830297</v>
      </c>
      <c r="H25" s="10">
        <f t="shared" si="2"/>
        <v>4.3104970529367674E-2</v>
      </c>
      <c r="I25" s="126">
        <v>24.4</v>
      </c>
      <c r="J25" s="53">
        <f t="shared" si="3"/>
        <v>250422.08000000002</v>
      </c>
      <c r="K25" s="10">
        <f t="shared" si="5"/>
        <v>0</v>
      </c>
      <c r="L25" s="63">
        <f t="shared" si="6"/>
        <v>24.4</v>
      </c>
      <c r="M25" s="94">
        <f t="shared" si="10"/>
        <v>0</v>
      </c>
      <c r="N25" s="84"/>
      <c r="O25" s="442">
        <f t="shared" si="8"/>
        <v>24.4</v>
      </c>
      <c r="P25" s="446">
        <f t="shared" si="9"/>
        <v>250422.08000000002</v>
      </c>
    </row>
    <row r="26" spans="1:16">
      <c r="A26" t="s">
        <v>435</v>
      </c>
      <c r="C26" s="122">
        <f>+'Service Counts'!I25</f>
        <v>265.60000000000002</v>
      </c>
      <c r="D26" s="63">
        <f>+'Service Counts'!G25</f>
        <v>48.8</v>
      </c>
      <c r="E26" s="6">
        <f t="shared" si="0"/>
        <v>12961.28</v>
      </c>
      <c r="F26" s="63">
        <f t="shared" si="4"/>
        <v>50.903522561833142</v>
      </c>
      <c r="G26" s="53">
        <f t="shared" si="1"/>
        <v>13519.975592422883</v>
      </c>
      <c r="H26" s="10">
        <f t="shared" si="2"/>
        <v>4.3104970529367646E-2</v>
      </c>
      <c r="I26" s="126">
        <v>48.8</v>
      </c>
      <c r="J26" s="53">
        <f t="shared" si="3"/>
        <v>12961.28</v>
      </c>
      <c r="K26" s="444">
        <f t="shared" si="5"/>
        <v>0</v>
      </c>
      <c r="L26" s="63">
        <f t="shared" si="6"/>
        <v>48.8</v>
      </c>
      <c r="M26" s="94">
        <f t="shared" si="10"/>
        <v>0</v>
      </c>
      <c r="N26" s="84"/>
      <c r="O26" s="442">
        <f t="shared" si="8"/>
        <v>48.8</v>
      </c>
      <c r="P26" s="446">
        <f t="shared" si="9"/>
        <v>12961.28</v>
      </c>
    </row>
    <row r="27" spans="1:16">
      <c r="A27" t="s">
        <v>434</v>
      </c>
      <c r="C27" s="122">
        <f>+'Service Counts'!I26</f>
        <v>8302.4</v>
      </c>
      <c r="D27" s="63">
        <f>+'Service Counts'!G26</f>
        <v>30.6</v>
      </c>
      <c r="E27" s="6">
        <f t="shared" si="0"/>
        <v>254053.44</v>
      </c>
      <c r="F27" s="63">
        <f t="shared" si="4"/>
        <v>31.919012098198657</v>
      </c>
      <c r="G27" s="53">
        <f t="shared" si="1"/>
        <v>265004.40604408452</v>
      </c>
      <c r="H27" s="10">
        <f t="shared" si="2"/>
        <v>4.3104970529367827E-2</v>
      </c>
      <c r="I27" s="126">
        <v>30.6</v>
      </c>
      <c r="J27" s="53">
        <f t="shared" si="3"/>
        <v>254053.44</v>
      </c>
      <c r="K27" s="10">
        <f t="shared" si="5"/>
        <v>0</v>
      </c>
      <c r="L27" s="63">
        <f t="shared" si="6"/>
        <v>30.6</v>
      </c>
      <c r="M27" s="94">
        <f t="shared" si="10"/>
        <v>0</v>
      </c>
      <c r="N27" s="84"/>
      <c r="O27" s="442">
        <f t="shared" si="8"/>
        <v>30.6</v>
      </c>
      <c r="P27" s="446">
        <f t="shared" si="9"/>
        <v>254053.44</v>
      </c>
    </row>
    <row r="28" spans="1:16">
      <c r="A28" t="s">
        <v>433</v>
      </c>
      <c r="C28" s="122">
        <f>+'Service Counts'!I27</f>
        <v>702.85</v>
      </c>
      <c r="D28" s="63">
        <f>+'Service Counts'!G27</f>
        <v>61.2</v>
      </c>
      <c r="E28" s="6">
        <f t="shared" si="0"/>
        <v>43014.420000000006</v>
      </c>
      <c r="F28" s="63">
        <f t="shared" si="4"/>
        <v>63.838024196397313</v>
      </c>
      <c r="G28" s="53">
        <f t="shared" si="1"/>
        <v>44868.555306437855</v>
      </c>
      <c r="H28" s="10">
        <f t="shared" si="2"/>
        <v>4.3104970529367799E-2</v>
      </c>
      <c r="I28" s="126">
        <v>61.2</v>
      </c>
      <c r="J28" s="53">
        <f t="shared" si="3"/>
        <v>43014.420000000006</v>
      </c>
      <c r="K28" s="444">
        <f t="shared" si="5"/>
        <v>0</v>
      </c>
      <c r="L28" s="63">
        <f t="shared" si="6"/>
        <v>61.2</v>
      </c>
      <c r="M28" s="94">
        <f t="shared" si="10"/>
        <v>0</v>
      </c>
      <c r="N28" s="84"/>
      <c r="O28" s="442">
        <f t="shared" si="8"/>
        <v>61.2</v>
      </c>
      <c r="P28" s="446">
        <f t="shared" si="9"/>
        <v>43014.420000000006</v>
      </c>
    </row>
    <row r="29" spans="1:16">
      <c r="A29" t="s">
        <v>432</v>
      </c>
      <c r="C29" s="122">
        <f>+'Service Counts'!I29</f>
        <v>3446.5</v>
      </c>
      <c r="D29" s="63">
        <f>+'Service Counts'!G29</f>
        <v>4.3499999999999996</v>
      </c>
      <c r="E29" s="6">
        <f t="shared" si="0"/>
        <v>14992.275</v>
      </c>
      <c r="F29" s="63">
        <f t="shared" si="4"/>
        <v>4.5375066218027493</v>
      </c>
      <c r="G29" s="53">
        <f t="shared" si="1"/>
        <v>15638.516572043176</v>
      </c>
      <c r="H29" s="10">
        <f t="shared" si="2"/>
        <v>4.3104970529367716E-2</v>
      </c>
      <c r="I29" s="126">
        <v>4.3499999999999996</v>
      </c>
      <c r="J29" s="53">
        <f t="shared" si="3"/>
        <v>14992.275</v>
      </c>
      <c r="K29" s="10">
        <f t="shared" si="5"/>
        <v>0</v>
      </c>
      <c r="L29" s="63">
        <f t="shared" si="6"/>
        <v>4.3499999999999996</v>
      </c>
      <c r="M29" s="94">
        <f t="shared" si="10"/>
        <v>0</v>
      </c>
      <c r="N29" s="84"/>
      <c r="O29" s="442">
        <f t="shared" si="8"/>
        <v>4.3499999999999996</v>
      </c>
      <c r="P29" s="446">
        <f t="shared" si="9"/>
        <v>14992.275</v>
      </c>
    </row>
    <row r="30" spans="1:16">
      <c r="A30" t="s">
        <v>431</v>
      </c>
      <c r="C30" s="122">
        <f>+'Service Counts'!I30</f>
        <v>0</v>
      </c>
      <c r="D30" s="63">
        <f>+'Service Counts'!G30</f>
        <v>3.25</v>
      </c>
      <c r="E30" s="6">
        <f t="shared" si="0"/>
        <v>0</v>
      </c>
      <c r="F30" s="63">
        <f t="shared" si="4"/>
        <v>3.3900911542204453</v>
      </c>
      <c r="G30" s="53">
        <f t="shared" si="1"/>
        <v>0</v>
      </c>
      <c r="H30" s="10">
        <f t="shared" si="2"/>
        <v>0</v>
      </c>
      <c r="I30" s="126">
        <v>3.25</v>
      </c>
      <c r="J30" s="53">
        <f t="shared" si="3"/>
        <v>0</v>
      </c>
      <c r="K30" s="444">
        <f t="shared" si="5"/>
        <v>0</v>
      </c>
      <c r="L30" s="63">
        <f t="shared" si="6"/>
        <v>3.25</v>
      </c>
      <c r="M30" s="94">
        <f t="shared" si="10"/>
        <v>0</v>
      </c>
      <c r="N30" s="84"/>
      <c r="O30" s="442">
        <f t="shared" si="8"/>
        <v>3.25</v>
      </c>
      <c r="P30" s="446">
        <f t="shared" si="9"/>
        <v>0</v>
      </c>
    </row>
    <row r="31" spans="1:16">
      <c r="A31" t="s">
        <v>430</v>
      </c>
      <c r="C31" s="122">
        <f>+'Service Counts'!I31</f>
        <v>0</v>
      </c>
      <c r="D31" s="63">
        <f>+'Service Counts'!G31</f>
        <v>1.95</v>
      </c>
      <c r="E31" s="6">
        <f t="shared" si="0"/>
        <v>0</v>
      </c>
      <c r="F31" s="63">
        <f t="shared" si="4"/>
        <v>2.0340546925322673</v>
      </c>
      <c r="G31" s="53">
        <f t="shared" si="1"/>
        <v>0</v>
      </c>
      <c r="H31" s="10">
        <f t="shared" si="2"/>
        <v>0</v>
      </c>
      <c r="I31" s="126">
        <v>1.95</v>
      </c>
      <c r="J31" s="53">
        <f t="shared" si="3"/>
        <v>0</v>
      </c>
      <c r="K31" s="444">
        <f t="shared" si="5"/>
        <v>0</v>
      </c>
      <c r="L31" s="63">
        <f t="shared" si="6"/>
        <v>1.95</v>
      </c>
      <c r="M31" s="94">
        <f t="shared" si="10"/>
        <v>0</v>
      </c>
      <c r="N31" s="84"/>
      <c r="O31" s="442">
        <f t="shared" si="8"/>
        <v>1.95</v>
      </c>
      <c r="P31" s="446">
        <f t="shared" si="9"/>
        <v>0</v>
      </c>
    </row>
    <row r="32" spans="1:16">
      <c r="A32" t="s">
        <v>429</v>
      </c>
      <c r="C32" s="122">
        <f>+'Service Counts'!I32</f>
        <v>116.1</v>
      </c>
      <c r="D32" s="63">
        <f>+'Service Counts'!G32</f>
        <v>13.9</v>
      </c>
      <c r="E32" s="6">
        <f t="shared" si="0"/>
        <v>1613.79</v>
      </c>
      <c r="F32" s="63">
        <f t="shared" si="4"/>
        <v>14.499159090358212</v>
      </c>
      <c r="G32" s="53">
        <f t="shared" si="1"/>
        <v>1683.3523703905882</v>
      </c>
      <c r="H32" s="10">
        <f t="shared" si="2"/>
        <v>4.3104970529367688E-2</v>
      </c>
      <c r="I32" s="126">
        <v>13.9</v>
      </c>
      <c r="J32" s="53">
        <f t="shared" si="3"/>
        <v>1613.79</v>
      </c>
      <c r="K32" s="10">
        <f t="shared" si="5"/>
        <v>0</v>
      </c>
      <c r="L32" s="63">
        <f t="shared" si="6"/>
        <v>13.9</v>
      </c>
      <c r="M32" s="94">
        <f t="shared" si="10"/>
        <v>0</v>
      </c>
      <c r="N32" s="84"/>
      <c r="O32" s="442">
        <f t="shared" si="8"/>
        <v>13.9</v>
      </c>
      <c r="P32" s="446">
        <f t="shared" si="9"/>
        <v>1613.79</v>
      </c>
    </row>
    <row r="33" spans="1:16">
      <c r="A33" t="s">
        <v>428</v>
      </c>
      <c r="C33" s="122">
        <f>+'Service Counts'!I33</f>
        <v>1110.75</v>
      </c>
      <c r="D33" s="63">
        <f>+'Service Counts'!G33</f>
        <v>22.4</v>
      </c>
      <c r="E33" s="6">
        <f t="shared" si="0"/>
        <v>24880.799999999999</v>
      </c>
      <c r="F33" s="63">
        <f t="shared" si="4"/>
        <v>23.365551339857838</v>
      </c>
      <c r="G33" s="53">
        <f t="shared" si="1"/>
        <v>25953.286150747092</v>
      </c>
      <c r="H33" s="10">
        <f t="shared" si="2"/>
        <v>4.3104970529367723E-2</v>
      </c>
      <c r="I33" s="126">
        <v>22.4</v>
      </c>
      <c r="J33" s="53">
        <f t="shared" si="3"/>
        <v>24880.799999999999</v>
      </c>
      <c r="K33" s="10">
        <f t="shared" si="5"/>
        <v>0</v>
      </c>
      <c r="L33" s="63">
        <f t="shared" si="6"/>
        <v>22.4</v>
      </c>
      <c r="M33" s="94">
        <f t="shared" si="10"/>
        <v>0</v>
      </c>
      <c r="N33" s="84"/>
      <c r="O33" s="442">
        <f t="shared" si="8"/>
        <v>22.4</v>
      </c>
      <c r="P33" s="446">
        <f t="shared" si="9"/>
        <v>24880.799999999999</v>
      </c>
    </row>
    <row r="34" spans="1:16">
      <c r="A34" t="s">
        <v>427</v>
      </c>
      <c r="C34" s="122">
        <f>+'Service Counts'!I34</f>
        <v>0</v>
      </c>
      <c r="D34" s="63">
        <f>+'Service Counts'!G34</f>
        <v>13.5</v>
      </c>
      <c r="E34" s="43">
        <f t="shared" si="0"/>
        <v>0</v>
      </c>
      <c r="F34" s="63">
        <f t="shared" si="4"/>
        <v>14.081917102146464</v>
      </c>
      <c r="G34" s="57">
        <f t="shared" si="1"/>
        <v>0</v>
      </c>
      <c r="H34" s="10">
        <f t="shared" si="2"/>
        <v>0</v>
      </c>
      <c r="I34" s="126">
        <v>13.5</v>
      </c>
      <c r="J34" s="57">
        <f t="shared" si="3"/>
        <v>0</v>
      </c>
      <c r="K34" s="444">
        <f t="shared" si="5"/>
        <v>0</v>
      </c>
      <c r="L34" s="63">
        <f t="shared" si="6"/>
        <v>13.5</v>
      </c>
      <c r="M34" s="94">
        <f t="shared" si="10"/>
        <v>0</v>
      </c>
      <c r="N34" s="84"/>
      <c r="O34" s="442">
        <f t="shared" si="8"/>
        <v>13.5</v>
      </c>
      <c r="P34" s="446">
        <f t="shared" si="9"/>
        <v>0</v>
      </c>
    </row>
    <row r="35" spans="1:16">
      <c r="C35" s="122"/>
      <c r="D35" s="63"/>
      <c r="E35" s="56">
        <f>SUM(E11:E34)</f>
        <v>747101.73750000028</v>
      </c>
      <c r="G35" s="56">
        <f>SUM(G11:G34)</f>
        <v>779305.53587737691</v>
      </c>
      <c r="I35" s="127"/>
      <c r="J35" s="56">
        <f>SUM(J11:J34)</f>
        <v>747101.73750000028</v>
      </c>
      <c r="K35" s="125">
        <f>(+J35-E35)/E35</f>
        <v>0</v>
      </c>
      <c r="N35" s="84"/>
      <c r="O35" s="442"/>
      <c r="P35" s="446"/>
    </row>
    <row r="36" spans="1:16">
      <c r="A36" t="s">
        <v>426</v>
      </c>
      <c r="C36" s="122"/>
      <c r="D36" s="63"/>
      <c r="I36" s="127"/>
      <c r="J36" s="53"/>
      <c r="N36" s="84"/>
      <c r="O36" s="442"/>
      <c r="P36" s="446"/>
    </row>
    <row r="37" spans="1:16">
      <c r="A37" t="s">
        <v>425</v>
      </c>
      <c r="C37" s="122">
        <f>+'Service Counts'!I37</f>
        <v>7831</v>
      </c>
      <c r="D37" s="63">
        <f>+'Service Counts'!G37</f>
        <v>17.8</v>
      </c>
      <c r="E37" s="6">
        <f t="shared" ref="E37:E51" si="11">+C37*D37</f>
        <v>139391.80000000002</v>
      </c>
      <c r="F37" s="63">
        <f t="shared" ref="F37:F51" si="12">+D37*(1+$H$4)</f>
        <v>18.567268475422747</v>
      </c>
      <c r="G37" s="53">
        <f t="shared" ref="G37:G51" si="13">+C37*F37</f>
        <v>145400.27943103554</v>
      </c>
      <c r="H37" s="10">
        <f t="shared" ref="H37:H51" si="14">+IF(C37=0,0,(G37-E37)/E37)</f>
        <v>4.310497052936773E-2</v>
      </c>
      <c r="I37" s="126">
        <v>17.8</v>
      </c>
      <c r="J37" s="53">
        <f t="shared" ref="J37:J51" si="15">+C37*I37</f>
        <v>139391.80000000002</v>
      </c>
      <c r="K37" s="10">
        <f t="shared" ref="K37:K51" si="16">+IF(C37=0,0,(J37-E37)/E37)</f>
        <v>0</v>
      </c>
      <c r="L37" s="63">
        <f t="shared" ref="L37:L51" si="17">+D37*(1+$L$2)</f>
        <v>17.8</v>
      </c>
      <c r="N37" s="84"/>
      <c r="O37" s="442">
        <f t="shared" ref="O37:O51" si="18">ROUND(D37*(1+$M$5),2)</f>
        <v>17.8</v>
      </c>
      <c r="P37" s="446">
        <f t="shared" si="9"/>
        <v>139391.80000000002</v>
      </c>
    </row>
    <row r="38" spans="1:16">
      <c r="A38" t="s">
        <v>424</v>
      </c>
      <c r="C38" s="122">
        <f>+'Service Counts'!I38</f>
        <v>1961</v>
      </c>
      <c r="D38" s="63">
        <f>+'Service Counts'!G38</f>
        <v>23.15</v>
      </c>
      <c r="E38" s="6">
        <f t="shared" si="11"/>
        <v>45397.149999999994</v>
      </c>
      <c r="F38" s="63">
        <f t="shared" si="12"/>
        <v>24.147880067754862</v>
      </c>
      <c r="G38" s="53">
        <f t="shared" si="13"/>
        <v>47353.992812867284</v>
      </c>
      <c r="H38" s="10">
        <f t="shared" si="14"/>
        <v>4.3104970529367806E-2</v>
      </c>
      <c r="I38" s="126">
        <v>23.15</v>
      </c>
      <c r="J38" s="53">
        <f t="shared" si="15"/>
        <v>45397.149999999994</v>
      </c>
      <c r="K38" s="10">
        <f t="shared" si="16"/>
        <v>0</v>
      </c>
      <c r="L38" s="63">
        <f t="shared" si="17"/>
        <v>23.15</v>
      </c>
      <c r="N38" s="84"/>
      <c r="O38" s="442">
        <f t="shared" si="18"/>
        <v>23.15</v>
      </c>
      <c r="P38" s="446">
        <f t="shared" si="9"/>
        <v>45397.149999999994</v>
      </c>
    </row>
    <row r="39" spans="1:16">
      <c r="A39" t="s">
        <v>423</v>
      </c>
      <c r="C39" s="122">
        <f>+'Service Counts'!I39</f>
        <v>6846</v>
      </c>
      <c r="D39" s="63">
        <f>+'Service Counts'!G39</f>
        <v>28.5</v>
      </c>
      <c r="E39" s="6">
        <f t="shared" si="11"/>
        <v>195111</v>
      </c>
      <c r="F39" s="63">
        <f t="shared" si="12"/>
        <v>29.728491660086981</v>
      </c>
      <c r="G39" s="53">
        <f t="shared" si="13"/>
        <v>203521.25390495546</v>
      </c>
      <c r="H39" s="10">
        <f t="shared" si="14"/>
        <v>4.3104970529367702E-2</v>
      </c>
      <c r="I39" s="126">
        <v>28.5</v>
      </c>
      <c r="J39" s="53">
        <f t="shared" si="15"/>
        <v>195111</v>
      </c>
      <c r="K39" s="10">
        <f t="shared" si="16"/>
        <v>0</v>
      </c>
      <c r="L39" s="63">
        <f t="shared" si="17"/>
        <v>28.5</v>
      </c>
      <c r="N39" s="84"/>
      <c r="O39" s="442">
        <f t="shared" si="18"/>
        <v>28.5</v>
      </c>
      <c r="P39" s="446">
        <f t="shared" si="9"/>
        <v>195111</v>
      </c>
    </row>
    <row r="40" spans="1:16">
      <c r="A40" t="s">
        <v>422</v>
      </c>
      <c r="C40" s="122">
        <f>+'Service Counts'!I40</f>
        <v>622</v>
      </c>
      <c r="D40" s="63">
        <f>+'Service Counts'!G40</f>
        <v>39.950000000000003</v>
      </c>
      <c r="E40" s="6">
        <f t="shared" si="11"/>
        <v>24848.9</v>
      </c>
      <c r="F40" s="63">
        <f t="shared" si="12"/>
        <v>41.672043572648249</v>
      </c>
      <c r="G40" s="53">
        <f t="shared" si="13"/>
        <v>25920.011102187211</v>
      </c>
      <c r="H40" s="10">
        <f t="shared" si="14"/>
        <v>4.3104970529367868E-2</v>
      </c>
      <c r="I40" s="126">
        <v>39.950000000000003</v>
      </c>
      <c r="J40" s="53">
        <f t="shared" si="15"/>
        <v>24848.9</v>
      </c>
      <c r="K40" s="10">
        <f t="shared" si="16"/>
        <v>0</v>
      </c>
      <c r="L40" s="63">
        <f t="shared" si="17"/>
        <v>39.950000000000003</v>
      </c>
      <c r="N40" s="84"/>
      <c r="O40" s="442">
        <f t="shared" si="18"/>
        <v>39.950000000000003</v>
      </c>
      <c r="P40" s="446">
        <f t="shared" si="9"/>
        <v>24848.9</v>
      </c>
    </row>
    <row r="41" spans="1:16">
      <c r="A41" t="s">
        <v>421</v>
      </c>
      <c r="C41" s="122">
        <f>+'Service Counts'!I41</f>
        <v>1838</v>
      </c>
      <c r="D41" s="63">
        <f>+'Service Counts'!G41</f>
        <v>52.6</v>
      </c>
      <c r="E41" s="6">
        <f t="shared" si="11"/>
        <v>96678.8</v>
      </c>
      <c r="F41" s="63">
        <f t="shared" si="12"/>
        <v>54.867321449844745</v>
      </c>
      <c r="G41" s="53">
        <f t="shared" si="13"/>
        <v>100846.13682481465</v>
      </c>
      <c r="H41" s="10">
        <f t="shared" si="14"/>
        <v>4.3104970529367799E-2</v>
      </c>
      <c r="I41" s="126">
        <v>52.6</v>
      </c>
      <c r="J41" s="53">
        <f t="shared" si="15"/>
        <v>96678.8</v>
      </c>
      <c r="K41" s="10">
        <f t="shared" si="16"/>
        <v>0</v>
      </c>
      <c r="L41" s="63">
        <f t="shared" si="17"/>
        <v>52.6</v>
      </c>
      <c r="N41" s="84"/>
      <c r="O41" s="442">
        <f t="shared" si="18"/>
        <v>52.6</v>
      </c>
      <c r="P41" s="446">
        <f t="shared" si="9"/>
        <v>96678.8</v>
      </c>
    </row>
    <row r="42" spans="1:16">
      <c r="A42" t="s">
        <v>420</v>
      </c>
      <c r="C42" s="122">
        <f>+'Service Counts'!I42</f>
        <v>2117</v>
      </c>
      <c r="D42" s="63">
        <f>+'Service Counts'!G42</f>
        <v>77.25</v>
      </c>
      <c r="E42" s="6">
        <f t="shared" si="11"/>
        <v>163538.25</v>
      </c>
      <c r="F42" s="63">
        <f t="shared" si="12"/>
        <v>80.579858973393655</v>
      </c>
      <c r="G42" s="53">
        <f t="shared" si="13"/>
        <v>170587.56144667437</v>
      </c>
      <c r="H42" s="10">
        <f t="shared" si="14"/>
        <v>4.310497052936773E-2</v>
      </c>
      <c r="I42" s="126">
        <v>77.25</v>
      </c>
      <c r="J42" s="53">
        <f t="shared" si="15"/>
        <v>163538.25</v>
      </c>
      <c r="K42" s="10">
        <f t="shared" si="16"/>
        <v>0</v>
      </c>
      <c r="L42" s="63">
        <f t="shared" si="17"/>
        <v>77.25</v>
      </c>
      <c r="N42" s="84"/>
      <c r="O42" s="442">
        <f t="shared" si="18"/>
        <v>77.25</v>
      </c>
      <c r="P42" s="446">
        <f t="shared" si="9"/>
        <v>163538.25</v>
      </c>
    </row>
    <row r="43" spans="1:16">
      <c r="A43" t="s">
        <v>419</v>
      </c>
      <c r="C43" s="122">
        <f>+'Service Counts'!I43</f>
        <v>0</v>
      </c>
      <c r="D43" s="63">
        <f>+'Service Counts'!G43</f>
        <v>88.14</v>
      </c>
      <c r="E43" s="6">
        <f t="shared" si="11"/>
        <v>0</v>
      </c>
      <c r="F43" s="63">
        <f t="shared" si="12"/>
        <v>91.939272102458474</v>
      </c>
      <c r="G43" s="53">
        <f t="shared" si="13"/>
        <v>0</v>
      </c>
      <c r="H43" s="10">
        <f t="shared" si="14"/>
        <v>0</v>
      </c>
      <c r="I43" s="126">
        <v>0</v>
      </c>
      <c r="J43" s="53">
        <f t="shared" si="15"/>
        <v>0</v>
      </c>
      <c r="K43" s="444">
        <f t="shared" si="16"/>
        <v>0</v>
      </c>
      <c r="L43" s="63">
        <f t="shared" si="17"/>
        <v>88.14</v>
      </c>
      <c r="N43" s="84"/>
      <c r="O43" s="442">
        <f t="shared" si="18"/>
        <v>88.14</v>
      </c>
      <c r="P43" s="446">
        <f t="shared" si="9"/>
        <v>0</v>
      </c>
    </row>
    <row r="44" spans="1:16">
      <c r="A44" t="s">
        <v>418</v>
      </c>
      <c r="C44" s="122">
        <f>+'Service Counts'!I44</f>
        <v>103</v>
      </c>
      <c r="D44" s="63">
        <f>+'Service Counts'!G44</f>
        <v>10.15</v>
      </c>
      <c r="E44" s="6">
        <f t="shared" si="11"/>
        <v>1045.45</v>
      </c>
      <c r="F44" s="63">
        <f t="shared" si="12"/>
        <v>10.587515450873083</v>
      </c>
      <c r="G44" s="53">
        <f t="shared" si="13"/>
        <v>1090.5140914399276</v>
      </c>
      <c r="H44" s="10">
        <f t="shared" si="14"/>
        <v>4.3104970529367785E-2</v>
      </c>
      <c r="I44" s="126">
        <v>10.15</v>
      </c>
      <c r="J44" s="53">
        <f t="shared" si="15"/>
        <v>1045.45</v>
      </c>
      <c r="K44" s="10">
        <f t="shared" si="16"/>
        <v>0</v>
      </c>
      <c r="L44" s="63">
        <f t="shared" si="17"/>
        <v>10.15</v>
      </c>
      <c r="N44" s="84"/>
      <c r="O44" s="442">
        <f t="shared" si="18"/>
        <v>10.15</v>
      </c>
      <c r="P44" s="446">
        <f t="shared" si="9"/>
        <v>1045.45</v>
      </c>
    </row>
    <row r="45" spans="1:16">
      <c r="A45" t="s">
        <v>417</v>
      </c>
      <c r="C45" s="122">
        <f>+'Service Counts'!I45</f>
        <v>10</v>
      </c>
      <c r="D45" s="63">
        <f>+'Service Counts'!G45</f>
        <v>13.3</v>
      </c>
      <c r="E45" s="6">
        <f t="shared" si="11"/>
        <v>133</v>
      </c>
      <c r="F45" s="63">
        <f t="shared" si="12"/>
        <v>13.873296108040593</v>
      </c>
      <c r="G45" s="53">
        <f t="shared" si="13"/>
        <v>138.73296108040594</v>
      </c>
      <c r="H45" s="10">
        <f t="shared" si="14"/>
        <v>4.3104970529367993E-2</v>
      </c>
      <c r="I45" s="126">
        <v>13.3</v>
      </c>
      <c r="J45" s="53">
        <f t="shared" si="15"/>
        <v>133</v>
      </c>
      <c r="K45" s="10">
        <f t="shared" si="16"/>
        <v>0</v>
      </c>
      <c r="L45" s="63">
        <f t="shared" si="17"/>
        <v>13.3</v>
      </c>
      <c r="N45" s="84"/>
      <c r="O45" s="442">
        <f t="shared" si="18"/>
        <v>13.3</v>
      </c>
      <c r="P45" s="446">
        <f t="shared" si="9"/>
        <v>133</v>
      </c>
    </row>
    <row r="46" spans="1:16">
      <c r="A46" t="s">
        <v>416</v>
      </c>
      <c r="C46" s="122">
        <f>+'Service Counts'!I46</f>
        <v>56</v>
      </c>
      <c r="D46" s="63">
        <f>+'Service Counts'!G46</f>
        <v>17.600000000000001</v>
      </c>
      <c r="E46" s="6">
        <f t="shared" si="11"/>
        <v>985.60000000000014</v>
      </c>
      <c r="F46" s="63">
        <f t="shared" si="12"/>
        <v>18.358647481316876</v>
      </c>
      <c r="G46" s="53">
        <f t="shared" si="13"/>
        <v>1028.0842589537451</v>
      </c>
      <c r="H46" s="10">
        <f t="shared" si="14"/>
        <v>4.3104970529367875E-2</v>
      </c>
      <c r="I46" s="126">
        <v>17.600000000000001</v>
      </c>
      <c r="J46" s="53">
        <f t="shared" si="15"/>
        <v>985.60000000000014</v>
      </c>
      <c r="K46" s="10">
        <f t="shared" si="16"/>
        <v>0</v>
      </c>
      <c r="L46" s="63">
        <f t="shared" si="17"/>
        <v>17.600000000000001</v>
      </c>
      <c r="N46" s="84"/>
      <c r="O46" s="442">
        <f t="shared" si="18"/>
        <v>17.600000000000001</v>
      </c>
      <c r="P46" s="446">
        <f t="shared" si="9"/>
        <v>985.60000000000014</v>
      </c>
    </row>
    <row r="47" spans="1:16">
      <c r="A47" t="s">
        <v>415</v>
      </c>
      <c r="C47" s="122">
        <f>+'Service Counts'!I47</f>
        <v>2</v>
      </c>
      <c r="D47" s="63">
        <f>+'Service Counts'!G47</f>
        <v>19.45</v>
      </c>
      <c r="E47" s="6">
        <f t="shared" si="11"/>
        <v>38.9</v>
      </c>
      <c r="F47" s="63">
        <f t="shared" si="12"/>
        <v>20.288391676796202</v>
      </c>
      <c r="G47" s="53">
        <f t="shared" si="13"/>
        <v>40.576783353592404</v>
      </c>
      <c r="H47" s="10">
        <f t="shared" si="14"/>
        <v>4.310497052936775E-2</v>
      </c>
      <c r="I47" s="126">
        <v>19.45</v>
      </c>
      <c r="J47" s="53">
        <f t="shared" si="15"/>
        <v>38.9</v>
      </c>
      <c r="K47" s="10">
        <f t="shared" si="16"/>
        <v>0</v>
      </c>
      <c r="L47" s="63">
        <f t="shared" si="17"/>
        <v>19.45</v>
      </c>
      <c r="N47" s="84"/>
      <c r="O47" s="442">
        <f t="shared" si="18"/>
        <v>19.45</v>
      </c>
      <c r="P47" s="446">
        <f t="shared" si="9"/>
        <v>38.9</v>
      </c>
    </row>
    <row r="48" spans="1:16">
      <c r="A48" t="s">
        <v>414</v>
      </c>
      <c r="C48" s="122">
        <f>+'Service Counts'!I48</f>
        <v>16</v>
      </c>
      <c r="D48" s="63">
        <f>+'Service Counts'!G48</f>
        <v>19.45</v>
      </c>
      <c r="E48" s="6">
        <f t="shared" si="11"/>
        <v>311.2</v>
      </c>
      <c r="F48" s="63">
        <f t="shared" si="12"/>
        <v>20.288391676796202</v>
      </c>
      <c r="G48" s="53">
        <f t="shared" si="13"/>
        <v>324.61426682873923</v>
      </c>
      <c r="H48" s="10">
        <f t="shared" si="14"/>
        <v>4.310497052936775E-2</v>
      </c>
      <c r="I48" s="126">
        <v>19.45</v>
      </c>
      <c r="J48" s="53">
        <f t="shared" si="15"/>
        <v>311.2</v>
      </c>
      <c r="K48" s="10">
        <f t="shared" si="16"/>
        <v>0</v>
      </c>
      <c r="L48" s="63">
        <f t="shared" si="17"/>
        <v>19.45</v>
      </c>
      <c r="N48" s="84"/>
      <c r="O48" s="442">
        <f t="shared" si="18"/>
        <v>19.45</v>
      </c>
      <c r="P48" s="446">
        <f t="shared" si="9"/>
        <v>311.2</v>
      </c>
    </row>
    <row r="49" spans="1:16">
      <c r="A49" t="s">
        <v>413</v>
      </c>
      <c r="C49" s="122">
        <f>+'Service Counts'!I49</f>
        <v>10</v>
      </c>
      <c r="D49" s="63">
        <f>+'Service Counts'!G49</f>
        <v>22.4</v>
      </c>
      <c r="E49" s="6">
        <f t="shared" si="11"/>
        <v>224</v>
      </c>
      <c r="F49" s="63">
        <f t="shared" si="12"/>
        <v>23.365551339857838</v>
      </c>
      <c r="G49" s="53">
        <f t="shared" si="13"/>
        <v>233.65551339857836</v>
      </c>
      <c r="H49" s="10">
        <f t="shared" si="14"/>
        <v>4.3104970529367695E-2</v>
      </c>
      <c r="I49" s="126">
        <v>22.4</v>
      </c>
      <c r="J49" s="53">
        <f t="shared" si="15"/>
        <v>224</v>
      </c>
      <c r="K49" s="10">
        <f t="shared" si="16"/>
        <v>0</v>
      </c>
      <c r="L49" s="63">
        <f t="shared" si="17"/>
        <v>22.4</v>
      </c>
      <c r="N49" s="84"/>
      <c r="O49" s="442">
        <f t="shared" si="18"/>
        <v>22.4</v>
      </c>
      <c r="P49" s="446">
        <f t="shared" si="9"/>
        <v>224</v>
      </c>
    </row>
    <row r="50" spans="1:16">
      <c r="A50" t="s">
        <v>412</v>
      </c>
      <c r="C50" s="122">
        <f>+'Service Counts'!I50</f>
        <v>53</v>
      </c>
      <c r="D50" s="63">
        <f>+'Service Counts'!G50</f>
        <v>2.85</v>
      </c>
      <c r="E50" s="6">
        <f t="shared" si="11"/>
        <v>151.05000000000001</v>
      </c>
      <c r="F50" s="63">
        <f t="shared" si="12"/>
        <v>2.9728491660086984</v>
      </c>
      <c r="G50" s="53">
        <f t="shared" si="13"/>
        <v>157.56100579846103</v>
      </c>
      <c r="H50" s="10">
        <f t="shared" si="14"/>
        <v>4.3104970529367848E-2</v>
      </c>
      <c r="I50" s="126">
        <v>2.85</v>
      </c>
      <c r="J50" s="53">
        <f t="shared" si="15"/>
        <v>151.05000000000001</v>
      </c>
      <c r="K50" s="10">
        <f t="shared" si="16"/>
        <v>0</v>
      </c>
      <c r="L50" s="63">
        <f t="shared" si="17"/>
        <v>2.85</v>
      </c>
      <c r="N50" s="84"/>
      <c r="O50" s="442">
        <f t="shared" si="18"/>
        <v>2.85</v>
      </c>
      <c r="P50" s="446">
        <f t="shared" si="9"/>
        <v>151.05000000000001</v>
      </c>
    </row>
    <row r="51" spans="1:16">
      <c r="A51" t="s">
        <v>411</v>
      </c>
      <c r="C51" s="122">
        <f>+'Service Counts'!I51</f>
        <v>4937</v>
      </c>
      <c r="D51" s="63">
        <f>+'Service Counts'!G51</f>
        <v>1.65</v>
      </c>
      <c r="E51" s="43">
        <f t="shared" si="11"/>
        <v>8146.0499999999993</v>
      </c>
      <c r="F51" s="63">
        <f t="shared" si="12"/>
        <v>1.7211232013734568</v>
      </c>
      <c r="G51" s="57">
        <f t="shared" si="13"/>
        <v>8497.1852451807554</v>
      </c>
      <c r="H51" s="10">
        <f t="shared" si="14"/>
        <v>4.3104970529367743E-2</v>
      </c>
      <c r="I51" s="126">
        <v>1.65</v>
      </c>
      <c r="J51" s="57">
        <f t="shared" si="15"/>
        <v>8146.0499999999993</v>
      </c>
      <c r="K51" s="10">
        <f t="shared" si="16"/>
        <v>0</v>
      </c>
      <c r="L51" s="63">
        <f t="shared" si="17"/>
        <v>1.65</v>
      </c>
      <c r="N51" s="84"/>
      <c r="O51" s="442">
        <f t="shared" si="18"/>
        <v>1.65</v>
      </c>
      <c r="P51" s="446">
        <f t="shared" si="9"/>
        <v>8146.0499999999993</v>
      </c>
    </row>
    <row r="52" spans="1:16">
      <c r="C52" s="122"/>
      <c r="D52" s="63"/>
      <c r="E52" s="6">
        <f>SUM(E37:E51)</f>
        <v>676001.15</v>
      </c>
      <c r="G52" s="6">
        <f>SUM(G37:G51)</f>
        <v>705140.1596485686</v>
      </c>
      <c r="I52" s="127"/>
      <c r="J52" s="6">
        <f>SUM(J37:J51)</f>
        <v>676001.15</v>
      </c>
      <c r="K52" s="125">
        <f>(+J52-E52)/E52</f>
        <v>0</v>
      </c>
      <c r="N52" s="84"/>
      <c r="O52" s="442"/>
      <c r="P52" s="446"/>
    </row>
    <row r="53" spans="1:16">
      <c r="A53" t="s">
        <v>410</v>
      </c>
      <c r="C53" s="122"/>
      <c r="D53" s="63"/>
      <c r="I53" s="127"/>
      <c r="J53" s="53"/>
      <c r="N53" s="84"/>
      <c r="O53" s="442"/>
      <c r="P53" s="446"/>
    </row>
    <row r="54" spans="1:16">
      <c r="A54" t="s">
        <v>409</v>
      </c>
      <c r="C54" s="122">
        <f>+'Service Counts'!I54</f>
        <v>88</v>
      </c>
      <c r="D54" s="63">
        <f>+'Service Counts'!G54</f>
        <v>114.5</v>
      </c>
      <c r="E54" s="6">
        <f t="shared" ref="E54:E69" si="19">+C54*D54</f>
        <v>10076</v>
      </c>
      <c r="F54" s="63">
        <f t="shared" ref="F54:F69" si="20">+D54*(1+$H$4)</f>
        <v>119.43551912561261</v>
      </c>
      <c r="G54" s="53">
        <f t="shared" ref="G54:G69" si="21">+C54*F54</f>
        <v>10510.32568305391</v>
      </c>
      <c r="H54" s="10">
        <f t="shared" ref="H54:H69" si="22">+IF(C54=0,0,(G54-E54)/E54)</f>
        <v>4.3104970529367834E-2</v>
      </c>
      <c r="I54" s="126">
        <v>114.5</v>
      </c>
      <c r="J54" s="53">
        <f t="shared" ref="J54:J69" si="23">+C54*I54</f>
        <v>10076</v>
      </c>
      <c r="K54" s="10">
        <f t="shared" ref="K54:K69" si="24">+IF(C54=0,0,(J54-E54)/E54)</f>
        <v>0</v>
      </c>
      <c r="L54" s="63">
        <f t="shared" ref="L54:L69" si="25">+D54*(1+$L$2)</f>
        <v>114.5</v>
      </c>
      <c r="N54" s="84"/>
      <c r="O54" s="442">
        <f t="shared" ref="O54:O69" si="26">ROUND(D54*(1+$M$5),2)</f>
        <v>114.5</v>
      </c>
      <c r="P54" s="446">
        <f t="shared" si="9"/>
        <v>10076</v>
      </c>
    </row>
    <row r="55" spans="1:16">
      <c r="A55" t="s">
        <v>408</v>
      </c>
      <c r="C55" s="122">
        <f>+'Service Counts'!I55</f>
        <v>97</v>
      </c>
      <c r="D55" s="63">
        <f>+'Service Counts'!G55</f>
        <v>139.5</v>
      </c>
      <c r="E55" s="6">
        <f t="shared" si="19"/>
        <v>13531.5</v>
      </c>
      <c r="F55" s="63">
        <f t="shared" si="20"/>
        <v>145.5131433888468</v>
      </c>
      <c r="G55" s="53">
        <f t="shared" si="21"/>
        <v>14114.77490871814</v>
      </c>
      <c r="H55" s="10">
        <f>+IF(C55=0,0,(G55-E55)/E55)</f>
        <v>4.3104970529367778E-2</v>
      </c>
      <c r="I55" s="126">
        <v>139.5</v>
      </c>
      <c r="J55" s="53">
        <f t="shared" si="23"/>
        <v>13531.5</v>
      </c>
      <c r="K55" s="10">
        <f t="shared" si="24"/>
        <v>0</v>
      </c>
      <c r="L55" s="63">
        <f t="shared" si="25"/>
        <v>139.5</v>
      </c>
      <c r="N55" s="84"/>
      <c r="O55" s="442">
        <f t="shared" si="26"/>
        <v>139.5</v>
      </c>
      <c r="P55" s="446">
        <f t="shared" si="9"/>
        <v>13531.5</v>
      </c>
    </row>
    <row r="56" spans="1:16">
      <c r="A56" t="s">
        <v>407</v>
      </c>
      <c r="C56" s="122">
        <f>+'Service Counts'!I56</f>
        <v>139</v>
      </c>
      <c r="D56" s="63">
        <f>+'Service Counts'!G56</f>
        <v>150.5</v>
      </c>
      <c r="E56" s="6">
        <f t="shared" si="19"/>
        <v>20919.5</v>
      </c>
      <c r="F56" s="63">
        <f t="shared" si="20"/>
        <v>156.98729806466986</v>
      </c>
      <c r="G56" s="53">
        <f t="shared" si="21"/>
        <v>21821.234430989109</v>
      </c>
      <c r="H56" s="10">
        <f t="shared" si="22"/>
        <v>4.310497052936775E-2</v>
      </c>
      <c r="I56" s="126">
        <v>150.5</v>
      </c>
      <c r="J56" s="53">
        <f t="shared" si="23"/>
        <v>20919.5</v>
      </c>
      <c r="K56" s="10">
        <f t="shared" si="24"/>
        <v>0</v>
      </c>
      <c r="L56" s="63">
        <f t="shared" si="25"/>
        <v>150.5</v>
      </c>
      <c r="N56" s="84"/>
      <c r="O56" s="442">
        <f t="shared" si="26"/>
        <v>150.5</v>
      </c>
      <c r="P56" s="446">
        <f t="shared" si="9"/>
        <v>20919.5</v>
      </c>
    </row>
    <row r="57" spans="1:16">
      <c r="A57" t="s">
        <v>406</v>
      </c>
      <c r="C57" s="122">
        <f>+'Service Counts'!I57</f>
        <v>0</v>
      </c>
      <c r="D57" s="63">
        <f>+'Service Counts'!G57</f>
        <v>0</v>
      </c>
      <c r="E57" s="6">
        <f t="shared" si="19"/>
        <v>0</v>
      </c>
      <c r="F57" s="63">
        <f t="shared" si="20"/>
        <v>0</v>
      </c>
      <c r="G57" s="53">
        <f t="shared" si="21"/>
        <v>0</v>
      </c>
      <c r="H57" s="10">
        <f t="shared" si="22"/>
        <v>0</v>
      </c>
      <c r="I57" s="126">
        <v>0</v>
      </c>
      <c r="J57" s="53">
        <f t="shared" si="23"/>
        <v>0</v>
      </c>
      <c r="K57" s="10">
        <f t="shared" si="24"/>
        <v>0</v>
      </c>
      <c r="L57" s="63">
        <f t="shared" si="25"/>
        <v>0</v>
      </c>
      <c r="N57" s="84"/>
      <c r="O57" s="442">
        <f t="shared" si="26"/>
        <v>0</v>
      </c>
      <c r="P57" s="446">
        <f t="shared" si="9"/>
        <v>0</v>
      </c>
    </row>
    <row r="58" spans="1:16">
      <c r="A58" t="s">
        <v>405</v>
      </c>
      <c r="C58" s="122">
        <f>+'Service Counts'!I58</f>
        <v>905</v>
      </c>
      <c r="D58" s="63">
        <f>+'Service Counts'!G58</f>
        <v>3.35</v>
      </c>
      <c r="E58" s="6">
        <f t="shared" si="19"/>
        <v>3031.75</v>
      </c>
      <c r="F58" s="63">
        <f t="shared" si="20"/>
        <v>3.4944016512733822</v>
      </c>
      <c r="G58" s="53">
        <f t="shared" si="21"/>
        <v>3162.4334944024108</v>
      </c>
      <c r="H58" s="10">
        <f t="shared" si="22"/>
        <v>4.3104970529367799E-2</v>
      </c>
      <c r="I58" s="126">
        <v>3.35</v>
      </c>
      <c r="J58" s="53">
        <f t="shared" si="23"/>
        <v>3031.75</v>
      </c>
      <c r="K58" s="10">
        <f>+IF(C58=0,0,(J58-E58)/E58)</f>
        <v>0</v>
      </c>
      <c r="L58" s="63">
        <f t="shared" si="25"/>
        <v>3.35</v>
      </c>
      <c r="N58" s="84"/>
      <c r="O58" s="442">
        <f t="shared" si="26"/>
        <v>3.35</v>
      </c>
      <c r="P58" s="446">
        <f t="shared" si="9"/>
        <v>3031.75</v>
      </c>
    </row>
    <row r="59" spans="1:16">
      <c r="A59" t="s">
        <v>404</v>
      </c>
      <c r="C59" s="122">
        <f>+'Service Counts'!I59</f>
        <v>1867</v>
      </c>
      <c r="D59" s="63">
        <f>+'Service Counts'!G59</f>
        <v>3.85</v>
      </c>
      <c r="E59" s="6">
        <f t="shared" si="19"/>
        <v>7187.95</v>
      </c>
      <c r="F59" s="63">
        <f t="shared" si="20"/>
        <v>4.015954136538066</v>
      </c>
      <c r="G59" s="53">
        <f t="shared" si="21"/>
        <v>7497.7863729165692</v>
      </c>
      <c r="H59" s="10">
        <f t="shared" si="22"/>
        <v>4.310497052936782E-2</v>
      </c>
      <c r="I59" s="126">
        <v>3.85</v>
      </c>
      <c r="J59" s="53">
        <f t="shared" si="23"/>
        <v>7187.95</v>
      </c>
      <c r="K59" s="10">
        <f t="shared" si="24"/>
        <v>0</v>
      </c>
      <c r="L59" s="63">
        <f t="shared" si="25"/>
        <v>3.85</v>
      </c>
      <c r="N59" s="84"/>
      <c r="O59" s="442">
        <f t="shared" si="26"/>
        <v>3.85</v>
      </c>
      <c r="P59" s="446">
        <f t="shared" si="9"/>
        <v>7187.95</v>
      </c>
    </row>
    <row r="60" spans="1:16">
      <c r="A60" t="s">
        <v>403</v>
      </c>
      <c r="C60" s="122">
        <f>+'Service Counts'!I60</f>
        <v>2780</v>
      </c>
      <c r="D60" s="63">
        <f>+'Service Counts'!G60</f>
        <v>4.5999999999999996</v>
      </c>
      <c r="E60" s="6">
        <f t="shared" si="19"/>
        <v>12787.999999999998</v>
      </c>
      <c r="F60" s="63">
        <f t="shared" si="20"/>
        <v>4.7982828644350919</v>
      </c>
      <c r="G60" s="53">
        <f t="shared" si="21"/>
        <v>13339.226363129555</v>
      </c>
      <c r="H60" s="10">
        <f t="shared" si="22"/>
        <v>4.3104970529367952E-2</v>
      </c>
      <c r="I60" s="126">
        <v>4.5999999999999996</v>
      </c>
      <c r="J60" s="53">
        <f t="shared" si="23"/>
        <v>12787.999999999998</v>
      </c>
      <c r="K60" s="10">
        <f t="shared" si="24"/>
        <v>0</v>
      </c>
      <c r="L60" s="63">
        <f t="shared" si="25"/>
        <v>4.5999999999999996</v>
      </c>
      <c r="N60" s="84"/>
      <c r="O60" s="442">
        <f t="shared" si="26"/>
        <v>4.5999999999999996</v>
      </c>
      <c r="P60" s="446">
        <f t="shared" si="9"/>
        <v>12787.999999999998</v>
      </c>
    </row>
    <row r="61" spans="1:16">
      <c r="A61" t="s">
        <v>402</v>
      </c>
      <c r="C61" s="122">
        <f>+'Service Counts'!I61</f>
        <v>0</v>
      </c>
      <c r="D61" s="63">
        <f>+'Service Counts'!G61</f>
        <v>0</v>
      </c>
      <c r="E61" s="6">
        <f t="shared" si="19"/>
        <v>0</v>
      </c>
      <c r="F61" s="63">
        <f t="shared" si="20"/>
        <v>0</v>
      </c>
      <c r="G61" s="53">
        <f t="shared" si="21"/>
        <v>0</v>
      </c>
      <c r="H61" s="10">
        <f t="shared" si="22"/>
        <v>0</v>
      </c>
      <c r="I61" s="126">
        <v>0</v>
      </c>
      <c r="J61" s="53">
        <f t="shared" si="23"/>
        <v>0</v>
      </c>
      <c r="K61" s="10">
        <f t="shared" si="24"/>
        <v>0</v>
      </c>
      <c r="L61" s="63">
        <f t="shared" si="25"/>
        <v>0</v>
      </c>
      <c r="N61" s="84"/>
      <c r="O61" s="442">
        <f t="shared" si="26"/>
        <v>0</v>
      </c>
      <c r="P61" s="446">
        <f t="shared" si="9"/>
        <v>0</v>
      </c>
    </row>
    <row r="62" spans="1:16">
      <c r="A62" t="s">
        <v>401</v>
      </c>
      <c r="C62" s="122">
        <f>+'Service Counts'!I62</f>
        <v>42</v>
      </c>
      <c r="D62" s="63">
        <f>+'Service Counts'!G62</f>
        <v>42.75</v>
      </c>
      <c r="E62" s="6">
        <f t="shared" si="19"/>
        <v>1795.5</v>
      </c>
      <c r="F62" s="63">
        <f t="shared" si="20"/>
        <v>44.592737490130474</v>
      </c>
      <c r="G62" s="53">
        <f t="shared" si="21"/>
        <v>1872.89497458548</v>
      </c>
      <c r="H62" s="10">
        <f t="shared" si="22"/>
        <v>4.3104970529367855E-2</v>
      </c>
      <c r="I62" s="126">
        <v>42.75</v>
      </c>
      <c r="J62" s="53">
        <f t="shared" si="23"/>
        <v>1795.5</v>
      </c>
      <c r="K62" s="10">
        <f t="shared" si="24"/>
        <v>0</v>
      </c>
      <c r="L62" s="63">
        <f t="shared" si="25"/>
        <v>42.75</v>
      </c>
      <c r="N62" s="84"/>
      <c r="O62" s="442">
        <f t="shared" si="26"/>
        <v>42.75</v>
      </c>
      <c r="P62" s="446">
        <f t="shared" si="9"/>
        <v>1795.5</v>
      </c>
    </row>
    <row r="63" spans="1:16">
      <c r="A63" t="s">
        <v>400</v>
      </c>
      <c r="C63" s="122">
        <f>+'Service Counts'!I63</f>
        <v>31</v>
      </c>
      <c r="D63" s="63">
        <f>+'Service Counts'!G63</f>
        <v>42.75</v>
      </c>
      <c r="E63" s="6">
        <f t="shared" si="19"/>
        <v>1325.25</v>
      </c>
      <c r="F63" s="63">
        <f t="shared" si="20"/>
        <v>44.592737490130474</v>
      </c>
      <c r="G63" s="53">
        <f t="shared" si="21"/>
        <v>1382.3748621940447</v>
      </c>
      <c r="H63" s="10">
        <f t="shared" si="22"/>
        <v>4.3104970529367806E-2</v>
      </c>
      <c r="I63" s="126">
        <v>42.75</v>
      </c>
      <c r="J63" s="53">
        <f t="shared" si="23"/>
        <v>1325.25</v>
      </c>
      <c r="K63" s="10">
        <f t="shared" si="24"/>
        <v>0</v>
      </c>
      <c r="L63" s="63">
        <f t="shared" si="25"/>
        <v>42.75</v>
      </c>
      <c r="N63" s="84"/>
      <c r="O63" s="442">
        <f t="shared" si="26"/>
        <v>42.75</v>
      </c>
      <c r="P63" s="446">
        <f t="shared" si="9"/>
        <v>1325.25</v>
      </c>
    </row>
    <row r="64" spans="1:16">
      <c r="A64" t="s">
        <v>399</v>
      </c>
      <c r="C64" s="122">
        <f>+'Service Counts'!I64</f>
        <v>24</v>
      </c>
      <c r="D64" s="63">
        <f>+'Service Counts'!G64</f>
        <v>42.75</v>
      </c>
      <c r="E64" s="6">
        <f t="shared" si="19"/>
        <v>1026</v>
      </c>
      <c r="F64" s="63">
        <f t="shared" si="20"/>
        <v>44.592737490130474</v>
      </c>
      <c r="G64" s="53">
        <f t="shared" si="21"/>
        <v>1070.2256997631314</v>
      </c>
      <c r="H64" s="10">
        <f t="shared" si="22"/>
        <v>4.3104970529367827E-2</v>
      </c>
      <c r="I64" s="126">
        <v>42.75</v>
      </c>
      <c r="J64" s="53">
        <f t="shared" si="23"/>
        <v>1026</v>
      </c>
      <c r="K64" s="10">
        <f t="shared" si="24"/>
        <v>0</v>
      </c>
      <c r="L64" s="63">
        <f t="shared" si="25"/>
        <v>42.75</v>
      </c>
      <c r="N64" s="84"/>
      <c r="O64" s="442">
        <f t="shared" si="26"/>
        <v>42.75</v>
      </c>
      <c r="P64" s="446">
        <f t="shared" si="9"/>
        <v>1026</v>
      </c>
    </row>
    <row r="65" spans="1:16">
      <c r="A65" t="s">
        <v>398</v>
      </c>
      <c r="C65" s="122">
        <f>+'Service Counts'!I65</f>
        <v>0</v>
      </c>
      <c r="D65" s="63">
        <f>+'Service Counts'!G65</f>
        <v>0</v>
      </c>
      <c r="E65" s="6">
        <f t="shared" si="19"/>
        <v>0</v>
      </c>
      <c r="F65" s="63">
        <f t="shared" si="20"/>
        <v>0</v>
      </c>
      <c r="G65" s="53">
        <f t="shared" si="21"/>
        <v>0</v>
      </c>
      <c r="H65" s="10">
        <f t="shared" si="22"/>
        <v>0</v>
      </c>
      <c r="I65" s="126">
        <v>0</v>
      </c>
      <c r="J65" s="53">
        <f t="shared" si="23"/>
        <v>0</v>
      </c>
      <c r="K65" s="10">
        <f t="shared" si="24"/>
        <v>0</v>
      </c>
      <c r="L65" s="63">
        <f t="shared" si="25"/>
        <v>0</v>
      </c>
      <c r="N65" s="84"/>
      <c r="O65" s="442">
        <f t="shared" si="26"/>
        <v>0</v>
      </c>
      <c r="P65" s="446">
        <f t="shared" si="9"/>
        <v>0</v>
      </c>
    </row>
    <row r="66" spans="1:16">
      <c r="A66" t="s">
        <v>397</v>
      </c>
      <c r="C66" s="122">
        <f>+'Service Counts'!I66</f>
        <v>200</v>
      </c>
      <c r="D66" s="63">
        <f>+'Service Counts'!G66</f>
        <v>2.4500000000000002</v>
      </c>
      <c r="E66" s="6">
        <f t="shared" si="19"/>
        <v>490.00000000000006</v>
      </c>
      <c r="F66" s="63">
        <f t="shared" si="20"/>
        <v>2.5556071777969511</v>
      </c>
      <c r="G66" s="53">
        <f t="shared" si="21"/>
        <v>511.12143555939025</v>
      </c>
      <c r="H66" s="10">
        <f t="shared" si="22"/>
        <v>4.3104970529367737E-2</v>
      </c>
      <c r="I66" s="126">
        <v>2.4500000000000002</v>
      </c>
      <c r="J66" s="53">
        <f t="shared" si="23"/>
        <v>490.00000000000006</v>
      </c>
      <c r="K66" s="10">
        <f t="shared" si="24"/>
        <v>0</v>
      </c>
      <c r="L66" s="63">
        <f t="shared" si="25"/>
        <v>2.4500000000000002</v>
      </c>
      <c r="N66" s="84"/>
      <c r="O66" s="442">
        <f t="shared" si="26"/>
        <v>2.4500000000000002</v>
      </c>
      <c r="P66" s="446">
        <f t="shared" si="9"/>
        <v>490.00000000000006</v>
      </c>
    </row>
    <row r="67" spans="1:16">
      <c r="A67" t="s">
        <v>396</v>
      </c>
      <c r="C67" s="122">
        <f>+'Service Counts'!I67</f>
        <v>33</v>
      </c>
      <c r="D67" s="63">
        <f>+'Service Counts'!G67</f>
        <v>30.9</v>
      </c>
      <c r="E67" s="6">
        <f t="shared" si="19"/>
        <v>1019.6999999999999</v>
      </c>
      <c r="F67" s="63">
        <f t="shared" si="20"/>
        <v>32.231943589357464</v>
      </c>
      <c r="G67" s="53">
        <f t="shared" si="21"/>
        <v>1063.6541384487964</v>
      </c>
      <c r="H67" s="10">
        <f t="shared" si="22"/>
        <v>4.3104970529367924E-2</v>
      </c>
      <c r="I67" s="126">
        <v>30.9</v>
      </c>
      <c r="J67" s="53">
        <f t="shared" si="23"/>
        <v>1019.6999999999999</v>
      </c>
      <c r="K67" s="10">
        <f t="shared" si="24"/>
        <v>0</v>
      </c>
      <c r="L67" s="63">
        <f t="shared" si="25"/>
        <v>30.9</v>
      </c>
      <c r="N67" s="84"/>
      <c r="O67" s="442">
        <f t="shared" si="26"/>
        <v>30.9</v>
      </c>
      <c r="P67" s="446">
        <f t="shared" si="9"/>
        <v>1019.6999999999999</v>
      </c>
    </row>
    <row r="68" spans="1:16">
      <c r="A68" t="s">
        <v>395</v>
      </c>
      <c r="C68" s="122">
        <f>+'Service Counts'!I68</f>
        <v>0</v>
      </c>
      <c r="D68" s="63">
        <f>+'Service Counts'!G68</f>
        <v>177.5</v>
      </c>
      <c r="E68" s="6">
        <f t="shared" si="19"/>
        <v>0</v>
      </c>
      <c r="F68" s="63">
        <f t="shared" si="20"/>
        <v>185.15113226896278</v>
      </c>
      <c r="G68" s="53">
        <f t="shared" si="21"/>
        <v>0</v>
      </c>
      <c r="H68" s="10">
        <f t="shared" si="22"/>
        <v>0</v>
      </c>
      <c r="I68" s="126">
        <v>177.5</v>
      </c>
      <c r="J68" s="53">
        <f t="shared" si="23"/>
        <v>0</v>
      </c>
      <c r="K68" s="10">
        <f t="shared" si="24"/>
        <v>0</v>
      </c>
      <c r="L68" s="63">
        <f t="shared" si="25"/>
        <v>177.5</v>
      </c>
      <c r="N68" s="84"/>
      <c r="O68" s="442">
        <f t="shared" si="26"/>
        <v>177.5</v>
      </c>
      <c r="P68" s="446">
        <f t="shared" si="9"/>
        <v>0</v>
      </c>
    </row>
    <row r="69" spans="1:16">
      <c r="A69" t="s">
        <v>394</v>
      </c>
      <c r="C69" s="122">
        <f>+'Service Counts'!I69</f>
        <v>100</v>
      </c>
      <c r="D69" s="63">
        <f>+'Service Counts'!G69</f>
        <v>215.5</v>
      </c>
      <c r="E69" s="43">
        <f t="shared" si="19"/>
        <v>21550</v>
      </c>
      <c r="F69" s="63">
        <f t="shared" si="20"/>
        <v>224.78912114907877</v>
      </c>
      <c r="G69" s="57">
        <f t="shared" si="21"/>
        <v>22478.912114907878</v>
      </c>
      <c r="H69" s="10">
        <f t="shared" si="22"/>
        <v>4.3104970529367903E-2</v>
      </c>
      <c r="I69" s="126">
        <v>215.5</v>
      </c>
      <c r="J69" s="57">
        <f t="shared" si="23"/>
        <v>21550</v>
      </c>
      <c r="K69" s="10">
        <f t="shared" si="24"/>
        <v>0</v>
      </c>
      <c r="L69" s="63">
        <f t="shared" si="25"/>
        <v>215.5</v>
      </c>
      <c r="N69" s="84"/>
      <c r="O69" s="442">
        <f t="shared" si="26"/>
        <v>215.5</v>
      </c>
      <c r="P69" s="446">
        <f t="shared" si="9"/>
        <v>21550</v>
      </c>
    </row>
    <row r="70" spans="1:16">
      <c r="C70" s="122"/>
      <c r="D70" s="63"/>
      <c r="E70" s="6">
        <f>SUM(E54:E69)</f>
        <v>94741.15</v>
      </c>
      <c r="G70" s="6">
        <f>SUM(G54:G69)</f>
        <v>98824.964478668408</v>
      </c>
      <c r="I70" s="127"/>
      <c r="J70" s="6">
        <f>SUM(J54:J69)</f>
        <v>94741.15</v>
      </c>
      <c r="K70" s="125">
        <f>(+J70-E70)/E70</f>
        <v>0</v>
      </c>
      <c r="N70" s="84"/>
      <c r="O70" s="442"/>
      <c r="P70" s="446"/>
    </row>
    <row r="71" spans="1:16">
      <c r="A71" t="s">
        <v>393</v>
      </c>
      <c r="C71" s="122"/>
      <c r="D71" s="63"/>
      <c r="I71" s="127"/>
      <c r="J71" s="53"/>
      <c r="N71" s="84"/>
      <c r="O71" s="442"/>
      <c r="P71" s="446"/>
    </row>
    <row r="72" spans="1:16">
      <c r="A72" t="s">
        <v>392</v>
      </c>
      <c r="C72" s="122"/>
      <c r="D72" s="63"/>
      <c r="I72" s="127"/>
      <c r="J72" s="53"/>
      <c r="N72" s="84"/>
      <c r="O72" s="442"/>
      <c r="P72" s="446"/>
    </row>
    <row r="73" spans="1:16">
      <c r="A73" t="s">
        <v>391</v>
      </c>
      <c r="C73" s="122">
        <f>+'Service Counts'!I73</f>
        <v>51.75</v>
      </c>
      <c r="D73" s="63">
        <f>+'Service Counts'!G73</f>
        <v>138</v>
      </c>
      <c r="E73" s="6">
        <f>+C73*D73</f>
        <v>7141.5</v>
      </c>
      <c r="F73" s="63">
        <f>+D73*(1+$H$4)</f>
        <v>143.94848593305275</v>
      </c>
      <c r="G73" s="53">
        <f>+C73*F73</f>
        <v>7449.3341470354799</v>
      </c>
      <c r="H73" s="10">
        <f>+IF(C73=0,0,(G73-E73)/E73)</f>
        <v>4.3104970529367764E-2</v>
      </c>
      <c r="I73" s="126">
        <v>138</v>
      </c>
      <c r="J73" s="53">
        <f>+C73*I73</f>
        <v>7141.5</v>
      </c>
      <c r="K73" s="10">
        <f>+IF(C73=0,0,(J73-E73)/E73)</f>
        <v>0</v>
      </c>
      <c r="L73" s="63">
        <f>+D73*(1+$L$2)</f>
        <v>138</v>
      </c>
      <c r="N73" s="84"/>
      <c r="O73" s="442">
        <f t="shared" ref="O73:O74" si="27">ROUND(D73*(1+$M$5),2)</f>
        <v>138</v>
      </c>
      <c r="P73" s="446">
        <f t="shared" si="9"/>
        <v>7141.5</v>
      </c>
    </row>
    <row r="74" spans="1:16">
      <c r="A74" t="s">
        <v>390</v>
      </c>
      <c r="C74" s="122">
        <f>+'Service Counts'!I74</f>
        <v>0.5</v>
      </c>
      <c r="D74" s="63">
        <f>+'Service Counts'!G74</f>
        <v>35</v>
      </c>
      <c r="E74" s="43">
        <f>+C74*D74</f>
        <v>17.5</v>
      </c>
      <c r="F74" s="63">
        <f>+D74*(1+$H$4)</f>
        <v>36.508673968527873</v>
      </c>
      <c r="G74" s="57">
        <f>+C74*F74</f>
        <v>18.254336984263936</v>
      </c>
      <c r="H74" s="10">
        <f>+IF(C74=0,0,(G74-E74)/E74)</f>
        <v>4.3104970529367799E-2</v>
      </c>
      <c r="I74" s="126">
        <v>35</v>
      </c>
      <c r="J74" s="57">
        <f>+C74*I74</f>
        <v>17.5</v>
      </c>
      <c r="K74" s="10">
        <f>+IF(C74=0,0,(J74-E74)/E74)</f>
        <v>0</v>
      </c>
      <c r="L74" s="63">
        <f>+D74*(1+$L$2)</f>
        <v>35</v>
      </c>
      <c r="N74" s="84"/>
      <c r="O74" s="442">
        <f t="shared" si="27"/>
        <v>35</v>
      </c>
      <c r="P74" s="446">
        <f t="shared" si="9"/>
        <v>17.5</v>
      </c>
    </row>
    <row r="75" spans="1:16">
      <c r="C75" s="122"/>
      <c r="D75" s="63"/>
      <c r="E75" s="6">
        <f>SUM(E73:E74)</f>
        <v>7159</v>
      </c>
      <c r="G75" s="6">
        <f>SUM(G73:G74)</f>
        <v>7467.5884840197441</v>
      </c>
      <c r="J75" s="6">
        <f>SUM(J73:J74)</f>
        <v>7159</v>
      </c>
      <c r="K75" s="125">
        <f>(+J75-E75)/E75</f>
        <v>0</v>
      </c>
      <c r="O75" s="442"/>
      <c r="P75" s="442"/>
    </row>
    <row r="76" spans="1:16">
      <c r="C76" s="122"/>
      <c r="D76" s="56"/>
      <c r="O76" s="442"/>
      <c r="P76" s="442"/>
    </row>
    <row r="77" spans="1:16">
      <c r="C77" s="122"/>
      <c r="D77" s="56"/>
      <c r="O77" s="442"/>
      <c r="P77" s="442"/>
    </row>
    <row r="78" spans="1:16">
      <c r="C78" s="122">
        <f>+'Service Counts'!I76</f>
        <v>64799.35</v>
      </c>
      <c r="D78" s="56"/>
      <c r="E78" s="63">
        <f>ROUND(+E35+E52+E70+E75,2)</f>
        <v>1525003.04</v>
      </c>
      <c r="G78" s="63">
        <f>ROUND(+G35+G52+G70+G75,2)</f>
        <v>1590738.25</v>
      </c>
      <c r="J78" s="63">
        <f>ROUND(+J35+J52+J70+J75,2)</f>
        <v>1525003.04</v>
      </c>
      <c r="L78" s="63"/>
      <c r="O78" s="442"/>
      <c r="P78" s="446">
        <f>SUM(P11:P74)</f>
        <v>1525003.0375000003</v>
      </c>
    </row>
    <row r="79" spans="1:16">
      <c r="C79" s="122"/>
      <c r="D79" s="56"/>
      <c r="O79" s="442"/>
      <c r="P79" s="442"/>
    </row>
    <row r="80" spans="1:16">
      <c r="A80" t="s">
        <v>389</v>
      </c>
      <c r="C80" s="122"/>
      <c r="D80" s="56"/>
      <c r="G80" s="63">
        <f>ROUND(+G78-E78,2)</f>
        <v>65735.210000000006</v>
      </c>
      <c r="J80" s="63">
        <f>ROUND(+J78-E78,2)</f>
        <v>0</v>
      </c>
      <c r="K80" s="124">
        <f>ROUND(+J80/E78,4)</f>
        <v>0</v>
      </c>
      <c r="O80" s="442"/>
      <c r="P80" s="446">
        <f>P78-E78</f>
        <v>-2.4999997112900019E-3</v>
      </c>
    </row>
    <row r="81" spans="3:18">
      <c r="C81" s="122"/>
      <c r="D81" s="56"/>
      <c r="Q81" s="112">
        <f ca="1">'Staff LG Total'!M21</f>
        <v>12559.441048730978</v>
      </c>
      <c r="R81" t="s">
        <v>1180</v>
      </c>
    </row>
    <row r="82" spans="3:18">
      <c r="C82" s="122"/>
      <c r="D82" s="56"/>
      <c r="E82" s="6"/>
      <c r="K82" s="123"/>
      <c r="Q82" s="112">
        <f ca="1">Q81-P80</f>
        <v>-91298.037951268838</v>
      </c>
      <c r="R82" t="s">
        <v>1181</v>
      </c>
    </row>
    <row r="83" spans="3:18">
      <c r="C83" s="122"/>
      <c r="D83" s="56"/>
      <c r="E83" s="6"/>
    </row>
    <row r="84" spans="3:18">
      <c r="C84" s="122"/>
      <c r="D84" s="56"/>
      <c r="E84" s="82"/>
    </row>
    <row r="85" spans="3:18">
      <c r="C85" s="122"/>
      <c r="D85" s="56"/>
      <c r="E85" s="18"/>
    </row>
    <row r="86" spans="3:18">
      <c r="C86" s="122"/>
      <c r="D86" s="56"/>
      <c r="E86" s="56"/>
    </row>
    <row r="87" spans="3:18">
      <c r="C87" s="122"/>
      <c r="D87" s="56"/>
      <c r="E87" s="10"/>
    </row>
    <row r="88" spans="3:18">
      <c r="C88" s="122"/>
      <c r="D88" s="56"/>
      <c r="E88" s="10"/>
    </row>
    <row r="89" spans="3:18">
      <c r="C89" s="122"/>
      <c r="D89" s="56"/>
    </row>
    <row r="90" spans="3:18">
      <c r="D90" s="56"/>
    </row>
  </sheetData>
  <pageMargins left="0.47" right="0.3" top="0.66" bottom="0.28000000000000003" header="0.5" footer="0.3"/>
  <pageSetup scale="7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E30"/>
  <sheetViews>
    <sheetView workbookViewId="0">
      <selection activeCell="J10" sqref="J10"/>
    </sheetView>
  </sheetViews>
  <sheetFormatPr defaultRowHeight="12.75"/>
  <cols>
    <col min="2" max="2" width="12.28515625" bestFit="1" customWidth="1"/>
    <col min="3" max="3" width="14.7109375" customWidth="1"/>
    <col min="4" max="4" width="11.28515625" bestFit="1" customWidth="1"/>
    <col min="5" max="5" width="59.85546875" customWidth="1"/>
  </cols>
  <sheetData>
    <row r="3" spans="2:5" ht="18">
      <c r="B3" s="674" t="s">
        <v>1293</v>
      </c>
      <c r="C3" s="674"/>
    </row>
    <row r="5" spans="2:5">
      <c r="B5" s="666" t="s">
        <v>99</v>
      </c>
      <c r="C5" s="666" t="s">
        <v>1294</v>
      </c>
      <c r="D5" s="666" t="s">
        <v>1295</v>
      </c>
    </row>
    <row r="6" spans="2:5" ht="114.75">
      <c r="B6" s="667">
        <v>195529</v>
      </c>
      <c r="C6" s="667">
        <f>'Staff Pro Forma'!I84</f>
        <v>262508</v>
      </c>
      <c r="D6" s="667">
        <f>C6-B6</f>
        <v>66979</v>
      </c>
      <c r="E6" s="673" t="s">
        <v>1302</v>
      </c>
    </row>
    <row r="7" spans="2:5" ht="25.5">
      <c r="B7" s="668">
        <v>0.3</v>
      </c>
      <c r="C7" s="668">
        <v>0.21</v>
      </c>
      <c r="D7" s="667">
        <v>-22061</v>
      </c>
      <c r="E7" s="673" t="s">
        <v>1296</v>
      </c>
    </row>
    <row r="8" spans="2:5" ht="51">
      <c r="B8" s="667">
        <f>'Staff Pro Forma'!C58</f>
        <v>2130</v>
      </c>
      <c r="C8" s="667">
        <v>0</v>
      </c>
      <c r="D8" s="667">
        <f>C8-B8</f>
        <v>-2130</v>
      </c>
      <c r="E8" s="673" t="s">
        <v>1303</v>
      </c>
    </row>
    <row r="9" spans="2:5" ht="102">
      <c r="B9" s="667">
        <v>-11231</v>
      </c>
      <c r="C9" s="667">
        <f>'Staff Pro Forma'!H85</f>
        <v>-8681</v>
      </c>
      <c r="D9" s="667">
        <f>C9-B9</f>
        <v>2550</v>
      </c>
      <c r="E9" s="673" t="s">
        <v>1297</v>
      </c>
    </row>
    <row r="10" spans="2:5" ht="114.75">
      <c r="B10" s="733" t="s">
        <v>1299</v>
      </c>
      <c r="C10" s="733"/>
      <c r="D10" s="733"/>
      <c r="E10" s="673" t="s">
        <v>1298</v>
      </c>
    </row>
    <row r="11" spans="2:5" ht="25.5">
      <c r="B11" s="667">
        <f>'Staff Pro Forma'!E80</f>
        <v>11157.03</v>
      </c>
      <c r="C11" s="667">
        <f>'Staff Pro Forma'!I80</f>
        <v>9969.0300000000007</v>
      </c>
      <c r="D11" s="667">
        <f>-'Proforma AJEs'!J30</f>
        <v>-1188</v>
      </c>
      <c r="E11" s="673" t="s">
        <v>1300</v>
      </c>
    </row>
    <row r="12" spans="2:5" ht="25.5">
      <c r="B12" s="667"/>
      <c r="C12" s="667"/>
      <c r="D12" s="667">
        <v>-1675</v>
      </c>
      <c r="E12" s="673" t="s">
        <v>1301</v>
      </c>
    </row>
    <row r="13" spans="2:5">
      <c r="B13" s="667"/>
      <c r="C13" s="667"/>
      <c r="D13" s="667"/>
      <c r="E13" s="665"/>
    </row>
    <row r="14" spans="2:5">
      <c r="B14" s="667"/>
      <c r="C14" s="667"/>
      <c r="D14" s="667"/>
      <c r="E14" s="665"/>
    </row>
    <row r="15" spans="2:5">
      <c r="B15" s="667"/>
      <c r="C15" s="667"/>
      <c r="D15" s="667"/>
      <c r="E15" s="665"/>
    </row>
    <row r="16" spans="2:5">
      <c r="B16" s="667"/>
      <c r="C16" s="667"/>
      <c r="D16" s="667"/>
      <c r="E16" s="665"/>
    </row>
    <row r="17" spans="2:5">
      <c r="B17" s="667"/>
      <c r="C17" s="667"/>
      <c r="D17" s="667"/>
      <c r="E17" s="665"/>
    </row>
    <row r="18" spans="2:5">
      <c r="B18" s="667"/>
      <c r="C18" s="667"/>
      <c r="D18" s="667"/>
      <c r="E18" s="665"/>
    </row>
    <row r="19" spans="2:5">
      <c r="B19" s="667"/>
      <c r="C19" s="667"/>
      <c r="D19" s="667"/>
      <c r="E19" s="665"/>
    </row>
    <row r="20" spans="2:5">
      <c r="B20" s="667"/>
      <c r="C20" s="667"/>
      <c r="D20" s="667"/>
      <c r="E20" s="665"/>
    </row>
    <row r="21" spans="2:5">
      <c r="B21" s="667"/>
      <c r="C21" s="667"/>
      <c r="D21" s="667"/>
      <c r="E21" s="665"/>
    </row>
    <row r="22" spans="2:5">
      <c r="B22" s="667"/>
      <c r="C22" s="667"/>
      <c r="D22" s="667"/>
      <c r="E22" s="665"/>
    </row>
    <row r="23" spans="2:5">
      <c r="B23" s="667"/>
      <c r="C23" s="667"/>
      <c r="D23" s="667"/>
      <c r="E23" s="665"/>
    </row>
    <row r="24" spans="2:5">
      <c r="B24" s="667"/>
      <c r="C24" s="667"/>
      <c r="D24" s="667"/>
      <c r="E24" s="665"/>
    </row>
    <row r="25" spans="2:5">
      <c r="B25" s="667"/>
      <c r="C25" s="667"/>
      <c r="D25" s="667"/>
      <c r="E25" s="665"/>
    </row>
    <row r="26" spans="2:5">
      <c r="B26" s="667"/>
      <c r="C26" s="667"/>
      <c r="D26" s="667"/>
      <c r="E26" s="665"/>
    </row>
    <row r="27" spans="2:5">
      <c r="B27" s="669"/>
      <c r="C27" s="669"/>
      <c r="D27" s="669"/>
      <c r="E27" s="665"/>
    </row>
    <row r="28" spans="2:5">
      <c r="B28" s="669"/>
      <c r="C28" s="669"/>
      <c r="D28" s="669"/>
      <c r="E28" s="665"/>
    </row>
    <row r="29" spans="2:5">
      <c r="B29" s="669"/>
      <c r="C29" s="669"/>
      <c r="D29" s="669"/>
      <c r="E29" s="665"/>
    </row>
    <row r="30" spans="2:5">
      <c r="E30" s="665"/>
    </row>
  </sheetData>
  <mergeCells count="1">
    <mergeCell ref="B10:D1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workbookViewId="0">
      <selection activeCell="E5" sqref="E5"/>
    </sheetView>
  </sheetViews>
  <sheetFormatPr defaultRowHeight="12.75"/>
  <cols>
    <col min="1" max="1" width="9.42578125" customWidth="1"/>
    <col min="2" max="2" width="11.5703125" customWidth="1"/>
    <col min="5" max="5" width="11.28515625" customWidth="1"/>
    <col min="7" max="7" width="11.28515625" customWidth="1"/>
    <col min="8" max="8" width="10.5703125" customWidth="1"/>
    <col min="10" max="10" width="11.5703125" customWidth="1"/>
    <col min="11" max="11" width="10.42578125" customWidth="1"/>
  </cols>
  <sheetData>
    <row r="1" spans="1:12">
      <c r="A1" t="s">
        <v>0</v>
      </c>
      <c r="G1" t="s">
        <v>466</v>
      </c>
      <c r="J1" t="s">
        <v>465</v>
      </c>
    </row>
    <row r="2" spans="1:12">
      <c r="A2" t="s">
        <v>469</v>
      </c>
      <c r="G2" s="10">
        <f>+H2/E74</f>
        <v>5.3307693835196984E-2</v>
      </c>
      <c r="H2" s="141">
        <f>+'Lurito-Douglas'!E10</f>
        <v>7480.5010231960814</v>
      </c>
      <c r="I2" t="s">
        <v>452</v>
      </c>
      <c r="J2" s="63">
        <f>+J76</f>
        <v>0</v>
      </c>
      <c r="K2" s="139">
        <f>+J2/E74</f>
        <v>0</v>
      </c>
      <c r="L2" s="138">
        <v>0</v>
      </c>
    </row>
    <row r="3" spans="1:12">
      <c r="A3" s="1" t="str">
        <f>+'Priceout-Chelan'!A3</f>
        <v>12 Months Ended September 30, 2019</v>
      </c>
      <c r="H3" s="10">
        <f>+G2</f>
        <v>5.3307693835196984E-2</v>
      </c>
      <c r="I3" t="s">
        <v>463</v>
      </c>
    </row>
    <row r="4" spans="1:12">
      <c r="E4" s="693" t="s">
        <v>1414</v>
      </c>
      <c r="F4" s="693" t="s">
        <v>691</v>
      </c>
      <c r="H4" s="10">
        <f>+G2</f>
        <v>5.3307693835196984E-2</v>
      </c>
      <c r="I4" t="s">
        <v>462</v>
      </c>
    </row>
    <row r="6" spans="1:12" ht="13.5" thickBot="1">
      <c r="A6" s="137" t="s">
        <v>468</v>
      </c>
      <c r="B6" s="5"/>
      <c r="C6" s="5"/>
    </row>
    <row r="7" spans="1:12">
      <c r="F7" s="136"/>
      <c r="G7" s="135" t="s">
        <v>458</v>
      </c>
      <c r="H7" s="134"/>
      <c r="I7" s="136"/>
      <c r="J7" s="135" t="s">
        <v>99</v>
      </c>
      <c r="K7" s="134"/>
    </row>
    <row r="8" spans="1:12">
      <c r="C8" s="2" t="s">
        <v>460</v>
      </c>
      <c r="D8" s="93" t="s">
        <v>459</v>
      </c>
      <c r="E8" s="93" t="s">
        <v>456</v>
      </c>
      <c r="F8" s="133" t="s">
        <v>458</v>
      </c>
      <c r="G8" s="93" t="s">
        <v>456</v>
      </c>
      <c r="H8" s="132" t="s">
        <v>455</v>
      </c>
      <c r="I8" s="133" t="s">
        <v>457</v>
      </c>
      <c r="J8" s="93" t="s">
        <v>456</v>
      </c>
      <c r="K8" s="132" t="s">
        <v>455</v>
      </c>
    </row>
    <row r="9" spans="1:12" ht="13.5" thickBot="1">
      <c r="A9" s="5" t="s">
        <v>454</v>
      </c>
      <c r="B9" s="5"/>
      <c r="C9" s="20" t="s">
        <v>199</v>
      </c>
      <c r="D9" s="131" t="s">
        <v>100</v>
      </c>
      <c r="E9" s="131" t="s">
        <v>2</v>
      </c>
      <c r="F9" s="130" t="s">
        <v>453</v>
      </c>
      <c r="G9" s="20" t="s">
        <v>2</v>
      </c>
      <c r="H9" s="129" t="s">
        <v>452</v>
      </c>
      <c r="I9" s="130" t="s">
        <v>453</v>
      </c>
      <c r="J9" s="20" t="s">
        <v>2</v>
      </c>
      <c r="K9" s="129" t="s">
        <v>452</v>
      </c>
    </row>
    <row r="10" spans="1:12">
      <c r="A10" t="s">
        <v>451</v>
      </c>
    </row>
    <row r="11" spans="1:12">
      <c r="A11" t="s">
        <v>450</v>
      </c>
      <c r="C11" s="122">
        <f>+'Service Counts'!R10</f>
        <v>0</v>
      </c>
      <c r="D11" s="63">
        <f>+'Service Counts'!P10</f>
        <v>13.65</v>
      </c>
      <c r="E11" s="56">
        <f t="shared" ref="E11:E31" si="0">+C11*D11</f>
        <v>0</v>
      </c>
      <c r="F11" s="63">
        <f t="shared" ref="F11:F31" si="1">+D11*(1+$H$4)</f>
        <v>14.377650020850441</v>
      </c>
      <c r="G11" s="63">
        <f t="shared" ref="G11:G31" si="2">+C11*F11</f>
        <v>0</v>
      </c>
      <c r="H11" s="10">
        <f t="shared" ref="H11:H31" si="3">+IF(C11=0,0,(G11-E11)/E11)</f>
        <v>0</v>
      </c>
      <c r="I11" s="144">
        <v>13.65</v>
      </c>
      <c r="J11" s="73">
        <f t="shared" ref="J11:J31" si="4">+C11*I11</f>
        <v>0</v>
      </c>
      <c r="K11" s="10">
        <f t="shared" ref="K11:K31" si="5">+IF(C11=0,0,(J11-E11)/E11)</f>
        <v>0</v>
      </c>
      <c r="L11" s="63">
        <f t="shared" ref="L11:L31" si="6">+D11*(1+$L$2)</f>
        <v>13.65</v>
      </c>
    </row>
    <row r="12" spans="1:12">
      <c r="A12" t="s">
        <v>449</v>
      </c>
      <c r="C12" s="122">
        <f>+'Service Counts'!R11</f>
        <v>0</v>
      </c>
      <c r="D12" s="63">
        <f>+'Service Counts'!P11</f>
        <v>8.75</v>
      </c>
      <c r="E12" s="56">
        <f t="shared" si="0"/>
        <v>0</v>
      </c>
      <c r="F12" s="63">
        <f t="shared" si="1"/>
        <v>9.2164423210579738</v>
      </c>
      <c r="G12" s="63">
        <f t="shared" si="2"/>
        <v>0</v>
      </c>
      <c r="H12" s="10">
        <f t="shared" si="3"/>
        <v>0</v>
      </c>
      <c r="I12" s="144">
        <v>8.75</v>
      </c>
      <c r="J12" s="73">
        <f t="shared" si="4"/>
        <v>0</v>
      </c>
      <c r="K12" s="10">
        <f t="shared" si="5"/>
        <v>0</v>
      </c>
      <c r="L12" s="63">
        <f t="shared" si="6"/>
        <v>8.75</v>
      </c>
    </row>
    <row r="13" spans="1:12">
      <c r="A13" t="s">
        <v>448</v>
      </c>
      <c r="C13" s="122">
        <f>+'Service Counts'!R12</f>
        <v>0</v>
      </c>
      <c r="D13" s="63">
        <f>+'Service Counts'!P12</f>
        <v>12.6</v>
      </c>
      <c r="E13" s="6">
        <f t="shared" si="0"/>
        <v>0</v>
      </c>
      <c r="F13" s="63">
        <f t="shared" si="1"/>
        <v>13.271676942323483</v>
      </c>
      <c r="G13" s="53">
        <f t="shared" si="2"/>
        <v>0</v>
      </c>
      <c r="H13" s="10">
        <f t="shared" si="3"/>
        <v>0</v>
      </c>
      <c r="I13" s="144">
        <v>12.6</v>
      </c>
      <c r="J13" s="53">
        <f t="shared" si="4"/>
        <v>0</v>
      </c>
      <c r="K13" s="10">
        <f t="shared" si="5"/>
        <v>0</v>
      </c>
      <c r="L13" s="63">
        <f t="shared" si="6"/>
        <v>12.6</v>
      </c>
    </row>
    <row r="14" spans="1:12">
      <c r="A14" t="s">
        <v>447</v>
      </c>
      <c r="C14" s="122">
        <f>+'Service Counts'!R13</f>
        <v>0</v>
      </c>
      <c r="D14" s="63">
        <f>+'Service Counts'!P13</f>
        <v>16.45</v>
      </c>
      <c r="E14" s="6">
        <f t="shared" si="0"/>
        <v>0</v>
      </c>
      <c r="F14" s="63">
        <f t="shared" si="1"/>
        <v>17.32691156358899</v>
      </c>
      <c r="G14" s="53">
        <f t="shared" si="2"/>
        <v>0</v>
      </c>
      <c r="H14" s="10">
        <f t="shared" si="3"/>
        <v>0</v>
      </c>
      <c r="I14" s="144">
        <v>16.45</v>
      </c>
      <c r="J14" s="53">
        <f t="shared" si="4"/>
        <v>0</v>
      </c>
      <c r="K14" s="10">
        <f t="shared" si="5"/>
        <v>0</v>
      </c>
      <c r="L14" s="63">
        <f t="shared" si="6"/>
        <v>16.45</v>
      </c>
    </row>
    <row r="15" spans="1:12">
      <c r="A15" t="s">
        <v>446</v>
      </c>
      <c r="C15" s="122">
        <f>+'Service Counts'!R14</f>
        <v>581.4</v>
      </c>
      <c r="D15" s="63">
        <f>+'Service Counts'!P14</f>
        <v>16.350000000000001</v>
      </c>
      <c r="E15" s="6">
        <f t="shared" si="0"/>
        <v>9505.8900000000012</v>
      </c>
      <c r="F15" s="63">
        <f t="shared" si="1"/>
        <v>17.221580794205472</v>
      </c>
      <c r="G15" s="53">
        <f t="shared" si="2"/>
        <v>10012.62707375106</v>
      </c>
      <c r="H15" s="10">
        <f t="shared" si="3"/>
        <v>5.3307693835196818E-2</v>
      </c>
      <c r="I15" s="144">
        <v>16.350000000000001</v>
      </c>
      <c r="J15" s="53">
        <f t="shared" si="4"/>
        <v>9505.8900000000012</v>
      </c>
      <c r="K15" s="10">
        <f t="shared" si="5"/>
        <v>0</v>
      </c>
      <c r="L15" s="63">
        <f t="shared" si="6"/>
        <v>16.350000000000001</v>
      </c>
    </row>
    <row r="16" spans="1:12">
      <c r="A16" t="s">
        <v>445</v>
      </c>
      <c r="C16" s="122">
        <f>+'Service Counts'!R15</f>
        <v>852.8</v>
      </c>
      <c r="D16" s="63">
        <f>+'Service Counts'!P15</f>
        <v>20.55</v>
      </c>
      <c r="E16" s="6">
        <f t="shared" si="0"/>
        <v>17525.04</v>
      </c>
      <c r="F16" s="63">
        <f t="shared" si="1"/>
        <v>21.645473108313301</v>
      </c>
      <c r="G16" s="53">
        <f t="shared" si="2"/>
        <v>18459.259466769581</v>
      </c>
      <c r="H16" s="10">
        <f t="shared" si="3"/>
        <v>5.330769383519697E-2</v>
      </c>
      <c r="I16" s="144">
        <v>20.55</v>
      </c>
      <c r="J16" s="53">
        <f t="shared" si="4"/>
        <v>17525.04</v>
      </c>
      <c r="K16" s="10">
        <f t="shared" si="5"/>
        <v>0</v>
      </c>
      <c r="L16" s="63">
        <f t="shared" si="6"/>
        <v>20.55</v>
      </c>
    </row>
    <row r="17" spans="1:12">
      <c r="A17" t="s">
        <v>444</v>
      </c>
      <c r="C17" s="122">
        <f>+'Service Counts'!R16</f>
        <v>272.85000000000002</v>
      </c>
      <c r="D17" s="63">
        <f>+'Service Counts'!P16</f>
        <v>24.25</v>
      </c>
      <c r="E17" s="6">
        <f t="shared" si="0"/>
        <v>6616.6125000000002</v>
      </c>
      <c r="F17" s="63">
        <f t="shared" si="1"/>
        <v>25.542711575503528</v>
      </c>
      <c r="G17" s="53">
        <f t="shared" si="2"/>
        <v>6969.3288533761379</v>
      </c>
      <c r="H17" s="10">
        <f t="shared" si="3"/>
        <v>5.330769383519704E-2</v>
      </c>
      <c r="I17" s="144">
        <v>24.25</v>
      </c>
      <c r="J17" s="53">
        <f t="shared" si="4"/>
        <v>6616.6125000000002</v>
      </c>
      <c r="K17" s="10">
        <f t="shared" si="5"/>
        <v>0</v>
      </c>
      <c r="L17" s="63">
        <f t="shared" si="6"/>
        <v>24.25</v>
      </c>
    </row>
    <row r="18" spans="1:12">
      <c r="A18" t="s">
        <v>443</v>
      </c>
      <c r="C18" s="122">
        <f>+'Service Counts'!R17</f>
        <v>95.5</v>
      </c>
      <c r="D18" s="63">
        <f>+'Service Counts'!P17</f>
        <v>27.75</v>
      </c>
      <c r="E18" s="6">
        <f t="shared" si="0"/>
        <v>2650.125</v>
      </c>
      <c r="F18" s="63">
        <f t="shared" si="1"/>
        <v>29.229288503926718</v>
      </c>
      <c r="G18" s="53">
        <f t="shared" si="2"/>
        <v>2791.3970521250017</v>
      </c>
      <c r="H18" s="10">
        <f t="shared" si="3"/>
        <v>5.3307693835197081E-2</v>
      </c>
      <c r="I18" s="144">
        <v>27.75</v>
      </c>
      <c r="J18" s="53">
        <f t="shared" si="4"/>
        <v>2650.125</v>
      </c>
      <c r="K18" s="10">
        <f t="shared" si="5"/>
        <v>0</v>
      </c>
      <c r="L18" s="63">
        <f t="shared" si="6"/>
        <v>27.75</v>
      </c>
    </row>
    <row r="19" spans="1:12">
      <c r="A19" t="s">
        <v>442</v>
      </c>
      <c r="C19" s="122">
        <f>+'Service Counts'!R18</f>
        <v>30.65</v>
      </c>
      <c r="D19" s="63">
        <f>+'Service Counts'!P18</f>
        <v>33.25</v>
      </c>
      <c r="E19" s="6">
        <f t="shared" si="0"/>
        <v>1019.1125</v>
      </c>
      <c r="F19" s="63">
        <f t="shared" si="1"/>
        <v>35.022480820020306</v>
      </c>
      <c r="G19" s="53">
        <f t="shared" si="2"/>
        <v>1073.4390371336224</v>
      </c>
      <c r="H19" s="10">
        <f t="shared" si="3"/>
        <v>5.330769383519722E-2</v>
      </c>
      <c r="I19" s="144">
        <v>33.25</v>
      </c>
      <c r="J19" s="53">
        <f t="shared" si="4"/>
        <v>1019.1125</v>
      </c>
      <c r="K19" s="10">
        <f t="shared" si="5"/>
        <v>0</v>
      </c>
      <c r="L19" s="63">
        <f t="shared" si="6"/>
        <v>33.25</v>
      </c>
    </row>
    <row r="20" spans="1:12">
      <c r="A20" t="s">
        <v>441</v>
      </c>
      <c r="C20" s="122">
        <f>+'Service Counts'!R19</f>
        <v>30.5</v>
      </c>
      <c r="D20" s="63">
        <f>+'Service Counts'!P19</f>
        <v>36.85</v>
      </c>
      <c r="E20" s="6">
        <f t="shared" si="0"/>
        <v>1123.925</v>
      </c>
      <c r="F20" s="63">
        <f t="shared" si="1"/>
        <v>38.814388517827012</v>
      </c>
      <c r="G20" s="53">
        <f t="shared" si="2"/>
        <v>1183.838849793724</v>
      </c>
      <c r="H20" s="10">
        <f t="shared" si="3"/>
        <v>5.3307693835197199E-2</v>
      </c>
      <c r="I20" s="144">
        <v>36.85</v>
      </c>
      <c r="J20" s="53">
        <f t="shared" si="4"/>
        <v>1123.925</v>
      </c>
      <c r="K20" s="10">
        <f t="shared" si="5"/>
        <v>0</v>
      </c>
      <c r="L20" s="63">
        <f t="shared" si="6"/>
        <v>36.85</v>
      </c>
    </row>
    <row r="21" spans="1:12">
      <c r="A21" t="s">
        <v>437</v>
      </c>
      <c r="C21" s="122">
        <f>+'Service Counts'!R23</f>
        <v>0</v>
      </c>
      <c r="D21" s="63">
        <f>+'Service Counts'!P23</f>
        <v>0</v>
      </c>
      <c r="E21" s="6">
        <f t="shared" si="0"/>
        <v>0</v>
      </c>
      <c r="F21" s="63">
        <f t="shared" si="1"/>
        <v>0</v>
      </c>
      <c r="G21" s="53">
        <f t="shared" si="2"/>
        <v>0</v>
      </c>
      <c r="H21" s="10">
        <f t="shared" si="3"/>
        <v>0</v>
      </c>
      <c r="I21" s="144">
        <f>+L21</f>
        <v>0</v>
      </c>
      <c r="J21" s="53">
        <f t="shared" si="4"/>
        <v>0</v>
      </c>
      <c r="K21" s="10">
        <f t="shared" si="5"/>
        <v>0</v>
      </c>
      <c r="L21" s="63">
        <f t="shared" si="6"/>
        <v>0</v>
      </c>
    </row>
    <row r="22" spans="1:12">
      <c r="A22" t="s">
        <v>436</v>
      </c>
      <c r="C22" s="122">
        <f>+'Service Counts'!R24</f>
        <v>0</v>
      </c>
      <c r="D22" s="63">
        <f>+'Service Counts'!P24</f>
        <v>0</v>
      </c>
      <c r="E22" s="6">
        <f t="shared" si="0"/>
        <v>0</v>
      </c>
      <c r="F22" s="63">
        <f t="shared" si="1"/>
        <v>0</v>
      </c>
      <c r="G22" s="53">
        <f t="shared" si="2"/>
        <v>0</v>
      </c>
      <c r="H22" s="10">
        <f t="shared" si="3"/>
        <v>0</v>
      </c>
      <c r="I22" s="144">
        <f>+L22</f>
        <v>0</v>
      </c>
      <c r="J22" s="53">
        <f t="shared" si="4"/>
        <v>0</v>
      </c>
      <c r="K22" s="10">
        <f t="shared" si="5"/>
        <v>0</v>
      </c>
      <c r="L22" s="63">
        <f t="shared" si="6"/>
        <v>0</v>
      </c>
    </row>
    <row r="23" spans="1:12">
      <c r="A23" t="s">
        <v>435</v>
      </c>
      <c r="C23" s="122">
        <f>+'Service Counts'!R25</f>
        <v>0</v>
      </c>
      <c r="D23" s="63">
        <f>+'Service Counts'!P25</f>
        <v>0</v>
      </c>
      <c r="E23" s="6">
        <f t="shared" si="0"/>
        <v>0</v>
      </c>
      <c r="F23" s="63">
        <f t="shared" si="1"/>
        <v>0</v>
      </c>
      <c r="G23" s="53">
        <f t="shared" si="2"/>
        <v>0</v>
      </c>
      <c r="H23" s="10">
        <f t="shared" si="3"/>
        <v>0</v>
      </c>
      <c r="I23" s="144">
        <f>+L23</f>
        <v>0</v>
      </c>
      <c r="J23" s="53">
        <f t="shared" si="4"/>
        <v>0</v>
      </c>
      <c r="K23" s="10">
        <f t="shared" si="5"/>
        <v>0</v>
      </c>
      <c r="L23" s="63">
        <f t="shared" si="6"/>
        <v>0</v>
      </c>
    </row>
    <row r="24" spans="1:12">
      <c r="A24" t="s">
        <v>434</v>
      </c>
      <c r="C24" s="122">
        <f>+'Service Counts'!R26</f>
        <v>0</v>
      </c>
      <c r="D24" s="63">
        <f>+'Service Counts'!P26</f>
        <v>0</v>
      </c>
      <c r="E24" s="6">
        <f t="shared" si="0"/>
        <v>0</v>
      </c>
      <c r="F24" s="63">
        <f t="shared" si="1"/>
        <v>0</v>
      </c>
      <c r="G24" s="53">
        <f t="shared" si="2"/>
        <v>0</v>
      </c>
      <c r="H24" s="10">
        <f t="shared" si="3"/>
        <v>0</v>
      </c>
      <c r="I24" s="144">
        <f>+L24</f>
        <v>0</v>
      </c>
      <c r="J24" s="53">
        <f t="shared" si="4"/>
        <v>0</v>
      </c>
      <c r="K24" s="10">
        <f t="shared" si="5"/>
        <v>0</v>
      </c>
      <c r="L24" s="63">
        <f t="shared" si="6"/>
        <v>0</v>
      </c>
    </row>
    <row r="25" spans="1:12">
      <c r="A25" t="s">
        <v>433</v>
      </c>
      <c r="C25" s="122">
        <f>+'Service Counts'!R27</f>
        <v>0</v>
      </c>
      <c r="D25" s="63">
        <f>+'Service Counts'!P27</f>
        <v>0</v>
      </c>
      <c r="E25" s="6">
        <f t="shared" si="0"/>
        <v>0</v>
      </c>
      <c r="F25" s="63">
        <f t="shared" si="1"/>
        <v>0</v>
      </c>
      <c r="G25" s="53">
        <f t="shared" si="2"/>
        <v>0</v>
      </c>
      <c r="H25" s="10">
        <f t="shared" si="3"/>
        <v>0</v>
      </c>
      <c r="I25" s="144">
        <f>+L25</f>
        <v>0</v>
      </c>
      <c r="J25" s="53">
        <f t="shared" si="4"/>
        <v>0</v>
      </c>
      <c r="K25" s="10">
        <f t="shared" si="5"/>
        <v>0</v>
      </c>
      <c r="L25" s="63">
        <f t="shared" si="6"/>
        <v>0</v>
      </c>
    </row>
    <row r="26" spans="1:12">
      <c r="A26" t="s">
        <v>432</v>
      </c>
      <c r="C26" s="122">
        <f>+'Service Counts'!R29</f>
        <v>332</v>
      </c>
      <c r="D26" s="63">
        <f>+'Service Counts'!P29</f>
        <v>3.95</v>
      </c>
      <c r="E26" s="6">
        <f t="shared" si="0"/>
        <v>1311.4</v>
      </c>
      <c r="F26" s="63">
        <f t="shared" si="1"/>
        <v>4.1605653906490287</v>
      </c>
      <c r="G26" s="53">
        <f t="shared" si="2"/>
        <v>1381.3077096954776</v>
      </c>
      <c r="H26" s="10">
        <f t="shared" si="3"/>
        <v>5.3307693835197095E-2</v>
      </c>
      <c r="I26" s="144">
        <v>3.95</v>
      </c>
      <c r="J26" s="53">
        <f t="shared" si="4"/>
        <v>1311.4</v>
      </c>
      <c r="K26" s="10">
        <f t="shared" si="5"/>
        <v>0</v>
      </c>
      <c r="L26" s="63">
        <f t="shared" si="6"/>
        <v>3.95</v>
      </c>
    </row>
    <row r="27" spans="1:12">
      <c r="A27" t="s">
        <v>431</v>
      </c>
      <c r="C27" s="122">
        <f>+'Service Counts'!R30</f>
        <v>0</v>
      </c>
      <c r="D27" s="63">
        <f>+'Service Counts'!P30</f>
        <v>2.95</v>
      </c>
      <c r="E27" s="6">
        <f t="shared" si="0"/>
        <v>0</v>
      </c>
      <c r="F27" s="63">
        <f t="shared" si="1"/>
        <v>3.1072576968138317</v>
      </c>
      <c r="G27" s="53">
        <f t="shared" si="2"/>
        <v>0</v>
      </c>
      <c r="H27" s="10">
        <f t="shared" si="3"/>
        <v>0</v>
      </c>
      <c r="I27" s="144">
        <v>2.95</v>
      </c>
      <c r="J27" s="53">
        <f t="shared" si="4"/>
        <v>0</v>
      </c>
      <c r="K27" s="10">
        <f t="shared" si="5"/>
        <v>0</v>
      </c>
      <c r="L27" s="63">
        <f t="shared" si="6"/>
        <v>2.95</v>
      </c>
    </row>
    <row r="28" spans="1:12">
      <c r="A28" t="s">
        <v>467</v>
      </c>
      <c r="C28" s="122">
        <f>+'Service Counts'!R31</f>
        <v>0</v>
      </c>
      <c r="D28" s="63">
        <f>+'Service Counts'!P31</f>
        <v>1.65</v>
      </c>
      <c r="E28" s="6">
        <f t="shared" si="0"/>
        <v>0</v>
      </c>
      <c r="F28" s="63">
        <f t="shared" si="1"/>
        <v>1.7379576948280751</v>
      </c>
      <c r="G28" s="53">
        <f t="shared" si="2"/>
        <v>0</v>
      </c>
      <c r="H28" s="10">
        <f t="shared" si="3"/>
        <v>0</v>
      </c>
      <c r="I28" s="144">
        <v>1.65</v>
      </c>
      <c r="J28" s="53">
        <f t="shared" si="4"/>
        <v>0</v>
      </c>
      <c r="K28" s="10">
        <f t="shared" si="5"/>
        <v>0</v>
      </c>
      <c r="L28" s="63">
        <f t="shared" si="6"/>
        <v>1.65</v>
      </c>
    </row>
    <row r="29" spans="1:12">
      <c r="A29" t="s">
        <v>429</v>
      </c>
      <c r="C29" s="122">
        <f>+'Service Counts'!R32</f>
        <v>21</v>
      </c>
      <c r="D29" s="63">
        <f>+'Service Counts'!P32</f>
        <v>10.55</v>
      </c>
      <c r="E29" s="6">
        <f t="shared" si="0"/>
        <v>221.55</v>
      </c>
      <c r="F29" s="63">
        <f t="shared" si="1"/>
        <v>11.112396169961329</v>
      </c>
      <c r="G29" s="53">
        <f t="shared" si="2"/>
        <v>233.36031956918791</v>
      </c>
      <c r="H29" s="10">
        <f t="shared" si="3"/>
        <v>5.3307693835197005E-2</v>
      </c>
      <c r="I29" s="144">
        <v>10.55</v>
      </c>
      <c r="J29" s="53">
        <f t="shared" si="4"/>
        <v>221.55</v>
      </c>
      <c r="K29" s="10">
        <f t="shared" si="5"/>
        <v>0</v>
      </c>
      <c r="L29" s="63">
        <f t="shared" si="6"/>
        <v>10.55</v>
      </c>
    </row>
    <row r="30" spans="1:12">
      <c r="A30" t="s">
        <v>428</v>
      </c>
      <c r="C30" s="122">
        <f>+'Service Counts'!R33</f>
        <v>135.75</v>
      </c>
      <c r="D30" s="63">
        <f>+'Service Counts'!P33</f>
        <v>19.600000000000001</v>
      </c>
      <c r="E30" s="6">
        <f t="shared" si="0"/>
        <v>2660.7000000000003</v>
      </c>
      <c r="F30" s="63">
        <f t="shared" si="1"/>
        <v>20.644830799169863</v>
      </c>
      <c r="G30" s="53">
        <f t="shared" si="2"/>
        <v>2802.535780987309</v>
      </c>
      <c r="H30" s="10">
        <f t="shared" si="3"/>
        <v>5.3307693835197005E-2</v>
      </c>
      <c r="I30" s="144">
        <v>19.600000000000001</v>
      </c>
      <c r="J30" s="53">
        <f t="shared" si="4"/>
        <v>2660.7000000000003</v>
      </c>
      <c r="K30" s="10">
        <f t="shared" si="5"/>
        <v>0</v>
      </c>
      <c r="L30" s="63">
        <f t="shared" si="6"/>
        <v>19.600000000000001</v>
      </c>
    </row>
    <row r="31" spans="1:12">
      <c r="A31" t="s">
        <v>427</v>
      </c>
      <c r="C31" s="122">
        <f>+'Service Counts'!R34</f>
        <v>0</v>
      </c>
      <c r="D31" s="63">
        <f>+'Service Counts'!P34</f>
        <v>12.2</v>
      </c>
      <c r="E31" s="43">
        <f t="shared" si="0"/>
        <v>0</v>
      </c>
      <c r="F31" s="63">
        <f t="shared" si="1"/>
        <v>12.850353864789403</v>
      </c>
      <c r="G31" s="57">
        <f t="shared" si="2"/>
        <v>0</v>
      </c>
      <c r="H31" s="10">
        <f t="shared" si="3"/>
        <v>0</v>
      </c>
      <c r="I31" s="144">
        <v>12.2</v>
      </c>
      <c r="J31" s="57">
        <f t="shared" si="4"/>
        <v>0</v>
      </c>
      <c r="K31" s="10">
        <f t="shared" si="5"/>
        <v>0</v>
      </c>
      <c r="L31" s="63">
        <f t="shared" si="6"/>
        <v>12.2</v>
      </c>
    </row>
    <row r="32" spans="1:12">
      <c r="C32" s="122"/>
      <c r="D32" s="63"/>
      <c r="E32" s="56">
        <f>SUM(E11:E31)</f>
        <v>42634.35500000001</v>
      </c>
      <c r="G32" s="56">
        <f>SUM(G11:G31)</f>
        <v>44907.09414320111</v>
      </c>
      <c r="I32" s="127"/>
      <c r="J32" s="56">
        <f>SUM(J11:J31)</f>
        <v>42634.35500000001</v>
      </c>
      <c r="K32" s="125">
        <f>(+J32-E32)/E32</f>
        <v>0</v>
      </c>
    </row>
    <row r="33" spans="1:12">
      <c r="A33" t="s">
        <v>426</v>
      </c>
      <c r="C33" s="122"/>
      <c r="D33" s="63"/>
      <c r="I33" s="127"/>
      <c r="J33" s="53"/>
    </row>
    <row r="34" spans="1:12">
      <c r="A34" t="s">
        <v>425</v>
      </c>
      <c r="C34" s="122">
        <f>+'Service Counts'!R37</f>
        <v>720</v>
      </c>
      <c r="D34" s="63">
        <f>+'Service Counts'!P37</f>
        <v>15.25</v>
      </c>
      <c r="E34" s="6">
        <f t="shared" ref="E34:E48" si="7">+C34*D34</f>
        <v>10980</v>
      </c>
      <c r="F34" s="63">
        <f t="shared" ref="F34:F48" si="8">+D34*(1+$H$4)</f>
        <v>16.062942330986754</v>
      </c>
      <c r="G34" s="53">
        <f t="shared" ref="G34:G48" si="9">+C34*F34</f>
        <v>11565.318478310463</v>
      </c>
      <c r="H34" s="10">
        <f t="shared" ref="H34:H48" si="10">+IF(C34=0,0,(G34-E34)/E34)</f>
        <v>5.330769383519695E-2</v>
      </c>
      <c r="I34" s="144">
        <v>15.25</v>
      </c>
      <c r="J34" s="53">
        <f t="shared" ref="J34:J48" si="11">+C34*I34</f>
        <v>10980</v>
      </c>
      <c r="K34" s="10">
        <f t="shared" ref="K34:K48" si="12">+IF(C34=0,0,(J34-E34)/E34)</f>
        <v>0</v>
      </c>
      <c r="L34" s="63">
        <f t="shared" ref="L34:L48" si="13">+D34*(1+$L$2)</f>
        <v>15.25</v>
      </c>
    </row>
    <row r="35" spans="1:12">
      <c r="A35" t="s">
        <v>424</v>
      </c>
      <c r="C35" s="122">
        <f>+'Service Counts'!R38</f>
        <v>0</v>
      </c>
      <c r="D35" s="63">
        <f>+'Service Counts'!P38</f>
        <v>20.399999999999999</v>
      </c>
      <c r="E35" s="6">
        <f t="shared" si="7"/>
        <v>0</v>
      </c>
      <c r="F35" s="63">
        <f t="shared" si="8"/>
        <v>21.487476954238019</v>
      </c>
      <c r="G35" s="53">
        <f t="shared" si="9"/>
        <v>0</v>
      </c>
      <c r="H35" s="10">
        <f t="shared" si="10"/>
        <v>0</v>
      </c>
      <c r="I35" s="144">
        <v>20.399999999999999</v>
      </c>
      <c r="J35" s="53">
        <f t="shared" si="11"/>
        <v>0</v>
      </c>
      <c r="K35" s="10">
        <f t="shared" si="12"/>
        <v>0</v>
      </c>
      <c r="L35" s="63">
        <f t="shared" si="13"/>
        <v>20.399999999999999</v>
      </c>
    </row>
    <row r="36" spans="1:12">
      <c r="A36" t="s">
        <v>423</v>
      </c>
      <c r="C36" s="122">
        <f>+'Service Counts'!R39</f>
        <v>581</v>
      </c>
      <c r="D36" s="63">
        <f>+'Service Counts'!P39</f>
        <v>23.3</v>
      </c>
      <c r="E36" s="6">
        <f t="shared" si="7"/>
        <v>13537.300000000001</v>
      </c>
      <c r="F36" s="63">
        <f t="shared" si="8"/>
        <v>24.542069266360091</v>
      </c>
      <c r="G36" s="53">
        <f t="shared" si="9"/>
        <v>14258.942243755213</v>
      </c>
      <c r="H36" s="10">
        <f t="shared" si="10"/>
        <v>5.3307693835196963E-2</v>
      </c>
      <c r="I36" s="144">
        <v>23.3</v>
      </c>
      <c r="J36" s="53">
        <f t="shared" si="11"/>
        <v>13537.300000000001</v>
      </c>
      <c r="K36" s="10">
        <f t="shared" si="12"/>
        <v>0</v>
      </c>
      <c r="L36" s="63">
        <f t="shared" si="13"/>
        <v>23.3</v>
      </c>
    </row>
    <row r="37" spans="1:12">
      <c r="A37" t="s">
        <v>422</v>
      </c>
      <c r="C37" s="122">
        <f>+'Service Counts'!R40</f>
        <v>45</v>
      </c>
      <c r="D37" s="63">
        <f>+'Service Counts'!P40</f>
        <v>30.5</v>
      </c>
      <c r="E37" s="6">
        <f t="shared" si="7"/>
        <v>1372.5</v>
      </c>
      <c r="F37" s="63">
        <f t="shared" si="8"/>
        <v>32.125884661973508</v>
      </c>
      <c r="G37" s="53">
        <f t="shared" si="9"/>
        <v>1445.6648097888078</v>
      </c>
      <c r="H37" s="10">
        <f t="shared" si="10"/>
        <v>5.330769383519695E-2</v>
      </c>
      <c r="I37" s="144">
        <v>30.5</v>
      </c>
      <c r="J37" s="53">
        <f t="shared" si="11"/>
        <v>1372.5</v>
      </c>
      <c r="K37" s="10">
        <f t="shared" si="12"/>
        <v>0</v>
      </c>
      <c r="L37" s="63">
        <f t="shared" si="13"/>
        <v>30.5</v>
      </c>
    </row>
    <row r="38" spans="1:12">
      <c r="A38" t="s">
        <v>421</v>
      </c>
      <c r="C38" s="122">
        <f>+'Service Counts'!R41</f>
        <v>656</v>
      </c>
      <c r="D38" s="63">
        <f>+'Service Counts'!P41</f>
        <v>38.950000000000003</v>
      </c>
      <c r="E38" s="6">
        <f t="shared" si="7"/>
        <v>25551.200000000001</v>
      </c>
      <c r="F38" s="63">
        <f t="shared" si="8"/>
        <v>41.026334674880928</v>
      </c>
      <c r="G38" s="53">
        <f t="shared" si="9"/>
        <v>26913.275546721889</v>
      </c>
      <c r="H38" s="10">
        <f t="shared" si="10"/>
        <v>5.3307693835197088E-2</v>
      </c>
      <c r="I38" s="144">
        <v>38.950000000000003</v>
      </c>
      <c r="J38" s="53">
        <f t="shared" si="11"/>
        <v>25551.200000000001</v>
      </c>
      <c r="K38" s="10">
        <f t="shared" si="12"/>
        <v>0</v>
      </c>
      <c r="L38" s="63">
        <f t="shared" si="13"/>
        <v>38.950000000000003</v>
      </c>
    </row>
    <row r="39" spans="1:12">
      <c r="A39" t="s">
        <v>420</v>
      </c>
      <c r="C39" s="122">
        <f>+'Service Counts'!R42</f>
        <v>175</v>
      </c>
      <c r="D39" s="63">
        <f>+'Service Counts'!P42</f>
        <v>61.6</v>
      </c>
      <c r="E39" s="6">
        <f t="shared" si="7"/>
        <v>10780</v>
      </c>
      <c r="F39" s="63">
        <f t="shared" si="8"/>
        <v>64.883753940248141</v>
      </c>
      <c r="G39" s="53">
        <f t="shared" si="9"/>
        <v>11354.656939543425</v>
      </c>
      <c r="H39" s="10">
        <f t="shared" si="10"/>
        <v>5.3307693835197158E-2</v>
      </c>
      <c r="I39" s="144">
        <v>61.6</v>
      </c>
      <c r="J39" s="53">
        <f t="shared" si="11"/>
        <v>10780</v>
      </c>
      <c r="K39" s="10">
        <f t="shared" si="12"/>
        <v>0</v>
      </c>
      <c r="L39" s="63">
        <f t="shared" si="13"/>
        <v>61.6</v>
      </c>
    </row>
    <row r="40" spans="1:12">
      <c r="A40" t="s">
        <v>419</v>
      </c>
      <c r="C40" s="122">
        <f>+'Service Counts'!R43</f>
        <v>0</v>
      </c>
      <c r="D40" s="63">
        <f>+'Service Counts'!P43</f>
        <v>81.900000000000006</v>
      </c>
      <c r="E40" s="6">
        <f t="shared" si="7"/>
        <v>0</v>
      </c>
      <c r="F40" s="63">
        <f t="shared" si="8"/>
        <v>86.265900125102647</v>
      </c>
      <c r="G40" s="53">
        <f t="shared" si="9"/>
        <v>0</v>
      </c>
      <c r="H40" s="10">
        <f t="shared" si="10"/>
        <v>0</v>
      </c>
      <c r="I40" s="144">
        <v>81.900000000000006</v>
      </c>
      <c r="J40" s="53">
        <f t="shared" si="11"/>
        <v>0</v>
      </c>
      <c r="K40" s="10">
        <f t="shared" si="12"/>
        <v>0</v>
      </c>
      <c r="L40" s="63">
        <f t="shared" si="13"/>
        <v>81.900000000000006</v>
      </c>
    </row>
    <row r="41" spans="1:12">
      <c r="A41" t="s">
        <v>418</v>
      </c>
      <c r="C41" s="122">
        <f>+'Service Counts'!R44</f>
        <v>4</v>
      </c>
      <c r="D41" s="63">
        <f>+'Service Counts'!P44</f>
        <v>8.25</v>
      </c>
      <c r="E41" s="6">
        <f t="shared" si="7"/>
        <v>33</v>
      </c>
      <c r="F41" s="63">
        <f t="shared" si="8"/>
        <v>8.689788474140375</v>
      </c>
      <c r="G41" s="53">
        <f t="shared" si="9"/>
        <v>34.7591538965615</v>
      </c>
      <c r="H41" s="10">
        <f t="shared" si="10"/>
        <v>5.330769383519697E-2</v>
      </c>
      <c r="I41" s="144">
        <v>8.25</v>
      </c>
      <c r="J41" s="53">
        <f t="shared" si="11"/>
        <v>33</v>
      </c>
      <c r="K41" s="10">
        <f t="shared" si="12"/>
        <v>0</v>
      </c>
      <c r="L41" s="63">
        <f t="shared" si="13"/>
        <v>8.25</v>
      </c>
    </row>
    <row r="42" spans="1:12">
      <c r="A42" t="s">
        <v>417</v>
      </c>
      <c r="C42" s="122">
        <f>+'Service Counts'!R45</f>
        <v>0</v>
      </c>
      <c r="D42" s="63">
        <f>+'Service Counts'!P45</f>
        <v>10.9</v>
      </c>
      <c r="E42" s="6">
        <f t="shared" si="7"/>
        <v>0</v>
      </c>
      <c r="F42" s="63">
        <f t="shared" si="8"/>
        <v>11.481053862803648</v>
      </c>
      <c r="G42" s="53">
        <f t="shared" si="9"/>
        <v>0</v>
      </c>
      <c r="H42" s="10">
        <f t="shared" si="10"/>
        <v>0</v>
      </c>
      <c r="I42" s="144">
        <v>10.9</v>
      </c>
      <c r="J42" s="53">
        <f t="shared" si="11"/>
        <v>0</v>
      </c>
      <c r="K42" s="10">
        <f t="shared" si="12"/>
        <v>0</v>
      </c>
      <c r="L42" s="63">
        <f t="shared" si="13"/>
        <v>10.9</v>
      </c>
    </row>
    <row r="43" spans="1:12">
      <c r="A43" t="s">
        <v>416</v>
      </c>
      <c r="C43" s="122">
        <f>+'Service Counts'!R46</f>
        <v>4</v>
      </c>
      <c r="D43" s="63">
        <f>+'Service Counts'!P46</f>
        <v>14.5</v>
      </c>
      <c r="E43" s="6">
        <f t="shared" si="7"/>
        <v>58</v>
      </c>
      <c r="F43" s="63">
        <f t="shared" si="8"/>
        <v>15.272961560610357</v>
      </c>
      <c r="G43" s="53">
        <f t="shared" si="9"/>
        <v>61.091846242441427</v>
      </c>
      <c r="H43" s="10">
        <f t="shared" si="10"/>
        <v>5.3307693835197019E-2</v>
      </c>
      <c r="I43" s="144">
        <v>14.5</v>
      </c>
      <c r="J43" s="53">
        <f t="shared" si="11"/>
        <v>58</v>
      </c>
      <c r="K43" s="10">
        <f t="shared" si="12"/>
        <v>0</v>
      </c>
      <c r="L43" s="63">
        <f t="shared" si="13"/>
        <v>14.5</v>
      </c>
    </row>
    <row r="44" spans="1:12">
      <c r="A44" t="s">
        <v>415</v>
      </c>
      <c r="C44" s="122">
        <f>+'Service Counts'!R47</f>
        <v>0</v>
      </c>
      <c r="D44" s="63">
        <f>+'Service Counts'!P47</f>
        <v>15.2</v>
      </c>
      <c r="E44" s="6">
        <f t="shared" si="7"/>
        <v>0</v>
      </c>
      <c r="F44" s="63">
        <f t="shared" si="8"/>
        <v>16.010276946294994</v>
      </c>
      <c r="G44" s="53">
        <f t="shared" si="9"/>
        <v>0</v>
      </c>
      <c r="H44" s="10">
        <f t="shared" si="10"/>
        <v>0</v>
      </c>
      <c r="I44" s="144">
        <v>15.2</v>
      </c>
      <c r="J44" s="53">
        <f t="shared" si="11"/>
        <v>0</v>
      </c>
      <c r="K44" s="10">
        <f t="shared" si="12"/>
        <v>0</v>
      </c>
      <c r="L44" s="63">
        <f t="shared" si="13"/>
        <v>15.2</v>
      </c>
    </row>
    <row r="45" spans="1:12">
      <c r="A45" t="s">
        <v>414</v>
      </c>
      <c r="C45" s="122">
        <f>+'Service Counts'!R48</f>
        <v>0</v>
      </c>
      <c r="D45" s="63">
        <f>+'Service Counts'!P48</f>
        <v>15.8</v>
      </c>
      <c r="E45" s="6">
        <f t="shared" si="7"/>
        <v>0</v>
      </c>
      <c r="F45" s="63">
        <f t="shared" si="8"/>
        <v>16.642261562596115</v>
      </c>
      <c r="G45" s="53">
        <f t="shared" si="9"/>
        <v>0</v>
      </c>
      <c r="H45" s="10">
        <f t="shared" si="10"/>
        <v>0</v>
      </c>
      <c r="I45" s="144">
        <v>15.8</v>
      </c>
      <c r="J45" s="53">
        <f t="shared" si="11"/>
        <v>0</v>
      </c>
      <c r="K45" s="10">
        <f t="shared" si="12"/>
        <v>0</v>
      </c>
      <c r="L45" s="63">
        <f t="shared" si="13"/>
        <v>15.8</v>
      </c>
    </row>
    <row r="46" spans="1:12">
      <c r="A46" t="s">
        <v>413</v>
      </c>
      <c r="C46" s="122">
        <f>+'Service Counts'!R49</f>
        <v>0</v>
      </c>
      <c r="D46" s="63">
        <f>+'Service Counts'!P49</f>
        <v>18.350000000000001</v>
      </c>
      <c r="E46" s="6">
        <f t="shared" si="7"/>
        <v>0</v>
      </c>
      <c r="F46" s="63">
        <f t="shared" si="8"/>
        <v>19.328196181875867</v>
      </c>
      <c r="G46" s="53">
        <f t="shared" si="9"/>
        <v>0</v>
      </c>
      <c r="H46" s="10">
        <f t="shared" si="10"/>
        <v>0</v>
      </c>
      <c r="I46" s="144">
        <v>18.350000000000001</v>
      </c>
      <c r="J46" s="53">
        <f t="shared" si="11"/>
        <v>0</v>
      </c>
      <c r="K46" s="10">
        <f t="shared" si="12"/>
        <v>0</v>
      </c>
      <c r="L46" s="63">
        <f t="shared" si="13"/>
        <v>18.350000000000001</v>
      </c>
    </row>
    <row r="47" spans="1:12">
      <c r="A47" t="s">
        <v>412</v>
      </c>
      <c r="C47" s="122">
        <f>+'Service Counts'!R50</f>
        <v>0</v>
      </c>
      <c r="D47" s="63">
        <f>+'Service Counts'!P50</f>
        <v>2.2999999999999998</v>
      </c>
      <c r="E47" s="6">
        <f t="shared" si="7"/>
        <v>0</v>
      </c>
      <c r="F47" s="63">
        <f t="shared" si="8"/>
        <v>2.422607695820953</v>
      </c>
      <c r="G47" s="53">
        <f t="shared" si="9"/>
        <v>0</v>
      </c>
      <c r="H47" s="10">
        <f t="shared" si="10"/>
        <v>0</v>
      </c>
      <c r="I47" s="144">
        <v>2.2999999999999998</v>
      </c>
      <c r="J47" s="53">
        <f t="shared" si="11"/>
        <v>0</v>
      </c>
      <c r="K47" s="10">
        <f t="shared" si="12"/>
        <v>0</v>
      </c>
      <c r="L47" s="63">
        <f t="shared" si="13"/>
        <v>2.2999999999999998</v>
      </c>
    </row>
    <row r="48" spans="1:12">
      <c r="A48" t="s">
        <v>411</v>
      </c>
      <c r="C48" s="122">
        <f>+'Service Counts'!R51</f>
        <v>95</v>
      </c>
      <c r="D48" s="63">
        <f>+'Service Counts'!P51</f>
        <v>1.3</v>
      </c>
      <c r="E48" s="43">
        <f t="shared" si="7"/>
        <v>123.5</v>
      </c>
      <c r="F48" s="63">
        <f t="shared" si="8"/>
        <v>1.3693000019857562</v>
      </c>
      <c r="G48" s="57">
        <f t="shared" si="9"/>
        <v>130.08350018864684</v>
      </c>
      <c r="H48" s="10">
        <f t="shared" si="10"/>
        <v>5.3307693835197068E-2</v>
      </c>
      <c r="I48" s="144">
        <v>1.3</v>
      </c>
      <c r="J48" s="57">
        <f t="shared" si="11"/>
        <v>123.5</v>
      </c>
      <c r="K48" s="10">
        <f t="shared" si="12"/>
        <v>0</v>
      </c>
      <c r="L48" s="63">
        <f t="shared" si="13"/>
        <v>1.3</v>
      </c>
    </row>
    <row r="49" spans="1:12">
      <c r="C49" s="122"/>
      <c r="D49" s="63"/>
      <c r="E49" s="6">
        <f>SUM(E34:E48)</f>
        <v>62435.5</v>
      </c>
      <c r="G49" s="6">
        <f>SUM(G34:G48)</f>
        <v>65763.792518447444</v>
      </c>
      <c r="I49" s="127"/>
      <c r="J49" s="6">
        <f>SUM(J34:J48)</f>
        <v>62435.5</v>
      </c>
      <c r="K49" s="125">
        <f>(+J49-E49)/E49</f>
        <v>0</v>
      </c>
    </row>
    <row r="50" spans="1:12">
      <c r="A50" t="s">
        <v>410</v>
      </c>
      <c r="C50" s="122"/>
      <c r="D50" s="63"/>
      <c r="I50" s="127"/>
      <c r="J50" s="53"/>
    </row>
    <row r="51" spans="1:12">
      <c r="A51" t="s">
        <v>409</v>
      </c>
      <c r="C51" s="122">
        <f>+'Service Counts'!R54</f>
        <v>0</v>
      </c>
      <c r="D51" s="63">
        <f>+'Service Counts'!P54</f>
        <v>95.05</v>
      </c>
      <c r="E51" s="6">
        <f t="shared" ref="E51:E65" si="14">+C51*D51</f>
        <v>0</v>
      </c>
      <c r="F51" s="63">
        <f t="shared" ref="F51:F65" si="15">+D51*(1+$H$4)</f>
        <v>100.11689629903547</v>
      </c>
      <c r="G51" s="53">
        <f t="shared" ref="G51:G65" si="16">+C51*F51</f>
        <v>0</v>
      </c>
      <c r="H51" s="10">
        <f t="shared" ref="H51:H65" si="17">+IF(C51=0,0,(G51-E51)/E51)</f>
        <v>0</v>
      </c>
      <c r="I51" s="144">
        <v>95.05</v>
      </c>
      <c r="J51" s="53">
        <f t="shared" ref="J51:J65" si="18">+C51*I51</f>
        <v>0</v>
      </c>
      <c r="K51" s="10">
        <f t="shared" ref="K51:K65" si="19">+IF(C51=0,0,(J51-E51)/E51)</f>
        <v>0</v>
      </c>
      <c r="L51" s="63">
        <f t="shared" ref="L51:L65" si="20">+D51*(1+$L$2)</f>
        <v>95.05</v>
      </c>
    </row>
    <row r="52" spans="1:12">
      <c r="A52" t="s">
        <v>408</v>
      </c>
      <c r="C52" s="122">
        <f>+'Service Counts'!R55</f>
        <v>12</v>
      </c>
      <c r="D52" s="63">
        <f>+'Service Counts'!P55</f>
        <v>114.95</v>
      </c>
      <c r="E52" s="6">
        <f t="shared" si="14"/>
        <v>1379.4</v>
      </c>
      <c r="F52" s="63">
        <f t="shared" si="15"/>
        <v>121.07771940635591</v>
      </c>
      <c r="G52" s="53">
        <f t="shared" si="16"/>
        <v>1452.9326328762709</v>
      </c>
      <c r="H52" s="10">
        <f t="shared" si="17"/>
        <v>5.3307693835197026E-2</v>
      </c>
      <c r="I52" s="144">
        <v>114.95</v>
      </c>
      <c r="J52" s="53">
        <f t="shared" si="18"/>
        <v>1379.4</v>
      </c>
      <c r="K52" s="10">
        <f t="shared" si="19"/>
        <v>0</v>
      </c>
      <c r="L52" s="63">
        <f t="shared" si="20"/>
        <v>114.95</v>
      </c>
    </row>
    <row r="53" spans="1:12">
      <c r="A53" t="s">
        <v>407</v>
      </c>
      <c r="C53" s="122">
        <f>+'Service Counts'!R56</f>
        <v>96</v>
      </c>
      <c r="D53" s="63">
        <f>+'Service Counts'!P56</f>
        <v>124.95</v>
      </c>
      <c r="E53" s="6">
        <f t="shared" si="14"/>
        <v>11995.2</v>
      </c>
      <c r="F53" s="63">
        <f t="shared" si="15"/>
        <v>131.61079634470786</v>
      </c>
      <c r="G53" s="53">
        <f t="shared" si="16"/>
        <v>12634.636449091955</v>
      </c>
      <c r="H53" s="10">
        <f t="shared" si="17"/>
        <v>5.3307693835196929E-2</v>
      </c>
      <c r="I53" s="144">
        <v>124.95</v>
      </c>
      <c r="J53" s="53">
        <f t="shared" si="18"/>
        <v>11995.2</v>
      </c>
      <c r="K53" s="10">
        <f t="shared" si="19"/>
        <v>0</v>
      </c>
      <c r="L53" s="63">
        <f t="shared" si="20"/>
        <v>124.95</v>
      </c>
    </row>
    <row r="54" spans="1:12">
      <c r="A54" t="s">
        <v>406</v>
      </c>
      <c r="C54" s="122">
        <f>+'Service Counts'!R57</f>
        <v>0</v>
      </c>
      <c r="D54" s="63">
        <f>+'Service Counts'!P57</f>
        <v>0</v>
      </c>
      <c r="E54" s="6">
        <f t="shared" si="14"/>
        <v>0</v>
      </c>
      <c r="F54" s="63">
        <f t="shared" si="15"/>
        <v>0</v>
      </c>
      <c r="G54" s="53">
        <f t="shared" si="16"/>
        <v>0</v>
      </c>
      <c r="H54" s="10">
        <f t="shared" si="17"/>
        <v>0</v>
      </c>
      <c r="I54" s="144">
        <v>140</v>
      </c>
      <c r="J54" s="53">
        <f t="shared" si="18"/>
        <v>0</v>
      </c>
      <c r="K54" s="10">
        <f t="shared" si="19"/>
        <v>0</v>
      </c>
      <c r="L54" s="63">
        <f t="shared" si="20"/>
        <v>0</v>
      </c>
    </row>
    <row r="55" spans="1:12">
      <c r="A55" t="s">
        <v>405</v>
      </c>
      <c r="C55" s="122">
        <f>+'Service Counts'!R58</f>
        <v>0</v>
      </c>
      <c r="D55" s="63">
        <f>+'Service Counts'!P58</f>
        <v>3.05</v>
      </c>
      <c r="E55" s="6">
        <f t="shared" si="14"/>
        <v>0</v>
      </c>
      <c r="F55" s="63">
        <f t="shared" si="15"/>
        <v>3.2125884661973507</v>
      </c>
      <c r="G55" s="53">
        <f t="shared" si="16"/>
        <v>0</v>
      </c>
      <c r="H55" s="10">
        <f t="shared" si="17"/>
        <v>0</v>
      </c>
      <c r="I55" s="144">
        <v>3.05</v>
      </c>
      <c r="J55" s="53">
        <f t="shared" si="18"/>
        <v>0</v>
      </c>
      <c r="K55" s="10">
        <f t="shared" si="19"/>
        <v>0</v>
      </c>
      <c r="L55" s="63">
        <f t="shared" si="20"/>
        <v>3.05</v>
      </c>
    </row>
    <row r="56" spans="1:12">
      <c r="A56" t="s">
        <v>404</v>
      </c>
      <c r="C56" s="122">
        <f>+'Service Counts'!R59</f>
        <v>348</v>
      </c>
      <c r="D56" s="63">
        <f>+'Service Counts'!P59</f>
        <v>3.55</v>
      </c>
      <c r="E56" s="6">
        <f t="shared" si="14"/>
        <v>1235.3999999999999</v>
      </c>
      <c r="F56" s="63">
        <f t="shared" si="15"/>
        <v>3.7392423131149495</v>
      </c>
      <c r="G56" s="53">
        <f t="shared" si="16"/>
        <v>1301.2563249640025</v>
      </c>
      <c r="H56" s="10">
        <f t="shared" si="17"/>
        <v>5.3307693835197206E-2</v>
      </c>
      <c r="I56" s="144">
        <v>3.55</v>
      </c>
      <c r="J56" s="53">
        <f t="shared" si="18"/>
        <v>1235.3999999999999</v>
      </c>
      <c r="K56" s="10">
        <f t="shared" si="19"/>
        <v>0</v>
      </c>
      <c r="L56" s="63">
        <f t="shared" si="20"/>
        <v>3.55</v>
      </c>
    </row>
    <row r="57" spans="1:12">
      <c r="A57" t="s">
        <v>403</v>
      </c>
      <c r="C57" s="122">
        <f>+'Service Counts'!R60</f>
        <v>960</v>
      </c>
      <c r="D57" s="63">
        <f>+'Service Counts'!P60</f>
        <v>4.2</v>
      </c>
      <c r="E57" s="6">
        <f t="shared" si="14"/>
        <v>4032</v>
      </c>
      <c r="F57" s="63">
        <f t="shared" si="15"/>
        <v>4.4238923141078281</v>
      </c>
      <c r="G57" s="53">
        <f t="shared" si="16"/>
        <v>4246.9366215435148</v>
      </c>
      <c r="H57" s="10">
        <f t="shared" si="17"/>
        <v>5.3307693835197116E-2</v>
      </c>
      <c r="I57" s="144">
        <v>4.2</v>
      </c>
      <c r="J57" s="53">
        <f t="shared" si="18"/>
        <v>4032</v>
      </c>
      <c r="K57" s="10">
        <f t="shared" si="19"/>
        <v>0</v>
      </c>
      <c r="L57" s="63">
        <f t="shared" si="20"/>
        <v>4.2</v>
      </c>
    </row>
    <row r="58" spans="1:12">
      <c r="A58" t="s">
        <v>402</v>
      </c>
      <c r="C58" s="122">
        <f>+'Service Counts'!R61</f>
        <v>0</v>
      </c>
      <c r="D58" s="63">
        <f>+'Service Counts'!P61</f>
        <v>0</v>
      </c>
      <c r="E58" s="6">
        <f t="shared" si="14"/>
        <v>0</v>
      </c>
      <c r="F58" s="63">
        <f t="shared" si="15"/>
        <v>0</v>
      </c>
      <c r="G58" s="53">
        <f t="shared" si="16"/>
        <v>0</v>
      </c>
      <c r="H58" s="10">
        <f t="shared" si="17"/>
        <v>0</v>
      </c>
      <c r="I58" s="144">
        <v>5.05</v>
      </c>
      <c r="J58" s="53">
        <f t="shared" si="18"/>
        <v>0</v>
      </c>
      <c r="K58" s="10">
        <f t="shared" si="19"/>
        <v>0</v>
      </c>
      <c r="L58" s="63">
        <f t="shared" si="20"/>
        <v>0</v>
      </c>
    </row>
    <row r="59" spans="1:12">
      <c r="A59" t="s">
        <v>401</v>
      </c>
      <c r="C59" s="122">
        <f>+'Service Counts'!R62</f>
        <v>0</v>
      </c>
      <c r="D59" s="63">
        <f>+'Service Counts'!P62</f>
        <v>35</v>
      </c>
      <c r="E59" s="6">
        <f t="shared" si="14"/>
        <v>0</v>
      </c>
      <c r="F59" s="63">
        <f t="shared" si="15"/>
        <v>36.865769284231895</v>
      </c>
      <c r="G59" s="53">
        <f t="shared" si="16"/>
        <v>0</v>
      </c>
      <c r="H59" s="10">
        <f t="shared" si="17"/>
        <v>0</v>
      </c>
      <c r="I59" s="144">
        <v>35</v>
      </c>
      <c r="J59" s="53">
        <f t="shared" si="18"/>
        <v>0</v>
      </c>
      <c r="K59" s="10">
        <f t="shared" si="19"/>
        <v>0</v>
      </c>
      <c r="L59" s="63">
        <f t="shared" si="20"/>
        <v>35</v>
      </c>
    </row>
    <row r="60" spans="1:12">
      <c r="A60" t="s">
        <v>400</v>
      </c>
      <c r="C60" s="122">
        <f>+'Service Counts'!R63</f>
        <v>7</v>
      </c>
      <c r="D60" s="63">
        <f>+'Service Counts'!P63</f>
        <v>35</v>
      </c>
      <c r="E60" s="6">
        <f t="shared" si="14"/>
        <v>245</v>
      </c>
      <c r="F60" s="63">
        <f t="shared" si="15"/>
        <v>36.865769284231895</v>
      </c>
      <c r="G60" s="53">
        <f t="shared" si="16"/>
        <v>258.06038498962329</v>
      </c>
      <c r="H60" s="10">
        <f t="shared" si="17"/>
        <v>5.3307693835197088E-2</v>
      </c>
      <c r="I60" s="144">
        <v>35</v>
      </c>
      <c r="J60" s="53">
        <f t="shared" si="18"/>
        <v>245</v>
      </c>
      <c r="K60" s="10">
        <f t="shared" si="19"/>
        <v>0</v>
      </c>
      <c r="L60" s="63">
        <f t="shared" si="20"/>
        <v>35</v>
      </c>
    </row>
    <row r="61" spans="1:12">
      <c r="A61" t="s">
        <v>399</v>
      </c>
      <c r="C61" s="122">
        <f>+'Service Counts'!R64</f>
        <v>6</v>
      </c>
      <c r="D61" s="63">
        <f>+'Service Counts'!P64</f>
        <v>35</v>
      </c>
      <c r="E61" s="6">
        <f t="shared" si="14"/>
        <v>210</v>
      </c>
      <c r="F61" s="63">
        <f t="shared" si="15"/>
        <v>36.865769284231895</v>
      </c>
      <c r="G61" s="53">
        <f t="shared" si="16"/>
        <v>221.19461570539136</v>
      </c>
      <c r="H61" s="10">
        <f t="shared" si="17"/>
        <v>5.3307693835196936E-2</v>
      </c>
      <c r="I61" s="144">
        <v>35</v>
      </c>
      <c r="J61" s="53">
        <f t="shared" si="18"/>
        <v>210</v>
      </c>
      <c r="K61" s="10">
        <f t="shared" si="19"/>
        <v>0</v>
      </c>
      <c r="L61" s="63">
        <f t="shared" si="20"/>
        <v>35</v>
      </c>
    </row>
    <row r="62" spans="1:12">
      <c r="A62" t="s">
        <v>398</v>
      </c>
      <c r="C62" s="122">
        <f>+'Service Counts'!R65</f>
        <v>0</v>
      </c>
      <c r="D62" s="63">
        <f>+'Service Counts'!P65</f>
        <v>0</v>
      </c>
      <c r="E62" s="6">
        <f t="shared" si="14"/>
        <v>0</v>
      </c>
      <c r="F62" s="63">
        <f t="shared" si="15"/>
        <v>0</v>
      </c>
      <c r="G62" s="53">
        <f t="shared" si="16"/>
        <v>0</v>
      </c>
      <c r="H62" s="10">
        <f t="shared" si="17"/>
        <v>0</v>
      </c>
      <c r="I62" s="144">
        <v>35</v>
      </c>
      <c r="J62" s="53">
        <f t="shared" si="18"/>
        <v>0</v>
      </c>
      <c r="K62" s="10">
        <f t="shared" si="19"/>
        <v>0</v>
      </c>
      <c r="L62" s="63">
        <f t="shared" si="20"/>
        <v>0</v>
      </c>
    </row>
    <row r="63" spans="1:12">
      <c r="A63" t="s">
        <v>397</v>
      </c>
      <c r="C63" s="122">
        <f>+'Service Counts'!R66</f>
        <v>5000</v>
      </c>
      <c r="D63" s="63">
        <f>+'Service Counts'!P66</f>
        <v>2.2000000000000002</v>
      </c>
      <c r="E63" s="6">
        <f t="shared" si="14"/>
        <v>11000</v>
      </c>
      <c r="F63" s="63">
        <f t="shared" si="15"/>
        <v>2.3172769264374335</v>
      </c>
      <c r="G63" s="53">
        <f t="shared" si="16"/>
        <v>11586.384632187168</v>
      </c>
      <c r="H63" s="10">
        <f t="shared" si="17"/>
        <v>5.3307693835197081E-2</v>
      </c>
      <c r="I63" s="144">
        <v>2.2000000000000002</v>
      </c>
      <c r="J63" s="53">
        <f t="shared" si="18"/>
        <v>11000</v>
      </c>
      <c r="K63" s="10">
        <f t="shared" si="19"/>
        <v>0</v>
      </c>
      <c r="L63" s="63">
        <f t="shared" si="20"/>
        <v>2.2000000000000002</v>
      </c>
    </row>
    <row r="64" spans="1:12">
      <c r="A64" t="s">
        <v>395</v>
      </c>
      <c r="C64" s="122">
        <f>+'Service Counts'!R68</f>
        <v>0</v>
      </c>
      <c r="D64" s="63">
        <f>+'Service Counts'!P68</f>
        <v>0</v>
      </c>
      <c r="E64" s="6">
        <f t="shared" si="14"/>
        <v>0</v>
      </c>
      <c r="F64" s="63">
        <f t="shared" si="15"/>
        <v>0</v>
      </c>
      <c r="G64" s="53">
        <f t="shared" si="16"/>
        <v>0</v>
      </c>
      <c r="H64" s="10">
        <f t="shared" si="17"/>
        <v>0</v>
      </c>
      <c r="I64" s="144">
        <f>+L64</f>
        <v>0</v>
      </c>
      <c r="J64" s="53">
        <f t="shared" si="18"/>
        <v>0</v>
      </c>
      <c r="K64" s="10">
        <f t="shared" si="19"/>
        <v>0</v>
      </c>
      <c r="L64" s="63">
        <f t="shared" si="20"/>
        <v>0</v>
      </c>
    </row>
    <row r="65" spans="1:12">
      <c r="A65" t="s">
        <v>394</v>
      </c>
      <c r="C65" s="122">
        <f>+'Service Counts'!R69</f>
        <v>0</v>
      </c>
      <c r="D65" s="63">
        <f>+'Service Counts'!P69</f>
        <v>0</v>
      </c>
      <c r="E65" s="43">
        <f t="shared" si="14"/>
        <v>0</v>
      </c>
      <c r="F65" s="63">
        <f t="shared" si="15"/>
        <v>0</v>
      </c>
      <c r="G65" s="57">
        <f t="shared" si="16"/>
        <v>0</v>
      </c>
      <c r="H65" s="10">
        <f t="shared" si="17"/>
        <v>0</v>
      </c>
      <c r="I65" s="144">
        <f>+L65</f>
        <v>0</v>
      </c>
      <c r="J65" s="57">
        <f t="shared" si="18"/>
        <v>0</v>
      </c>
      <c r="K65" s="10">
        <f t="shared" si="19"/>
        <v>0</v>
      </c>
      <c r="L65" s="63">
        <f t="shared" si="20"/>
        <v>0</v>
      </c>
    </row>
    <row r="66" spans="1:12">
      <c r="C66" s="122"/>
      <c r="D66" s="63"/>
      <c r="E66" s="6">
        <f>SUM(E51:E65)</f>
        <v>30097</v>
      </c>
      <c r="G66" s="6">
        <f>SUM(G51:G65)</f>
        <v>31701.401661357922</v>
      </c>
      <c r="I66" s="127"/>
      <c r="J66" s="6">
        <f>SUM(J51:J65)</f>
        <v>30097</v>
      </c>
      <c r="K66" s="125">
        <f>(+J66-E66)/E66</f>
        <v>0</v>
      </c>
    </row>
    <row r="67" spans="1:12">
      <c r="A67" t="s">
        <v>393</v>
      </c>
      <c r="C67" s="122"/>
      <c r="D67" s="63"/>
      <c r="I67" s="127"/>
      <c r="J67" s="53"/>
    </row>
    <row r="68" spans="1:12">
      <c r="A68" t="s">
        <v>392</v>
      </c>
      <c r="C68" s="122"/>
      <c r="D68" s="63"/>
      <c r="I68" s="127"/>
      <c r="J68" s="53"/>
    </row>
    <row r="69" spans="1:12">
      <c r="A69" t="s">
        <v>391</v>
      </c>
      <c r="C69" s="122">
        <f>+'Service Counts'!R73</f>
        <v>40</v>
      </c>
      <c r="D69" s="63">
        <f>+'Service Counts'!P73</f>
        <v>129</v>
      </c>
      <c r="E69" s="6">
        <f>+C69*D69</f>
        <v>5160</v>
      </c>
      <c r="F69" s="63">
        <f>+D69*(1+$H$4)</f>
        <v>135.87669250474042</v>
      </c>
      <c r="G69" s="53">
        <f>+C69*F69</f>
        <v>5435.0677001896165</v>
      </c>
      <c r="H69" s="10">
        <f>+IF(C69=0,0,(G69-E69)/E69)</f>
        <v>5.3307693835196998E-2</v>
      </c>
      <c r="I69" s="144">
        <v>129</v>
      </c>
      <c r="J69" s="53">
        <f>+C69*I69</f>
        <v>5160</v>
      </c>
      <c r="K69" s="10">
        <f>+IF(C69=0,0,(J69-E69)/E69)</f>
        <v>0</v>
      </c>
      <c r="L69" s="63">
        <f>+D69*(1+$L$2)</f>
        <v>129</v>
      </c>
    </row>
    <row r="70" spans="1:12">
      <c r="A70" t="s">
        <v>390</v>
      </c>
      <c r="C70" s="122">
        <f>+'Service Counts'!R74</f>
        <v>0</v>
      </c>
      <c r="D70" s="63">
        <f>+'Service Counts'!P74</f>
        <v>32</v>
      </c>
      <c r="E70" s="43">
        <f>+C70*D70</f>
        <v>0</v>
      </c>
      <c r="F70" s="63">
        <f>+D70*(1+$H$4)</f>
        <v>33.705846202726306</v>
      </c>
      <c r="G70" s="57">
        <f>+C70*F70</f>
        <v>0</v>
      </c>
      <c r="H70" s="10">
        <f>+IF(C70=0,0,(G70-E70)/E70)</f>
        <v>0</v>
      </c>
      <c r="I70" s="144">
        <v>32</v>
      </c>
      <c r="J70" s="57">
        <f>+C70*I70</f>
        <v>0</v>
      </c>
      <c r="K70" s="10">
        <f>+IF(C70=0,0,(J70-E70)/E70)</f>
        <v>0</v>
      </c>
      <c r="L70" s="63">
        <f>+D70*(1+$L$2)</f>
        <v>32</v>
      </c>
    </row>
    <row r="71" spans="1:12">
      <c r="C71" s="122"/>
      <c r="D71" s="63"/>
      <c r="E71" s="6">
        <f>SUM(E69:E70)</f>
        <v>5160</v>
      </c>
      <c r="G71" s="6">
        <f>SUM(G69:G70)</f>
        <v>5435.0677001896165</v>
      </c>
      <c r="J71" s="6">
        <f>SUM(J69:J70)</f>
        <v>5160</v>
      </c>
      <c r="K71" s="125">
        <f>(+J71-E71)/E71</f>
        <v>0</v>
      </c>
    </row>
    <row r="72" spans="1:12">
      <c r="C72" s="122"/>
      <c r="D72" s="56"/>
    </row>
    <row r="73" spans="1:12">
      <c r="C73" s="122"/>
      <c r="D73" s="56"/>
    </row>
    <row r="74" spans="1:12">
      <c r="C74" s="122">
        <f>+'Service Counts'!R76</f>
        <v>11101.45</v>
      </c>
      <c r="D74" s="56"/>
      <c r="E74" s="63">
        <f>+E32+E49+E66+E71</f>
        <v>140326.85500000001</v>
      </c>
      <c r="G74" s="63">
        <f>+G32+G49+G66+G71</f>
        <v>147807.3560231961</v>
      </c>
      <c r="J74" s="63">
        <f>+J32+J49+J66+J71</f>
        <v>140326.85500000001</v>
      </c>
    </row>
    <row r="75" spans="1:12">
      <c r="C75" s="122"/>
      <c r="D75" s="56"/>
    </row>
    <row r="76" spans="1:12">
      <c r="A76" t="s">
        <v>389</v>
      </c>
      <c r="C76" s="122"/>
      <c r="D76" s="56"/>
      <c r="G76" s="63">
        <f>+G74-E74</f>
        <v>7480.5010231960914</v>
      </c>
      <c r="J76" s="63">
        <f>+J74-E74</f>
        <v>0</v>
      </c>
      <c r="K76" s="143">
        <f>ROUND((+J76/E74),4)</f>
        <v>0</v>
      </c>
    </row>
    <row r="77" spans="1:12">
      <c r="C77" s="122"/>
      <c r="D77" s="56"/>
    </row>
    <row r="78" spans="1:12">
      <c r="C78" s="122"/>
      <c r="D78" s="56"/>
      <c r="E78" s="6"/>
      <c r="K78" s="142">
        <f>+K76</f>
        <v>0</v>
      </c>
    </row>
    <row r="79" spans="1:12">
      <c r="C79" s="122"/>
      <c r="D79" s="56"/>
      <c r="E79" s="6"/>
    </row>
    <row r="80" spans="1:12">
      <c r="C80" s="122"/>
      <c r="D80" s="56"/>
      <c r="E80" s="82"/>
    </row>
    <row r="81" spans="3:5">
      <c r="C81" s="122"/>
      <c r="D81" s="56"/>
      <c r="E81" s="18"/>
    </row>
    <row r="82" spans="3:5">
      <c r="C82" s="122"/>
      <c r="D82" s="56"/>
      <c r="E82" s="56"/>
    </row>
    <row r="83" spans="3:5">
      <c r="C83" s="122"/>
      <c r="D83" s="56"/>
      <c r="E83" s="10"/>
    </row>
    <row r="84" spans="3:5">
      <c r="C84" s="122"/>
      <c r="D84" s="56"/>
      <c r="E84" s="10"/>
    </row>
    <row r="85" spans="3:5">
      <c r="C85" s="122"/>
      <c r="D85" s="56"/>
    </row>
    <row r="86" spans="3:5">
      <c r="D86" s="56"/>
    </row>
  </sheetData>
  <pageMargins left="0.25" right="0.25" top="0.75" bottom="0.25" header="0.5" footer="0.5"/>
  <pageSetup scale="75"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selection activeCell="L3" sqref="L3"/>
    </sheetView>
  </sheetViews>
  <sheetFormatPr defaultRowHeight="12.75"/>
  <cols>
    <col min="2" max="2" width="11.7109375" customWidth="1"/>
    <col min="5" max="5" width="11.28515625" customWidth="1"/>
    <col min="7" max="7" width="13" customWidth="1"/>
    <col min="8" max="8" width="10.85546875" customWidth="1"/>
    <col min="10" max="10" width="11.7109375" customWidth="1"/>
  </cols>
  <sheetData>
    <row r="1" spans="1:14">
      <c r="A1" t="s">
        <v>0</v>
      </c>
      <c r="G1" t="s">
        <v>466</v>
      </c>
      <c r="J1" t="s">
        <v>465</v>
      </c>
    </row>
    <row r="2" spans="1:14">
      <c r="A2" t="s">
        <v>471</v>
      </c>
      <c r="G2" s="10">
        <f>+H2/E74</f>
        <v>-0.22300363998315462</v>
      </c>
      <c r="H2" s="141">
        <f>+'Lurito-Okanogan'!E10</f>
        <v>-98687.54755372103</v>
      </c>
      <c r="I2" t="s">
        <v>452</v>
      </c>
      <c r="J2" s="63">
        <f>+J76</f>
        <v>0</v>
      </c>
      <c r="K2" s="139">
        <f>+J2/E74</f>
        <v>0</v>
      </c>
      <c r="L2" s="138">
        <v>0</v>
      </c>
    </row>
    <row r="3" spans="1:14">
      <c r="A3" s="1" t="str">
        <f>+'Priceout-Douglas'!A3</f>
        <v>12 Months Ended September 30, 2019</v>
      </c>
      <c r="H3" s="10">
        <f>+G2</f>
        <v>-0.22300363998315462</v>
      </c>
      <c r="I3" t="s">
        <v>463</v>
      </c>
    </row>
    <row r="4" spans="1:14">
      <c r="E4" s="693" t="s">
        <v>1422</v>
      </c>
      <c r="F4" s="693" t="s">
        <v>691</v>
      </c>
      <c r="H4" s="10">
        <f>+G2</f>
        <v>-0.22300363998315462</v>
      </c>
      <c r="I4" t="s">
        <v>462</v>
      </c>
    </row>
    <row r="6" spans="1:14" ht="13.5" thickBot="1">
      <c r="A6" s="137" t="s">
        <v>470</v>
      </c>
      <c r="B6" s="5"/>
      <c r="C6" s="5"/>
    </row>
    <row r="7" spans="1:14">
      <c r="F7" s="136"/>
      <c r="G7" s="135" t="s">
        <v>458</v>
      </c>
      <c r="H7" s="134"/>
      <c r="I7" s="136"/>
      <c r="J7" s="135" t="s">
        <v>99</v>
      </c>
      <c r="K7" s="134"/>
    </row>
    <row r="8" spans="1:14">
      <c r="C8" s="2" t="s">
        <v>460</v>
      </c>
      <c r="D8" s="93" t="s">
        <v>459</v>
      </c>
      <c r="E8" s="93" t="s">
        <v>456</v>
      </c>
      <c r="F8" s="133" t="s">
        <v>458</v>
      </c>
      <c r="G8" s="93" t="s">
        <v>456</v>
      </c>
      <c r="H8" s="132" t="s">
        <v>455</v>
      </c>
      <c r="I8" s="133" t="s">
        <v>457</v>
      </c>
      <c r="J8" s="93" t="s">
        <v>456</v>
      </c>
      <c r="K8" s="132" t="s">
        <v>455</v>
      </c>
    </row>
    <row r="9" spans="1:14" ht="13.5" thickBot="1">
      <c r="A9" s="5" t="s">
        <v>454</v>
      </c>
      <c r="B9" s="5"/>
      <c r="C9" s="20" t="s">
        <v>199</v>
      </c>
      <c r="D9" s="131" t="s">
        <v>100</v>
      </c>
      <c r="E9" s="131" t="s">
        <v>2</v>
      </c>
      <c r="F9" s="130" t="s">
        <v>453</v>
      </c>
      <c r="G9" s="20" t="s">
        <v>2</v>
      </c>
      <c r="H9" s="129" t="s">
        <v>452</v>
      </c>
      <c r="I9" s="130" t="s">
        <v>453</v>
      </c>
      <c r="J9" s="20" t="s">
        <v>2</v>
      </c>
      <c r="K9" s="129" t="s">
        <v>452</v>
      </c>
    </row>
    <row r="10" spans="1:14">
      <c r="A10" t="s">
        <v>451</v>
      </c>
    </row>
    <row r="11" spans="1:14">
      <c r="A11" t="s">
        <v>450</v>
      </c>
      <c r="C11" s="122">
        <f>+'Service Counts'!AA10</f>
        <v>0</v>
      </c>
      <c r="D11" s="63">
        <f>+'Service Counts'!Y10</f>
        <v>13.65</v>
      </c>
      <c r="E11" s="56">
        <f t="shared" ref="E11:E31" si="0">+C11*D11</f>
        <v>0</v>
      </c>
      <c r="F11" s="63">
        <f t="shared" ref="F11:F31" si="1">+D11*(1+$H$4)</f>
        <v>10.60600031422994</v>
      </c>
      <c r="G11" s="63">
        <f t="shared" ref="G11:G31" si="2">+C11*F11</f>
        <v>0</v>
      </c>
      <c r="H11" s="10">
        <f t="shared" ref="H11:H31" si="3">+IF(C11=0,0,(G11-E11)/E11)</f>
        <v>0</v>
      </c>
      <c r="I11" s="144">
        <v>13.65</v>
      </c>
      <c r="J11" s="73">
        <f t="shared" ref="J11:J31" si="4">+C11*I11</f>
        <v>0</v>
      </c>
      <c r="K11" s="10">
        <f t="shared" ref="K11:K31" si="5">+IF(C11=0,0,(J11-E11)/E11)</f>
        <v>0</v>
      </c>
      <c r="L11" s="63">
        <f t="shared" ref="L11:L31" si="6">+D11*(1+$L$2)</f>
        <v>13.65</v>
      </c>
    </row>
    <row r="12" spans="1:14">
      <c r="A12" t="s">
        <v>449</v>
      </c>
      <c r="C12" s="122">
        <f>+'Service Counts'!AA11</f>
        <v>11</v>
      </c>
      <c r="D12" s="63">
        <f>+'Service Counts'!Y11</f>
        <v>8.75</v>
      </c>
      <c r="E12" s="56">
        <f t="shared" si="0"/>
        <v>96.25</v>
      </c>
      <c r="F12" s="63">
        <f t="shared" si="1"/>
        <v>6.7987181501473968</v>
      </c>
      <c r="G12" s="63">
        <f t="shared" si="2"/>
        <v>74.785899651621364</v>
      </c>
      <c r="H12" s="10">
        <f t="shared" si="3"/>
        <v>-0.22300363998315467</v>
      </c>
      <c r="I12" s="144">
        <v>8.75</v>
      </c>
      <c r="J12" s="73">
        <f t="shared" si="4"/>
        <v>96.25</v>
      </c>
      <c r="K12" s="10">
        <f t="shared" si="5"/>
        <v>0</v>
      </c>
      <c r="L12" s="63">
        <f t="shared" si="6"/>
        <v>8.75</v>
      </c>
    </row>
    <row r="13" spans="1:14">
      <c r="A13" t="s">
        <v>448</v>
      </c>
      <c r="C13" s="122">
        <f>+'Service Counts'!AA12</f>
        <v>0</v>
      </c>
      <c r="D13" s="63">
        <f>+'Service Counts'!Y12</f>
        <v>12.6</v>
      </c>
      <c r="E13" s="6">
        <f t="shared" si="0"/>
        <v>0</v>
      </c>
      <c r="F13" s="63">
        <f t="shared" si="1"/>
        <v>9.7901541362122515</v>
      </c>
      <c r="G13" s="53">
        <f t="shared" si="2"/>
        <v>0</v>
      </c>
      <c r="H13" s="10">
        <f t="shared" si="3"/>
        <v>0</v>
      </c>
      <c r="I13" s="144">
        <v>12.6</v>
      </c>
      <c r="J13" s="53">
        <f t="shared" si="4"/>
        <v>0</v>
      </c>
      <c r="K13" s="10">
        <f t="shared" si="5"/>
        <v>0</v>
      </c>
      <c r="L13" s="63">
        <f t="shared" si="6"/>
        <v>12.6</v>
      </c>
    </row>
    <row r="14" spans="1:14">
      <c r="A14" t="s">
        <v>447</v>
      </c>
      <c r="C14" s="122">
        <f>+'Service Counts'!AA13</f>
        <v>0</v>
      </c>
      <c r="D14" s="63">
        <f>+'Service Counts'!Y13</f>
        <v>16.45</v>
      </c>
      <c r="E14" s="6">
        <f t="shared" si="0"/>
        <v>0</v>
      </c>
      <c r="F14" s="63">
        <f t="shared" si="1"/>
        <v>12.781590122277105</v>
      </c>
      <c r="G14" s="53">
        <f t="shared" si="2"/>
        <v>0</v>
      </c>
      <c r="H14" s="10">
        <f t="shared" si="3"/>
        <v>0</v>
      </c>
      <c r="I14" s="144">
        <v>16.45</v>
      </c>
      <c r="J14" s="53">
        <f t="shared" si="4"/>
        <v>0</v>
      </c>
      <c r="K14" s="10">
        <f t="shared" si="5"/>
        <v>0</v>
      </c>
      <c r="L14" s="63">
        <f t="shared" si="6"/>
        <v>16.45</v>
      </c>
    </row>
    <row r="15" spans="1:14">
      <c r="A15" t="s">
        <v>446</v>
      </c>
      <c r="C15" s="122">
        <f>+'Service Counts'!AA14</f>
        <v>494.86385681293302</v>
      </c>
      <c r="D15" s="63">
        <f>+'Service Counts'!Y14</f>
        <v>16.350000000000001</v>
      </c>
      <c r="E15" s="6">
        <f t="shared" si="0"/>
        <v>8091.0240588914558</v>
      </c>
      <c r="F15" s="63">
        <f t="shared" si="1"/>
        <v>12.703890486275423</v>
      </c>
      <c r="G15" s="53">
        <f t="shared" si="2"/>
        <v>6286.6962425673828</v>
      </c>
      <c r="H15" s="10">
        <f t="shared" si="3"/>
        <v>-0.22300363998315467</v>
      </c>
      <c r="I15" s="144">
        <v>16.350000000000001</v>
      </c>
      <c r="J15" s="53">
        <f t="shared" si="4"/>
        <v>8091.0240588914558</v>
      </c>
      <c r="K15" s="10">
        <f t="shared" si="5"/>
        <v>0</v>
      </c>
      <c r="L15" s="63">
        <f t="shared" si="6"/>
        <v>16.350000000000001</v>
      </c>
      <c r="N15" s="63"/>
    </row>
    <row r="16" spans="1:14">
      <c r="A16" t="s">
        <v>445</v>
      </c>
      <c r="C16" s="122">
        <f>+'Service Counts'!AA15</f>
        <v>767.89711316397222</v>
      </c>
      <c r="D16" s="63">
        <f>+'Service Counts'!Y15</f>
        <v>20.55</v>
      </c>
      <c r="E16" s="6">
        <f t="shared" si="0"/>
        <v>15780.28567551963</v>
      </c>
      <c r="F16" s="63">
        <f t="shared" si="1"/>
        <v>15.967275198346172</v>
      </c>
      <c r="G16" s="53">
        <f t="shared" si="2"/>
        <v>12261.224529904717</v>
      </c>
      <c r="H16" s="10">
        <f t="shared" si="3"/>
        <v>-0.2230036399831547</v>
      </c>
      <c r="I16" s="144">
        <v>20.55</v>
      </c>
      <c r="J16" s="53">
        <f t="shared" si="4"/>
        <v>15780.28567551963</v>
      </c>
      <c r="K16" s="10">
        <f t="shared" si="5"/>
        <v>0</v>
      </c>
      <c r="L16" s="63">
        <f t="shared" si="6"/>
        <v>20.55</v>
      </c>
      <c r="N16" s="63"/>
    </row>
    <row r="17" spans="1:14">
      <c r="A17" t="s">
        <v>444</v>
      </c>
      <c r="C17" s="122">
        <f>+'Service Counts'!AA16</f>
        <v>74.7</v>
      </c>
      <c r="D17" s="63">
        <f>+'Service Counts'!Y16</f>
        <v>24.25</v>
      </c>
      <c r="E17" s="6">
        <f t="shared" si="0"/>
        <v>1811.4750000000001</v>
      </c>
      <c r="F17" s="63">
        <f t="shared" si="1"/>
        <v>18.842161730408499</v>
      </c>
      <c r="G17" s="53">
        <f t="shared" si="2"/>
        <v>1407.509481261515</v>
      </c>
      <c r="H17" s="10">
        <f t="shared" si="3"/>
        <v>-0.22300363998315467</v>
      </c>
      <c r="I17" s="144">
        <v>24.25</v>
      </c>
      <c r="J17" s="53">
        <f t="shared" si="4"/>
        <v>1811.4750000000001</v>
      </c>
      <c r="K17" s="10">
        <f t="shared" si="5"/>
        <v>0</v>
      </c>
      <c r="L17" s="63">
        <f t="shared" si="6"/>
        <v>24.25</v>
      </c>
      <c r="N17" s="63"/>
    </row>
    <row r="18" spans="1:14">
      <c r="A18" t="s">
        <v>443</v>
      </c>
      <c r="C18" s="122">
        <f>+'Service Counts'!AA17</f>
        <v>71.813856812933025</v>
      </c>
      <c r="D18" s="63">
        <f>+'Service Counts'!Y17</f>
        <v>27.75</v>
      </c>
      <c r="E18" s="6">
        <f t="shared" si="0"/>
        <v>1992.8345265588914</v>
      </c>
      <c r="F18" s="63">
        <f t="shared" si="1"/>
        <v>21.561648990467457</v>
      </c>
      <c r="G18" s="53">
        <f t="shared" si="2"/>
        <v>1548.4251732521518</v>
      </c>
      <c r="H18" s="10">
        <f t="shared" si="3"/>
        <v>-0.22300363998315473</v>
      </c>
      <c r="I18" s="144">
        <v>27.75</v>
      </c>
      <c r="J18" s="53">
        <f t="shared" si="4"/>
        <v>1992.8345265588914</v>
      </c>
      <c r="K18" s="10">
        <f t="shared" si="5"/>
        <v>0</v>
      </c>
      <c r="L18" s="63">
        <f t="shared" si="6"/>
        <v>27.75</v>
      </c>
      <c r="N18" s="63"/>
    </row>
    <row r="19" spans="1:14">
      <c r="A19" t="s">
        <v>442</v>
      </c>
      <c r="C19" s="122">
        <f>+'Service Counts'!AA18</f>
        <v>6.0046189376443415</v>
      </c>
      <c r="D19" s="63">
        <f>+'Service Counts'!Y18</f>
        <v>33.25</v>
      </c>
      <c r="E19" s="6">
        <f t="shared" si="0"/>
        <v>199.65357967667435</v>
      </c>
      <c r="F19" s="63">
        <f t="shared" si="1"/>
        <v>25.83512897056011</v>
      </c>
      <c r="G19" s="53">
        <f t="shared" si="2"/>
        <v>155.1301046731092</v>
      </c>
      <c r="H19" s="10">
        <f t="shared" si="3"/>
        <v>-0.22300363998315456</v>
      </c>
      <c r="I19" s="144">
        <v>33.25</v>
      </c>
      <c r="J19" s="53">
        <f t="shared" si="4"/>
        <v>199.65357967667435</v>
      </c>
      <c r="K19" s="10">
        <f t="shared" si="5"/>
        <v>0</v>
      </c>
      <c r="L19" s="63">
        <f t="shared" si="6"/>
        <v>33.25</v>
      </c>
      <c r="N19" s="63"/>
    </row>
    <row r="20" spans="1:14">
      <c r="A20" t="s">
        <v>441</v>
      </c>
      <c r="C20" s="122">
        <f>+'Service Counts'!AA19</f>
        <v>0</v>
      </c>
      <c r="D20" s="63">
        <f>+'Service Counts'!Y19</f>
        <v>36.85</v>
      </c>
      <c r="E20" s="6">
        <f t="shared" si="0"/>
        <v>0</v>
      </c>
      <c r="F20" s="63">
        <f t="shared" si="1"/>
        <v>28.632315866620754</v>
      </c>
      <c r="G20" s="53">
        <f t="shared" si="2"/>
        <v>0</v>
      </c>
      <c r="H20" s="10">
        <f t="shared" si="3"/>
        <v>0</v>
      </c>
      <c r="I20" s="144">
        <v>36.85</v>
      </c>
      <c r="J20" s="53">
        <f t="shared" si="4"/>
        <v>0</v>
      </c>
      <c r="K20" s="10">
        <f t="shared" si="5"/>
        <v>0</v>
      </c>
      <c r="L20" s="63">
        <f t="shared" si="6"/>
        <v>36.85</v>
      </c>
      <c r="N20" s="63"/>
    </row>
    <row r="21" spans="1:14">
      <c r="A21" t="s">
        <v>437</v>
      </c>
      <c r="C21" s="122">
        <f>+'Service Counts'!AA23</f>
        <v>0</v>
      </c>
      <c r="D21" s="63">
        <f>+'Service Counts'!Y23</f>
        <v>0</v>
      </c>
      <c r="E21" s="6">
        <f t="shared" si="0"/>
        <v>0</v>
      </c>
      <c r="F21" s="63">
        <f t="shared" si="1"/>
        <v>0</v>
      </c>
      <c r="G21" s="53">
        <f t="shared" si="2"/>
        <v>0</v>
      </c>
      <c r="H21" s="10">
        <f t="shared" si="3"/>
        <v>0</v>
      </c>
      <c r="I21" s="144">
        <f>+L21</f>
        <v>0</v>
      </c>
      <c r="J21" s="53">
        <f t="shared" si="4"/>
        <v>0</v>
      </c>
      <c r="K21" s="10">
        <f t="shared" si="5"/>
        <v>0</v>
      </c>
      <c r="L21" s="63">
        <f t="shared" si="6"/>
        <v>0</v>
      </c>
    </row>
    <row r="22" spans="1:14">
      <c r="A22" t="s">
        <v>436</v>
      </c>
      <c r="C22" s="122">
        <f>+'Service Counts'!AA24</f>
        <v>0</v>
      </c>
      <c r="D22" s="63">
        <f>+'Service Counts'!Y24</f>
        <v>0</v>
      </c>
      <c r="E22" s="6">
        <f t="shared" si="0"/>
        <v>0</v>
      </c>
      <c r="F22" s="63">
        <f t="shared" si="1"/>
        <v>0</v>
      </c>
      <c r="G22" s="53">
        <f t="shared" si="2"/>
        <v>0</v>
      </c>
      <c r="H22" s="10">
        <f t="shared" si="3"/>
        <v>0</v>
      </c>
      <c r="I22" s="144">
        <f>+L22</f>
        <v>0</v>
      </c>
      <c r="J22" s="53">
        <f t="shared" si="4"/>
        <v>0</v>
      </c>
      <c r="K22" s="10">
        <f t="shared" si="5"/>
        <v>0</v>
      </c>
      <c r="L22" s="63">
        <f t="shared" si="6"/>
        <v>0</v>
      </c>
    </row>
    <row r="23" spans="1:14">
      <c r="A23" t="s">
        <v>435</v>
      </c>
      <c r="C23" s="122">
        <f>+'Service Counts'!AA25</f>
        <v>0</v>
      </c>
      <c r="D23" s="63">
        <f>+'Service Counts'!Y25</f>
        <v>0</v>
      </c>
      <c r="E23" s="6">
        <f t="shared" si="0"/>
        <v>0</v>
      </c>
      <c r="F23" s="63">
        <f t="shared" si="1"/>
        <v>0</v>
      </c>
      <c r="G23" s="53">
        <f t="shared" si="2"/>
        <v>0</v>
      </c>
      <c r="H23" s="10">
        <f t="shared" si="3"/>
        <v>0</v>
      </c>
      <c r="I23" s="144">
        <f>+L23</f>
        <v>0</v>
      </c>
      <c r="J23" s="53">
        <f t="shared" si="4"/>
        <v>0</v>
      </c>
      <c r="K23" s="10">
        <f t="shared" si="5"/>
        <v>0</v>
      </c>
      <c r="L23" s="63">
        <f t="shared" si="6"/>
        <v>0</v>
      </c>
    </row>
    <row r="24" spans="1:14">
      <c r="A24" t="s">
        <v>434</v>
      </c>
      <c r="C24" s="122">
        <f>+'Service Counts'!AA26</f>
        <v>0</v>
      </c>
      <c r="D24" s="63">
        <f>+'Service Counts'!Y26</f>
        <v>0</v>
      </c>
      <c r="E24" s="6">
        <f t="shared" si="0"/>
        <v>0</v>
      </c>
      <c r="F24" s="63">
        <f t="shared" si="1"/>
        <v>0</v>
      </c>
      <c r="G24" s="53">
        <f t="shared" si="2"/>
        <v>0</v>
      </c>
      <c r="H24" s="10">
        <f t="shared" si="3"/>
        <v>0</v>
      </c>
      <c r="I24" s="144">
        <f>+L24</f>
        <v>0</v>
      </c>
      <c r="J24" s="53">
        <f t="shared" si="4"/>
        <v>0</v>
      </c>
      <c r="K24" s="10">
        <f t="shared" si="5"/>
        <v>0</v>
      </c>
      <c r="L24" s="63">
        <f t="shared" si="6"/>
        <v>0</v>
      </c>
    </row>
    <row r="25" spans="1:14">
      <c r="A25" t="s">
        <v>433</v>
      </c>
      <c r="C25" s="122">
        <f>+'Service Counts'!AA27</f>
        <v>0</v>
      </c>
      <c r="D25" s="63">
        <f>+'Service Counts'!Y27</f>
        <v>0</v>
      </c>
      <c r="E25" s="6">
        <f t="shared" si="0"/>
        <v>0</v>
      </c>
      <c r="F25" s="63">
        <f t="shared" si="1"/>
        <v>0</v>
      </c>
      <c r="G25" s="53">
        <f t="shared" si="2"/>
        <v>0</v>
      </c>
      <c r="H25" s="10">
        <f t="shared" si="3"/>
        <v>0</v>
      </c>
      <c r="I25" s="144">
        <f>+L25</f>
        <v>0</v>
      </c>
      <c r="J25" s="53">
        <f t="shared" si="4"/>
        <v>0</v>
      </c>
      <c r="K25" s="10">
        <f t="shared" si="5"/>
        <v>0</v>
      </c>
      <c r="L25" s="63">
        <f t="shared" si="6"/>
        <v>0</v>
      </c>
    </row>
    <row r="26" spans="1:14">
      <c r="A26" t="s">
        <v>432</v>
      </c>
      <c r="C26" s="122">
        <f>+'Service Counts'!AA29</f>
        <v>290</v>
      </c>
      <c r="D26" s="63">
        <f>+'Service Counts'!Y29</f>
        <v>3.95</v>
      </c>
      <c r="E26" s="6">
        <f t="shared" si="0"/>
        <v>1145.5</v>
      </c>
      <c r="F26" s="63">
        <f t="shared" si="1"/>
        <v>3.0691356220665393</v>
      </c>
      <c r="G26" s="53">
        <f t="shared" si="2"/>
        <v>890.04933039929642</v>
      </c>
      <c r="H26" s="10">
        <f t="shared" si="3"/>
        <v>-0.22300363998315459</v>
      </c>
      <c r="I26" s="144">
        <v>3.95</v>
      </c>
      <c r="J26" s="53">
        <f t="shared" si="4"/>
        <v>1145.5</v>
      </c>
      <c r="K26" s="10">
        <f t="shared" si="5"/>
        <v>0</v>
      </c>
      <c r="L26" s="63">
        <f t="shared" si="6"/>
        <v>3.95</v>
      </c>
    </row>
    <row r="27" spans="1:14">
      <c r="A27" t="s">
        <v>431</v>
      </c>
      <c r="C27" s="122">
        <f>+'Service Counts'!AA30</f>
        <v>0</v>
      </c>
      <c r="D27" s="63">
        <f>+'Service Counts'!Y30</f>
        <v>2.95</v>
      </c>
      <c r="E27" s="6">
        <f t="shared" si="0"/>
        <v>0</v>
      </c>
      <c r="F27" s="63">
        <f t="shared" si="1"/>
        <v>2.2921392620496941</v>
      </c>
      <c r="G27" s="53">
        <f t="shared" si="2"/>
        <v>0</v>
      </c>
      <c r="H27" s="10">
        <f t="shared" si="3"/>
        <v>0</v>
      </c>
      <c r="I27" s="144">
        <v>2.95</v>
      </c>
      <c r="J27" s="53">
        <f t="shared" si="4"/>
        <v>0</v>
      </c>
      <c r="K27" s="10">
        <f t="shared" si="5"/>
        <v>0</v>
      </c>
      <c r="L27" s="63">
        <f t="shared" si="6"/>
        <v>2.95</v>
      </c>
    </row>
    <row r="28" spans="1:14">
      <c r="A28" t="s">
        <v>430</v>
      </c>
      <c r="C28" s="122">
        <f>+'Service Counts'!AA31</f>
        <v>0</v>
      </c>
      <c r="D28" s="63">
        <f>+'Service Counts'!Y31</f>
        <v>1.65</v>
      </c>
      <c r="E28" s="6">
        <f t="shared" si="0"/>
        <v>0</v>
      </c>
      <c r="F28" s="63">
        <f t="shared" si="1"/>
        <v>1.2820439940277948</v>
      </c>
      <c r="G28" s="53">
        <f t="shared" si="2"/>
        <v>0</v>
      </c>
      <c r="H28" s="10">
        <f t="shared" si="3"/>
        <v>0</v>
      </c>
      <c r="I28" s="144">
        <v>1.65</v>
      </c>
      <c r="J28" s="53">
        <f t="shared" si="4"/>
        <v>0</v>
      </c>
      <c r="K28" s="10">
        <f t="shared" si="5"/>
        <v>0</v>
      </c>
      <c r="L28" s="63">
        <f t="shared" si="6"/>
        <v>1.65</v>
      </c>
    </row>
    <row r="29" spans="1:14">
      <c r="A29" t="s">
        <v>429</v>
      </c>
      <c r="C29" s="122">
        <f>+'Service Counts'!AA32</f>
        <v>0</v>
      </c>
      <c r="D29" s="63">
        <f>+'Service Counts'!Y32</f>
        <v>10.55</v>
      </c>
      <c r="E29" s="6">
        <f t="shared" si="0"/>
        <v>0</v>
      </c>
      <c r="F29" s="63">
        <f t="shared" si="1"/>
        <v>8.1973115981777198</v>
      </c>
      <c r="G29" s="53">
        <f t="shared" si="2"/>
        <v>0</v>
      </c>
      <c r="H29" s="10">
        <f t="shared" si="3"/>
        <v>0</v>
      </c>
      <c r="I29" s="144">
        <v>10.55</v>
      </c>
      <c r="J29" s="53">
        <f t="shared" si="4"/>
        <v>0</v>
      </c>
      <c r="K29" s="10">
        <f t="shared" si="5"/>
        <v>0</v>
      </c>
      <c r="L29" s="63">
        <f t="shared" si="6"/>
        <v>10.55</v>
      </c>
    </row>
    <row r="30" spans="1:14">
      <c r="A30" t="s">
        <v>428</v>
      </c>
      <c r="C30" s="122">
        <f>+'Service Counts'!AA33</f>
        <v>1568.75</v>
      </c>
      <c r="D30" s="63">
        <f>+'Service Counts'!Y33</f>
        <v>19.600000000000001</v>
      </c>
      <c r="E30" s="6">
        <f t="shared" si="0"/>
        <v>30747.500000000004</v>
      </c>
      <c r="F30" s="63">
        <f t="shared" si="1"/>
        <v>15.22912865633017</v>
      </c>
      <c r="G30" s="53">
        <f t="shared" si="2"/>
        <v>23890.695579617954</v>
      </c>
      <c r="H30" s="10">
        <f t="shared" si="3"/>
        <v>-0.2230036399831547</v>
      </c>
      <c r="I30" s="144">
        <v>19.600000000000001</v>
      </c>
      <c r="J30" s="53">
        <f t="shared" si="4"/>
        <v>30747.500000000004</v>
      </c>
      <c r="K30" s="10">
        <f t="shared" si="5"/>
        <v>0</v>
      </c>
      <c r="L30" s="63">
        <f t="shared" si="6"/>
        <v>19.600000000000001</v>
      </c>
    </row>
    <row r="31" spans="1:14">
      <c r="A31" t="s">
        <v>427</v>
      </c>
      <c r="C31" s="122">
        <f>+'Service Counts'!AA34</f>
        <v>0</v>
      </c>
      <c r="D31" s="63">
        <f>+'Service Counts'!Y34</f>
        <v>12.2</v>
      </c>
      <c r="E31" s="43">
        <f t="shared" si="0"/>
        <v>0</v>
      </c>
      <c r="F31" s="63">
        <f t="shared" si="1"/>
        <v>9.479355592205513</v>
      </c>
      <c r="G31" s="57">
        <f t="shared" si="2"/>
        <v>0</v>
      </c>
      <c r="H31" s="10">
        <f t="shared" si="3"/>
        <v>0</v>
      </c>
      <c r="I31" s="144">
        <v>12.2</v>
      </c>
      <c r="J31" s="57">
        <f t="shared" si="4"/>
        <v>0</v>
      </c>
      <c r="K31" s="10">
        <f t="shared" si="5"/>
        <v>0</v>
      </c>
      <c r="L31" s="63">
        <f t="shared" si="6"/>
        <v>12.2</v>
      </c>
    </row>
    <row r="32" spans="1:14">
      <c r="C32" s="122"/>
      <c r="D32" s="63"/>
      <c r="E32" s="56">
        <f>SUM(E11:E31)</f>
        <v>59864.522840646649</v>
      </c>
      <c r="G32" s="56">
        <f>SUM(G11:G31)</f>
        <v>46514.516341327748</v>
      </c>
      <c r="I32" s="127"/>
      <c r="J32" s="56">
        <f>SUM(J11:J31)</f>
        <v>59864.522840646649</v>
      </c>
      <c r="K32" s="125">
        <f>(+J32-E32)/E32</f>
        <v>0</v>
      </c>
    </row>
    <row r="33" spans="1:12">
      <c r="A33" t="s">
        <v>426</v>
      </c>
      <c r="C33" s="122"/>
      <c r="D33" s="63"/>
      <c r="I33" s="127"/>
      <c r="J33" s="53"/>
    </row>
    <row r="34" spans="1:12">
      <c r="A34" t="s">
        <v>425</v>
      </c>
      <c r="C34" s="122">
        <f>+'Service Counts'!AA37</f>
        <v>1622</v>
      </c>
      <c r="D34" s="63">
        <f>+'Service Counts'!Y37</f>
        <v>15.25</v>
      </c>
      <c r="E34" s="6">
        <f t="shared" ref="E34:E48" si="7">+C34*D34</f>
        <v>24735.5</v>
      </c>
      <c r="F34" s="63">
        <f t="shared" ref="F34:F48" si="8">+D34*(1+$H$4)</f>
        <v>11.849194490256892</v>
      </c>
      <c r="G34" s="53">
        <f t="shared" ref="G34:G48" si="9">+C34*F34</f>
        <v>19219.393463196677</v>
      </c>
      <c r="H34" s="10">
        <f t="shared" ref="H34:H48" si="10">+IF(C34=0,0,(G34-E34)/E34)</f>
        <v>-0.2230036399831547</v>
      </c>
      <c r="I34" s="144">
        <v>15.25</v>
      </c>
      <c r="J34" s="53">
        <f t="shared" ref="J34:J48" si="11">+C34*I34</f>
        <v>24735.5</v>
      </c>
      <c r="K34" s="10">
        <f t="shared" ref="K34:K48" si="12">+IF(C34=0,0,(J34-E34)/E34)</f>
        <v>0</v>
      </c>
      <c r="L34" s="63">
        <f t="shared" ref="L34:L48" si="13">+D34*(1+$L$2)</f>
        <v>15.25</v>
      </c>
    </row>
    <row r="35" spans="1:12">
      <c r="A35" t="s">
        <v>424</v>
      </c>
      <c r="C35" s="122">
        <f>+'Service Counts'!AA38</f>
        <v>0</v>
      </c>
      <c r="D35" s="63">
        <f>+'Service Counts'!Y38</f>
        <v>20.399999999999999</v>
      </c>
      <c r="E35" s="6">
        <f t="shared" si="7"/>
        <v>0</v>
      </c>
      <c r="F35" s="63">
        <f t="shared" si="8"/>
        <v>15.850725744343643</v>
      </c>
      <c r="G35" s="53">
        <f t="shared" si="9"/>
        <v>0</v>
      </c>
      <c r="H35" s="10">
        <f t="shared" si="10"/>
        <v>0</v>
      </c>
      <c r="I35" s="144">
        <v>20.399999999999999</v>
      </c>
      <c r="J35" s="53">
        <f t="shared" si="11"/>
        <v>0</v>
      </c>
      <c r="K35" s="10">
        <f t="shared" si="12"/>
        <v>0</v>
      </c>
      <c r="L35" s="63">
        <f t="shared" si="13"/>
        <v>20.399999999999999</v>
      </c>
    </row>
    <row r="36" spans="1:12">
      <c r="A36" t="s">
        <v>423</v>
      </c>
      <c r="C36" s="122">
        <f>+'Service Counts'!AA39</f>
        <v>1901</v>
      </c>
      <c r="D36" s="63">
        <f>+'Service Counts'!Y39</f>
        <v>23.31</v>
      </c>
      <c r="E36" s="6">
        <f t="shared" si="7"/>
        <v>44312.31</v>
      </c>
      <c r="F36" s="63">
        <f t="shared" si="8"/>
        <v>18.111785151992663</v>
      </c>
      <c r="G36" s="53">
        <f t="shared" si="9"/>
        <v>34430.503573938055</v>
      </c>
      <c r="H36" s="10">
        <f t="shared" si="10"/>
        <v>-0.22300363998315464</v>
      </c>
      <c r="I36" s="144">
        <v>23.31</v>
      </c>
      <c r="J36" s="53">
        <f t="shared" si="11"/>
        <v>44312.31</v>
      </c>
      <c r="K36" s="10">
        <f t="shared" si="12"/>
        <v>0</v>
      </c>
      <c r="L36" s="63">
        <f t="shared" si="13"/>
        <v>23.31</v>
      </c>
    </row>
    <row r="37" spans="1:12">
      <c r="A37" t="s">
        <v>422</v>
      </c>
      <c r="C37" s="122">
        <f>+'Service Counts'!AA40</f>
        <v>0</v>
      </c>
      <c r="D37" s="63">
        <f>+'Service Counts'!Y40</f>
        <v>30.5</v>
      </c>
      <c r="E37" s="6">
        <f t="shared" si="7"/>
        <v>0</v>
      </c>
      <c r="F37" s="63">
        <f t="shared" si="8"/>
        <v>23.698388980513784</v>
      </c>
      <c r="G37" s="53">
        <f t="shared" si="9"/>
        <v>0</v>
      </c>
      <c r="H37" s="10">
        <f t="shared" si="10"/>
        <v>0</v>
      </c>
      <c r="I37" s="144">
        <v>30.5</v>
      </c>
      <c r="J37" s="53">
        <f t="shared" si="11"/>
        <v>0</v>
      </c>
      <c r="K37" s="10">
        <f t="shared" si="12"/>
        <v>0</v>
      </c>
      <c r="L37" s="63">
        <f t="shared" si="13"/>
        <v>30.5</v>
      </c>
    </row>
    <row r="38" spans="1:12">
      <c r="A38" t="s">
        <v>421</v>
      </c>
      <c r="C38" s="122">
        <f>+'Service Counts'!AA41</f>
        <v>710</v>
      </c>
      <c r="D38" s="63">
        <f>+'Service Counts'!Y41</f>
        <v>38.950000000000003</v>
      </c>
      <c r="E38" s="6">
        <f t="shared" si="7"/>
        <v>27654.500000000004</v>
      </c>
      <c r="F38" s="63">
        <f t="shared" si="8"/>
        <v>30.26400822265613</v>
      </c>
      <c r="G38" s="53">
        <f t="shared" si="9"/>
        <v>21487.445838085852</v>
      </c>
      <c r="H38" s="10">
        <f t="shared" si="10"/>
        <v>-0.22300363998315467</v>
      </c>
      <c r="I38" s="144">
        <v>38.950000000000003</v>
      </c>
      <c r="J38" s="53">
        <f t="shared" si="11"/>
        <v>27654.500000000004</v>
      </c>
      <c r="K38" s="10">
        <f t="shared" si="12"/>
        <v>0</v>
      </c>
      <c r="L38" s="63">
        <f t="shared" si="13"/>
        <v>38.950000000000003</v>
      </c>
    </row>
    <row r="39" spans="1:12">
      <c r="A39" t="s">
        <v>420</v>
      </c>
      <c r="C39" s="122">
        <f>+'Service Counts'!AA42</f>
        <v>2666</v>
      </c>
      <c r="D39" s="63">
        <f>+'Service Counts'!Y42</f>
        <v>61.6</v>
      </c>
      <c r="E39" s="6">
        <f t="shared" si="7"/>
        <v>164225.60000000001</v>
      </c>
      <c r="F39" s="63">
        <f t="shared" si="8"/>
        <v>47.862975777037676</v>
      </c>
      <c r="G39" s="53">
        <f t="shared" si="9"/>
        <v>127602.69342158244</v>
      </c>
      <c r="H39" s="10">
        <f t="shared" si="10"/>
        <v>-0.22300363998315464</v>
      </c>
      <c r="I39" s="144">
        <v>61.6</v>
      </c>
      <c r="J39" s="53">
        <f t="shared" si="11"/>
        <v>164225.60000000001</v>
      </c>
      <c r="K39" s="10">
        <f t="shared" si="12"/>
        <v>0</v>
      </c>
      <c r="L39" s="63">
        <f t="shared" si="13"/>
        <v>61.6</v>
      </c>
    </row>
    <row r="40" spans="1:12">
      <c r="A40" t="s">
        <v>419</v>
      </c>
      <c r="C40" s="122">
        <f>+'Service Counts'!AA43</f>
        <v>0</v>
      </c>
      <c r="D40" s="63">
        <f>+'Service Counts'!Y43</f>
        <v>81.900000000000006</v>
      </c>
      <c r="E40" s="6">
        <f t="shared" si="7"/>
        <v>0</v>
      </c>
      <c r="F40" s="63">
        <f t="shared" si="8"/>
        <v>63.636001885379642</v>
      </c>
      <c r="G40" s="53">
        <f t="shared" si="9"/>
        <v>0</v>
      </c>
      <c r="H40" s="10">
        <f t="shared" si="10"/>
        <v>0</v>
      </c>
      <c r="I40" s="144">
        <v>81.900000000000006</v>
      </c>
      <c r="J40" s="53">
        <f t="shared" si="11"/>
        <v>0</v>
      </c>
      <c r="K40" s="10">
        <f t="shared" si="12"/>
        <v>0</v>
      </c>
      <c r="L40" s="63">
        <f t="shared" si="13"/>
        <v>81.900000000000006</v>
      </c>
    </row>
    <row r="41" spans="1:12">
      <c r="A41" t="s">
        <v>418</v>
      </c>
      <c r="C41" s="122">
        <f>+'Service Counts'!AA44</f>
        <v>4</v>
      </c>
      <c r="D41" s="63">
        <f>+'Service Counts'!Y44</f>
        <v>8.25</v>
      </c>
      <c r="E41" s="6">
        <f t="shared" si="7"/>
        <v>33</v>
      </c>
      <c r="F41" s="63">
        <f t="shared" si="8"/>
        <v>6.4102199701389742</v>
      </c>
      <c r="G41" s="53">
        <f t="shared" si="9"/>
        <v>25.640879880555897</v>
      </c>
      <c r="H41" s="10">
        <f t="shared" si="10"/>
        <v>-0.22300363998315464</v>
      </c>
      <c r="I41" s="144">
        <v>8.25</v>
      </c>
      <c r="J41" s="53">
        <f t="shared" si="11"/>
        <v>33</v>
      </c>
      <c r="K41" s="10">
        <f t="shared" si="12"/>
        <v>0</v>
      </c>
      <c r="L41" s="63">
        <f t="shared" si="13"/>
        <v>8.25</v>
      </c>
    </row>
    <row r="42" spans="1:12">
      <c r="A42" t="s">
        <v>417</v>
      </c>
      <c r="C42" s="122">
        <f>+'Service Counts'!AA45</f>
        <v>0</v>
      </c>
      <c r="D42" s="63">
        <f>+'Service Counts'!Y45</f>
        <v>10.9</v>
      </c>
      <c r="E42" s="6">
        <f t="shared" si="7"/>
        <v>0</v>
      </c>
      <c r="F42" s="63">
        <f t="shared" si="8"/>
        <v>8.4692603241836153</v>
      </c>
      <c r="G42" s="53">
        <f t="shared" si="9"/>
        <v>0</v>
      </c>
      <c r="H42" s="10">
        <f t="shared" si="10"/>
        <v>0</v>
      </c>
      <c r="I42" s="144">
        <v>11.75</v>
      </c>
      <c r="J42" s="53">
        <f t="shared" si="11"/>
        <v>0</v>
      </c>
      <c r="K42" s="10">
        <f t="shared" si="12"/>
        <v>0</v>
      </c>
      <c r="L42" s="63">
        <f t="shared" si="13"/>
        <v>10.9</v>
      </c>
    </row>
    <row r="43" spans="1:12">
      <c r="A43" t="s">
        <v>416</v>
      </c>
      <c r="C43" s="122">
        <f>+'Service Counts'!AA46</f>
        <v>9</v>
      </c>
      <c r="D43" s="63">
        <f>+'Service Counts'!Y46</f>
        <v>14.5</v>
      </c>
      <c r="E43" s="6">
        <f t="shared" si="7"/>
        <v>130.5</v>
      </c>
      <c r="F43" s="63">
        <f t="shared" si="8"/>
        <v>11.266447220244258</v>
      </c>
      <c r="G43" s="53">
        <f t="shared" si="9"/>
        <v>101.39802498219832</v>
      </c>
      <c r="H43" s="10">
        <f t="shared" si="10"/>
        <v>-0.22300363998315462</v>
      </c>
      <c r="I43" s="144">
        <v>14.5</v>
      </c>
      <c r="J43" s="53">
        <f t="shared" si="11"/>
        <v>130.5</v>
      </c>
      <c r="K43" s="10">
        <f t="shared" si="12"/>
        <v>0</v>
      </c>
      <c r="L43" s="63">
        <f t="shared" si="13"/>
        <v>14.5</v>
      </c>
    </row>
    <row r="44" spans="1:12">
      <c r="A44" t="s">
        <v>415</v>
      </c>
      <c r="C44" s="122">
        <f>+'Service Counts'!AA47</f>
        <v>0</v>
      </c>
      <c r="D44" s="63">
        <f>+'Service Counts'!Y47</f>
        <v>15.2</v>
      </c>
      <c r="E44" s="6">
        <f t="shared" si="7"/>
        <v>0</v>
      </c>
      <c r="F44" s="63">
        <f t="shared" si="8"/>
        <v>11.810344672256049</v>
      </c>
      <c r="G44" s="53">
        <f t="shared" si="9"/>
        <v>0</v>
      </c>
      <c r="H44" s="10">
        <f t="shared" si="10"/>
        <v>0</v>
      </c>
      <c r="I44" s="144">
        <v>16.350000000000001</v>
      </c>
      <c r="J44" s="53">
        <f t="shared" si="11"/>
        <v>0</v>
      </c>
      <c r="K44" s="10">
        <f t="shared" si="12"/>
        <v>0</v>
      </c>
      <c r="L44" s="63">
        <f t="shared" si="13"/>
        <v>15.2</v>
      </c>
    </row>
    <row r="45" spans="1:12">
      <c r="A45" t="s">
        <v>414</v>
      </c>
      <c r="C45" s="122">
        <f>+'Service Counts'!AA48</f>
        <v>2</v>
      </c>
      <c r="D45" s="63">
        <f>+'Service Counts'!Y48</f>
        <v>15.8</v>
      </c>
      <c r="E45" s="6">
        <f t="shared" si="7"/>
        <v>31.6</v>
      </c>
      <c r="F45" s="63">
        <f t="shared" si="8"/>
        <v>12.276542488266157</v>
      </c>
      <c r="G45" s="53">
        <f t="shared" si="9"/>
        <v>24.553084976532315</v>
      </c>
      <c r="H45" s="10">
        <f t="shared" si="10"/>
        <v>-0.22300363998315464</v>
      </c>
      <c r="I45" s="144">
        <v>15.8</v>
      </c>
      <c r="J45" s="53">
        <f t="shared" si="11"/>
        <v>31.6</v>
      </c>
      <c r="K45" s="10">
        <f t="shared" si="12"/>
        <v>0</v>
      </c>
      <c r="L45" s="63">
        <f t="shared" si="13"/>
        <v>15.8</v>
      </c>
    </row>
    <row r="46" spans="1:12">
      <c r="A46" t="s">
        <v>413</v>
      </c>
      <c r="C46" s="122">
        <f>+'Service Counts'!AA49</f>
        <v>2</v>
      </c>
      <c r="D46" s="63">
        <f>+'Service Counts'!Y49</f>
        <v>18.350000000000001</v>
      </c>
      <c r="E46" s="6">
        <f t="shared" si="7"/>
        <v>36.700000000000003</v>
      </c>
      <c r="F46" s="63">
        <f t="shared" si="8"/>
        <v>14.257883206309113</v>
      </c>
      <c r="G46" s="53">
        <f t="shared" si="9"/>
        <v>28.515766412618227</v>
      </c>
      <c r="H46" s="10">
        <f t="shared" si="10"/>
        <v>-0.22300363998315464</v>
      </c>
      <c r="I46" s="144">
        <v>18.350000000000001</v>
      </c>
      <c r="J46" s="53">
        <f t="shared" si="11"/>
        <v>36.700000000000003</v>
      </c>
      <c r="K46" s="10">
        <f t="shared" si="12"/>
        <v>0</v>
      </c>
      <c r="L46" s="63">
        <f t="shared" si="13"/>
        <v>18.350000000000001</v>
      </c>
    </row>
    <row r="47" spans="1:12">
      <c r="A47" t="s">
        <v>412</v>
      </c>
      <c r="C47" s="122">
        <f>+'Service Counts'!AA50</f>
        <v>0</v>
      </c>
      <c r="D47" s="63">
        <f>+'Service Counts'!Y50</f>
        <v>2.2999999999999998</v>
      </c>
      <c r="E47" s="6">
        <f t="shared" si="7"/>
        <v>0</v>
      </c>
      <c r="F47" s="63">
        <f t="shared" si="8"/>
        <v>1.7870916280387441</v>
      </c>
      <c r="G47" s="53">
        <f t="shared" si="9"/>
        <v>0</v>
      </c>
      <c r="H47" s="10">
        <f t="shared" si="10"/>
        <v>0</v>
      </c>
      <c r="I47" s="144">
        <v>2.2999999999999998</v>
      </c>
      <c r="J47" s="53">
        <f t="shared" si="11"/>
        <v>0</v>
      </c>
      <c r="K47" s="10">
        <f t="shared" si="12"/>
        <v>0</v>
      </c>
      <c r="L47" s="63">
        <f t="shared" si="13"/>
        <v>2.2999999999999998</v>
      </c>
    </row>
    <row r="48" spans="1:12">
      <c r="A48" t="s">
        <v>411</v>
      </c>
      <c r="C48" s="122">
        <f>+'Service Counts'!AA51</f>
        <v>591</v>
      </c>
      <c r="D48" s="63">
        <f>+'Service Counts'!Y51</f>
        <v>1.3</v>
      </c>
      <c r="E48" s="43">
        <f t="shared" si="7"/>
        <v>768.30000000000007</v>
      </c>
      <c r="F48" s="63">
        <f t="shared" si="8"/>
        <v>1.0100952680218991</v>
      </c>
      <c r="G48" s="57">
        <f t="shared" si="9"/>
        <v>596.96630340094237</v>
      </c>
      <c r="H48" s="10">
        <f t="shared" si="10"/>
        <v>-0.22300363998315462</v>
      </c>
      <c r="I48" s="144">
        <v>1.3</v>
      </c>
      <c r="J48" s="57">
        <f t="shared" si="11"/>
        <v>768.30000000000007</v>
      </c>
      <c r="K48" s="10">
        <f t="shared" si="12"/>
        <v>0</v>
      </c>
      <c r="L48" s="63">
        <f t="shared" si="13"/>
        <v>1.3</v>
      </c>
    </row>
    <row r="49" spans="1:12">
      <c r="C49" s="122"/>
      <c r="D49" s="63"/>
      <c r="E49" s="6">
        <f>SUM(E34:E48)</f>
        <v>261928.01</v>
      </c>
      <c r="G49" s="6">
        <f>SUM(G34:G48)</f>
        <v>203517.11035645587</v>
      </c>
      <c r="I49" s="127"/>
      <c r="J49" s="6">
        <f>SUM(J34:J48)</f>
        <v>261928.01</v>
      </c>
      <c r="K49" s="125">
        <f>(+J49-E49)/E49</f>
        <v>0</v>
      </c>
    </row>
    <row r="50" spans="1:12">
      <c r="A50" t="s">
        <v>410</v>
      </c>
      <c r="C50" s="122"/>
      <c r="D50" s="63"/>
      <c r="I50" s="127"/>
      <c r="J50" s="53"/>
    </row>
    <row r="51" spans="1:12">
      <c r="A51" t="s">
        <v>409</v>
      </c>
      <c r="C51" s="122">
        <f>+'Service Counts'!AA54</f>
        <v>0</v>
      </c>
      <c r="D51" s="63">
        <f>+'Service Counts'!Y54</f>
        <v>95.05</v>
      </c>
      <c r="E51" s="6">
        <f t="shared" ref="E51:E65" si="14">+C51*D51</f>
        <v>0</v>
      </c>
      <c r="F51" s="63">
        <f t="shared" ref="F51:F65" si="15">+D51*(1+$H$4)</f>
        <v>73.853504019601147</v>
      </c>
      <c r="G51" s="53">
        <f t="shared" ref="G51:G65" si="16">+C51*F51</f>
        <v>0</v>
      </c>
      <c r="H51" s="10">
        <f t="shared" ref="H51:H65" si="17">+IF(C51=0,0,(G51-E51)/E51)</f>
        <v>0</v>
      </c>
      <c r="I51" s="144">
        <v>95.05</v>
      </c>
      <c r="J51" s="53">
        <f t="shared" ref="J51:J65" si="18">+C51*I51</f>
        <v>0</v>
      </c>
      <c r="K51" s="10">
        <f t="shared" ref="K51:K65" si="19">+IF(C51=0,0,(J51-E51)/E51)</f>
        <v>0</v>
      </c>
      <c r="L51" s="63">
        <f t="shared" ref="L51:L65" si="20">+D51*(1+$L$2)</f>
        <v>95.05</v>
      </c>
    </row>
    <row r="52" spans="1:12">
      <c r="A52" t="s">
        <v>408</v>
      </c>
      <c r="C52" s="122">
        <f>+'Service Counts'!AA55</f>
        <v>57</v>
      </c>
      <c r="D52" s="63">
        <f>+'Service Counts'!Y55</f>
        <v>114.95</v>
      </c>
      <c r="E52" s="6">
        <f t="shared" si="14"/>
        <v>6552.1500000000005</v>
      </c>
      <c r="F52" s="63">
        <f t="shared" si="15"/>
        <v>89.315731583936369</v>
      </c>
      <c r="G52" s="53">
        <f t="shared" si="16"/>
        <v>5090.9967002843732</v>
      </c>
      <c r="H52" s="10">
        <f t="shared" si="17"/>
        <v>-0.22300363998315473</v>
      </c>
      <c r="I52" s="144">
        <v>114.95</v>
      </c>
      <c r="J52" s="53">
        <f t="shared" si="18"/>
        <v>6552.1500000000005</v>
      </c>
      <c r="K52" s="10">
        <f t="shared" si="19"/>
        <v>0</v>
      </c>
      <c r="L52" s="63">
        <f t="shared" si="20"/>
        <v>114.95</v>
      </c>
    </row>
    <row r="53" spans="1:12">
      <c r="A53" t="s">
        <v>407</v>
      </c>
      <c r="C53" s="122">
        <f>+'Service Counts'!AA56</f>
        <v>523</v>
      </c>
      <c r="D53" s="63">
        <f>+'Service Counts'!Y56</f>
        <v>124.95</v>
      </c>
      <c r="E53" s="6">
        <f t="shared" si="14"/>
        <v>65348.85</v>
      </c>
      <c r="F53" s="63">
        <f t="shared" si="15"/>
        <v>97.085695184104836</v>
      </c>
      <c r="G53" s="53">
        <f t="shared" si="16"/>
        <v>50775.818581286832</v>
      </c>
      <c r="H53" s="10">
        <f t="shared" si="17"/>
        <v>-0.22300363998315451</v>
      </c>
      <c r="I53" s="144">
        <v>124.95</v>
      </c>
      <c r="J53" s="53">
        <f t="shared" si="18"/>
        <v>65348.85</v>
      </c>
      <c r="K53" s="10">
        <f t="shared" si="19"/>
        <v>0</v>
      </c>
      <c r="L53" s="63">
        <f t="shared" si="20"/>
        <v>124.95</v>
      </c>
    </row>
    <row r="54" spans="1:12">
      <c r="A54" t="s">
        <v>406</v>
      </c>
      <c r="C54" s="122">
        <f>+'Service Counts'!AA57</f>
        <v>0</v>
      </c>
      <c r="D54" s="63">
        <f>+'Service Counts'!Y57</f>
        <v>0</v>
      </c>
      <c r="E54" s="6">
        <f t="shared" si="14"/>
        <v>0</v>
      </c>
      <c r="F54" s="63">
        <f t="shared" si="15"/>
        <v>0</v>
      </c>
      <c r="G54" s="53">
        <f t="shared" si="16"/>
        <v>0</v>
      </c>
      <c r="H54" s="10">
        <f t="shared" si="17"/>
        <v>0</v>
      </c>
      <c r="I54" s="144">
        <v>140</v>
      </c>
      <c r="J54" s="53">
        <f t="shared" si="18"/>
        <v>0</v>
      </c>
      <c r="K54" s="10">
        <f t="shared" si="19"/>
        <v>0</v>
      </c>
      <c r="L54" s="63">
        <f t="shared" si="20"/>
        <v>0</v>
      </c>
    </row>
    <row r="55" spans="1:12">
      <c r="A55" t="s">
        <v>405</v>
      </c>
      <c r="C55" s="122">
        <f>+'Service Counts'!AA58</f>
        <v>0</v>
      </c>
      <c r="D55" s="63">
        <f>+'Service Counts'!Y58</f>
        <v>3.05</v>
      </c>
      <c r="E55" s="6">
        <f t="shared" si="14"/>
        <v>0</v>
      </c>
      <c r="F55" s="63">
        <f t="shared" si="15"/>
        <v>2.3698388980513783</v>
      </c>
      <c r="G55" s="53">
        <f t="shared" si="16"/>
        <v>0</v>
      </c>
      <c r="H55" s="10">
        <f t="shared" si="17"/>
        <v>0</v>
      </c>
      <c r="I55" s="144">
        <v>3.05</v>
      </c>
      <c r="J55" s="53">
        <f t="shared" si="18"/>
        <v>0</v>
      </c>
      <c r="K55" s="10">
        <f t="shared" si="19"/>
        <v>0</v>
      </c>
      <c r="L55" s="63">
        <f t="shared" si="20"/>
        <v>3.05</v>
      </c>
    </row>
    <row r="56" spans="1:12">
      <c r="A56" t="s">
        <v>404</v>
      </c>
      <c r="C56" s="122">
        <f>+'Service Counts'!AA59</f>
        <v>1442</v>
      </c>
      <c r="D56" s="63">
        <f>+'Service Counts'!Y59</f>
        <v>3.55</v>
      </c>
      <c r="E56" s="6">
        <f t="shared" si="14"/>
        <v>5119.0999999999995</v>
      </c>
      <c r="F56" s="63">
        <f t="shared" si="15"/>
        <v>2.7583370780598009</v>
      </c>
      <c r="G56" s="53">
        <f t="shared" si="16"/>
        <v>3977.5220665622328</v>
      </c>
      <c r="H56" s="10">
        <f t="shared" si="17"/>
        <v>-0.22300363998315462</v>
      </c>
      <c r="I56" s="144">
        <v>3.55</v>
      </c>
      <c r="J56" s="53">
        <f t="shared" si="18"/>
        <v>5119.0999999999995</v>
      </c>
      <c r="K56" s="10">
        <f t="shared" si="19"/>
        <v>0</v>
      </c>
      <c r="L56" s="63">
        <f t="shared" si="20"/>
        <v>3.55</v>
      </c>
    </row>
    <row r="57" spans="1:12">
      <c r="A57" t="s">
        <v>403</v>
      </c>
      <c r="C57" s="122">
        <f>+'Service Counts'!AA60</f>
        <v>2876</v>
      </c>
      <c r="D57" s="63">
        <f>+'Service Counts'!Y60</f>
        <v>4.2</v>
      </c>
      <c r="E57" s="6">
        <f t="shared" si="14"/>
        <v>12079.2</v>
      </c>
      <c r="F57" s="63">
        <f t="shared" si="15"/>
        <v>3.2633847120707506</v>
      </c>
      <c r="G57" s="53">
        <f t="shared" si="16"/>
        <v>9385.4944319154783</v>
      </c>
      <c r="H57" s="10">
        <f t="shared" si="17"/>
        <v>-0.2230036399831547</v>
      </c>
      <c r="I57" s="144">
        <v>4.2</v>
      </c>
      <c r="J57" s="53">
        <f t="shared" si="18"/>
        <v>12079.2</v>
      </c>
      <c r="K57" s="10">
        <f t="shared" si="19"/>
        <v>0</v>
      </c>
      <c r="L57" s="63">
        <f t="shared" si="20"/>
        <v>4.2</v>
      </c>
    </row>
    <row r="58" spans="1:12">
      <c r="A58" t="s">
        <v>402</v>
      </c>
      <c r="C58" s="122">
        <f>+'Service Counts'!AA61</f>
        <v>0</v>
      </c>
      <c r="D58" s="63">
        <f>+'Service Counts'!Y61</f>
        <v>0</v>
      </c>
      <c r="E58" s="6">
        <f t="shared" si="14"/>
        <v>0</v>
      </c>
      <c r="F58" s="63">
        <f t="shared" si="15"/>
        <v>0</v>
      </c>
      <c r="G58" s="53">
        <f t="shared" si="16"/>
        <v>0</v>
      </c>
      <c r="H58" s="10">
        <f t="shared" si="17"/>
        <v>0</v>
      </c>
      <c r="I58" s="144">
        <v>5.05</v>
      </c>
      <c r="J58" s="53">
        <f t="shared" si="18"/>
        <v>0</v>
      </c>
      <c r="K58" s="10">
        <f t="shared" si="19"/>
        <v>0</v>
      </c>
      <c r="L58" s="63">
        <f t="shared" si="20"/>
        <v>0</v>
      </c>
    </row>
    <row r="59" spans="1:12">
      <c r="A59" t="s">
        <v>401</v>
      </c>
      <c r="C59" s="122">
        <f>+'Service Counts'!AA62</f>
        <v>0</v>
      </c>
      <c r="D59" s="63">
        <f>+'Service Counts'!Y62</f>
        <v>35</v>
      </c>
      <c r="E59" s="6">
        <f t="shared" si="14"/>
        <v>0</v>
      </c>
      <c r="F59" s="63">
        <f t="shared" si="15"/>
        <v>27.194872600589587</v>
      </c>
      <c r="G59" s="53">
        <f t="shared" si="16"/>
        <v>0</v>
      </c>
      <c r="H59" s="10">
        <f t="shared" si="17"/>
        <v>0</v>
      </c>
      <c r="I59" s="144">
        <v>35</v>
      </c>
      <c r="J59" s="53">
        <f t="shared" si="18"/>
        <v>0</v>
      </c>
      <c r="K59" s="10">
        <f t="shared" si="19"/>
        <v>0</v>
      </c>
      <c r="L59" s="63">
        <f t="shared" si="20"/>
        <v>35</v>
      </c>
    </row>
    <row r="60" spans="1:12">
      <c r="A60" t="s">
        <v>400</v>
      </c>
      <c r="C60" s="122">
        <f>+'Service Counts'!AA63</f>
        <v>5</v>
      </c>
      <c r="D60" s="63">
        <f>+'Service Counts'!Y63</f>
        <v>35</v>
      </c>
      <c r="E60" s="6">
        <f t="shared" si="14"/>
        <v>175</v>
      </c>
      <c r="F60" s="63">
        <f t="shared" si="15"/>
        <v>27.194872600589587</v>
      </c>
      <c r="G60" s="53">
        <f t="shared" si="16"/>
        <v>135.97436300294794</v>
      </c>
      <c r="H60" s="10">
        <f t="shared" si="17"/>
        <v>-0.22300363998315464</v>
      </c>
      <c r="I60" s="144">
        <v>35</v>
      </c>
      <c r="J60" s="53">
        <f t="shared" si="18"/>
        <v>175</v>
      </c>
      <c r="K60" s="10">
        <f t="shared" si="19"/>
        <v>0</v>
      </c>
      <c r="L60" s="63">
        <f t="shared" si="20"/>
        <v>35</v>
      </c>
    </row>
    <row r="61" spans="1:12">
      <c r="A61" t="s">
        <v>399</v>
      </c>
      <c r="C61" s="122">
        <f>+'Service Counts'!AA64</f>
        <v>9</v>
      </c>
      <c r="D61" s="63">
        <f>+'Service Counts'!Y64</f>
        <v>35</v>
      </c>
      <c r="E61" s="6">
        <f t="shared" si="14"/>
        <v>315</v>
      </c>
      <c r="F61" s="63">
        <f t="shared" si="15"/>
        <v>27.194872600589587</v>
      </c>
      <c r="G61" s="53">
        <f t="shared" si="16"/>
        <v>244.75385340530627</v>
      </c>
      <c r="H61" s="10">
        <f t="shared" si="17"/>
        <v>-0.2230036399831547</v>
      </c>
      <c r="I61" s="144">
        <v>35</v>
      </c>
      <c r="J61" s="53">
        <f t="shared" si="18"/>
        <v>315</v>
      </c>
      <c r="K61" s="10">
        <f t="shared" si="19"/>
        <v>0</v>
      </c>
      <c r="L61" s="63">
        <f t="shared" si="20"/>
        <v>35</v>
      </c>
    </row>
    <row r="62" spans="1:12">
      <c r="A62" t="s">
        <v>398</v>
      </c>
      <c r="C62" s="122">
        <f>+'Service Counts'!AA65</f>
        <v>0</v>
      </c>
      <c r="D62" s="63">
        <f>+'Service Counts'!Y65</f>
        <v>0</v>
      </c>
      <c r="E62" s="6">
        <f t="shared" si="14"/>
        <v>0</v>
      </c>
      <c r="F62" s="63">
        <f t="shared" si="15"/>
        <v>0</v>
      </c>
      <c r="G62" s="53">
        <f t="shared" si="16"/>
        <v>0</v>
      </c>
      <c r="H62" s="10">
        <f t="shared" si="17"/>
        <v>0</v>
      </c>
      <c r="I62" s="144">
        <v>35</v>
      </c>
      <c r="J62" s="53">
        <f t="shared" si="18"/>
        <v>0</v>
      </c>
      <c r="K62" s="10">
        <f t="shared" si="19"/>
        <v>0</v>
      </c>
      <c r="L62" s="63">
        <f t="shared" si="20"/>
        <v>0</v>
      </c>
    </row>
    <row r="63" spans="1:12">
      <c r="A63" t="s">
        <v>397</v>
      </c>
      <c r="C63" s="122">
        <f>+'Service Counts'!AA66</f>
        <v>13810</v>
      </c>
      <c r="D63" s="63">
        <f>+'Service Counts'!Y66</f>
        <v>2.2000000000000002</v>
      </c>
      <c r="E63" s="6">
        <f t="shared" si="14"/>
        <v>30382.000000000004</v>
      </c>
      <c r="F63" s="63">
        <f t="shared" si="15"/>
        <v>1.7093919920370599</v>
      </c>
      <c r="G63" s="53">
        <f t="shared" si="16"/>
        <v>23606.703410031798</v>
      </c>
      <c r="H63" s="10">
        <f t="shared" si="17"/>
        <v>-0.22300363998315467</v>
      </c>
      <c r="I63" s="144">
        <v>2.2000000000000002</v>
      </c>
      <c r="J63" s="53">
        <f t="shared" si="18"/>
        <v>30382.000000000004</v>
      </c>
      <c r="K63" s="10">
        <f t="shared" si="19"/>
        <v>0</v>
      </c>
      <c r="L63" s="63">
        <f t="shared" si="20"/>
        <v>2.2000000000000002</v>
      </c>
    </row>
    <row r="64" spans="1:12">
      <c r="A64" t="s">
        <v>395</v>
      </c>
      <c r="C64" s="122">
        <f>+'Service Counts'!AA68</f>
        <v>0</v>
      </c>
      <c r="D64" s="63">
        <f>+'Service Counts'!Y68</f>
        <v>0</v>
      </c>
      <c r="E64" s="6">
        <f t="shared" si="14"/>
        <v>0</v>
      </c>
      <c r="F64" s="63">
        <f t="shared" si="15"/>
        <v>0</v>
      </c>
      <c r="G64" s="53">
        <f t="shared" si="16"/>
        <v>0</v>
      </c>
      <c r="H64" s="10">
        <f t="shared" si="17"/>
        <v>0</v>
      </c>
      <c r="I64" s="144">
        <f>+L64</f>
        <v>0</v>
      </c>
      <c r="J64" s="53">
        <f t="shared" si="18"/>
        <v>0</v>
      </c>
      <c r="K64" s="10">
        <f t="shared" si="19"/>
        <v>0</v>
      </c>
      <c r="L64" s="63">
        <f t="shared" si="20"/>
        <v>0</v>
      </c>
    </row>
    <row r="65" spans="1:12">
      <c r="A65" t="s">
        <v>394</v>
      </c>
      <c r="C65" s="122">
        <f>+'Service Counts'!AA69</f>
        <v>0</v>
      </c>
      <c r="D65" s="63">
        <f>+'Service Counts'!Y69</f>
        <v>0</v>
      </c>
      <c r="E65" s="43">
        <f t="shared" si="14"/>
        <v>0</v>
      </c>
      <c r="F65" s="63">
        <f t="shared" si="15"/>
        <v>0</v>
      </c>
      <c r="G65" s="57">
        <f t="shared" si="16"/>
        <v>0</v>
      </c>
      <c r="H65" s="10">
        <f t="shared" si="17"/>
        <v>0</v>
      </c>
      <c r="I65" s="144">
        <f>+L65</f>
        <v>0</v>
      </c>
      <c r="J65" s="57">
        <f t="shared" si="18"/>
        <v>0</v>
      </c>
      <c r="K65" s="10">
        <f t="shared" si="19"/>
        <v>0</v>
      </c>
      <c r="L65" s="63">
        <f t="shared" si="20"/>
        <v>0</v>
      </c>
    </row>
    <row r="66" spans="1:12">
      <c r="C66" s="122"/>
      <c r="D66" s="63"/>
      <c r="E66" s="6">
        <f>SUM(E51:E65)</f>
        <v>119971.3</v>
      </c>
      <c r="G66" s="6">
        <f>SUM(G51:G65)</f>
        <v>93217.263406488957</v>
      </c>
      <c r="I66" s="127"/>
      <c r="J66" s="6">
        <f>SUM(J51:J65)</f>
        <v>119971.3</v>
      </c>
      <c r="K66" s="125">
        <f>(+J66-E66)/E66</f>
        <v>0</v>
      </c>
    </row>
    <row r="67" spans="1:12">
      <c r="A67" t="s">
        <v>393</v>
      </c>
      <c r="C67" s="122"/>
      <c r="D67" s="63"/>
      <c r="I67" s="127"/>
      <c r="J67" s="53"/>
    </row>
    <row r="68" spans="1:12">
      <c r="A68" t="s">
        <v>392</v>
      </c>
      <c r="C68" s="122"/>
      <c r="D68" s="63"/>
      <c r="I68" s="127"/>
      <c r="J68" s="53"/>
    </row>
    <row r="69" spans="1:12">
      <c r="A69" t="s">
        <v>391</v>
      </c>
      <c r="C69" s="122">
        <f>+'Service Counts'!AA73</f>
        <v>6</v>
      </c>
      <c r="D69" s="63">
        <f>+'Service Counts'!Y73</f>
        <v>129</v>
      </c>
      <c r="E69" s="6">
        <f>+C69*D69</f>
        <v>774</v>
      </c>
      <c r="F69" s="63">
        <f>+D69*(1+$H$4)</f>
        <v>100.23253044217306</v>
      </c>
      <c r="G69" s="53">
        <f>+C69*F69</f>
        <v>601.39518265303832</v>
      </c>
      <c r="H69" s="10">
        <f>+IF(C69=0,0,(G69-E69)/E69)</f>
        <v>-0.22300363998315462</v>
      </c>
      <c r="I69" s="144">
        <v>129</v>
      </c>
      <c r="J69" s="53">
        <f>+C69*I69</f>
        <v>774</v>
      </c>
      <c r="K69" s="10">
        <f>+IF(C69=0,0,(J69-E69)/E69)</f>
        <v>0</v>
      </c>
      <c r="L69" s="63">
        <f>+D69*(1+$L$2)</f>
        <v>129</v>
      </c>
    </row>
    <row r="70" spans="1:12">
      <c r="A70" t="s">
        <v>390</v>
      </c>
      <c r="C70" s="122">
        <f>+'Service Counts'!AA74</f>
        <v>0</v>
      </c>
      <c r="D70" s="63">
        <f>+'Service Counts'!Y74</f>
        <v>32</v>
      </c>
      <c r="E70" s="43">
        <f>+C70*D70</f>
        <v>0</v>
      </c>
      <c r="F70" s="63">
        <f>+D70*(1+$H$4)</f>
        <v>24.863883520539051</v>
      </c>
      <c r="G70" s="57">
        <f>+C70*F70</f>
        <v>0</v>
      </c>
      <c r="H70" s="10">
        <f>+IF(C70=0,0,(G70-E70)/E70)</f>
        <v>0</v>
      </c>
      <c r="I70" s="144">
        <v>32</v>
      </c>
      <c r="J70" s="57">
        <f>+C70*I70</f>
        <v>0</v>
      </c>
      <c r="K70" s="10">
        <f>+IF(C70=0,0,(J70-E70)/E70)</f>
        <v>0</v>
      </c>
      <c r="L70" s="63">
        <f>+D70*(1+$L$2)</f>
        <v>32</v>
      </c>
    </row>
    <row r="71" spans="1:12">
      <c r="C71" s="122"/>
      <c r="D71" s="63"/>
      <c r="E71" s="6">
        <f>SUM(E69:E70)</f>
        <v>774</v>
      </c>
      <c r="G71" s="6">
        <f>SUM(G69:G70)</f>
        <v>601.39518265303832</v>
      </c>
      <c r="J71" s="6">
        <f>SUM(J69:J70)</f>
        <v>774</v>
      </c>
      <c r="K71" s="125">
        <f>(+J71-E71)/E71</f>
        <v>0</v>
      </c>
    </row>
    <row r="72" spans="1:12">
      <c r="C72" s="122"/>
      <c r="D72" s="56"/>
    </row>
    <row r="73" spans="1:12">
      <c r="C73" s="122"/>
      <c r="D73" s="56"/>
    </row>
    <row r="74" spans="1:12">
      <c r="C74" s="122">
        <f>+'Service Counts'!AA76</f>
        <v>29520.029445727483</v>
      </c>
      <c r="D74" s="56"/>
      <c r="E74" s="63">
        <f>+E32+E49+E66+E71</f>
        <v>442537.83284064668</v>
      </c>
      <c r="G74" s="63">
        <f>+G32+G49+G66+G71</f>
        <v>343850.28528692562</v>
      </c>
      <c r="J74" s="63">
        <f>+J32+J49+J66+J71</f>
        <v>442537.83284064668</v>
      </c>
    </row>
    <row r="75" spans="1:12">
      <c r="C75" s="122"/>
      <c r="D75" s="56"/>
    </row>
    <row r="76" spans="1:12">
      <c r="A76" t="s">
        <v>389</v>
      </c>
      <c r="C76" s="122"/>
      <c r="D76" s="56"/>
      <c r="G76" s="63">
        <f>+G74-E74</f>
        <v>-98687.547553721059</v>
      </c>
      <c r="J76" s="63">
        <f>+J74-E74</f>
        <v>0</v>
      </c>
      <c r="K76" s="143">
        <f>ROUND((+J76/E74),4)</f>
        <v>0</v>
      </c>
    </row>
    <row r="77" spans="1:12">
      <c r="C77" s="122"/>
      <c r="D77" s="56"/>
    </row>
    <row r="78" spans="1:12">
      <c r="C78" s="122"/>
      <c r="D78" s="56"/>
      <c r="E78" s="6"/>
      <c r="K78" s="142">
        <f>+K76</f>
        <v>0</v>
      </c>
    </row>
    <row r="79" spans="1:12">
      <c r="C79" s="122"/>
      <c r="D79" s="56"/>
      <c r="E79" s="6"/>
    </row>
    <row r="80" spans="1:12">
      <c r="C80" s="122"/>
      <c r="D80" s="56"/>
      <c r="E80" s="82"/>
    </row>
    <row r="81" spans="3:5">
      <c r="C81" s="122"/>
      <c r="D81" s="56"/>
      <c r="E81" s="18"/>
    </row>
    <row r="82" spans="3:5">
      <c r="C82" s="122"/>
      <c r="D82" s="56"/>
      <c r="E82" s="56"/>
    </row>
    <row r="83" spans="3:5">
      <c r="C83" s="122"/>
      <c r="D83" s="56"/>
      <c r="E83" s="10"/>
    </row>
    <row r="84" spans="3:5">
      <c r="C84" s="122"/>
      <c r="D84" s="56"/>
      <c r="E84" s="10"/>
    </row>
    <row r="85" spans="3:5">
      <c r="C85" s="122"/>
      <c r="D85" s="56"/>
    </row>
    <row r="86" spans="3:5">
      <c r="D86" s="56"/>
    </row>
  </sheetData>
  <pageMargins left="0.25" right="0.25" top="0.5" bottom="0.25" header="0.5" footer="0.5"/>
  <pageSetup scale="77"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6"/>
  <sheetViews>
    <sheetView workbookViewId="0">
      <selection activeCell="E10" sqref="E10"/>
    </sheetView>
  </sheetViews>
  <sheetFormatPr defaultRowHeight="12.75"/>
  <cols>
    <col min="1" max="1" width="10.140625" bestFit="1" customWidth="1"/>
    <col min="5" max="5" width="11" customWidth="1"/>
    <col min="20" max="20" width="11.42578125" customWidth="1"/>
    <col min="29" max="29" width="11.85546875" customWidth="1"/>
    <col min="35" max="35" width="10.85546875" customWidth="1"/>
    <col min="36" max="36" width="10.28515625" customWidth="1"/>
    <col min="37" max="37" width="10" customWidth="1"/>
    <col min="38" max="38" width="10.140625" customWidth="1"/>
    <col min="39" max="39" width="10.7109375" customWidth="1"/>
  </cols>
  <sheetData>
    <row r="1" spans="1:35">
      <c r="A1" t="s">
        <v>0</v>
      </c>
    </row>
    <row r="3" spans="1:35">
      <c r="A3" t="s">
        <v>472</v>
      </c>
      <c r="D3" s="693" t="s">
        <v>1414</v>
      </c>
      <c r="E3" s="693" t="s">
        <v>702</v>
      </c>
    </row>
    <row r="5" spans="1:35">
      <c r="A5" s="728">
        <v>44196</v>
      </c>
    </row>
    <row r="7" spans="1:35">
      <c r="B7" s="16" t="s">
        <v>127</v>
      </c>
      <c r="AD7" s="2" t="s">
        <v>128</v>
      </c>
      <c r="AE7" s="2" t="s">
        <v>129</v>
      </c>
      <c r="AH7" s="16" t="s">
        <v>130</v>
      </c>
    </row>
    <row r="8" spans="1:35">
      <c r="E8" s="28"/>
      <c r="M8" s="16" t="s">
        <v>131</v>
      </c>
      <c r="T8" s="2" t="s">
        <v>132</v>
      </c>
      <c r="U8" s="2" t="s">
        <v>133</v>
      </c>
      <c r="V8" s="2" t="s">
        <v>134</v>
      </c>
      <c r="W8" s="2" t="s">
        <v>135</v>
      </c>
      <c r="X8" s="2" t="s">
        <v>136</v>
      </c>
      <c r="Z8" s="2" t="s">
        <v>137</v>
      </c>
      <c r="AA8" s="16" t="s">
        <v>138</v>
      </c>
      <c r="AB8" s="2" t="s">
        <v>139</v>
      </c>
      <c r="AC8" s="2" t="s">
        <v>140</v>
      </c>
      <c r="AD8" s="2" t="s">
        <v>141</v>
      </c>
      <c r="AH8" s="16" t="s">
        <v>142</v>
      </c>
    </row>
    <row r="9" spans="1:35">
      <c r="B9" s="16" t="s">
        <v>143</v>
      </c>
      <c r="C9" s="16" t="s">
        <v>144</v>
      </c>
      <c r="E9" s="28">
        <f>E11+E10</f>
        <v>1812800.14912223</v>
      </c>
      <c r="F9" s="16" t="s">
        <v>145</v>
      </c>
      <c r="K9" s="29"/>
      <c r="M9" s="16" t="s">
        <v>146</v>
      </c>
      <c r="P9" s="16" t="s">
        <v>147</v>
      </c>
      <c r="T9" s="30">
        <f>$E$12*1.25</f>
        <v>2045059.8281128602</v>
      </c>
      <c r="U9" s="31">
        <f>100*(+T9/$E$13)</f>
        <v>288.07168973188311</v>
      </c>
      <c r="V9" s="32">
        <f>EXP(5.7226-(0.68367*LN(+U9)))</f>
        <v>6.3651235887804107</v>
      </c>
      <c r="W9" s="32">
        <f>(+V9*U9)/100</f>
        <v>18.336119075722408</v>
      </c>
      <c r="X9" s="31">
        <f>100*((((W9/100)-((W9/100)-0.03574)*$E$25)-0.03574-0.00619)/0.344)</f>
        <v>32.10195950529274</v>
      </c>
      <c r="Y9">
        <v>0</v>
      </c>
      <c r="Z9" s="31">
        <f>X9+Y9</f>
        <v>32.10195950529274</v>
      </c>
      <c r="AA9" s="31">
        <f>100*($E$21*$E$23+($E$22*(Z9/100))/(1-$E$25))</f>
        <v>26.481235067310937</v>
      </c>
      <c r="AB9" s="32">
        <f>AA9/U9</f>
        <v>9.1925850443539972E-2</v>
      </c>
      <c r="AC9" s="30">
        <f>$E$12/(1-AB9)</f>
        <v>1801667.6978299622</v>
      </c>
      <c r="AD9" t="str">
        <f>IF(AC9=$T$9,"yes","not yet")</f>
        <v>not yet</v>
      </c>
      <c r="AE9" s="31">
        <f>100*(1-AB9)</f>
        <v>90.80741495564601</v>
      </c>
      <c r="AH9">
        <v>0</v>
      </c>
      <c r="AI9">
        <v>1</v>
      </c>
    </row>
    <row r="10" spans="1:35">
      <c r="B10" s="16" t="s">
        <v>143</v>
      </c>
      <c r="C10" s="16" t="s">
        <v>148</v>
      </c>
      <c r="E10" s="28">
        <f>(+E12-((H19/100)*E11))/H29</f>
        <v>65735.21109639635</v>
      </c>
      <c r="F10" s="33" t="s">
        <v>145</v>
      </c>
      <c r="K10" s="29"/>
      <c r="M10" s="16" t="s">
        <v>149</v>
      </c>
      <c r="P10" s="16" t="s">
        <v>150</v>
      </c>
      <c r="T10" s="30">
        <f>$E$12*1.25</f>
        <v>2045059.8281128602</v>
      </c>
      <c r="U10" s="31">
        <f>100*(+T10/$E$13)</f>
        <v>288.07168973188311</v>
      </c>
      <c r="V10" s="32">
        <f>EXP(5.70827-(0.68367*LN(+U10)))</f>
        <v>6.274561792746896</v>
      </c>
      <c r="W10" s="32">
        <f>(+V10*U10)/100</f>
        <v>18.07523617963712</v>
      </c>
      <c r="X10" s="31">
        <f>100*((((W10/100)-((W10/100)-0.03574)*$E$25)-0.03574-0.00619)/0.344)</f>
        <v>31.502838900910827</v>
      </c>
      <c r="Y10">
        <v>0</v>
      </c>
      <c r="Z10" s="31">
        <f>X10+Y10</f>
        <v>31.502838900910827</v>
      </c>
      <c r="AA10" s="31">
        <f>100*($E$21*$E$23+($E$22*(Z10/100))/(1-$E$25))</f>
        <v>26.026206760185438</v>
      </c>
      <c r="AB10" s="32">
        <f>AA10/U10</f>
        <v>9.0346284233653096E-2</v>
      </c>
      <c r="AC10" s="30">
        <f>$E$12/(1-AB10)</f>
        <v>1798539.1958872869</v>
      </c>
      <c r="AD10" t="str">
        <f>IF(AC10=$T$10,"yes","not yet")</f>
        <v>not yet</v>
      </c>
      <c r="AE10" s="31">
        <f>100*(1-AB10)</f>
        <v>90.965371576634695</v>
      </c>
      <c r="AH10">
        <v>50</v>
      </c>
      <c r="AI10">
        <v>2</v>
      </c>
    </row>
    <row r="11" spans="1:35">
      <c r="B11" s="34" t="s">
        <v>151</v>
      </c>
      <c r="C11" s="16" t="s">
        <v>152</v>
      </c>
      <c r="D11" s="34" t="s">
        <v>153</v>
      </c>
      <c r="E11" s="28">
        <f>+'Results of Operations Regulated'!D21</f>
        <v>1747064.9380258336</v>
      </c>
      <c r="F11" s="16" t="s">
        <v>154</v>
      </c>
      <c r="K11" s="29"/>
      <c r="M11" s="16" t="s">
        <v>155</v>
      </c>
      <c r="P11" s="16" t="s">
        <v>156</v>
      </c>
      <c r="T11" s="30">
        <f>$E$12*1.25</f>
        <v>2045059.8281128602</v>
      </c>
      <c r="U11" s="31">
        <f>100*(+T11/$E$13)</f>
        <v>288.07168973188311</v>
      </c>
      <c r="V11" s="32">
        <f>EXP(5.6985-(0.68367*LN(U11)))</f>
        <v>6.213557813719099</v>
      </c>
      <c r="W11" s="32">
        <f>(+V11*U11)/100</f>
        <v>17.899500986448064</v>
      </c>
      <c r="X11" s="31">
        <f>100*((((W11/100)-((W11/100)-0.03574)*$E$25)-0.03574-0.00619)/0.344)</f>
        <v>31.099260986319688</v>
      </c>
      <c r="Y11">
        <v>0</v>
      </c>
      <c r="Z11" s="31">
        <f>X11+Y11</f>
        <v>31.099260986319688</v>
      </c>
      <c r="AA11" s="31">
        <f>100*($E$21*$E$23+($E$22*(Z11/100))/(1-$E$25))</f>
        <v>25.719691888344066</v>
      </c>
      <c r="AB11" s="32">
        <f>AA11/U11</f>
        <v>8.9282261343633415E-2</v>
      </c>
      <c r="AC11" s="30">
        <f>$E$12/(1-AB11)</f>
        <v>1796437.9006211541</v>
      </c>
      <c r="AD11" t="str">
        <f>IF(AC11=$T$11,"yes","not yet")</f>
        <v>not yet</v>
      </c>
      <c r="AE11" s="31">
        <f>100*(1-AB11)</f>
        <v>91.071773865636658</v>
      </c>
      <c r="AH11">
        <v>125</v>
      </c>
      <c r="AI11">
        <v>3</v>
      </c>
    </row>
    <row r="12" spans="1:35">
      <c r="B12" s="34" t="s">
        <v>151</v>
      </c>
      <c r="C12" s="16" t="s">
        <v>157</v>
      </c>
      <c r="D12" s="34" t="s">
        <v>153</v>
      </c>
      <c r="E12" s="28">
        <f>+'Results of Operations Regulated'!D100</f>
        <v>1636047.8624902882</v>
      </c>
      <c r="F12" s="16" t="s">
        <v>154</v>
      </c>
      <c r="K12" s="29"/>
      <c r="M12" s="16" t="s">
        <v>158</v>
      </c>
      <c r="P12" s="16" t="s">
        <v>159</v>
      </c>
      <c r="T12" s="30">
        <f>$E$12*1.25</f>
        <v>2045059.8281128602</v>
      </c>
      <c r="U12" s="31">
        <f>100*(+T12/$E$13)</f>
        <v>288.07168973188311</v>
      </c>
      <c r="V12" s="32">
        <f>EXP(5.6922-(0.68367*LN(U12)))</f>
        <v>6.1745354490078928</v>
      </c>
      <c r="W12" s="32">
        <f>(+V12*U12)/100</f>
        <v>17.787088601051153</v>
      </c>
      <c r="X12" s="31">
        <f>100*((((W12/100)-((W12/100)-0.03574)*$E$25)-0.03574-0.00619)/0.344)</f>
        <v>30.841104636134919</v>
      </c>
      <c r="Y12">
        <v>0</v>
      </c>
      <c r="Z12" s="31">
        <f>X12+Y12</f>
        <v>30.841104636134919</v>
      </c>
      <c r="AA12" s="31">
        <f>100*($E$21*$E$23+($E$22*(Z12/100))/(1-$E$25))</f>
        <v>25.523623774279685</v>
      </c>
      <c r="AB12" s="32">
        <f>AA12/U12</f>
        <v>8.8601638703321661E-2</v>
      </c>
      <c r="AC12" s="30">
        <f>$E$12/(1-AB12)</f>
        <v>1795096.3398295185</v>
      </c>
      <c r="AD12" t="str">
        <f>IF(AC12=$T$12,"yes","not yet")</f>
        <v>not yet</v>
      </c>
      <c r="AE12" s="31">
        <f>100*(1-AB12)</f>
        <v>91.139836129667827</v>
      </c>
      <c r="AH12">
        <v>401</v>
      </c>
      <c r="AI12">
        <v>4</v>
      </c>
    </row>
    <row r="13" spans="1:35">
      <c r="B13" s="34" t="s">
        <v>151</v>
      </c>
      <c r="C13" s="16" t="s">
        <v>160</v>
      </c>
      <c r="E13" s="28">
        <f>+'Results of Operations Regulated'!D106</f>
        <v>709913.50452252291</v>
      </c>
      <c r="F13" s="16" t="s">
        <v>154</v>
      </c>
      <c r="K13" s="29"/>
      <c r="Z13" s="31"/>
    </row>
    <row r="14" spans="1:35">
      <c r="C14" s="16" t="s">
        <v>161</v>
      </c>
      <c r="E14" s="31">
        <f>U9</f>
        <v>288.07168973188311</v>
      </c>
      <c r="F14" s="16" t="s">
        <v>162</v>
      </c>
      <c r="H14" s="31"/>
      <c r="U14" s="2" t="s">
        <v>163</v>
      </c>
      <c r="V14" s="2" t="s">
        <v>134</v>
      </c>
      <c r="W14" s="2" t="s">
        <v>135</v>
      </c>
      <c r="X14" s="2" t="s">
        <v>136</v>
      </c>
      <c r="Z14" s="31"/>
      <c r="AH14" s="16" t="s">
        <v>164</v>
      </c>
    </row>
    <row r="15" spans="1:35">
      <c r="C15" s="16" t="s">
        <v>165</v>
      </c>
      <c r="E15" s="31">
        <f>HLOOKUP($AI$38,$AI$32:$AQ$36,$E$16+1)</f>
        <v>254.99603407370608</v>
      </c>
      <c r="F15" s="16" t="s">
        <v>162</v>
      </c>
      <c r="U15" s="31">
        <f>100*(+AC9/$E$13)</f>
        <v>253.7869312743581</v>
      </c>
      <c r="V15" s="35">
        <f>EXP(5.7226-(0.68367*LN(+U15)))</f>
        <v>6.941128859383177</v>
      </c>
      <c r="W15" s="32">
        <f>(+V15*U15)/100</f>
        <v>17.61567792802742</v>
      </c>
      <c r="X15" s="31">
        <f>100*((((W15/100)-((W15/100)-0.03574)*$E$25)-0.03574-0.00619)/0.344)</f>
        <v>30.447458032388553</v>
      </c>
      <c r="Y15">
        <v>0</v>
      </c>
      <c r="Z15" s="31">
        <f>X15+Y15</f>
        <v>30.447458032388553</v>
      </c>
      <c r="AA15" s="31">
        <f>100*($E$21*$E$23+($E$22*(Z15/100))/(1-$E$25))</f>
        <v>25.22465167016852</v>
      </c>
      <c r="AB15" s="32">
        <f>AA15/U15</f>
        <v>9.939302840972232E-2</v>
      </c>
      <c r="AC15" s="30">
        <f>$E$12/(1-AB15)</f>
        <v>1816605.8159658485</v>
      </c>
      <c r="AD15" t="str">
        <f>IF(OR(OR(AC15=AC9,AC15=(AC9+1)),AC15=(AC8193-1)),"yes","not yet")</f>
        <v>not yet</v>
      </c>
      <c r="AE15" s="31">
        <f>100*(1-AB15)</f>
        <v>90.060697159027768</v>
      </c>
    </row>
    <row r="16" spans="1:35">
      <c r="C16" s="16" t="s">
        <v>166</v>
      </c>
      <c r="E16">
        <f>VLOOKUP(E14,AH9:AI12,2)</f>
        <v>3</v>
      </c>
      <c r="F16" s="16" t="s">
        <v>162</v>
      </c>
      <c r="U16" s="31">
        <f>100*(+AC10/$E$13)</f>
        <v>253.34624351130736</v>
      </c>
      <c r="V16" s="35">
        <f>EXP(5.70827-(0.68367*LN(+U16)))</f>
        <v>6.8505066314674616</v>
      </c>
      <c r="W16" s="32">
        <f>(+V16*U16)/100</f>
        <v>17.355501212315815</v>
      </c>
      <c r="X16" s="31">
        <f>100*((((W16/100)-((W16/100)-0.03574)*$E$25)-0.03574-0.00619)/0.344)</f>
        <v>29.849959179446213</v>
      </c>
      <c r="Y16">
        <v>0</v>
      </c>
      <c r="Z16" s="31">
        <f>X16+Y16</f>
        <v>29.849959179446213</v>
      </c>
      <c r="AA16" s="31">
        <f>100*($E$21*$E$23+($E$22*(Z16/100))/(1-$E$25))</f>
        <v>24.770855072997122</v>
      </c>
      <c r="AB16" s="32">
        <f>AA16/U16</f>
        <v>9.7774708358332338E-2</v>
      </c>
      <c r="AC16" s="30">
        <f>$E$12/(1-AB16)</f>
        <v>1813347.3730417981</v>
      </c>
      <c r="AD16" t="str">
        <f>IF(OR(OR(AC16=AC10,AC16=(AC10+1)),AC16=(AC10-1)),"yes","not yet")</f>
        <v>not yet</v>
      </c>
      <c r="AE16" s="31">
        <f>100*(1-AB16)</f>
        <v>90.222529164166758</v>
      </c>
    </row>
    <row r="17" spans="2:42">
      <c r="U17" s="31">
        <f>100*(+AC11/$E$13)</f>
        <v>253.05025037231979</v>
      </c>
      <c r="V17" s="35">
        <f>EXP(5.6985-(0.68367*LN(U17)))</f>
        <v>6.7893270828075059</v>
      </c>
      <c r="W17" s="32">
        <f>(+V17*U17)/100</f>
        <v>17.180409181640108</v>
      </c>
      <c r="X17" s="31">
        <f>100*((((W17/100)-((W17/100)-0.03574)*$E$25)-0.03574-0.00619)/0.344)</f>
        <v>29.447858295045599</v>
      </c>
      <c r="Y17">
        <v>0</v>
      </c>
      <c r="Z17" s="31">
        <f>X17+Y17</f>
        <v>29.447858295045599</v>
      </c>
      <c r="AA17" s="31">
        <f>100*($E$21*$E$23+($E$22*(Z17/100))/(1-$E$25))</f>
        <v>24.465461996237163</v>
      </c>
      <c r="AB17" s="32">
        <f>AA17/U17</f>
        <v>9.6682227977409455E-2</v>
      </c>
      <c r="AC17" s="30">
        <f>$E$12/(1-AB17)</f>
        <v>1811154.2949355072</v>
      </c>
      <c r="AD17" t="str">
        <f>IF(OR(OR(AC17=AC11,AC17=(AC11+1)),AC17=(AC11-1)),"yes","not yet")</f>
        <v>not yet</v>
      </c>
      <c r="AE17" s="31">
        <f>100*(1-AB17)</f>
        <v>90.331777202259062</v>
      </c>
      <c r="AI17">
        <v>1</v>
      </c>
      <c r="AJ17">
        <v>2</v>
      </c>
      <c r="AK17">
        <v>3</v>
      </c>
      <c r="AL17">
        <v>4</v>
      </c>
      <c r="AM17">
        <v>5</v>
      </c>
      <c r="AN17">
        <v>7</v>
      </c>
      <c r="AO17">
        <v>8</v>
      </c>
      <c r="AP17">
        <v>9</v>
      </c>
    </row>
    <row r="18" spans="2:42">
      <c r="C18" s="16" t="s">
        <v>167</v>
      </c>
      <c r="U18" s="31">
        <f>100*(+AC12/$E$13)</f>
        <v>252.86127512630898</v>
      </c>
      <c r="V18" s="35">
        <f>EXP(5.6922-(0.68367*LN(U18)))</f>
        <v>6.7501355134840271</v>
      </c>
      <c r="W18" s="32">
        <f>(+V18*U18)/100</f>
        <v>17.068478732149536</v>
      </c>
      <c r="X18" s="31">
        <f>100*((((W18/100)-((W18/100)-0.03574)*$E$25)-0.03574-0.00619)/0.344)</f>
        <v>29.190808716273647</v>
      </c>
      <c r="Y18">
        <v>0</v>
      </c>
      <c r="Z18" s="31">
        <f>X18+Y18</f>
        <v>29.190808716273647</v>
      </c>
      <c r="AA18" s="31">
        <f>100*($E$21*$E$23+($E$22*(Z18/100))/(1-$E$25))</f>
        <v>24.270234468055932</v>
      </c>
      <c r="AB18" s="32">
        <f>AA18/U18</f>
        <v>9.5982409548209746E-2</v>
      </c>
      <c r="AC18" s="30">
        <f>$E$12/(1-AB18)</f>
        <v>1809752.2435074078</v>
      </c>
      <c r="AD18" t="str">
        <f>IF(OR(OR(AC18=AC12,AC18=(AC12+1)),AC18=(AC12-1)),"yes","not yet")</f>
        <v>not yet</v>
      </c>
      <c r="AE18" s="31">
        <f>100*(1-AB18)</f>
        <v>90.40175904517902</v>
      </c>
      <c r="AI18" t="str">
        <f>AD9</f>
        <v>not yet</v>
      </c>
      <c r="AJ18" t="str">
        <f>AD15</f>
        <v>not yet</v>
      </c>
      <c r="AK18" t="str">
        <f>AD21</f>
        <v>not yet</v>
      </c>
      <c r="AL18" t="str">
        <f>AD27</f>
        <v>not yet</v>
      </c>
      <c r="AM18" t="str">
        <f>AD33</f>
        <v>not yet</v>
      </c>
      <c r="AN18">
        <f>AC45</f>
        <v>1815655</v>
      </c>
      <c r="AO18">
        <f>AC51</f>
        <v>1815655</v>
      </c>
      <c r="AP18">
        <f>AC57</f>
        <v>1815655</v>
      </c>
    </row>
    <row r="19" spans="2:42">
      <c r="C19" s="16" t="s">
        <v>168</v>
      </c>
      <c r="E19" s="34" t="s">
        <v>143</v>
      </c>
      <c r="F19" s="16" t="s">
        <v>169</v>
      </c>
      <c r="H19" s="31">
        <f>HLOOKUP($AI$29,$AI$23:$AQ$27,$E$16+1)</f>
        <v>90.377042896486643</v>
      </c>
      <c r="I19" s="16" t="s">
        <v>145</v>
      </c>
      <c r="J19" s="36"/>
      <c r="Z19" s="31"/>
      <c r="AI19" t="str">
        <f>AD10</f>
        <v>not yet</v>
      </c>
      <c r="AJ19" t="str">
        <f>AD16</f>
        <v>not yet</v>
      </c>
      <c r="AK19" t="str">
        <f>AD22</f>
        <v>not yet</v>
      </c>
      <c r="AL19" t="str">
        <f>AD28</f>
        <v>not yet</v>
      </c>
      <c r="AM19" t="str">
        <f>AD34</f>
        <v>not yet</v>
      </c>
      <c r="AN19">
        <f>AC46</f>
        <v>1812423</v>
      </c>
      <c r="AO19">
        <f>AC52</f>
        <v>1812423</v>
      </c>
      <c r="AP19">
        <f>AC58</f>
        <v>1812423</v>
      </c>
    </row>
    <row r="20" spans="2:42">
      <c r="C20" s="37" t="s">
        <v>153</v>
      </c>
      <c r="D20" s="37" t="s">
        <v>153</v>
      </c>
      <c r="E20" s="38"/>
      <c r="H20" s="37" t="s">
        <v>170</v>
      </c>
      <c r="U20" s="16" t="s">
        <v>171</v>
      </c>
      <c r="V20" s="2" t="s">
        <v>134</v>
      </c>
      <c r="W20" s="2" t="s">
        <v>135</v>
      </c>
      <c r="X20" s="2" t="s">
        <v>136</v>
      </c>
      <c r="Z20" s="31"/>
      <c r="AI20" t="str">
        <f>AD11</f>
        <v>not yet</v>
      </c>
      <c r="AJ20" t="str">
        <f>AD17</f>
        <v>not yet</v>
      </c>
      <c r="AK20" t="str">
        <f>AD23</f>
        <v>not yet</v>
      </c>
      <c r="AL20" t="str">
        <f>AD29</f>
        <v>not yet</v>
      </c>
      <c r="AM20" t="str">
        <f>AD35</f>
        <v>not yet</v>
      </c>
      <c r="AN20">
        <f>AC47</f>
        <v>1810247</v>
      </c>
      <c r="AO20">
        <f>AC53</f>
        <v>1810247</v>
      </c>
      <c r="AP20">
        <f>AC59</f>
        <v>1810247</v>
      </c>
    </row>
    <row r="21" spans="2:42">
      <c r="B21" s="34" t="s">
        <v>151</v>
      </c>
      <c r="C21" s="16" t="s">
        <v>172</v>
      </c>
      <c r="E21" s="40">
        <v>0.4</v>
      </c>
      <c r="F21" s="16" t="s">
        <v>173</v>
      </c>
      <c r="U21" s="31">
        <f>100*(+AC15/$E$13)</f>
        <v>255.89114792057242</v>
      </c>
      <c r="V21" s="35">
        <f>EXP(5.7226-(0.68367*LN(+U21)))</f>
        <v>6.9020557166891043</v>
      </c>
      <c r="W21" s="32">
        <f>(+V21*U21)/100</f>
        <v>17.661749603553243</v>
      </c>
      <c r="X21" s="31">
        <f>100*((((W21/100)-((W21/100)-0.03574)*$E$25)-0.03574-0.00619)/0.344)</f>
        <v>30.553262170950763</v>
      </c>
      <c r="Y21">
        <v>0</v>
      </c>
      <c r="Z21" s="31">
        <f>X21+Y21</f>
        <v>30.553262170950763</v>
      </c>
      <c r="AA21" s="31">
        <f>100*($E$21*$E$23+($E$22*(Z21/100))/(1-$E$25))</f>
        <v>25.305009243760068</v>
      </c>
      <c r="AB21" s="32">
        <f>AA21/U21</f>
        <v>9.8889740615859992E-2</v>
      </c>
      <c r="AC21" s="30">
        <f>$E$12/(1-AB21)</f>
        <v>1815591.2059068533</v>
      </c>
      <c r="AD21" t="str">
        <f>IF(OR(OR(AC21=AC15,AC21=(AC15+1)),AC21=(AC7-1)),"yes","not yet")</f>
        <v>not yet</v>
      </c>
      <c r="AE21" s="31">
        <f>100*(1-AB21)</f>
        <v>90.111025938414002</v>
      </c>
      <c r="AI21" t="str">
        <f>AD12</f>
        <v>not yet</v>
      </c>
      <c r="AJ21" t="str">
        <f>AD18</f>
        <v>not yet</v>
      </c>
      <c r="AK21" t="str">
        <f>AD24</f>
        <v>not yet</v>
      </c>
      <c r="AL21" t="str">
        <f>AD30</f>
        <v>not yet</v>
      </c>
      <c r="AM21" t="str">
        <f>AD36</f>
        <v>not yet</v>
      </c>
      <c r="AN21">
        <f>AC48</f>
        <v>1808857</v>
      </c>
      <c r="AO21">
        <f>AC54</f>
        <v>1808857</v>
      </c>
      <c r="AP21">
        <f>AC60</f>
        <v>1808857</v>
      </c>
    </row>
    <row r="22" spans="2:42">
      <c r="B22" s="34" t="s">
        <v>151</v>
      </c>
      <c r="C22" s="16" t="s">
        <v>174</v>
      </c>
      <c r="E22" s="40">
        <v>0.6</v>
      </c>
      <c r="F22" s="16" t="s">
        <v>175</v>
      </c>
      <c r="H22" s="46">
        <v>1.7999999999999999E-2</v>
      </c>
      <c r="I22" s="16" t="s">
        <v>151</v>
      </c>
      <c r="U22" s="31">
        <f>100*(+AC16/$E$13)</f>
        <v>255.43215638099858</v>
      </c>
      <c r="V22" s="35">
        <f>EXP(5.70827-(0.68367*LN(+U22)))</f>
        <v>6.8122107207865525</v>
      </c>
      <c r="W22" s="32">
        <f>(+V22*U22)/100</f>
        <v>17.400576741322656</v>
      </c>
      <c r="X22" s="31">
        <f>100*((((W22/100)-((W22/100)-0.03574)*$E$25)-0.03574-0.00619)/0.344)</f>
        <v>29.953475655944477</v>
      </c>
      <c r="Y22">
        <v>0</v>
      </c>
      <c r="Z22" s="31">
        <f>X22+Y22</f>
        <v>29.953475655944477</v>
      </c>
      <c r="AA22" s="31">
        <f>100*($E$21*$E$23+($E$22*(Z22/100))/(1-$E$25))</f>
        <v>24.849475181729979</v>
      </c>
      <c r="AB22" s="32">
        <f>AA22/U22</f>
        <v>9.7284051991734719E-2</v>
      </c>
      <c r="AC22" s="30">
        <f>$E$12/(1-AB22)</f>
        <v>1812361.7579816021</v>
      </c>
      <c r="AD22" t="str">
        <f>IF(OR(OR(AC22=AC16,AC22=(AC16+1)),AC22=(AC16-1)),"yes","not yet")</f>
        <v>not yet</v>
      </c>
      <c r="AE22" s="31">
        <f>100*(1-AB22)</f>
        <v>90.27159480082652</v>
      </c>
    </row>
    <row r="23" spans="2:42">
      <c r="B23" s="34" t="s">
        <v>151</v>
      </c>
      <c r="C23" s="16" t="s">
        <v>176</v>
      </c>
      <c r="E23" s="41">
        <v>5.2499999999999998E-2</v>
      </c>
      <c r="F23" s="16" t="s">
        <v>177</v>
      </c>
      <c r="H23" s="77">
        <v>5.1000000000000004E-3</v>
      </c>
      <c r="I23" s="16" t="s">
        <v>151</v>
      </c>
      <c r="U23" s="31">
        <f>100*(+AC17/$E$13)</f>
        <v>255.12323450638709</v>
      </c>
      <c r="V23" s="35">
        <f>EXP(5.6985-(0.68367*LN(U23)))</f>
        <v>6.7515629952492473</v>
      </c>
      <c r="W23" s="32">
        <f>(+V23*U23)/100</f>
        <v>17.224805893216189</v>
      </c>
      <c r="X23" s="31">
        <f>100*((((W23/100)-((W23/100)-0.03574)*$E$25)-0.03574-0.00619)/0.344)</f>
        <v>29.549815859420896</v>
      </c>
      <c r="Y23">
        <v>0</v>
      </c>
      <c r="Z23" s="31">
        <f>X23+Y23</f>
        <v>29.549815859420896</v>
      </c>
      <c r="AA23" s="31">
        <f>100*($E$21*$E$23+($E$22*(Z23/100))/(1-$E$25))</f>
        <v>24.542898121079162</v>
      </c>
      <c r="AB23" s="32">
        <f>AA23/U23</f>
        <v>9.6200168395343552E-2</v>
      </c>
      <c r="AC23" s="30">
        <f>$E$12/(1-AB23)</f>
        <v>1810188.279837979</v>
      </c>
      <c r="AD23" t="str">
        <f>IF(OR(OR(AC23=AC17,AC23=(AC17+1)),AC23=(AC17-1)),"yes","not yet")</f>
        <v>not yet</v>
      </c>
      <c r="AE23" s="31">
        <f>100*(1-AB23)</f>
        <v>90.379983160465656</v>
      </c>
      <c r="AI23" t="str">
        <f>HLOOKUP(1,$AI$17:$AQ$21,$E$16+1)</f>
        <v>not yet</v>
      </c>
      <c r="AJ23" t="str">
        <f>HLOOKUP(2,$AI$17:$AQ$21,$E$16+1)</f>
        <v>not yet</v>
      </c>
      <c r="AK23" t="str">
        <f>HLOOKUP(3,$AI$17:$AQ$21,$E$16+1)</f>
        <v>not yet</v>
      </c>
      <c r="AL23" t="str">
        <f>HLOOKUP(4,$AI$17:$AQ$21,$E$16+1)</f>
        <v>not yet</v>
      </c>
      <c r="AM23" t="str">
        <f>HLOOKUP(5,$AI$17:$AQ$21,$E$16+1)</f>
        <v>not yet</v>
      </c>
      <c r="AN23">
        <f>HLOOKUP(7,$AI$17:$AQ$21,$E$16+1)</f>
        <v>1810247</v>
      </c>
      <c r="AO23">
        <f>HLOOKUP(8,$AI$17:$AQ$21,$E$16+1)</f>
        <v>1810247</v>
      </c>
      <c r="AP23">
        <f>HLOOKUP(9,$AI$17:$AQ$21,$E$16+1)</f>
        <v>1810247</v>
      </c>
    </row>
    <row r="24" spans="2:42">
      <c r="E24" s="39"/>
      <c r="F24" s="16" t="s">
        <v>178</v>
      </c>
      <c r="H24" s="46">
        <v>0</v>
      </c>
      <c r="I24" s="16" t="s">
        <v>151</v>
      </c>
      <c r="U24" s="31">
        <f>100*(+AC18/$E$13)</f>
        <v>254.92573841437482</v>
      </c>
      <c r="V24" s="35">
        <f>EXP(5.6922-(0.68367*LN(U24)))</f>
        <v>6.7127149438847464</v>
      </c>
      <c r="W24" s="32">
        <f>(+V24*U24)/100</f>
        <v>17.112438138350274</v>
      </c>
      <c r="X24" s="31">
        <f>100*((((W24/100)-((W24/100)-0.03574)*$E$25)-0.03574-0.00619)/0.344)</f>
        <v>29.291762003769534</v>
      </c>
      <c r="Y24">
        <v>0</v>
      </c>
      <c r="Z24" s="31">
        <f>X24+Y24</f>
        <v>29.291762003769534</v>
      </c>
      <c r="AA24" s="31">
        <f>100*($E$21*$E$23+($E$22*(Z24/100))/(1-$E$25))</f>
        <v>24.346907850964204</v>
      </c>
      <c r="AB24" s="32">
        <f>AA24/U24</f>
        <v>9.5505883409030171E-2</v>
      </c>
      <c r="AC24" s="30">
        <f>$E$12/(1-AB24)</f>
        <v>1808798.7887157719</v>
      </c>
      <c r="AD24" t="str">
        <f>IF(OR(OR(AC24=AC18,AC24=(AC18+1)),AC24=(AC18-1)),"yes","not yet")</f>
        <v>not yet</v>
      </c>
      <c r="AE24" s="31">
        <f>100*(1-AB24)</f>
        <v>90.449411659096981</v>
      </c>
      <c r="AH24">
        <v>1</v>
      </c>
      <c r="AI24" s="31">
        <f>AE9</f>
        <v>90.80741495564601</v>
      </c>
      <c r="AJ24" s="31">
        <f>AE15</f>
        <v>90.060697159027768</v>
      </c>
      <c r="AK24" s="31">
        <f>AE21</f>
        <v>90.111025938414002</v>
      </c>
      <c r="AL24" s="31">
        <f>AE27</f>
        <v>90.107628175385614</v>
      </c>
      <c r="AM24" s="31">
        <f>AE33</f>
        <v>90.107857537319575</v>
      </c>
      <c r="AN24" s="31" t="str">
        <f>AD45</f>
        <v>yes</v>
      </c>
      <c r="AO24" s="31" t="str">
        <f>AD51</f>
        <v>yes</v>
      </c>
      <c r="AP24" s="31" t="str">
        <f>AD57</f>
        <v>yes</v>
      </c>
    </row>
    <row r="25" spans="2:42">
      <c r="B25" s="34" t="s">
        <v>151</v>
      </c>
      <c r="C25" s="16" t="s">
        <v>179</v>
      </c>
      <c r="E25" s="40">
        <v>0.21</v>
      </c>
      <c r="F25" s="16" t="s">
        <v>180</v>
      </c>
      <c r="H25" s="46">
        <v>1.2E-2</v>
      </c>
      <c r="I25" s="16" t="s">
        <v>151</v>
      </c>
      <c r="Z25" s="31"/>
      <c r="AH25">
        <v>2</v>
      </c>
      <c r="AI25" s="31">
        <f>AE10</f>
        <v>90.965371576634695</v>
      </c>
      <c r="AJ25" s="31">
        <f>AE16</f>
        <v>90.222529164166758</v>
      </c>
      <c r="AK25" s="31">
        <f>AE22</f>
        <v>90.27159480082652</v>
      </c>
      <c r="AL25" s="31">
        <f>AE28</f>
        <v>90.268348604128775</v>
      </c>
      <c r="AM25" s="31">
        <f>AE34</f>
        <v>90.268563349974599</v>
      </c>
      <c r="AN25" s="31" t="str">
        <f>AD46</f>
        <v>yes</v>
      </c>
      <c r="AO25" s="31" t="str">
        <f>AD52</f>
        <v>yes</v>
      </c>
      <c r="AP25" s="31" t="str">
        <f>AD58</f>
        <v>yes</v>
      </c>
    </row>
    <row r="26" spans="2:42">
      <c r="H26" s="37" t="s">
        <v>153</v>
      </c>
      <c r="U26" s="16" t="s">
        <v>181</v>
      </c>
      <c r="V26" s="2" t="s">
        <v>134</v>
      </c>
      <c r="W26" s="2" t="s">
        <v>135</v>
      </c>
      <c r="X26" s="2" t="s">
        <v>136</v>
      </c>
      <c r="Z26" s="31"/>
      <c r="AH26">
        <v>3</v>
      </c>
      <c r="AI26" s="31">
        <f>AE11</f>
        <v>91.071773865636658</v>
      </c>
      <c r="AJ26" s="31">
        <f>AE17</f>
        <v>90.331777202259062</v>
      </c>
      <c r="AK26" s="31">
        <f>AE23</f>
        <v>90.379983160465656</v>
      </c>
      <c r="AL26" s="31">
        <f>AE29</f>
        <v>90.376837672264855</v>
      </c>
      <c r="AM26" s="31">
        <f>AE35</f>
        <v>90.377042896486643</v>
      </c>
      <c r="AN26" s="31" t="str">
        <f>AD47</f>
        <v>yes</v>
      </c>
      <c r="AO26" s="31" t="str">
        <f>AD53</f>
        <v>yes</v>
      </c>
      <c r="AP26" s="31" t="str">
        <f>AD59</f>
        <v>yes</v>
      </c>
    </row>
    <row r="27" spans="2:42">
      <c r="F27" s="16" t="s">
        <v>182</v>
      </c>
      <c r="H27" s="29">
        <f>SUM(H22:H25)</f>
        <v>3.5099999999999999E-2</v>
      </c>
      <c r="U27" s="31">
        <f>100*(+AC21/$E$13)</f>
        <v>255.74822768415885</v>
      </c>
      <c r="V27" s="35">
        <f>EXP(5.7226-(0.68367*LN(+U27)))</f>
        <v>6.904692459062618</v>
      </c>
      <c r="W27" s="32">
        <f>(+V27*U27)/100</f>
        <v>17.658628591094413</v>
      </c>
      <c r="X27" s="31">
        <f>100*((((W27/100)-((W27/100)-0.03574)*$E$25)-0.03574-0.00619)/0.344)</f>
        <v>30.546094729548219</v>
      </c>
      <c r="Y27">
        <v>0</v>
      </c>
      <c r="Z27" s="31">
        <f>X27+Y27</f>
        <v>30.546094729548219</v>
      </c>
      <c r="AA27" s="31">
        <f>100*($E$21*$E$23+($E$22*(Z27/100))/(1-$E$25))</f>
        <v>25.299565617378395</v>
      </c>
      <c r="AB27" s="32">
        <f>AA27/U27</f>
        <v>9.8923718246143919E-2</v>
      </c>
      <c r="AC27" s="30">
        <f>$E$12/(1-AB27)</f>
        <v>1815659.6679094499</v>
      </c>
      <c r="AD27" t="str">
        <f>IF(OR(OR(AC27=AC21,AC27=(AC21+1)),AC27=(AC13-1)),"yes","not yet")</f>
        <v>not yet</v>
      </c>
      <c r="AE27" s="31">
        <f>100*(1-AB27)</f>
        <v>90.107628175385614</v>
      </c>
      <c r="AH27">
        <v>4</v>
      </c>
      <c r="AI27" s="31">
        <f>AE12</f>
        <v>91.139836129667827</v>
      </c>
      <c r="AJ27" s="31">
        <f>AE18</f>
        <v>90.40175904517902</v>
      </c>
      <c r="AK27" s="31">
        <f>AE24</f>
        <v>90.449411659096981</v>
      </c>
      <c r="AL27" s="31">
        <f>AE30</f>
        <v>90.446329976696617</v>
      </c>
      <c r="AM27" s="31">
        <f>AE36</f>
        <v>90.446529247043614</v>
      </c>
      <c r="AN27" s="31" t="str">
        <f>AD48</f>
        <v>yes</v>
      </c>
      <c r="AO27" s="31" t="str">
        <f>AD54</f>
        <v>yes</v>
      </c>
      <c r="AP27" s="31" t="str">
        <f>AD60</f>
        <v>yes</v>
      </c>
    </row>
    <row r="28" spans="2:42">
      <c r="U28" s="31">
        <f>100*(+AC22/$E$13)</f>
        <v>255.29332044480114</v>
      </c>
      <c r="V28" s="35">
        <f>EXP(5.70827-(0.68367*LN(+U28)))</f>
        <v>6.8147432804723227</v>
      </c>
      <c r="W28" s="32">
        <f>(+V28*U28)/100</f>
        <v>17.397584400506759</v>
      </c>
      <c r="X28" s="31">
        <f>100*((((W28/100)-((W28/100)-0.03574)*$E$25)-0.03574-0.00619)/0.344)</f>
        <v>29.946603710466103</v>
      </c>
      <c r="Y28">
        <v>0</v>
      </c>
      <c r="Z28" s="31">
        <f>X28+Y28</f>
        <v>29.946603710466103</v>
      </c>
      <c r="AA28" s="31">
        <f>100*($E$21*$E$23+($E$22*(Z28/100))/(1-$E$25))</f>
        <v>24.844255982632479</v>
      </c>
      <c r="AB28" s="32">
        <f>AA28/U28</f>
        <v>9.7316513958712214E-2</v>
      </c>
      <c r="AC28" s="30">
        <f>$E$12/(1-AB28)</f>
        <v>1812426.9334594398</v>
      </c>
      <c r="AD28" t="str">
        <f>IF(OR(OR(AC28=AC22,AC28=(AC22+1)),AC28=(AC22-1)),"yes","not yet")</f>
        <v>not yet</v>
      </c>
      <c r="AE28" s="31">
        <f>100*(1-AB28)</f>
        <v>90.268348604128775</v>
      </c>
    </row>
    <row r="29" spans="2:42">
      <c r="F29" s="16" t="s">
        <v>183</v>
      </c>
      <c r="H29" s="32">
        <f>((+H19/100)-H27)</f>
        <v>0.86867042896486646</v>
      </c>
      <c r="U29" s="31">
        <f>100*(+AC23/$E$13)</f>
        <v>254.9871594646568</v>
      </c>
      <c r="V29" s="35">
        <f>EXP(5.6985-(0.68367*LN(U29)))</f>
        <v>6.7540260516840007</v>
      </c>
      <c r="W29" s="32">
        <f>(+V29*U29)/100</f>
        <v>17.221899178691945</v>
      </c>
      <c r="X29" s="31">
        <f>100*((((W29/100)-((W29/100)-0.03574)*$E$25)-0.03574-0.00619)/0.344)</f>
        <v>29.543140555716974</v>
      </c>
      <c r="Y29">
        <v>0</v>
      </c>
      <c r="Z29" s="31">
        <f>X29+Y29</f>
        <v>29.543140555716974</v>
      </c>
      <c r="AA29" s="31">
        <f>100*($E$21*$E$23+($E$22*(Z29/100))/(1-$E$25))</f>
        <v>24.537828270164788</v>
      </c>
      <c r="AB29" s="32">
        <f>AA29/U29</f>
        <v>9.6231623277351422E-2</v>
      </c>
      <c r="AC29" s="30">
        <f>$E$12/(1-AB29)</f>
        <v>1810251.2818860933</v>
      </c>
      <c r="AD29" t="str">
        <f>IF(OR(OR(AC29=AC23,AC29=(AC23+1)),AC29=(AC23-1)),"yes","not yet")</f>
        <v>not yet</v>
      </c>
      <c r="AE29" s="31">
        <f>100*(1-AB29)</f>
        <v>90.376837672264855</v>
      </c>
      <c r="AI29" s="16" t="s">
        <v>184</v>
      </c>
    </row>
    <row r="30" spans="2:42">
      <c r="U30" s="31">
        <f>100*(+AC24/$E$13)</f>
        <v>254.79143264535341</v>
      </c>
      <c r="V30" s="35">
        <f>EXP(5.6922-(0.68367*LN(U30)))</f>
        <v>6.7151338464458901</v>
      </c>
      <c r="W30" s="32">
        <f>(+V30*U30)/100</f>
        <v>17.109585731412508</v>
      </c>
      <c r="X30" s="31">
        <f>100*((((W30/100)-((W30/100)-0.03574)*$E$25)-0.03574-0.00619)/0.344)</f>
        <v>29.285211418069423</v>
      </c>
      <c r="Y30">
        <v>0</v>
      </c>
      <c r="Z30" s="31">
        <f>X30+Y30</f>
        <v>29.285211418069423</v>
      </c>
      <c r="AA30" s="31">
        <f>100*($E$21*$E$23+($E$22*(Z30/100))/(1-$E$25))</f>
        <v>24.341932722584371</v>
      </c>
      <c r="AB30" s="32">
        <f>AA30/U30</f>
        <v>9.5536700233033872E-2</v>
      </c>
      <c r="AC30" s="30">
        <f>$E$12/(1-AB30)</f>
        <v>1808860.418009016</v>
      </c>
      <c r="AD30" t="str">
        <f>IF(OR(OR(AC30=AC24,AC30=(AC24+1)),AC30=(AC24-1)),"yes","not yet")</f>
        <v>not yet</v>
      </c>
      <c r="AE30" s="31">
        <f>100*(1-AB30)</f>
        <v>90.446329976696617</v>
      </c>
      <c r="AI30" s="31">
        <f>HLOOKUP($AI$29,$AI$23:$AQ$27,$E$16+1)</f>
        <v>90.377042896486643</v>
      </c>
    </row>
    <row r="31" spans="2:42">
      <c r="E31" s="30"/>
      <c r="Z31" s="31"/>
    </row>
    <row r="32" spans="2:42">
      <c r="U32" s="16" t="s">
        <v>185</v>
      </c>
      <c r="V32" s="2" t="s">
        <v>134</v>
      </c>
      <c r="W32" s="2" t="s">
        <v>135</v>
      </c>
      <c r="X32" s="2" t="s">
        <v>136</v>
      </c>
      <c r="Z32" s="31"/>
      <c r="AI32" t="str">
        <f>HLOOKUP(1,$AI$17:$AQ$21,$E$16+1)</f>
        <v>not yet</v>
      </c>
      <c r="AJ32" t="str">
        <f>HLOOKUP(2,$AI$17:$AQ$21,$E$16+1)</f>
        <v>not yet</v>
      </c>
      <c r="AK32" t="str">
        <f>HLOOKUP(3,$AI$17:$AQ$21,$E$16+1)</f>
        <v>not yet</v>
      </c>
      <c r="AL32" t="str">
        <f>HLOOKUP(4,$AI$17:$AQ$21,$E$16+1)</f>
        <v>not yet</v>
      </c>
      <c r="AM32" t="str">
        <f>HLOOKUP(5,$AI$17:$AQ$21,$E$16+1)</f>
        <v>not yet</v>
      </c>
      <c r="AN32">
        <f>HLOOKUP(7,$AI$17:$AQ$21,$E$16+1)</f>
        <v>1810247</v>
      </c>
      <c r="AO32">
        <f>HLOOKUP(8,$AI$17:$AQ$21,$E$16+1)</f>
        <v>1810247</v>
      </c>
      <c r="AP32">
        <f>HLOOKUP(9,$AI$17:$AQ$21,$E$16+1)</f>
        <v>1810247</v>
      </c>
    </row>
    <row r="33" spans="5:42">
      <c r="E33" s="30"/>
      <c r="U33" s="31">
        <f>100*(+AC27/$E$13)</f>
        <v>255.75787139457717</v>
      </c>
      <c r="V33" s="35">
        <f>EXP(5.7226-(0.68367*LN(+U33)))</f>
        <v>6.9045144637339249</v>
      </c>
      <c r="W33" s="32">
        <f>(+V33*U33)/100</f>
        <v>17.658839222576592</v>
      </c>
      <c r="X33" s="31">
        <f>100*((((W33/100)-((W33/100)-0.03574)*$E$25)-0.03574-0.00619)/0.344)</f>
        <v>30.54657844719625</v>
      </c>
      <c r="Y33">
        <v>0</v>
      </c>
      <c r="Z33" s="31">
        <f>X33+Y33</f>
        <v>30.54657844719625</v>
      </c>
      <c r="AA33" s="31">
        <f>100*($E$21*$E$23+($E$22*(Z33/100))/(1-$E$25))</f>
        <v>25.299932997870567</v>
      </c>
      <c r="AB33" s="32">
        <f>AA33/U33</f>
        <v>9.8921424626804283E-2</v>
      </c>
      <c r="AC33" s="30">
        <f>$E$12/(1-AB33)</f>
        <v>1815655.0463012548</v>
      </c>
      <c r="AD33" t="str">
        <f>IF(OR(OR(AC33=AC27,AC33=(AC27+1)),AC33=(AC19-1)),"yes","not yet")</f>
        <v>not yet</v>
      </c>
      <c r="AE33" s="31">
        <f>100*(1-AB33)</f>
        <v>90.107857537319575</v>
      </c>
      <c r="AH33">
        <v>1</v>
      </c>
      <c r="AI33" s="31">
        <f>U9</f>
        <v>288.07168973188311</v>
      </c>
      <c r="AJ33" s="31">
        <f>U15</f>
        <v>253.7869312743581</v>
      </c>
      <c r="AK33" s="31">
        <f>U21</f>
        <v>255.89114792057242</v>
      </c>
      <c r="AL33" s="31">
        <f>U27</f>
        <v>255.74822768415885</v>
      </c>
      <c r="AM33" s="31">
        <f>U33</f>
        <v>255.75787139457717</v>
      </c>
      <c r="AN33" s="31">
        <f>T45</f>
        <v>0</v>
      </c>
      <c r="AO33" s="31">
        <f>T51</f>
        <v>0</v>
      </c>
      <c r="AP33" s="31">
        <f>T57</f>
        <v>0</v>
      </c>
    </row>
    <row r="34" spans="5:42">
      <c r="E34" s="30"/>
      <c r="U34" s="31">
        <f>100*(+AC28/$E$13)</f>
        <v>255.30250120800994</v>
      </c>
      <c r="V34" s="35">
        <f>EXP(5.70827-(0.68367*LN(+U34)))</f>
        <v>6.8145757390454085</v>
      </c>
      <c r="W34" s="32">
        <f>(+V34*U34)/100</f>
        <v>17.397782308497156</v>
      </c>
      <c r="X34" s="31">
        <f>100*((((W34/100)-((W34/100)-0.03574)*$E$25)-0.03574-0.00619)/0.344)</f>
        <v>29.947058208467315</v>
      </c>
      <c r="Y34">
        <v>0</v>
      </c>
      <c r="Z34" s="31">
        <f>X34+Y34</f>
        <v>29.947058208467315</v>
      </c>
      <c r="AA34" s="31">
        <f>100*($E$21*$E$23+($E$22*(Z34/100))/(1-$E$25))</f>
        <v>24.844601170987829</v>
      </c>
      <c r="AB34" s="32">
        <f>AA34/U34</f>
        <v>9.7314366500254046E-2</v>
      </c>
      <c r="AC34" s="30">
        <f>$E$12/(1-AB34)</f>
        <v>1812422.6217573327</v>
      </c>
      <c r="AD34" t="str">
        <f>IF(OR(OR(AC34=AC28,AC34=(AC28+1)),AC34=(AC28-1)),"yes","not yet")</f>
        <v>not yet</v>
      </c>
      <c r="AE34" s="31">
        <f>100*(1-AB34)</f>
        <v>90.268563349974599</v>
      </c>
      <c r="AH34">
        <v>2</v>
      </c>
      <c r="AI34" s="31">
        <f>U10</f>
        <v>288.07168973188311</v>
      </c>
      <c r="AJ34" s="31">
        <f>U16</f>
        <v>253.34624351130736</v>
      </c>
      <c r="AK34" s="31">
        <f>U22</f>
        <v>255.43215638099858</v>
      </c>
      <c r="AL34" s="31">
        <f>U28</f>
        <v>255.29332044480114</v>
      </c>
      <c r="AM34" s="31">
        <f>U34</f>
        <v>255.30250120800994</v>
      </c>
      <c r="AN34" s="31">
        <f>T46</f>
        <v>0</v>
      </c>
      <c r="AO34" s="31">
        <f>T52</f>
        <v>0</v>
      </c>
      <c r="AP34" s="31">
        <f>T58</f>
        <v>0</v>
      </c>
    </row>
    <row r="35" spans="5:42">
      <c r="E35" s="30"/>
      <c r="U35" s="31">
        <f>100*(+AC29/$E$13)</f>
        <v>254.99603407370608</v>
      </c>
      <c r="V35" s="35">
        <f>EXP(5.6985-(0.68367*LN(U35)))</f>
        <v>6.7538653474017076</v>
      </c>
      <c r="W35" s="32">
        <f>(+V35*U35)/100</f>
        <v>17.222088782552689</v>
      </c>
      <c r="X35" s="31">
        <f>100*((((W35/100)-((W35/100)-0.03574)*$E$25)-0.03574-0.00619)/0.344)</f>
        <v>29.543575983187864</v>
      </c>
      <c r="Y35">
        <v>0</v>
      </c>
      <c r="Z35" s="31">
        <f>X35+Y35</f>
        <v>29.543575983187864</v>
      </c>
      <c r="AA35" s="31">
        <f>100*($E$21*$E$23+($E$22*(Z35/100))/(1-$E$25))</f>
        <v>24.538158974573058</v>
      </c>
      <c r="AB35" s="32">
        <f>AA35/U35</f>
        <v>9.6229571035133646E-2</v>
      </c>
      <c r="AC35" s="30">
        <f>$E$12/(1-AB35)</f>
        <v>1810247.1712469459</v>
      </c>
      <c r="AD35" t="str">
        <f>IF(OR(OR(AC35=AC29,AC35=(AC29+1)),AC35=(AC29-1)),"yes","not yet")</f>
        <v>not yet</v>
      </c>
      <c r="AE35" s="31">
        <f>100*(1-AB35)</f>
        <v>90.377042896486643</v>
      </c>
      <c r="AH35">
        <v>3</v>
      </c>
      <c r="AI35" s="31">
        <f>U11</f>
        <v>288.07168973188311</v>
      </c>
      <c r="AJ35" s="31">
        <f>U17</f>
        <v>253.05025037231979</v>
      </c>
      <c r="AK35" s="31">
        <f>U23</f>
        <v>255.12323450638709</v>
      </c>
      <c r="AL35" s="31">
        <f>U29</f>
        <v>254.9871594646568</v>
      </c>
      <c r="AM35" s="31">
        <f>U35</f>
        <v>254.99603407370608</v>
      </c>
      <c r="AN35" s="31">
        <f>T47</f>
        <v>0</v>
      </c>
      <c r="AO35" s="31">
        <f>T53</f>
        <v>0</v>
      </c>
      <c r="AP35" s="31">
        <f>T59</f>
        <v>0</v>
      </c>
    </row>
    <row r="36" spans="5:42">
      <c r="E36" s="30"/>
      <c r="U36" s="31">
        <f>100*(+AC30/$E$13)</f>
        <v>254.80011388508913</v>
      </c>
      <c r="V36" s="35">
        <f>EXP(5.6922-(0.68367*LN(U36)))</f>
        <v>6.7149774288276021</v>
      </c>
      <c r="W36" s="32">
        <f>(+V36*U36)/100</f>
        <v>17.109770136010763</v>
      </c>
      <c r="X36" s="31">
        <f>100*((((W36/100)-((W36/100)-0.03574)*$E$25)-0.03574-0.00619)/0.344)</f>
        <v>29.285634905373559</v>
      </c>
      <c r="Y36">
        <v>0</v>
      </c>
      <c r="Z36" s="31">
        <f>X36+Y36</f>
        <v>29.285634905373559</v>
      </c>
      <c r="AA36" s="31">
        <f>100*($E$21*$E$23+($E$22*(Z36/100))/(1-$E$25))</f>
        <v>24.34225435851156</v>
      </c>
      <c r="AB36" s="32">
        <f>AA36/U36</f>
        <v>9.5534707529563889E-2</v>
      </c>
      <c r="AC36" s="30">
        <f>$E$12/(1-AB36)</f>
        <v>1808856.4327566666</v>
      </c>
      <c r="AD36" t="str">
        <f>IF(OR(OR(AC36=AC30,AC36=(AC30+1)),AC36=(AC30-1)),"yes","not yet")</f>
        <v>not yet</v>
      </c>
      <c r="AE36" s="31">
        <f>100*(1-AB36)</f>
        <v>90.446529247043614</v>
      </c>
      <c r="AH36">
        <v>4</v>
      </c>
      <c r="AI36" s="31">
        <f>U12</f>
        <v>288.07168973188311</v>
      </c>
      <c r="AJ36" s="31">
        <f>U18</f>
        <v>252.86127512630898</v>
      </c>
      <c r="AK36" s="31">
        <f>U24</f>
        <v>254.92573841437482</v>
      </c>
      <c r="AL36" s="31">
        <f>U30</f>
        <v>254.79143264535341</v>
      </c>
      <c r="AM36" s="31">
        <f>U36</f>
        <v>254.80011388508913</v>
      </c>
      <c r="AN36" s="31">
        <f>T48</f>
        <v>0</v>
      </c>
      <c r="AO36" s="31">
        <f>T54</f>
        <v>0</v>
      </c>
      <c r="AP36" s="31">
        <f>T60</f>
        <v>0</v>
      </c>
    </row>
    <row r="37" spans="5:42">
      <c r="E37" s="30"/>
      <c r="Z37" s="31"/>
    </row>
    <row r="38" spans="5:42">
      <c r="U38" s="16" t="s">
        <v>186</v>
      </c>
      <c r="V38" s="2" t="s">
        <v>134</v>
      </c>
      <c r="W38" s="2" t="s">
        <v>135</v>
      </c>
      <c r="X38" s="2" t="s">
        <v>136</v>
      </c>
      <c r="Z38" s="31"/>
      <c r="AI38" s="16" t="s">
        <v>184</v>
      </c>
    </row>
    <row r="39" spans="5:42">
      <c r="U39" s="31">
        <f>100*(+AC33/$E$13)</f>
        <v>255.75722038453642</v>
      </c>
      <c r="V39" s="35">
        <f>EXP(5.7226-(0.68367*LN(+U39)))</f>
        <v>6.904526479162759</v>
      </c>
      <c r="W39" s="32">
        <f>(+V39*U39)/100</f>
        <v>17.658825003820972</v>
      </c>
      <c r="X39" s="31">
        <f>100*((((W39/100)-((W39/100)-0.03574)*$E$25)-0.03574-0.00619)/0.344)</f>
        <v>30.54654579365863</v>
      </c>
      <c r="Y39">
        <v>0</v>
      </c>
      <c r="Z39" s="31">
        <f>X39+Y39</f>
        <v>30.54654579365863</v>
      </c>
      <c r="AA39" s="31">
        <f>100*($E$21*$E$23+($E$22*(Z39/100))/(1-$E$25))</f>
        <v>25.299908197715414</v>
      </c>
      <c r="AB39" s="32">
        <f>AA39/U39</f>
        <v>9.8921579456003092E-2</v>
      </c>
      <c r="AC39" s="30">
        <f>ROUND($E$12/(1-AB39),0)</f>
        <v>1815655</v>
      </c>
      <c r="AD39" t="str">
        <f>IF(OR(OR(AC39=AC33,AC39=(AC33+1)),AC39=(AC25-1)),"yes","not yet")</f>
        <v>not yet</v>
      </c>
      <c r="AE39" s="31">
        <f>100*(1-AB39)</f>
        <v>90.107842054399683</v>
      </c>
      <c r="AI39" s="31">
        <f>HLOOKUP($AI$38,$AI$32:$AQ$36,$E$16+1)</f>
        <v>254.99603407370608</v>
      </c>
    </row>
    <row r="40" spans="5:42">
      <c r="U40" s="31">
        <f>100*(+AC34/$E$13)</f>
        <v>255.30189385203212</v>
      </c>
      <c r="V40" s="35">
        <f>EXP(5.70827-(0.68367*LN(+U40)))</f>
        <v>6.8145868224823936</v>
      </c>
      <c r="W40" s="32">
        <f>(+V40*U40)/100</f>
        <v>17.397769215988568</v>
      </c>
      <c r="X40" s="31">
        <f>100*((((W40/100)-((W40/100)-0.03574)*$E$25)-0.03574-0.00619)/0.344)</f>
        <v>29.947028141369099</v>
      </c>
      <c r="Y40">
        <v>0</v>
      </c>
      <c r="Z40" s="31">
        <f>X40+Y40</f>
        <v>29.947028141369099</v>
      </c>
      <c r="AA40" s="31">
        <f>100*($E$21*$E$23+($E$22*(Z40/100))/(1-$E$25))</f>
        <v>24.844578335217037</v>
      </c>
      <c r="AB40" s="32">
        <f>AA40/U40</f>
        <v>9.7314508562229701E-2</v>
      </c>
      <c r="AC40" s="30">
        <f>ROUND($E$12/(1-AB40),0)</f>
        <v>1812423</v>
      </c>
      <c r="AD40" t="str">
        <f>IF(OR(OR(AC40=AC34,AC40=(AC34+1)),AC40=(AC34-1)),"yes","not yet")</f>
        <v>not yet</v>
      </c>
      <c r="AE40" s="31">
        <f>100*(1-AB40)</f>
        <v>90.268549143777037</v>
      </c>
    </row>
    <row r="41" spans="5:42">
      <c r="U41" s="31">
        <f>100*(+AC35/$E$13)</f>
        <v>254.99545503990527</v>
      </c>
      <c r="V41" s="35">
        <f>EXP(5.6985-(0.68367*LN(U41)))</f>
        <v>6.7538758324453196</v>
      </c>
      <c r="W41" s="32">
        <f>(+V41*U41)/100</f>
        <v>17.222076411774133</v>
      </c>
      <c r="X41" s="31">
        <f>100*((((W41/100)-((W41/100)-0.03574)*$E$25)-0.03574-0.00619)/0.344)</f>
        <v>29.543547573551059</v>
      </c>
      <c r="Y41">
        <v>0</v>
      </c>
      <c r="Z41" s="31">
        <f>X41+Y41</f>
        <v>29.543547573551059</v>
      </c>
      <c r="AA41" s="31">
        <f>100*($E$21*$E$23+($E$22*(Z41/100))/(1-$E$25))</f>
        <v>24.538137397633715</v>
      </c>
      <c r="AB41" s="32">
        <f>AA41/U41</f>
        <v>9.6229704932559071E-2</v>
      </c>
      <c r="AC41" s="30">
        <f>ROUND($E$12/(1-AB41),0)</f>
        <v>1810247</v>
      </c>
      <c r="AD41" t="str">
        <f>IF(OR(OR(AC41=AC35,AC41=(AC35+1)),AC41=(AC35-1)),"yes","not yet")</f>
        <v>not yet</v>
      </c>
      <c r="AE41" s="31">
        <f>100*(1-AB41)</f>
        <v>90.377029506744094</v>
      </c>
      <c r="AI41" t="str">
        <f>HLOOKUP(1,$AI$17:$AQ$21,$E$16+1)</f>
        <v>not yet</v>
      </c>
      <c r="AJ41" t="str">
        <f>HLOOKUP(2,$AI$17:$AQ$21,$E$16+1)</f>
        <v>not yet</v>
      </c>
      <c r="AK41" t="str">
        <f>HLOOKUP(3,$AI$17:$AQ$21,$E$16+1)</f>
        <v>not yet</v>
      </c>
      <c r="AL41" t="str">
        <f>HLOOKUP(4,$AI$17:$AQ$21,$E$16+1)</f>
        <v>not yet</v>
      </c>
      <c r="AM41" t="str">
        <f>HLOOKUP(5,$AI$17:$AQ$21,$E$16+1)</f>
        <v>not yet</v>
      </c>
      <c r="AN41">
        <f>HLOOKUP(7,$AI$17:$AQ$21,$E$16+1)</f>
        <v>1810247</v>
      </c>
      <c r="AO41">
        <f>HLOOKUP(8,$AI$17:$AQ$21,$E$16+1)</f>
        <v>1810247</v>
      </c>
      <c r="AP41">
        <f>HLOOKUP(9,$AI$17:$AQ$21,$E$16+1)</f>
        <v>1810247</v>
      </c>
    </row>
    <row r="42" spans="5:42">
      <c r="U42" s="31">
        <f>100*(+AC36/$E$13)</f>
        <v>254.79955251355247</v>
      </c>
      <c r="V42" s="35">
        <f>EXP(5.6922-(0.68367*LN(U42)))</f>
        <v>6.7149875432865658</v>
      </c>
      <c r="W42" s="32">
        <f>(+V42*U42)/100</f>
        <v>17.109758211634961</v>
      </c>
      <c r="X42" s="31">
        <f>100*((((W42/100)-((W42/100)-0.03574)*$E$25)-0.03574-0.00619)/0.344)</f>
        <v>29.28560752090587</v>
      </c>
      <c r="Y42">
        <v>0</v>
      </c>
      <c r="Z42" s="31">
        <f>X42+Y42</f>
        <v>29.28560752090587</v>
      </c>
      <c r="AA42" s="31">
        <f>100*($E$21*$E$23+($E$22*(Z42/100))/(1-$E$25))</f>
        <v>24.342233560181672</v>
      </c>
      <c r="AB42" s="32">
        <f>AA42/U42</f>
        <v>9.5534836384325833E-2</v>
      </c>
      <c r="AC42" s="30">
        <f>ROUND($E$12/(1-AB42),0)</f>
        <v>1808857</v>
      </c>
      <c r="AD42" t="str">
        <f>IF(OR(OR(AC42=AC36,AC42=(AC36+1)),AC42=(AC36-1)),"yes","not yet")</f>
        <v>not yet</v>
      </c>
      <c r="AE42" s="31">
        <f>100*(1-AB42)</f>
        <v>90.446516361567419</v>
      </c>
      <c r="AH42">
        <v>1</v>
      </c>
      <c r="AI42" s="30">
        <f>AC9</f>
        <v>1801667.6978299622</v>
      </c>
      <c r="AJ42" s="30">
        <f>AC15</f>
        <v>1816605.8159658485</v>
      </c>
      <c r="AK42" s="30">
        <f>AC21</f>
        <v>1815591.2059068533</v>
      </c>
      <c r="AL42" s="30">
        <f>AC27</f>
        <v>1815659.6679094499</v>
      </c>
      <c r="AM42" s="30">
        <f>AC33</f>
        <v>1815655.0463012548</v>
      </c>
      <c r="AN42" s="30">
        <f>AB45</f>
        <v>9.8921581007151635E-2</v>
      </c>
      <c r="AO42" s="30">
        <f>AB51</f>
        <v>9.8921581007151635E-2</v>
      </c>
      <c r="AP42" s="30">
        <f>AB57</f>
        <v>9.8921581007151635E-2</v>
      </c>
    </row>
    <row r="43" spans="5:42">
      <c r="Z43" s="31"/>
      <c r="AH43">
        <v>2</v>
      </c>
      <c r="AI43" s="30">
        <f>AC10</f>
        <v>1798539.1958872869</v>
      </c>
      <c r="AJ43" s="30">
        <f>AC16</f>
        <v>1813347.3730417981</v>
      </c>
      <c r="AK43" s="30">
        <f>AC22</f>
        <v>1812361.7579816021</v>
      </c>
      <c r="AL43" s="30">
        <f>AC28</f>
        <v>1812426.9334594398</v>
      </c>
      <c r="AM43" s="30">
        <f>AC34</f>
        <v>1812422.6217573327</v>
      </c>
      <c r="AN43" s="30">
        <f>AB46</f>
        <v>9.7314496099867753E-2</v>
      </c>
      <c r="AO43" s="30">
        <f>AB52</f>
        <v>9.7314496099867753E-2</v>
      </c>
      <c r="AP43" s="30">
        <f>AB58</f>
        <v>9.7314496099867753E-2</v>
      </c>
    </row>
    <row r="44" spans="5:42">
      <c r="U44" s="16" t="s">
        <v>187</v>
      </c>
      <c r="V44" s="2" t="s">
        <v>134</v>
      </c>
      <c r="W44" s="2" t="s">
        <v>135</v>
      </c>
      <c r="X44" s="2" t="s">
        <v>136</v>
      </c>
      <c r="Z44" s="31"/>
      <c r="AH44">
        <v>3</v>
      </c>
      <c r="AI44" s="30">
        <f>AC11</f>
        <v>1796437.9006211541</v>
      </c>
      <c r="AJ44" s="30">
        <f>AC17</f>
        <v>1811154.2949355072</v>
      </c>
      <c r="AK44" s="30">
        <f>AC23</f>
        <v>1810188.279837979</v>
      </c>
      <c r="AL44" s="30">
        <f>AC29</f>
        <v>1810251.2818860933</v>
      </c>
      <c r="AM44" s="30">
        <f>AC35</f>
        <v>1810247.1712469459</v>
      </c>
      <c r="AN44" s="30">
        <f>AB47</f>
        <v>9.6229710510661912E-2</v>
      </c>
      <c r="AO44" s="30">
        <f>AB53</f>
        <v>9.6229710510661912E-2</v>
      </c>
      <c r="AP44" s="30">
        <f>AB59</f>
        <v>9.6229710510661912E-2</v>
      </c>
    </row>
    <row r="45" spans="5:42">
      <c r="U45" s="31">
        <f>100*(+AC39/$E$13)</f>
        <v>255.75721386243833</v>
      </c>
      <c r="V45" s="35">
        <f>EXP(5.7226-(0.68367*LN(+U45)))</f>
        <v>6.9045265995387455</v>
      </c>
      <c r="W45" s="32">
        <f>(+V45*U45)/100</f>
        <v>17.658824861371251</v>
      </c>
      <c r="X45" s="31">
        <f>100*((((W45/100)-((W45/100)-0.03574)*$E$25)-0.03574-0.00619)/0.344)</f>
        <v>30.546545466521192</v>
      </c>
      <c r="Y45">
        <v>0</v>
      </c>
      <c r="Z45" s="31">
        <f>X45+Y45</f>
        <v>30.546545466521192</v>
      </c>
      <c r="AA45" s="31">
        <f>100*($E$21*$E$23+($E$22*(Z45/100))/(1-$E$25))</f>
        <v>25.2999079492566</v>
      </c>
      <c r="AB45" s="32">
        <f>AA45/U45</f>
        <v>9.8921581007151635E-2</v>
      </c>
      <c r="AC45" s="30">
        <f>ROUND($E$12/(1-AB45),0)</f>
        <v>1815655</v>
      </c>
      <c r="AD45" t="str">
        <f>IF(OR(OR(AC45=AC39,AC45=(AC39+1)),AC45=(AC31-1)),"yes","not yet")</f>
        <v>yes</v>
      </c>
      <c r="AE45" s="31">
        <f>100*(1-AB45)</f>
        <v>90.107841899284836</v>
      </c>
      <c r="AH45">
        <v>4</v>
      </c>
      <c r="AI45" s="30">
        <f>AC12</f>
        <v>1795096.3398295185</v>
      </c>
      <c r="AJ45" s="30">
        <f>AC18</f>
        <v>1809752.2435074078</v>
      </c>
      <c r="AK45" s="30">
        <f>AC24</f>
        <v>1808798.7887157719</v>
      </c>
      <c r="AL45" s="30">
        <f>AC30</f>
        <v>1808860.418009016</v>
      </c>
      <c r="AM45" s="30">
        <f>AC36</f>
        <v>1808856.4327566666</v>
      </c>
      <c r="AN45" s="30">
        <f>AB48</f>
        <v>9.5534818043677208E-2</v>
      </c>
      <c r="AO45" s="30">
        <f>AB54</f>
        <v>9.5534818043677208E-2</v>
      </c>
      <c r="AP45" s="30">
        <f>AB60</f>
        <v>9.5534818043677208E-2</v>
      </c>
    </row>
    <row r="46" spans="5:42">
      <c r="U46" s="31">
        <f>100*(+AC40/$E$13)</f>
        <v>255.30194713213805</v>
      </c>
      <c r="V46" s="35">
        <f>EXP(5.70827-(0.68367*LN(+U46)))</f>
        <v>6.8145858501897054</v>
      </c>
      <c r="W46" s="32">
        <f>(+V46*U46)/100</f>
        <v>17.397770364525481</v>
      </c>
      <c r="X46" s="31">
        <f>100*((((W46/100)-((W46/100)-0.03574)*$E$25)-0.03574-0.00619)/0.344)</f>
        <v>29.947030778997473</v>
      </c>
      <c r="Y46">
        <v>0</v>
      </c>
      <c r="Z46" s="31">
        <f>X46+Y46</f>
        <v>29.947030778997473</v>
      </c>
      <c r="AA46" s="31">
        <f>100*($E$21*$E$23+($E$22*(Z46/100))/(1-$E$25))</f>
        <v>24.844580338479091</v>
      </c>
      <c r="AB46" s="32">
        <f>AA46/U46</f>
        <v>9.7314496099867753E-2</v>
      </c>
      <c r="AC46" s="30">
        <f>ROUND($E$12/(1-AB46),0)</f>
        <v>1812423</v>
      </c>
      <c r="AD46" t="str">
        <f>IF(OR(OR(AC46=AC40,AC46=(AC40+1)),AC46=(AC40-1)),"yes","not yet")</f>
        <v>yes</v>
      </c>
      <c r="AE46" s="31">
        <f>100*(1-AB46)</f>
        <v>90.268550390013218</v>
      </c>
    </row>
    <row r="47" spans="5:42">
      <c r="U47" s="31">
        <f>100*(+AC41/$E$13)</f>
        <v>254.99543091767848</v>
      </c>
      <c r="V47" s="35">
        <f>EXP(5.6985-(0.68367*LN(U47)))</f>
        <v>6.7538762692472893</v>
      </c>
      <c r="W47" s="32">
        <f>(+V47*U47)/100</f>
        <v>17.222075896413955</v>
      </c>
      <c r="X47" s="31">
        <f>100*((((W47/100)-((W47/100)-0.03574)*$E$25)-0.03574-0.00619)/0.344)</f>
        <v>29.543546390020424</v>
      </c>
      <c r="Y47">
        <v>0</v>
      </c>
      <c r="Z47" s="31">
        <f>X47+Y47</f>
        <v>29.543546390020424</v>
      </c>
      <c r="AA47" s="31">
        <f>100*($E$21*$E$23+($E$22*(Z47/100))/(1-$E$25))</f>
        <v>24.538136498749687</v>
      </c>
      <c r="AB47" s="32">
        <f>AA47/U47</f>
        <v>9.6229710510661912E-2</v>
      </c>
      <c r="AC47" s="30">
        <f>ROUND($E$12/(1-AB47),0)</f>
        <v>1810247</v>
      </c>
      <c r="AD47" t="str">
        <f>IF(OR(OR(AC47=AC41,AC47=(AC41+1)),AC47=(AC41-1)),"yes","not yet")</f>
        <v>yes</v>
      </c>
      <c r="AE47" s="31">
        <f>100*(1-AB47)</f>
        <v>90.377028948933813</v>
      </c>
      <c r="AI47" s="16" t="s">
        <v>184</v>
      </c>
    </row>
    <row r="48" spans="5:42">
      <c r="U48" s="31">
        <f>100*(+AC42/$E$13)</f>
        <v>254.79963241671388</v>
      </c>
      <c r="V48" s="35">
        <f>EXP(5.6922-(0.68367*LN(U48)))</f>
        <v>6.7149861036365648</v>
      </c>
      <c r="W48" s="32">
        <f>(+V48*U48)/100</f>
        <v>17.109759908899385</v>
      </c>
      <c r="X48" s="31">
        <f>100*((((W48/100)-((W48/100)-0.03574)*$E$25)-0.03574-0.00619)/0.344)</f>
        <v>29.285611418693357</v>
      </c>
      <c r="Y48">
        <v>0</v>
      </c>
      <c r="Z48" s="31">
        <f>X48+Y48</f>
        <v>29.285611418693357</v>
      </c>
      <c r="AA48" s="31">
        <f>100*($E$21*$E$23+($E$22*(Z48/100))/(1-$E$25))</f>
        <v>24.342236520526598</v>
      </c>
      <c r="AB48" s="32">
        <f>AA48/U48</f>
        <v>9.5534818043677208E-2</v>
      </c>
      <c r="AC48" s="30">
        <f>ROUND($E$12/(1-AB48),0)</f>
        <v>1808857</v>
      </c>
      <c r="AD48" t="str">
        <f>IF(OR(OR(AC48=AC42,AC48=(AC42+1)),AC48=(AC42-1)),"yes","not yet")</f>
        <v>yes</v>
      </c>
      <c r="AE48" s="31">
        <f>100*(1-AB48)</f>
        <v>90.446518195632279</v>
      </c>
      <c r="AI48" s="30">
        <f>HLOOKUP($AI$38,$AI$41:$AQ$45,$E$16+1)</f>
        <v>1810247.1712469459</v>
      </c>
    </row>
    <row r="49" spans="4:31">
      <c r="Z49" s="31"/>
    </row>
    <row r="50" spans="4:31">
      <c r="D50" s="30"/>
      <c r="E50" s="30"/>
      <c r="F50" s="30"/>
      <c r="U50" s="16" t="s">
        <v>188</v>
      </c>
      <c r="V50" s="2" t="s">
        <v>134</v>
      </c>
      <c r="W50" s="2" t="s">
        <v>135</v>
      </c>
      <c r="X50" s="2" t="s">
        <v>136</v>
      </c>
      <c r="Z50" s="31"/>
    </row>
    <row r="51" spans="4:31">
      <c r="D51" s="30"/>
      <c r="E51" s="30"/>
      <c r="F51" s="30"/>
      <c r="U51" s="31">
        <f>100*(+AC45/$E$13)</f>
        <v>255.75721386243833</v>
      </c>
      <c r="V51" s="35">
        <f>EXP(5.7226-(0.68367*LN(+U51)))</f>
        <v>6.9045265995387455</v>
      </c>
      <c r="W51" s="32">
        <f>(+V51*U51)/100</f>
        <v>17.658824861371251</v>
      </c>
      <c r="X51" s="31">
        <f>100*((((W51/100)-((W51/100)-0.03574)*$E$25)-0.03574-0.00619)/0.344)</f>
        <v>30.546545466521192</v>
      </c>
      <c r="Y51">
        <v>0</v>
      </c>
      <c r="Z51" s="31">
        <f>X51+Y51</f>
        <v>30.546545466521192</v>
      </c>
      <c r="AA51" s="31">
        <f>100*($E$21*$E$23+($E$22*(Z51/100))/(1-$E$25))</f>
        <v>25.2999079492566</v>
      </c>
      <c r="AB51" s="32">
        <f>AA51/U51</f>
        <v>9.8921581007151635E-2</v>
      </c>
      <c r="AC51" s="30">
        <f>ROUND($E$12/(1-AB51),0)</f>
        <v>1815655</v>
      </c>
      <c r="AD51" t="str">
        <f>IF(OR(OR(AC51=AC45,AC51=(AC45+1)),AC51=(AC37-1)),"yes","not yet")</f>
        <v>yes</v>
      </c>
      <c r="AE51" s="31">
        <f>100*(1-AB51)</f>
        <v>90.107841899284836</v>
      </c>
    </row>
    <row r="52" spans="4:31">
      <c r="U52" s="31">
        <f>100*(+AC46/$E$13)</f>
        <v>255.30194713213805</v>
      </c>
      <c r="V52" s="35">
        <f>EXP(5.70827-(0.68367*LN(+U52)))</f>
        <v>6.8145858501897054</v>
      </c>
      <c r="W52" s="32">
        <f>(+V52*U52)/100</f>
        <v>17.397770364525481</v>
      </c>
      <c r="X52" s="31">
        <f>100*((((W52/100)-((W52/100)-0.03574)*$E$25)-0.03574-0.00619)/0.344)</f>
        <v>29.947030778997473</v>
      </c>
      <c r="Y52">
        <v>0</v>
      </c>
      <c r="Z52" s="31">
        <f>X52+Y52</f>
        <v>29.947030778997473</v>
      </c>
      <c r="AA52" s="31">
        <f>100*($E$21*$E$23+($E$22*(Z52/100))/(1-$E$25))</f>
        <v>24.844580338479091</v>
      </c>
      <c r="AB52" s="32">
        <f>AA52/U52</f>
        <v>9.7314496099867753E-2</v>
      </c>
      <c r="AC52" s="30">
        <f>ROUND($E$12/(1-AB52),0)</f>
        <v>1812423</v>
      </c>
      <c r="AD52" t="str">
        <f>IF(OR(OR(AC52=AC46,AC52=(AC46+1)),AC52=(AC46-1)),"yes","not yet")</f>
        <v>yes</v>
      </c>
      <c r="AE52" s="31">
        <f>100*(1-AB52)</f>
        <v>90.268550390013218</v>
      </c>
    </row>
    <row r="53" spans="4:31">
      <c r="U53" s="31">
        <f>100*(+AC47/$E$13)</f>
        <v>254.99543091767848</v>
      </c>
      <c r="V53" s="35">
        <f>EXP(5.6985-(0.68367*LN(U53)))</f>
        <v>6.7538762692472893</v>
      </c>
      <c r="W53" s="32">
        <f>(+V53*U53)/100</f>
        <v>17.222075896413955</v>
      </c>
      <c r="X53" s="31">
        <f>100*((((W53/100)-((W53/100)-0.03574)*$E$25)-0.03574-0.00619)/0.344)</f>
        <v>29.543546390020424</v>
      </c>
      <c r="Y53">
        <v>0</v>
      </c>
      <c r="Z53" s="31">
        <f>X53+Y53</f>
        <v>29.543546390020424</v>
      </c>
      <c r="AA53" s="31">
        <f>100*($E$21*$E$23+($E$22*(Z53/100))/(1-$E$25))</f>
        <v>24.538136498749687</v>
      </c>
      <c r="AB53" s="32">
        <f>AA53/U53</f>
        <v>9.6229710510661912E-2</v>
      </c>
      <c r="AC53" s="30">
        <f>ROUND($E$12/(1-AB53),0)</f>
        <v>1810247</v>
      </c>
      <c r="AD53" t="str">
        <f>IF(OR(OR(AC53=AC47,AC53=(AC47+1)),AC53=(AC47-1)),"yes","not yet")</f>
        <v>yes</v>
      </c>
      <c r="AE53" s="31">
        <f>100*(1-AB53)</f>
        <v>90.377028948933813</v>
      </c>
    </row>
    <row r="54" spans="4:31">
      <c r="U54" s="31">
        <f>100*(+AC48/$E$13)</f>
        <v>254.79963241671388</v>
      </c>
      <c r="V54" s="35">
        <f>EXP(5.6922-(0.68367*LN(U54)))</f>
        <v>6.7149861036365648</v>
      </c>
      <c r="W54" s="32">
        <f>(+V54*U54)/100</f>
        <v>17.109759908899385</v>
      </c>
      <c r="X54" s="31">
        <f>100*((((W54/100)-((W54/100)-0.03574)*$E$25)-0.03574-0.00619)/0.344)</f>
        <v>29.285611418693357</v>
      </c>
      <c r="Y54">
        <v>0</v>
      </c>
      <c r="Z54" s="31">
        <f>X54+Y54</f>
        <v>29.285611418693357</v>
      </c>
      <c r="AA54" s="31">
        <f>100*($E$21*$E$23+($E$22*(Z54/100))/(1-$E$25))</f>
        <v>24.342236520526598</v>
      </c>
      <c r="AB54" s="32">
        <f>AA54/U54</f>
        <v>9.5534818043677208E-2</v>
      </c>
      <c r="AC54" s="30">
        <f>ROUND($E$12/(1-AB54),0)</f>
        <v>1808857</v>
      </c>
      <c r="AD54" t="str">
        <f>IF(OR(OR(AC54=AC48,AC54=(AC48+1)),AC54=(AC48-1)),"yes","not yet")</f>
        <v>yes</v>
      </c>
      <c r="AE54" s="31">
        <f>100*(1-AB54)</f>
        <v>90.446518195632279</v>
      </c>
    </row>
    <row r="55" spans="4:31">
      <c r="Z55" s="31"/>
    </row>
    <row r="56" spans="4:31">
      <c r="U56" s="16" t="s">
        <v>189</v>
      </c>
      <c r="V56" s="2" t="s">
        <v>134</v>
      </c>
      <c r="W56" s="2" t="s">
        <v>135</v>
      </c>
      <c r="X56" s="2" t="s">
        <v>136</v>
      </c>
      <c r="Z56" s="31"/>
    </row>
    <row r="57" spans="4:31">
      <c r="U57" s="31">
        <f>100*(+AC51/$E$13)</f>
        <v>255.75721386243833</v>
      </c>
      <c r="V57" s="35">
        <f>EXP(5.7226-(0.68367*LN(+U57)))</f>
        <v>6.9045265995387455</v>
      </c>
      <c r="W57" s="32">
        <f>(+V57*U57)/100</f>
        <v>17.658824861371251</v>
      </c>
      <c r="X57" s="31">
        <f>100*((((W57/100)-((W57/100)-0.03574)*$E$25)-0.03574-0.00619)/0.344)</f>
        <v>30.546545466521192</v>
      </c>
      <c r="Y57">
        <v>0</v>
      </c>
      <c r="Z57" s="31">
        <f>X57+Y57</f>
        <v>30.546545466521192</v>
      </c>
      <c r="AA57" s="31">
        <f>100*($E$21*$E$23+($E$22*(Z57/100))/(1-$E$25))</f>
        <v>25.2999079492566</v>
      </c>
      <c r="AB57" s="32">
        <f>AA57/U57</f>
        <v>9.8921581007151635E-2</v>
      </c>
      <c r="AC57" s="30">
        <f>ROUND($E$12/(1-AB57),0)</f>
        <v>1815655</v>
      </c>
      <c r="AD57" t="str">
        <f>IF(OR(OR(AC57=AC51,AC57=(AC51+1)),AC57=(AC43-1)),"yes","not yet")</f>
        <v>yes</v>
      </c>
      <c r="AE57" s="31">
        <f>100*(1-AB57)</f>
        <v>90.107841899284836</v>
      </c>
    </row>
    <row r="58" spans="4:31">
      <c r="U58" s="31">
        <f>100*(+AC52/$E$13)</f>
        <v>255.30194713213805</v>
      </c>
      <c r="V58" s="35">
        <f>EXP(5.70827-(0.68367*LN(+U58)))</f>
        <v>6.8145858501897054</v>
      </c>
      <c r="W58" s="32">
        <f>(+V58*U58)/100</f>
        <v>17.397770364525481</v>
      </c>
      <c r="X58" s="31">
        <f>100*((((W58/100)-((W58/100)-0.03574)*$E$25)-0.03574-0.00619)/0.344)</f>
        <v>29.947030778997473</v>
      </c>
      <c r="Y58">
        <v>0</v>
      </c>
      <c r="Z58" s="31">
        <f>X58+Y58</f>
        <v>29.947030778997473</v>
      </c>
      <c r="AA58" s="31">
        <f>100*($E$21*$E$23+($E$22*(Z58/100))/(1-$E$25))</f>
        <v>24.844580338479091</v>
      </c>
      <c r="AB58" s="32">
        <f>AA58/U58</f>
        <v>9.7314496099867753E-2</v>
      </c>
      <c r="AC58" s="30">
        <f>ROUND($E$12/(1-AB58),0)</f>
        <v>1812423</v>
      </c>
      <c r="AD58" t="str">
        <f>IF(OR(OR(AC58=AC52,AC58=(AC52+1)),AC58=(AC52-1)),"yes","not yet")</f>
        <v>yes</v>
      </c>
      <c r="AE58" s="31">
        <f>100*(1-AB58)</f>
        <v>90.268550390013218</v>
      </c>
    </row>
    <row r="59" spans="4:31">
      <c r="U59" s="31">
        <f>100*(+AC53/$E$13)</f>
        <v>254.99543091767848</v>
      </c>
      <c r="V59" s="35">
        <f>EXP(5.6985-(0.68367*LN(U59)))</f>
        <v>6.7538762692472893</v>
      </c>
      <c r="W59" s="32">
        <f>(+V59*U59)/100</f>
        <v>17.222075896413955</v>
      </c>
      <c r="X59" s="31">
        <f>100*((((W59/100)-((W59/100)-0.03574)*$E$25)-0.03574-0.00619)/0.344)</f>
        <v>29.543546390020424</v>
      </c>
      <c r="Y59">
        <v>0</v>
      </c>
      <c r="Z59" s="31">
        <f>X59+Y59</f>
        <v>29.543546390020424</v>
      </c>
      <c r="AA59" s="31">
        <f>100*($E$21*$E$23+($E$22*(Z59/100))/(1-$E$25))</f>
        <v>24.538136498749687</v>
      </c>
      <c r="AB59" s="32">
        <f>AA59/U59</f>
        <v>9.6229710510661912E-2</v>
      </c>
      <c r="AC59" s="30">
        <f>ROUND($E$12/(1-AB59),0)</f>
        <v>1810247</v>
      </c>
      <c r="AD59" t="str">
        <f>IF(OR(OR(AC59=AC53,AC59=(AC53+1)),AC59=(AC53-1)),"yes","not yet")</f>
        <v>yes</v>
      </c>
      <c r="AE59" s="31">
        <f>100*(1-AB59)</f>
        <v>90.377028948933813</v>
      </c>
    </row>
    <row r="60" spans="4:31">
      <c r="U60" s="31">
        <f>100*(+AC54/$E$13)</f>
        <v>254.79963241671388</v>
      </c>
      <c r="V60" s="35">
        <f>EXP(5.6922-(0.68367*LN(U60)))</f>
        <v>6.7149861036365648</v>
      </c>
      <c r="W60" s="32">
        <f>(+V60*U60)/100</f>
        <v>17.109759908899385</v>
      </c>
      <c r="X60" s="31">
        <f>100*((((W60/100)-((W60/100)-0.03574)*$E$25)-0.03574-0.00619)/0.344)</f>
        <v>29.285611418693357</v>
      </c>
      <c r="Y60">
        <v>0</v>
      </c>
      <c r="Z60" s="31">
        <f>X60+Y60</f>
        <v>29.285611418693357</v>
      </c>
      <c r="AA60" s="31">
        <f>100*($E$21*$E$23+($E$22*(Z60/100))/(1-$E$25))</f>
        <v>24.342236520526598</v>
      </c>
      <c r="AB60" s="32">
        <f>AA60/U60</f>
        <v>9.5534818043677208E-2</v>
      </c>
      <c r="AC60" s="30">
        <f>ROUND($E$12/(1-AB60),0)</f>
        <v>1808857</v>
      </c>
      <c r="AD60" t="str">
        <f>IF(OR(OR(AC60=AC54,AC60=(AC54+1)),AC60=(AC54-1)),"yes","not yet")</f>
        <v>yes</v>
      </c>
      <c r="AE60" s="31">
        <f>100*(1-AB60)</f>
        <v>90.446518195632279</v>
      </c>
    </row>
    <row r="61" spans="4:31">
      <c r="Z61" s="31"/>
    </row>
    <row r="63" spans="4:31">
      <c r="U63" s="31"/>
      <c r="V63" s="35"/>
      <c r="W63" s="32"/>
      <c r="X63" s="31"/>
      <c r="AA63" s="31"/>
      <c r="AB63" s="32"/>
      <c r="AC63" s="30"/>
    </row>
    <row r="64" spans="4:31">
      <c r="U64" s="31"/>
      <c r="V64" s="35"/>
      <c r="W64" s="32"/>
      <c r="X64" s="31"/>
      <c r="AA64" s="31"/>
      <c r="AB64" s="32"/>
      <c r="AC64" s="30"/>
    </row>
    <row r="65" spans="20:29">
      <c r="U65" s="31"/>
      <c r="V65" s="35"/>
      <c r="W65" s="32"/>
      <c r="X65" s="31"/>
      <c r="AA65" s="31"/>
      <c r="AB65" s="32"/>
      <c r="AC65" s="30"/>
    </row>
    <row r="66" spans="20:29">
      <c r="U66" s="31"/>
      <c r="V66" s="35"/>
      <c r="W66" s="32"/>
      <c r="X66" s="31"/>
      <c r="AA66" s="31"/>
      <c r="AB66" s="32"/>
      <c r="AC66" s="30"/>
    </row>
    <row r="69" spans="20:29">
      <c r="U69" s="31"/>
      <c r="V69" s="35"/>
      <c r="W69" s="32"/>
      <c r="X69" s="31"/>
      <c r="AA69" s="31"/>
      <c r="AB69" s="32"/>
      <c r="AC69" s="30"/>
    </row>
    <row r="70" spans="20:29">
      <c r="U70" s="31"/>
      <c r="V70" s="35"/>
      <c r="W70" s="32"/>
      <c r="X70" s="31"/>
      <c r="AA70" s="31"/>
      <c r="AB70" s="32"/>
      <c r="AC70" s="30"/>
    </row>
    <row r="71" spans="20:29">
      <c r="T71" s="31"/>
      <c r="U71" s="35"/>
      <c r="V71" s="32"/>
      <c r="W71" s="31"/>
      <c r="Z71" s="31"/>
      <c r="AA71" s="32"/>
      <c r="AB71" s="30"/>
    </row>
    <row r="72" spans="20:29">
      <c r="T72" s="31"/>
      <c r="U72" s="35"/>
      <c r="V72" s="32"/>
      <c r="W72" s="31"/>
      <c r="Z72" s="31"/>
      <c r="AA72" s="32"/>
      <c r="AB72" s="30"/>
    </row>
    <row r="75" spans="20:29">
      <c r="T75" s="31"/>
      <c r="U75" s="35"/>
      <c r="V75" s="32"/>
      <c r="W75" s="31"/>
      <c r="Z75" s="31"/>
      <c r="AA75" s="32"/>
      <c r="AB75" s="30"/>
    </row>
    <row r="76" spans="20:29">
      <c r="T76" s="31"/>
      <c r="U76" s="35"/>
      <c r="V76" s="32"/>
      <c r="W76" s="31"/>
      <c r="Z76" s="31"/>
      <c r="AA76" s="32"/>
      <c r="AB76" s="30"/>
    </row>
    <row r="77" spans="20:29">
      <c r="T77" s="31"/>
      <c r="U77" s="35"/>
      <c r="V77" s="32"/>
      <c r="W77" s="31"/>
      <c r="Z77" s="31"/>
      <c r="AA77" s="32"/>
      <c r="AB77" s="30"/>
    </row>
    <row r="78" spans="20:29">
      <c r="T78" s="31"/>
      <c r="U78" s="35"/>
      <c r="V78" s="32"/>
      <c r="W78" s="31"/>
      <c r="Z78" s="31"/>
      <c r="AA78" s="32"/>
      <c r="AB78" s="30"/>
    </row>
    <row r="81" spans="20:28">
      <c r="T81" s="31"/>
      <c r="U81" s="35"/>
      <c r="V81" s="32"/>
      <c r="W81" s="31"/>
      <c r="Z81" s="31"/>
      <c r="AA81" s="32"/>
      <c r="AB81" s="30"/>
    </row>
    <row r="82" spans="20:28">
      <c r="T82" s="31"/>
      <c r="U82" s="35"/>
      <c r="V82" s="32"/>
      <c r="W82" s="31"/>
      <c r="Z82" s="31"/>
      <c r="AA82" s="32"/>
      <c r="AB82" s="30"/>
    </row>
    <row r="83" spans="20:28">
      <c r="T83" s="31"/>
      <c r="U83" s="35"/>
      <c r="V83" s="32"/>
      <c r="W83" s="31"/>
      <c r="Z83" s="31"/>
      <c r="AA83" s="32"/>
      <c r="AB83" s="30"/>
    </row>
    <row r="84" spans="20:28">
      <c r="T84" s="31"/>
      <c r="U84" s="35"/>
      <c r="V84" s="32"/>
      <c r="W84" s="31"/>
      <c r="Z84" s="31"/>
      <c r="AA84" s="32"/>
      <c r="AB84" s="30"/>
    </row>
    <row r="87" spans="20:28">
      <c r="T87" s="31"/>
      <c r="U87" s="35"/>
      <c r="V87" s="32"/>
      <c r="W87" s="31"/>
      <c r="Z87" s="31"/>
      <c r="AA87" s="32"/>
      <c r="AB87" s="30"/>
    </row>
    <row r="88" spans="20:28">
      <c r="T88" s="31"/>
      <c r="U88" s="35"/>
      <c r="V88" s="32"/>
      <c r="W88" s="31"/>
      <c r="Z88" s="31"/>
      <c r="AA88" s="32"/>
      <c r="AB88" s="30"/>
    </row>
    <row r="89" spans="20:28">
      <c r="T89" s="31"/>
      <c r="U89" s="35"/>
      <c r="V89" s="32"/>
      <c r="W89" s="31"/>
      <c r="Z89" s="31"/>
      <c r="AA89" s="32"/>
      <c r="AB89" s="30"/>
    </row>
    <row r="90" spans="20:28">
      <c r="T90" s="31"/>
      <c r="U90" s="35"/>
      <c r="V90" s="32"/>
      <c r="W90" s="31"/>
      <c r="Z90" s="31"/>
      <c r="AA90" s="32"/>
      <c r="AB90" s="30"/>
    </row>
    <row r="93" spans="20:28">
      <c r="T93" s="31"/>
      <c r="U93" s="35"/>
      <c r="V93" s="32"/>
      <c r="W93" s="31"/>
      <c r="Z93" s="31"/>
      <c r="AA93" s="32"/>
      <c r="AB93" s="30"/>
    </row>
    <row r="94" spans="20:28">
      <c r="T94" s="31"/>
      <c r="U94" s="35"/>
      <c r="V94" s="32"/>
      <c r="W94" s="31"/>
      <c r="Z94" s="31"/>
      <c r="AA94" s="32"/>
      <c r="AB94" s="30"/>
    </row>
    <row r="95" spans="20:28">
      <c r="T95" s="31"/>
      <c r="U95" s="35"/>
      <c r="V95" s="32"/>
      <c r="W95" s="31"/>
      <c r="Z95" s="31"/>
      <c r="AA95" s="32"/>
      <c r="AB95" s="30"/>
    </row>
    <row r="96" spans="20:28">
      <c r="T96" s="31"/>
      <c r="U96" s="35"/>
      <c r="V96" s="32"/>
      <c r="W96" s="31"/>
      <c r="Z96" s="31"/>
      <c r="AA96" s="32"/>
      <c r="AB96" s="30"/>
    </row>
  </sheetData>
  <pageMargins left="0.75" right="0.75" top="1" bottom="1" header="0.5" footer="0.5"/>
  <pageSetup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6"/>
  <sheetViews>
    <sheetView workbookViewId="0">
      <selection activeCell="E10" sqref="E10"/>
    </sheetView>
  </sheetViews>
  <sheetFormatPr defaultRowHeight="12.75"/>
  <cols>
    <col min="1" max="1" width="10.140625" bestFit="1" customWidth="1"/>
  </cols>
  <sheetData>
    <row r="1" spans="1:35">
      <c r="A1" t="s">
        <v>0</v>
      </c>
    </row>
    <row r="3" spans="1:35">
      <c r="A3" t="s">
        <v>473</v>
      </c>
      <c r="D3" s="693" t="s">
        <v>1414</v>
      </c>
      <c r="E3" s="693" t="s">
        <v>702</v>
      </c>
    </row>
    <row r="5" spans="1:35">
      <c r="A5" s="728">
        <v>44196</v>
      </c>
    </row>
    <row r="7" spans="1:35">
      <c r="B7" s="16" t="s">
        <v>127</v>
      </c>
      <c r="AD7" s="2" t="s">
        <v>128</v>
      </c>
      <c r="AE7" s="2" t="s">
        <v>129</v>
      </c>
      <c r="AH7" s="16" t="s">
        <v>130</v>
      </c>
    </row>
    <row r="8" spans="1:35">
      <c r="E8" s="28"/>
      <c r="M8" s="16" t="s">
        <v>131</v>
      </c>
      <c r="T8" s="2" t="s">
        <v>132</v>
      </c>
      <c r="U8" s="2" t="s">
        <v>133</v>
      </c>
      <c r="V8" s="2" t="s">
        <v>134</v>
      </c>
      <c r="W8" s="2" t="s">
        <v>135</v>
      </c>
      <c r="X8" s="2" t="s">
        <v>136</v>
      </c>
      <c r="Z8" s="2" t="s">
        <v>137</v>
      </c>
      <c r="AA8" s="16" t="s">
        <v>138</v>
      </c>
      <c r="AB8" s="2" t="s">
        <v>139</v>
      </c>
      <c r="AC8" s="2" t="s">
        <v>140</v>
      </c>
      <c r="AD8" s="2" t="s">
        <v>141</v>
      </c>
      <c r="AH8" s="16" t="s">
        <v>142</v>
      </c>
    </row>
    <row r="9" spans="1:35">
      <c r="B9" s="16" t="s">
        <v>143</v>
      </c>
      <c r="C9" s="16" t="s">
        <v>144</v>
      </c>
      <c r="E9" s="28">
        <f>E11+E10</f>
        <v>165625.3943723077</v>
      </c>
      <c r="F9" s="16" t="s">
        <v>145</v>
      </c>
      <c r="K9" s="29"/>
      <c r="M9" s="16" t="s">
        <v>146</v>
      </c>
      <c r="P9" s="16" t="s">
        <v>147</v>
      </c>
      <c r="T9" s="30">
        <f>$E$12*1.25</f>
        <v>188021.52688788803</v>
      </c>
      <c r="U9" s="31">
        <f>100*(+T9/$E$13)</f>
        <v>321.9830493286517</v>
      </c>
      <c r="V9" s="32">
        <f>EXP(5.7226-(0.68367*LN(+U9)))</f>
        <v>5.8987964315495613</v>
      </c>
      <c r="W9" s="32">
        <f>(+V9*U9)/100</f>
        <v>18.993124623992973</v>
      </c>
      <c r="X9" s="31">
        <f>100*((((W9/100)-((W9/100)-0.03574)*$E$25)-0.03574-0.00619)/0.344)</f>
        <v>33.610780386495499</v>
      </c>
      <c r="Y9">
        <v>0</v>
      </c>
      <c r="Z9" s="31">
        <f>X9+Y9</f>
        <v>33.610780386495499</v>
      </c>
      <c r="AA9" s="31">
        <f>100*($E$21*$E$23+($E$22*(Z9/100))/(1-$E$25))</f>
        <v>27.62717497708519</v>
      </c>
      <c r="AB9" s="32">
        <f>AA9/U9</f>
        <v>8.5803196890920252E-2</v>
      </c>
      <c r="AC9" s="30">
        <f>$E$12/(1-AB9)</f>
        <v>164534.83648023981</v>
      </c>
      <c r="AD9" t="str">
        <f>IF(AC9=$T$9,"yes","not yet")</f>
        <v>not yet</v>
      </c>
      <c r="AE9" s="31">
        <f>100*(1-AB9)</f>
        <v>91.419680310907964</v>
      </c>
      <c r="AH9">
        <v>0</v>
      </c>
      <c r="AI9">
        <v>1</v>
      </c>
    </row>
    <row r="10" spans="1:35">
      <c r="B10" s="16" t="s">
        <v>143</v>
      </c>
      <c r="C10" s="16" t="s">
        <v>148</v>
      </c>
      <c r="E10" s="28">
        <f>(+E12-((H19/100)*E11))/H29</f>
        <v>7480.5010231960814</v>
      </c>
      <c r="F10" s="33" t="s">
        <v>145</v>
      </c>
      <c r="K10" s="29"/>
      <c r="M10" s="16" t="s">
        <v>149</v>
      </c>
      <c r="P10" s="16" t="s">
        <v>150</v>
      </c>
      <c r="T10" s="30">
        <f>$E$12*1.25</f>
        <v>188021.52688788803</v>
      </c>
      <c r="U10" s="31">
        <f>100*(+T10/$E$13)</f>
        <v>321.9830493286517</v>
      </c>
      <c r="V10" s="32">
        <f>EXP(5.70827-(0.68367*LN(+U10)))</f>
        <v>5.814869451684026</v>
      </c>
      <c r="W10" s="32">
        <f>(+V10*U10)/100</f>
        <v>18.722893975012475</v>
      </c>
      <c r="X10" s="31">
        <f>100*((((W10/100)-((W10/100)-0.03574)*$E$25)-0.03574-0.00619)/0.344)</f>
        <v>32.990192558894925</v>
      </c>
      <c r="Y10">
        <v>0</v>
      </c>
      <c r="Z10" s="31">
        <f>X10+Y10</f>
        <v>32.990192558894925</v>
      </c>
      <c r="AA10" s="31">
        <f>100*($E$21*$E$23+($E$22*(Z10/100))/(1-$E$25))</f>
        <v>27.155842449793617</v>
      </c>
      <c r="AB10" s="32">
        <f>AA10/U10</f>
        <v>8.4339354218846918E-2</v>
      </c>
      <c r="AC10" s="30">
        <f>$E$12/(1-AB10)</f>
        <v>164271.79895013288</v>
      </c>
      <c r="AD10" t="str">
        <f>IF(AC10=$T$10,"yes","not yet")</f>
        <v>not yet</v>
      </c>
      <c r="AE10" s="31">
        <f>100*(1-AB10)</f>
        <v>91.566064578115316</v>
      </c>
      <c r="AH10">
        <v>50</v>
      </c>
      <c r="AI10">
        <v>2</v>
      </c>
    </row>
    <row r="11" spans="1:35">
      <c r="B11" s="34" t="s">
        <v>151</v>
      </c>
      <c r="C11" s="16" t="s">
        <v>152</v>
      </c>
      <c r="D11" s="34" t="s">
        <v>153</v>
      </c>
      <c r="E11" s="28">
        <f>+'Results of Operations Regulated'!G21</f>
        <v>158144.8933491116</v>
      </c>
      <c r="F11" s="16" t="s">
        <v>154</v>
      </c>
      <c r="K11" s="29"/>
      <c r="M11" s="16" t="s">
        <v>155</v>
      </c>
      <c r="P11" s="16" t="s">
        <v>156</v>
      </c>
      <c r="T11" s="30">
        <f>$E$12*1.25</f>
        <v>188021.52688788803</v>
      </c>
      <c r="U11" s="31">
        <f>100*(+T11/$E$13)</f>
        <v>321.9830493286517</v>
      </c>
      <c r="V11" s="32">
        <f>EXP(5.6985-(0.68367*LN(U11)))</f>
        <v>5.7583347986202922</v>
      </c>
      <c r="W11" s="32">
        <f>(+V11*U11)/100</f>
        <v>18.540861975150492</v>
      </c>
      <c r="X11" s="31">
        <f>100*((((W11/100)-((W11/100)-0.03574)*$E$25)-0.03574-0.00619)/0.344)</f>
        <v>32.572153954560726</v>
      </c>
      <c r="Y11">
        <v>0</v>
      </c>
      <c r="Z11" s="31">
        <f>X11+Y11</f>
        <v>32.572153954560726</v>
      </c>
      <c r="AA11" s="31">
        <f>100*($E$21*$E$23+($E$22*(Z11/100))/(1-$E$25))</f>
        <v>26.838344775615742</v>
      </c>
      <c r="AB11" s="32">
        <f>AA11/U11</f>
        <v>8.3353284688665527E-2</v>
      </c>
      <c r="AC11" s="30">
        <f>$E$12/(1-AB11)</f>
        <v>164095.08592328505</v>
      </c>
      <c r="AD11" t="str">
        <f>IF(AC11=$T$11,"yes","not yet")</f>
        <v>not yet</v>
      </c>
      <c r="AE11" s="31">
        <f>100*(1-AB11)</f>
        <v>91.66467153113345</v>
      </c>
      <c r="AH11">
        <v>125</v>
      </c>
      <c r="AI11">
        <v>3</v>
      </c>
    </row>
    <row r="12" spans="1:35">
      <c r="B12" s="34" t="s">
        <v>151</v>
      </c>
      <c r="C12" s="16" t="s">
        <v>157</v>
      </c>
      <c r="D12" s="34" t="s">
        <v>153</v>
      </c>
      <c r="E12" s="28">
        <f>+'Results of Operations Regulated'!G100</f>
        <v>150417.22151031042</v>
      </c>
      <c r="F12" s="16" t="s">
        <v>154</v>
      </c>
      <c r="K12" s="29"/>
      <c r="M12" s="16" t="s">
        <v>158</v>
      </c>
      <c r="P12" s="16" t="s">
        <v>159</v>
      </c>
      <c r="T12" s="30">
        <f>$E$12*1.25</f>
        <v>188021.52688788803</v>
      </c>
      <c r="U12" s="31">
        <f>100*(+T12/$E$13)</f>
        <v>321.9830493286517</v>
      </c>
      <c r="V12" s="32">
        <f>EXP(5.6922-(0.68367*LN(U12)))</f>
        <v>5.7221713239448233</v>
      </c>
      <c r="W12" s="32">
        <f>(+V12*U12)/100</f>
        <v>18.424421716647224</v>
      </c>
      <c r="X12" s="31">
        <f>100*((((W12/100)-((W12/100)-0.03574)*$E$25)-0.03574-0.00619)/0.344)</f>
        <v>32.304747546951482</v>
      </c>
      <c r="Y12">
        <v>0</v>
      </c>
      <c r="Z12" s="31">
        <f>X12+Y12</f>
        <v>32.304747546951482</v>
      </c>
      <c r="AA12" s="31">
        <f>100*($E$21*$E$23+($E$22*(Z12/100))/(1-$E$25))</f>
        <v>26.635251301482139</v>
      </c>
      <c r="AB12" s="32">
        <f>AA12/U12</f>
        <v>8.2722526409442262E-2</v>
      </c>
      <c r="AC12" s="30">
        <f>$E$12/(1-AB12)</f>
        <v>163982.24729265692</v>
      </c>
      <c r="AD12" t="str">
        <f>IF(AC12=$T$12,"yes","not yet")</f>
        <v>not yet</v>
      </c>
      <c r="AE12" s="31">
        <f>100*(1-AB12)</f>
        <v>91.727747359055783</v>
      </c>
      <c r="AH12">
        <v>401</v>
      </c>
      <c r="AI12">
        <v>4</v>
      </c>
    </row>
    <row r="13" spans="1:35">
      <c r="B13" s="34" t="s">
        <v>151</v>
      </c>
      <c r="C13" s="16" t="s">
        <v>160</v>
      </c>
      <c r="E13" s="28">
        <f>+'Results of Operations Regulated'!G106</f>
        <v>58394.85254889066</v>
      </c>
      <c r="F13" s="16" t="s">
        <v>154</v>
      </c>
      <c r="K13" s="29"/>
      <c r="Z13" s="31"/>
    </row>
    <row r="14" spans="1:35">
      <c r="C14" s="16" t="s">
        <v>161</v>
      </c>
      <c r="E14" s="31">
        <f>U9</f>
        <v>321.9830493286517</v>
      </c>
      <c r="F14" s="16" t="s">
        <v>162</v>
      </c>
      <c r="H14" s="31"/>
      <c r="U14" s="2" t="s">
        <v>163</v>
      </c>
      <c r="V14" s="2" t="s">
        <v>134</v>
      </c>
      <c r="W14" s="2" t="s">
        <v>135</v>
      </c>
      <c r="X14" s="2" t="s">
        <v>136</v>
      </c>
      <c r="Z14" s="31"/>
      <c r="AH14" s="16" t="s">
        <v>164</v>
      </c>
    </row>
    <row r="15" spans="1:35">
      <c r="C15" s="16" t="s">
        <v>165</v>
      </c>
      <c r="E15" s="31">
        <f>HLOOKUP($AI$38,$AI$32:$AQ$36,$E$16+1)</f>
        <v>283.13640664340443</v>
      </c>
      <c r="F15" s="16" t="s">
        <v>162</v>
      </c>
      <c r="U15" s="31">
        <f>100*(+AC9/$E$13)</f>
        <v>281.76256861421859</v>
      </c>
      <c r="V15" s="35">
        <f>EXP(5.7226-(0.68367*LN(+U15)))</f>
        <v>6.462222215374398</v>
      </c>
      <c r="W15" s="32">
        <f>(+V15*U15)/100</f>
        <v>18.208123303597564</v>
      </c>
      <c r="X15" s="31">
        <f>100*((((W15/100)-((W15/100)-0.03574)*$E$25)-0.03574-0.00619)/0.344)</f>
        <v>31.80801572628511</v>
      </c>
      <c r="Y15">
        <v>0</v>
      </c>
      <c r="Z15" s="31">
        <f>X15+Y15</f>
        <v>31.80801572628511</v>
      </c>
      <c r="AA15" s="31">
        <f>100*($E$21*$E$23+($E$22*(Z15/100))/(1-$E$25))</f>
        <v>26.25798662755831</v>
      </c>
      <c r="AB15" s="32">
        <f>AA15/U15</f>
        <v>9.3191891161064799E-2</v>
      </c>
      <c r="AC15" s="30">
        <f>$E$12/(1-AB15)</f>
        <v>165875.47028323621</v>
      </c>
      <c r="AD15" t="str">
        <f>IF(OR(OR(AC15=AC9,AC15=(AC9+1)),AC15=(AC8193-1)),"yes","not yet")</f>
        <v>not yet</v>
      </c>
      <c r="AE15" s="31">
        <f>100*(1-AB15)</f>
        <v>90.680810883893528</v>
      </c>
    </row>
    <row r="16" spans="1:35">
      <c r="C16" s="16" t="s">
        <v>166</v>
      </c>
      <c r="E16">
        <f>VLOOKUP(E14,AH9:AI12,2)</f>
        <v>3</v>
      </c>
      <c r="F16" s="16" t="s">
        <v>162</v>
      </c>
      <c r="U16" s="31">
        <f>100*(+AC10/$E$13)</f>
        <v>281.31212218165558</v>
      </c>
      <c r="V16" s="35">
        <f>EXP(5.70827-(0.68367*LN(+U16)))</f>
        <v>6.3772507956582496</v>
      </c>
      <c r="W16" s="32">
        <f>(+V16*U16)/100</f>
        <v>17.939979550112739</v>
      </c>
      <c r="X16" s="31">
        <f>100*((((W16/100)-((W16/100)-0.03574)*$E$25)-0.03574-0.00619)/0.344)</f>
        <v>31.192220478456591</v>
      </c>
      <c r="Y16">
        <v>0</v>
      </c>
      <c r="Z16" s="31">
        <f>X16+Y16</f>
        <v>31.192220478456591</v>
      </c>
      <c r="AA16" s="31">
        <f>100*($E$21*$E$23+($E$22*(Z16/100))/(1-$E$25))</f>
        <v>25.790294034270822</v>
      </c>
      <c r="AB16" s="32">
        <f>AA16/U16</f>
        <v>9.167857337344637E-2</v>
      </c>
      <c r="AC16" s="30">
        <f>$E$12/(1-AB16)</f>
        <v>165599.11183527857</v>
      </c>
      <c r="AD16" t="str">
        <f>IF(OR(OR(AC16=AC10,AC16=(AC10+1)),AC16=(AC10-1)),"yes","not yet")</f>
        <v>not yet</v>
      </c>
      <c r="AE16" s="31">
        <f>100*(1-AB16)</f>
        <v>90.832142662655357</v>
      </c>
    </row>
    <row r="17" spans="2:42">
      <c r="U17" s="31">
        <f>100*(+AC11/$E$13)</f>
        <v>281.0095047091653</v>
      </c>
      <c r="V17" s="35">
        <f>EXP(5.6985-(0.68367*LN(U17)))</f>
        <v>6.3198971781841395</v>
      </c>
      <c r="W17" s="32">
        <f>(+V17*U17)/100</f>
        <v>17.759511758543766</v>
      </c>
      <c r="X17" s="31">
        <f>100*((((W17/100)-((W17/100)-0.03574)*$E$25)-0.03574-0.00619)/0.344)</f>
        <v>30.777774096655747</v>
      </c>
      <c r="Y17">
        <v>0</v>
      </c>
      <c r="Z17" s="31">
        <f>X17+Y17</f>
        <v>30.777774096655747</v>
      </c>
      <c r="AA17" s="31">
        <f>100*($E$21*$E$23+($E$22*(Z17/100))/(1-$E$25))</f>
        <v>25.475524630371453</v>
      </c>
      <c r="AB17" s="32">
        <f>AA17/U17</f>
        <v>9.0657163560135451E-2</v>
      </c>
      <c r="AC17" s="30">
        <f>$E$12/(1-AB17)</f>
        <v>165413.10436798894</v>
      </c>
      <c r="AD17" t="str">
        <f>IF(OR(OR(AC17=AC11,AC17=(AC11+1)),AC17=(AC11-1)),"yes","not yet")</f>
        <v>not yet</v>
      </c>
      <c r="AE17" s="31">
        <f>100*(1-AB17)</f>
        <v>90.934283643986461</v>
      </c>
      <c r="AI17">
        <v>1</v>
      </c>
      <c r="AJ17">
        <v>2</v>
      </c>
      <c r="AK17">
        <v>3</v>
      </c>
      <c r="AL17">
        <v>4</v>
      </c>
      <c r="AM17">
        <v>5</v>
      </c>
      <c r="AN17">
        <v>7</v>
      </c>
      <c r="AO17">
        <v>8</v>
      </c>
      <c r="AP17">
        <v>9</v>
      </c>
    </row>
    <row r="18" spans="2:42">
      <c r="C18" s="16" t="s">
        <v>167</v>
      </c>
      <c r="U18" s="31">
        <f>100*(+AC12/$E$13)</f>
        <v>280.81627084401657</v>
      </c>
      <c r="V18" s="35">
        <f>EXP(5.6922-(0.68367*LN(U18)))</f>
        <v>6.2831611426163834</v>
      </c>
      <c r="W18" s="32">
        <f>(+V18*U18)/100</f>
        <v>17.64413881181563</v>
      </c>
      <c r="X18" s="31">
        <f>100*((((W18/100)-((W18/100)-0.03574)*$E$25)-0.03574-0.00619)/0.344)</f>
        <v>30.512818782948685</v>
      </c>
      <c r="Y18">
        <v>0</v>
      </c>
      <c r="Z18" s="31">
        <f>X18+Y18</f>
        <v>30.512818782948685</v>
      </c>
      <c r="AA18" s="31">
        <f>100*($E$21*$E$23+($E$22*(Z18/100))/(1-$E$25))</f>
        <v>25.274292746543303</v>
      </c>
      <c r="AB18" s="32">
        <f>AA18/U18</f>
        <v>9.0002949866755666E-2</v>
      </c>
      <c r="AC18" s="30">
        <f>$E$12/(1-AB18)</f>
        <v>165294.1858309166</v>
      </c>
      <c r="AD18" t="str">
        <f>IF(OR(OR(AC18=AC12,AC18=(AC12+1)),AC18=(AC12-1)),"yes","not yet")</f>
        <v>not yet</v>
      </c>
      <c r="AE18" s="31">
        <f>100*(1-AB18)</f>
        <v>90.999705013324444</v>
      </c>
      <c r="AI18" t="str">
        <f>AD9</f>
        <v>not yet</v>
      </c>
      <c r="AJ18" t="str">
        <f>AD15</f>
        <v>not yet</v>
      </c>
      <c r="AK18" t="str">
        <f>AD21</f>
        <v>not yet</v>
      </c>
      <c r="AL18" t="str">
        <f>AD27</f>
        <v>not yet</v>
      </c>
      <c r="AM18" t="str">
        <f>AD33</f>
        <v>not yet</v>
      </c>
      <c r="AN18">
        <f>AC45</f>
        <v>165795</v>
      </c>
      <c r="AO18">
        <f>AC51</f>
        <v>165795</v>
      </c>
      <c r="AP18">
        <f>AC57</f>
        <v>165795</v>
      </c>
    </row>
    <row r="19" spans="2:42">
      <c r="C19" s="16" t="s">
        <v>168</v>
      </c>
      <c r="E19" s="34" t="s">
        <v>143</v>
      </c>
      <c r="F19" s="16" t="s">
        <v>169</v>
      </c>
      <c r="H19" s="31">
        <f>HLOOKUP($AI$29,$AI$23:$AQ$27,$E$16+1)</f>
        <v>90.9762586029006</v>
      </c>
      <c r="I19" s="16" t="s">
        <v>145</v>
      </c>
      <c r="J19" s="36"/>
      <c r="Z19" s="31"/>
      <c r="AI19" t="str">
        <f>AD10</f>
        <v>not yet</v>
      </c>
      <c r="AJ19" t="str">
        <f>AD16</f>
        <v>not yet</v>
      </c>
      <c r="AK19" t="str">
        <f>AD22</f>
        <v>not yet</v>
      </c>
      <c r="AL19" t="str">
        <f>AD28</f>
        <v>not yet</v>
      </c>
      <c r="AM19" t="str">
        <f>AD34</f>
        <v>not yet</v>
      </c>
      <c r="AN19">
        <f>AC46</f>
        <v>165521</v>
      </c>
      <c r="AO19">
        <f>AC52</f>
        <v>165521</v>
      </c>
      <c r="AP19">
        <f>AC58</f>
        <v>165521</v>
      </c>
    </row>
    <row r="20" spans="2:42">
      <c r="C20" s="37" t="s">
        <v>153</v>
      </c>
      <c r="D20" s="37" t="s">
        <v>153</v>
      </c>
      <c r="E20" s="38"/>
      <c r="H20" s="37" t="s">
        <v>170</v>
      </c>
      <c r="U20" s="16" t="s">
        <v>171</v>
      </c>
      <c r="V20" s="2" t="s">
        <v>134</v>
      </c>
      <c r="W20" s="2" t="s">
        <v>135</v>
      </c>
      <c r="X20" s="2" t="s">
        <v>136</v>
      </c>
      <c r="Z20" s="31"/>
      <c r="AI20" t="str">
        <f>AD11</f>
        <v>not yet</v>
      </c>
      <c r="AJ20" t="str">
        <f>AD17</f>
        <v>not yet</v>
      </c>
      <c r="AK20" t="str">
        <f>AD23</f>
        <v>not yet</v>
      </c>
      <c r="AL20" t="str">
        <f>AD29</f>
        <v>not yet</v>
      </c>
      <c r="AM20" t="str">
        <f>AD35</f>
        <v>not yet</v>
      </c>
      <c r="AN20">
        <f>AC47</f>
        <v>165337</v>
      </c>
      <c r="AO20">
        <f>AC53</f>
        <v>165337</v>
      </c>
      <c r="AP20">
        <f>AC59</f>
        <v>165337</v>
      </c>
    </row>
    <row r="21" spans="2:42">
      <c r="B21" s="34" t="s">
        <v>151</v>
      </c>
      <c r="C21" s="16" t="s">
        <v>172</v>
      </c>
      <c r="E21" s="40">
        <v>0.4</v>
      </c>
      <c r="F21" s="16" t="s">
        <v>173</v>
      </c>
      <c r="U21" s="31">
        <f>100*(+AC15/$E$13)</f>
        <v>284.05837679675312</v>
      </c>
      <c r="V21" s="35">
        <f>EXP(5.7226-(0.68367*LN(+U21)))</f>
        <v>6.4264691571434014</v>
      </c>
      <c r="W21" s="32">
        <f>(+V21*U21)/100</f>
        <v>18.254923973125528</v>
      </c>
      <c r="X21" s="31">
        <f>100*((((W21/100)-((W21/100)-0.03574)*$E$25)-0.03574-0.00619)/0.344)</f>
        <v>31.915494008049912</v>
      </c>
      <c r="Y21">
        <v>0</v>
      </c>
      <c r="Z21" s="31">
        <f>X21+Y21</f>
        <v>31.915494008049912</v>
      </c>
      <c r="AA21" s="31">
        <f>100*($E$21*$E$23+($E$22*(Z21/100))/(1-$E$25))</f>
        <v>26.339615702316387</v>
      </c>
      <c r="AB21" s="32">
        <f>AA21/U21</f>
        <v>9.2726065674742161E-2</v>
      </c>
      <c r="AC21" s="30">
        <f>$E$12/(1-AB21)</f>
        <v>165790.3041402552</v>
      </c>
      <c r="AD21" t="str">
        <f>IF(OR(OR(AC21=AC15,AC21=(AC15+1)),AC21=(AC7-1)),"yes","not yet")</f>
        <v>not yet</v>
      </c>
      <c r="AE21" s="31">
        <f>100*(1-AB21)</f>
        <v>90.727393432525787</v>
      </c>
      <c r="AI21" t="str">
        <f>AD12</f>
        <v>not yet</v>
      </c>
      <c r="AJ21" t="str">
        <f>AD18</f>
        <v>not yet</v>
      </c>
      <c r="AK21" t="str">
        <f>AD24</f>
        <v>not yet</v>
      </c>
      <c r="AL21" t="str">
        <f>AD30</f>
        <v>not yet</v>
      </c>
      <c r="AM21" t="str">
        <f>AD36</f>
        <v>not yet</v>
      </c>
      <c r="AN21">
        <f>AC48</f>
        <v>165219</v>
      </c>
      <c r="AO21">
        <f>AC54</f>
        <v>165219</v>
      </c>
      <c r="AP21">
        <f>AC60</f>
        <v>165219</v>
      </c>
    </row>
    <row r="22" spans="2:42">
      <c r="B22" s="34" t="s">
        <v>151</v>
      </c>
      <c r="C22" s="16" t="s">
        <v>174</v>
      </c>
      <c r="E22" s="40">
        <v>0.6</v>
      </c>
      <c r="F22" s="16" t="s">
        <v>175</v>
      </c>
      <c r="H22" s="46">
        <v>1.7999999999999999E-2</v>
      </c>
      <c r="I22" s="16" t="s">
        <v>151</v>
      </c>
      <c r="U22" s="31">
        <f>100*(+AC16/$E$13)</f>
        <v>283.58511856268825</v>
      </c>
      <c r="V22" s="35">
        <f>EXP(5.70827-(0.68367*LN(+U22)))</f>
        <v>6.3422605100084635</v>
      </c>
      <c r="W22" s="32">
        <f>(+V22*U22)/100</f>
        <v>17.985706986862059</v>
      </c>
      <c r="X22" s="31">
        <f>100*((((W22/100)-((W22/100)-0.03574)*$E$25)-0.03574-0.00619)/0.344)</f>
        <v>31.29723406866578</v>
      </c>
      <c r="Y22">
        <v>0</v>
      </c>
      <c r="Z22" s="31">
        <f>X22+Y22</f>
        <v>31.29723406866578</v>
      </c>
      <c r="AA22" s="31">
        <f>100*($E$21*$E$23+($E$22*(Z22/100))/(1-$E$25))</f>
        <v>25.870051191391731</v>
      </c>
      <c r="AB22" s="32">
        <f>AA22/U22</f>
        <v>9.1224995593952488E-2</v>
      </c>
      <c r="AC22" s="30">
        <f>$E$12/(1-AB22)</f>
        <v>165516.45982893129</v>
      </c>
      <c r="AD22" t="str">
        <f>IF(OR(OR(AC22=AC16,AC22=(AC16+1)),AC22=(AC16-1)),"yes","not yet")</f>
        <v>not yet</v>
      </c>
      <c r="AE22" s="31">
        <f>100*(1-AB22)</f>
        <v>90.877500440604749</v>
      </c>
    </row>
    <row r="23" spans="2:42">
      <c r="B23" s="34" t="s">
        <v>151</v>
      </c>
      <c r="C23" s="16" t="s">
        <v>176</v>
      </c>
      <c r="E23" s="41">
        <v>5.2499999999999998E-2</v>
      </c>
      <c r="F23" s="16" t="s">
        <v>177</v>
      </c>
      <c r="H23" s="77">
        <v>5.1000000000000004E-3</v>
      </c>
      <c r="I23" s="16" t="s">
        <v>151</v>
      </c>
      <c r="U23" s="31">
        <f>100*(+AC17/$E$13)</f>
        <v>283.26658454955094</v>
      </c>
      <c r="V23" s="35">
        <f>EXP(5.6985-(0.68367*LN(U23)))</f>
        <v>6.2854259297027735</v>
      </c>
      <c r="W23" s="32">
        <f>(+V23*U23)/100</f>
        <v>17.804511355460903</v>
      </c>
      <c r="X23" s="31">
        <f>100*((((W23/100)-((W23/100)-0.03574)*$E$25)-0.03574-0.00619)/0.344)</f>
        <v>30.881116194227076</v>
      </c>
      <c r="Y23">
        <v>0</v>
      </c>
      <c r="Z23" s="31">
        <f>X23+Y23</f>
        <v>30.881116194227076</v>
      </c>
      <c r="AA23" s="31">
        <f>100*($E$21*$E$23+($E$22*(Z23/100))/(1-$E$25))</f>
        <v>25.554012299412964</v>
      </c>
      <c r="AB23" s="32">
        <f>AA23/U23</f>
        <v>9.0211884116330993E-2</v>
      </c>
      <c r="AC23" s="30">
        <f>$E$12/(1-AB23)</f>
        <v>165332.14589664267</v>
      </c>
      <c r="AD23" t="str">
        <f>IF(OR(OR(AC23=AC17,AC23=(AC17+1)),AC23=(AC17-1)),"yes","not yet")</f>
        <v>not yet</v>
      </c>
      <c r="AE23" s="31">
        <f>100*(1-AB23)</f>
        <v>90.978811588366909</v>
      </c>
      <c r="AI23" t="str">
        <f>HLOOKUP(1,$AI$17:$AQ$21,$E$16+1)</f>
        <v>not yet</v>
      </c>
      <c r="AJ23" t="str">
        <f>HLOOKUP(2,$AI$17:$AQ$21,$E$16+1)</f>
        <v>not yet</v>
      </c>
      <c r="AK23" t="str">
        <f>HLOOKUP(3,$AI$17:$AQ$21,$E$16+1)</f>
        <v>not yet</v>
      </c>
      <c r="AL23" t="str">
        <f>HLOOKUP(4,$AI$17:$AQ$21,$E$16+1)</f>
        <v>not yet</v>
      </c>
      <c r="AM23" t="str">
        <f>HLOOKUP(5,$AI$17:$AQ$21,$E$16+1)</f>
        <v>not yet</v>
      </c>
      <c r="AN23">
        <f>HLOOKUP(7,$AI$17:$AQ$21,$E$16+1)</f>
        <v>165337</v>
      </c>
      <c r="AO23">
        <f>HLOOKUP(8,$AI$17:$AQ$21,$E$16+1)</f>
        <v>165337</v>
      </c>
      <c r="AP23">
        <f>HLOOKUP(9,$AI$17:$AQ$21,$E$16+1)</f>
        <v>165337</v>
      </c>
    </row>
    <row r="24" spans="2:42">
      <c r="E24" s="39"/>
      <c r="F24" s="16" t="s">
        <v>178</v>
      </c>
      <c r="H24" s="46">
        <v>0</v>
      </c>
      <c r="I24" s="16" t="s">
        <v>151</v>
      </c>
      <c r="U24" s="31">
        <f>100*(+AC18/$E$13)</f>
        <v>283.06293896799428</v>
      </c>
      <c r="V24" s="35">
        <f>EXP(5.6922-(0.68367*LN(U24)))</f>
        <v>6.2490239824514138</v>
      </c>
      <c r="W24" s="32">
        <f>(+V24*U24)/100</f>
        <v>17.688670941541769</v>
      </c>
      <c r="X24" s="31">
        <f>100*((((W24/100)-((W24/100)-0.03574)*$E$25)-0.03574-0.00619)/0.344)</f>
        <v>30.615087336680229</v>
      </c>
      <c r="Y24">
        <v>0</v>
      </c>
      <c r="Z24" s="31">
        <f>X24+Y24</f>
        <v>30.615087336680229</v>
      </c>
      <c r="AA24" s="31">
        <f>100*($E$21*$E$23+($E$22*(Z24/100))/(1-$E$25))</f>
        <v>25.351965065833088</v>
      </c>
      <c r="AB24" s="32">
        <f>AA24/U24</f>
        <v>8.9562996689932686E-2</v>
      </c>
      <c r="AC24" s="30">
        <f>$E$12/(1-AB24)</f>
        <v>165214.31023062544</v>
      </c>
      <c r="AD24" t="str">
        <f>IF(OR(OR(AC24=AC18,AC24=(AC18+1)),AC24=(AC18-1)),"yes","not yet")</f>
        <v>not yet</v>
      </c>
      <c r="AE24" s="31">
        <f>100*(1-AB24)</f>
        <v>91.043700331006733</v>
      </c>
      <c r="AH24">
        <v>1</v>
      </c>
      <c r="AI24" s="31">
        <f>AE9</f>
        <v>91.419680310907964</v>
      </c>
      <c r="AJ24" s="31">
        <f>AE15</f>
        <v>90.680810883893528</v>
      </c>
      <c r="AK24" s="31">
        <f>AE21</f>
        <v>90.727393432525787</v>
      </c>
      <c r="AL24" s="31">
        <f>AE27</f>
        <v>90.724451867230457</v>
      </c>
      <c r="AM24" s="31">
        <f>AE33</f>
        <v>90.724637600420152</v>
      </c>
      <c r="AN24" s="31" t="str">
        <f>AD45</f>
        <v>yes</v>
      </c>
      <c r="AO24" s="31" t="str">
        <f>AD51</f>
        <v>yes</v>
      </c>
      <c r="AP24" s="31" t="str">
        <f>AD57</f>
        <v>yes</v>
      </c>
    </row>
    <row r="25" spans="2:42">
      <c r="B25" s="34" t="s">
        <v>151</v>
      </c>
      <c r="C25" s="16" t="s">
        <v>179</v>
      </c>
      <c r="E25" s="40">
        <v>0.21</v>
      </c>
      <c r="F25" s="16" t="s">
        <v>180</v>
      </c>
      <c r="H25" s="46">
        <v>1.2E-2</v>
      </c>
      <c r="I25" s="16" t="s">
        <v>151</v>
      </c>
      <c r="Z25" s="31"/>
      <c r="AH25">
        <v>2</v>
      </c>
      <c r="AI25" s="31">
        <f>AE10</f>
        <v>91.566064578115316</v>
      </c>
      <c r="AJ25" s="31">
        <f>AE16</f>
        <v>90.832142662655357</v>
      </c>
      <c r="AK25" s="31">
        <f>AE22</f>
        <v>90.877500440604749</v>
      </c>
      <c r="AL25" s="31">
        <f>AE28</f>
        <v>90.874692732103597</v>
      </c>
      <c r="AM25" s="31">
        <f>AE34</f>
        <v>90.874866515787147</v>
      </c>
      <c r="AN25" s="31" t="str">
        <f>AD46</f>
        <v>yes</v>
      </c>
      <c r="AO25" s="31" t="str">
        <f>AD52</f>
        <v>yes</v>
      </c>
      <c r="AP25" s="31" t="str">
        <f>AD58</f>
        <v>yes</v>
      </c>
    </row>
    <row r="26" spans="2:42">
      <c r="H26" s="37" t="s">
        <v>153</v>
      </c>
      <c r="U26" s="16" t="s">
        <v>181</v>
      </c>
      <c r="V26" s="2" t="s">
        <v>134</v>
      </c>
      <c r="W26" s="2" t="s">
        <v>135</v>
      </c>
      <c r="X26" s="2" t="s">
        <v>136</v>
      </c>
      <c r="Z26" s="31"/>
      <c r="AH26">
        <v>3</v>
      </c>
      <c r="AI26" s="31">
        <f>AE11</f>
        <v>91.66467153113345</v>
      </c>
      <c r="AJ26" s="31">
        <f>AE17</f>
        <v>90.934283643986461</v>
      </c>
      <c r="AK26" s="31">
        <f>AE23</f>
        <v>90.978811588366909</v>
      </c>
      <c r="AL26" s="31">
        <f>AE29</f>
        <v>90.976092589653462</v>
      </c>
      <c r="AM26" s="31">
        <f>AE35</f>
        <v>90.9762586029006</v>
      </c>
      <c r="AN26" s="31" t="str">
        <f>AD47</f>
        <v>yes</v>
      </c>
      <c r="AO26" s="31" t="str">
        <f>AD53</f>
        <v>yes</v>
      </c>
      <c r="AP26" s="31" t="str">
        <f>AD59</f>
        <v>yes</v>
      </c>
    </row>
    <row r="27" spans="2:42">
      <c r="F27" s="16" t="s">
        <v>182</v>
      </c>
      <c r="H27" s="29">
        <f>SUM(H22:H25)</f>
        <v>3.5099999999999999E-2</v>
      </c>
      <c r="U27" s="31">
        <f>100*(+AC21/$E$13)</f>
        <v>283.91253150515018</v>
      </c>
      <c r="V27" s="35">
        <f>EXP(5.7226-(0.68367*LN(+U27)))</f>
        <v>6.4287259490840247</v>
      </c>
      <c r="W27" s="32">
        <f>(+V27*U27)/100</f>
        <v>18.251958585572947</v>
      </c>
      <c r="X27" s="31">
        <f>100*((((W27/100)-((W27/100)-0.03574)*$E$25)-0.03574-0.00619)/0.344)</f>
        <v>31.908683961054159</v>
      </c>
      <c r="Y27">
        <v>0</v>
      </c>
      <c r="Z27" s="31">
        <f>X27+Y27</f>
        <v>31.908683961054159</v>
      </c>
      <c r="AA27" s="31">
        <f>100*($E$21*$E$23+($E$22*(Z27/100))/(1-$E$25))</f>
        <v>26.334443514724676</v>
      </c>
      <c r="AB27" s="32">
        <f>AA27/U27</f>
        <v>9.2755481327695344E-2</v>
      </c>
      <c r="AC27" s="30">
        <f>$E$12/(1-AB27)</f>
        <v>165795.67957096791</v>
      </c>
      <c r="AD27" t="str">
        <f>IF(OR(OR(AC27=AC21,AC27=(AC21+1)),AC27=(AC13-1)),"yes","not yet")</f>
        <v>not yet</v>
      </c>
      <c r="AE27" s="31">
        <f>100*(1-AB27)</f>
        <v>90.724451867230457</v>
      </c>
      <c r="AH27">
        <v>4</v>
      </c>
      <c r="AI27" s="31">
        <f>AE12</f>
        <v>91.727747359055783</v>
      </c>
      <c r="AJ27" s="31">
        <f>AE18</f>
        <v>90.999705013324444</v>
      </c>
      <c r="AK27" s="31">
        <f>AE24</f>
        <v>91.043700331006733</v>
      </c>
      <c r="AL27" s="31">
        <f>AE30</f>
        <v>91.041037443568001</v>
      </c>
      <c r="AM27" s="31">
        <f>AE36</f>
        <v>91.041198603459307</v>
      </c>
      <c r="AN27" s="31" t="str">
        <f>AD48</f>
        <v>yes</v>
      </c>
      <c r="AO27" s="31" t="str">
        <f>AD54</f>
        <v>yes</v>
      </c>
      <c r="AP27" s="31" t="str">
        <f>AD60</f>
        <v>yes</v>
      </c>
    </row>
    <row r="28" spans="2:42">
      <c r="U28" s="31">
        <f>100*(+AC22/$E$13)</f>
        <v>283.443578679052</v>
      </c>
      <c r="V28" s="35">
        <f>EXP(5.70827-(0.68367*LN(+U28)))</f>
        <v>6.3444255629308026</v>
      </c>
      <c r="W28" s="32">
        <f>(+V28*U28)/100</f>
        <v>17.982866862199657</v>
      </c>
      <c r="X28" s="31">
        <f>100*((((W28/100)-((W28/100)-0.03574)*$E$25)-0.03574-0.00619)/0.344)</f>
        <v>31.290711689353866</v>
      </c>
      <c r="Y28">
        <v>0</v>
      </c>
      <c r="Z28" s="31">
        <f>X28+Y28</f>
        <v>31.290711689353866</v>
      </c>
      <c r="AA28" s="31">
        <f>100*($E$21*$E$23+($E$22*(Z28/100))/(1-$E$25))</f>
        <v>25.865097485585213</v>
      </c>
      <c r="AB28" s="32">
        <f>AA28/U28</f>
        <v>9.1253072678964112E-2</v>
      </c>
      <c r="AC28" s="30">
        <f>$E$12/(1-AB28)</f>
        <v>165521.57370560447</v>
      </c>
      <c r="AD28" t="str">
        <f>IF(OR(OR(AC28=AC22,AC28=(AC22+1)),AC28=(AC22-1)),"yes","not yet")</f>
        <v>not yet</v>
      </c>
      <c r="AE28" s="31">
        <f>100*(1-AB28)</f>
        <v>90.874692732103597</v>
      </c>
    </row>
    <row r="29" spans="2:42">
      <c r="F29" s="16" t="s">
        <v>183</v>
      </c>
      <c r="H29" s="32">
        <f>((+H19/100)-H27)</f>
        <v>0.87466258602900593</v>
      </c>
      <c r="U29" s="31">
        <f>100*(+AC23/$E$13)</f>
        <v>283.12794481023741</v>
      </c>
      <c r="V29" s="35">
        <f>EXP(5.6985-(0.68367*LN(U29)))</f>
        <v>6.2875299629730126</v>
      </c>
      <c r="W29" s="32">
        <f>(+V29*U29)/100</f>
        <v>17.801754363493373</v>
      </c>
      <c r="X29" s="31">
        <f>100*((((W29/100)-((W29/100)-0.03574)*$E$25)-0.03574-0.00619)/0.344)</f>
        <v>30.8747847301156</v>
      </c>
      <c r="Y29">
        <v>0</v>
      </c>
      <c r="Z29" s="31">
        <f>X29+Y29</f>
        <v>30.8747847301156</v>
      </c>
      <c r="AA29" s="31">
        <f>100*($E$21*$E$23+($E$22*(Z29/100))/(1-$E$25))</f>
        <v>25.549203592492859</v>
      </c>
      <c r="AB29" s="32">
        <f>AA29/U29</f>
        <v>9.0239074103465336E-2</v>
      </c>
      <c r="AC29" s="30">
        <f>$E$12/(1-AB29)</f>
        <v>165337.08717164348</v>
      </c>
      <c r="AD29" t="str">
        <f>IF(OR(OR(AC29=AC23,AC29=(AC23+1)),AC29=(AC23-1)),"yes","not yet")</f>
        <v>not yet</v>
      </c>
      <c r="AE29" s="31">
        <f>100*(1-AB29)</f>
        <v>90.976092589653462</v>
      </c>
      <c r="AI29" s="16" t="s">
        <v>184</v>
      </c>
    </row>
    <row r="30" spans="2:42">
      <c r="U30" s="31">
        <f>100*(+AC24/$E$13)</f>
        <v>282.92615362338825</v>
      </c>
      <c r="V30" s="35">
        <f>EXP(5.6922-(0.68367*LN(U30)))</f>
        <v>6.2510893244876362</v>
      </c>
      <c r="W30" s="32">
        <f>(+V30*U30)/100</f>
        <v>17.685966585335112</v>
      </c>
      <c r="X30" s="31">
        <f>100*((((W30/100)-((W30/100)-0.03574)*$E$25)-0.03574-0.00619)/0.344)</f>
        <v>30.608876751205631</v>
      </c>
      <c r="Y30">
        <v>0</v>
      </c>
      <c r="Z30" s="31">
        <f>X30+Y30</f>
        <v>30.608876751205631</v>
      </c>
      <c r="AA30" s="31">
        <f>100*($E$21*$E$23+($E$22*(Z30/100))/(1-$E$25))</f>
        <v>25.347248165472632</v>
      </c>
      <c r="AB30" s="32">
        <f>AA30/U30</f>
        <v>8.958962556432E-2</v>
      </c>
      <c r="AC30" s="30">
        <f>$E$12/(1-AB30)</f>
        <v>165219.14263504182</v>
      </c>
      <c r="AD30" t="str">
        <f>IF(OR(OR(AC30=AC24,AC30=(AC24+1)),AC30=(AC24-1)),"yes","not yet")</f>
        <v>not yet</v>
      </c>
      <c r="AE30" s="31">
        <f>100*(1-AB30)</f>
        <v>91.041037443568001</v>
      </c>
      <c r="AI30" s="31">
        <f>HLOOKUP($AI$29,$AI$23:$AQ$27,$E$16+1)</f>
        <v>90.9762586029006</v>
      </c>
    </row>
    <row r="31" spans="2:42">
      <c r="E31" s="30"/>
      <c r="Z31" s="31"/>
    </row>
    <row r="32" spans="2:42">
      <c r="U32" s="16" t="s">
        <v>185</v>
      </c>
      <c r="V32" s="2" t="s">
        <v>134</v>
      </c>
      <c r="W32" s="2" t="s">
        <v>135</v>
      </c>
      <c r="X32" s="2" t="s">
        <v>136</v>
      </c>
      <c r="Z32" s="31"/>
      <c r="AI32" t="str">
        <f>HLOOKUP(1,$AI$17:$AQ$21,$E$16+1)</f>
        <v>not yet</v>
      </c>
      <c r="AJ32" t="str">
        <f>HLOOKUP(2,$AI$17:$AQ$21,$E$16+1)</f>
        <v>not yet</v>
      </c>
      <c r="AK32" t="str">
        <f>HLOOKUP(3,$AI$17:$AQ$21,$E$16+1)</f>
        <v>not yet</v>
      </c>
      <c r="AL32" t="str">
        <f>HLOOKUP(4,$AI$17:$AQ$21,$E$16+1)</f>
        <v>not yet</v>
      </c>
      <c r="AM32" t="str">
        <f>HLOOKUP(5,$AI$17:$AQ$21,$E$16+1)</f>
        <v>not yet</v>
      </c>
      <c r="AN32">
        <f>HLOOKUP(7,$AI$17:$AQ$21,$E$16+1)</f>
        <v>165337</v>
      </c>
      <c r="AO32">
        <f>HLOOKUP(8,$AI$17:$AQ$21,$E$16+1)</f>
        <v>165337</v>
      </c>
      <c r="AP32">
        <f>HLOOKUP(9,$AI$17:$AQ$21,$E$16+1)</f>
        <v>165337</v>
      </c>
    </row>
    <row r="33" spans="5:42">
      <c r="E33" s="30"/>
      <c r="U33" s="31">
        <f>100*(+AC27/$E$13)</f>
        <v>283.92173682116362</v>
      </c>
      <c r="V33" s="35">
        <f>EXP(5.7226-(0.68367*LN(+U33)))</f>
        <v>6.4285834494588716</v>
      </c>
      <c r="W33" s="32">
        <f>(+V33*U33)/100</f>
        <v>18.252145782701501</v>
      </c>
      <c r="X33" s="31">
        <f>100*((((W33/100)-((W33/100)-0.03574)*$E$25)-0.03574-0.00619)/0.344)</f>
        <v>31.909113861436595</v>
      </c>
      <c r="Y33">
        <v>0</v>
      </c>
      <c r="Z33" s="31">
        <f>X33+Y33</f>
        <v>31.909113861436595</v>
      </c>
      <c r="AA33" s="31">
        <f>100*($E$21*$E$23+($E$22*(Z33/100))/(1-$E$25))</f>
        <v>26.334770021344244</v>
      </c>
      <c r="AB33" s="32">
        <f>AA33/U33</f>
        <v>9.2753623995798409E-2</v>
      </c>
      <c r="AC33" s="30">
        <f>$E$12/(1-AB33)</f>
        <v>165795.34015092481</v>
      </c>
      <c r="AD33" t="str">
        <f>IF(OR(OR(AC33=AC27,AC33=(AC27+1)),AC33=(AC19-1)),"yes","not yet")</f>
        <v>not yet</v>
      </c>
      <c r="AE33" s="31">
        <f>100*(1-AB33)</f>
        <v>90.724637600420152</v>
      </c>
      <c r="AH33">
        <v>1</v>
      </c>
      <c r="AI33" s="31">
        <f>U9</f>
        <v>321.9830493286517</v>
      </c>
      <c r="AJ33" s="31">
        <f>U15</f>
        <v>281.76256861421859</v>
      </c>
      <c r="AK33" s="31">
        <f>U21</f>
        <v>284.05837679675312</v>
      </c>
      <c r="AL33" s="31">
        <f>U27</f>
        <v>283.91253150515018</v>
      </c>
      <c r="AM33" s="31">
        <f>U33</f>
        <v>283.92173682116362</v>
      </c>
      <c r="AN33" s="31">
        <f>T45</f>
        <v>0</v>
      </c>
      <c r="AO33" s="31">
        <f>T51</f>
        <v>0</v>
      </c>
      <c r="AP33" s="31">
        <f>T57</f>
        <v>0</v>
      </c>
    </row>
    <row r="34" spans="5:42">
      <c r="E34" s="30"/>
      <c r="U34" s="31">
        <f>100*(+AC28/$E$13)</f>
        <v>283.4523360890804</v>
      </c>
      <c r="V34" s="35">
        <f>EXP(5.70827-(0.68367*LN(+U34)))</f>
        <v>6.3442915531196302</v>
      </c>
      <c r="W34" s="32">
        <f>(+V34*U34)/100</f>
        <v>17.983042615619794</v>
      </c>
      <c r="X34" s="31">
        <f>100*((((W34/100)-((W34/100)-0.03574)*$E$25)-0.03574-0.00619)/0.344)</f>
        <v>31.291115309126855</v>
      </c>
      <c r="Y34">
        <v>0</v>
      </c>
      <c r="Z34" s="31">
        <f>X34+Y34</f>
        <v>31.291115309126855</v>
      </c>
      <c r="AA34" s="31">
        <f>100*($E$21*$E$23+($E$22*(Z34/100))/(1-$E$25))</f>
        <v>25.865404032248239</v>
      </c>
      <c r="AB34" s="32">
        <f>AA34/U34</f>
        <v>9.1251334842128565E-2</v>
      </c>
      <c r="AC34" s="30">
        <f>$E$12/(1-AB34)</f>
        <v>165521.25717200292</v>
      </c>
      <c r="AD34" t="str">
        <f>IF(OR(OR(AC34=AC28,AC34=(AC28+1)),AC34=(AC28-1)),"yes","not yet")</f>
        <v>not yet</v>
      </c>
      <c r="AE34" s="31">
        <f>100*(1-AB34)</f>
        <v>90.874866515787147</v>
      </c>
      <c r="AH34">
        <v>2</v>
      </c>
      <c r="AI34" s="31">
        <f>U10</f>
        <v>321.9830493286517</v>
      </c>
      <c r="AJ34" s="31">
        <f>U16</f>
        <v>281.31212218165558</v>
      </c>
      <c r="AK34" s="31">
        <f>U22</f>
        <v>283.58511856268825</v>
      </c>
      <c r="AL34" s="31">
        <f>U28</f>
        <v>283.443578679052</v>
      </c>
      <c r="AM34" s="31">
        <f>U34</f>
        <v>283.4523360890804</v>
      </c>
      <c r="AN34" s="31">
        <f>T46</f>
        <v>0</v>
      </c>
      <c r="AO34" s="31">
        <f>T52</f>
        <v>0</v>
      </c>
      <c r="AP34" s="31">
        <f>T58</f>
        <v>0</v>
      </c>
    </row>
    <row r="35" spans="5:42">
      <c r="E35" s="30"/>
      <c r="U35" s="31">
        <f>100*(+AC29/$E$13)</f>
        <v>283.13640664340443</v>
      </c>
      <c r="V35" s="35">
        <f>EXP(5.6985-(0.68367*LN(U35)))</f>
        <v>6.2874014942562049</v>
      </c>
      <c r="W35" s="32">
        <f>(+V35*U35)/100</f>
        <v>17.801922662080734</v>
      </c>
      <c r="X35" s="31">
        <f>100*((((W35/100)-((W35/100)-0.03574)*$E$25)-0.03574-0.00619)/0.344)</f>
        <v>30.875171229778438</v>
      </c>
      <c r="Y35">
        <v>0</v>
      </c>
      <c r="Z35" s="31">
        <f>X35+Y35</f>
        <v>30.875171229778438</v>
      </c>
      <c r="AA35" s="31">
        <f>100*($E$21*$E$23+($E$22*(Z35/100))/(1-$E$25))</f>
        <v>25.549497136540584</v>
      </c>
      <c r="AB35" s="32">
        <f>AA35/U35</f>
        <v>9.023741397099401E-2</v>
      </c>
      <c r="AC35" s="30">
        <f>$E$12/(1-AB35)</f>
        <v>165336.785464944</v>
      </c>
      <c r="AD35" t="str">
        <f>IF(OR(OR(AC35=AC29,AC35=(AC29+1)),AC35=(AC29-1)),"yes","not yet")</f>
        <v>not yet</v>
      </c>
      <c r="AE35" s="31">
        <f>100*(1-AB35)</f>
        <v>90.9762586029006</v>
      </c>
      <c r="AH35">
        <v>3</v>
      </c>
      <c r="AI35" s="31">
        <f>U11</f>
        <v>321.9830493286517</v>
      </c>
      <c r="AJ35" s="31">
        <f>U17</f>
        <v>281.0095047091653</v>
      </c>
      <c r="AK35" s="31">
        <f>U23</f>
        <v>283.26658454955094</v>
      </c>
      <c r="AL35" s="31">
        <f>U29</f>
        <v>283.12794481023741</v>
      </c>
      <c r="AM35" s="31">
        <f>U35</f>
        <v>283.13640664340443</v>
      </c>
      <c r="AN35" s="31">
        <f>T47</f>
        <v>0</v>
      </c>
      <c r="AO35" s="31">
        <f>T53</f>
        <v>0</v>
      </c>
      <c r="AP35" s="31">
        <f>T59</f>
        <v>0</v>
      </c>
    </row>
    <row r="36" spans="5:42">
      <c r="E36" s="30"/>
      <c r="U36" s="31">
        <f>100*(+AC30/$E$13)</f>
        <v>282.9344290178887</v>
      </c>
      <c r="V36" s="35">
        <f>EXP(5.6922-(0.68367*LN(U36)))</f>
        <v>6.2509643253130021</v>
      </c>
      <c r="W36" s="32">
        <f>(+V36*U36)/100</f>
        <v>17.686130221936263</v>
      </c>
      <c r="X36" s="31">
        <f>100*((((W36/100)-((W36/100)-0.03574)*$E$25)-0.03574-0.00619)/0.344)</f>
        <v>30.609252544562938</v>
      </c>
      <c r="Y36">
        <v>0</v>
      </c>
      <c r="Z36" s="31">
        <f>X36+Y36</f>
        <v>30.609252544562938</v>
      </c>
      <c r="AA36" s="31">
        <f>100*($E$21*$E$23+($E$22*(Z36/100))/(1-$E$25))</f>
        <v>25.347533578149061</v>
      </c>
      <c r="AB36" s="32">
        <f>AA36/U36</f>
        <v>8.9588013965406971E-2</v>
      </c>
      <c r="AC36" s="30">
        <f>$E$12/(1-AB36)</f>
        <v>165218.85016636303</v>
      </c>
      <c r="AD36" t="str">
        <f>IF(OR(OR(AC36=AC30,AC36=(AC30+1)),AC36=(AC30-1)),"yes","not yet")</f>
        <v>not yet</v>
      </c>
      <c r="AE36" s="31">
        <f>100*(1-AB36)</f>
        <v>91.041198603459307</v>
      </c>
      <c r="AH36">
        <v>4</v>
      </c>
      <c r="AI36" s="31">
        <f>U12</f>
        <v>321.9830493286517</v>
      </c>
      <c r="AJ36" s="31">
        <f>U18</f>
        <v>280.81627084401657</v>
      </c>
      <c r="AK36" s="31">
        <f>U24</f>
        <v>283.06293896799428</v>
      </c>
      <c r="AL36" s="31">
        <f>U30</f>
        <v>282.92615362338825</v>
      </c>
      <c r="AM36" s="31">
        <f>U36</f>
        <v>282.9344290178887</v>
      </c>
      <c r="AN36" s="31">
        <f>T48</f>
        <v>0</v>
      </c>
      <c r="AO36" s="31">
        <f>T54</f>
        <v>0</v>
      </c>
      <c r="AP36" s="31">
        <f>T60</f>
        <v>0</v>
      </c>
    </row>
    <row r="37" spans="5:42">
      <c r="E37" s="30"/>
      <c r="Z37" s="31"/>
    </row>
    <row r="38" spans="5:42">
      <c r="U38" s="16" t="s">
        <v>186</v>
      </c>
      <c r="V38" s="2" t="s">
        <v>134</v>
      </c>
      <c r="W38" s="2" t="s">
        <v>135</v>
      </c>
      <c r="X38" s="2" t="s">
        <v>136</v>
      </c>
      <c r="Z38" s="31"/>
      <c r="AI38" s="16" t="s">
        <v>184</v>
      </c>
    </row>
    <row r="39" spans="5:42">
      <c r="U39" s="31">
        <f>100*(+AC33/$E$13)</f>
        <v>283.92115557122759</v>
      </c>
      <c r="V39" s="35">
        <f>EXP(5.7226-(0.68367*LN(+U39)))</f>
        <v>6.4285924470619857</v>
      </c>
      <c r="W39" s="32">
        <f>(+V39*U39)/100</f>
        <v>18.252133962663049</v>
      </c>
      <c r="X39" s="31">
        <f>100*((((W39/100)-((W39/100)-0.03574)*$E$25)-0.03574-0.00619)/0.344)</f>
        <v>31.909086716580841</v>
      </c>
      <c r="Y39">
        <v>0</v>
      </c>
      <c r="Z39" s="31">
        <f>X39+Y39</f>
        <v>31.909086716580841</v>
      </c>
      <c r="AA39" s="31">
        <f>100*($E$21*$E$23+($E$22*(Z39/100))/(1-$E$25))</f>
        <v>26.334749404998103</v>
      </c>
      <c r="AB39" s="32">
        <f>AA39/U39</f>
        <v>9.2753741270229076E-2</v>
      </c>
      <c r="AC39" s="30">
        <f>ROUND($E$12/(1-AB39),0)</f>
        <v>165795</v>
      </c>
      <c r="AD39" t="str">
        <f>IF(OR(OR(AC39=AC33,AC39=(AC33+1)),AC39=(AC25-1)),"yes","not yet")</f>
        <v>not yet</v>
      </c>
      <c r="AE39" s="31">
        <f>100*(1-AB39)</f>
        <v>90.7246258729771</v>
      </c>
      <c r="AI39" s="31">
        <f>HLOOKUP($AI$38,$AI$32:$AQ$36,$E$16+1)</f>
        <v>283.13640664340443</v>
      </c>
    </row>
    <row r="40" spans="5:42">
      <c r="U40" s="31">
        <f>100*(+AC34/$E$13)</f>
        <v>283.45179403171102</v>
      </c>
      <c r="V40" s="35">
        <f>EXP(5.70827-(0.68367*LN(+U40)))</f>
        <v>6.3442998477219259</v>
      </c>
      <c r="W40" s="32">
        <f>(+V40*U40)/100</f>
        <v>17.983031737118907</v>
      </c>
      <c r="X40" s="31">
        <f>100*((((W40/100)-((W40/100)-0.03574)*$E$25)-0.03574-0.00619)/0.344)</f>
        <v>31.291090326523069</v>
      </c>
      <c r="Y40">
        <v>0</v>
      </c>
      <c r="Z40" s="31">
        <f>X40+Y40</f>
        <v>31.291090326523069</v>
      </c>
      <c r="AA40" s="31">
        <f>100*($E$21*$E$23+($E$22*(Z40/100))/(1-$E$25))</f>
        <v>25.865385058118783</v>
      </c>
      <c r="AB40" s="32">
        <f>AA40/U40</f>
        <v>9.1251442406552932E-2</v>
      </c>
      <c r="AC40" s="30">
        <f>ROUND($E$12/(1-AB40),0)</f>
        <v>165521</v>
      </c>
      <c r="AD40" t="str">
        <f>IF(OR(OR(AC40=AC34,AC40=(AC34+1)),AC40=(AC34-1)),"yes","not yet")</f>
        <v>not yet</v>
      </c>
      <c r="AE40" s="31">
        <f>100*(1-AB40)</f>
        <v>90.874855759344712</v>
      </c>
    </row>
    <row r="41" spans="5:42">
      <c r="U41" s="31">
        <f>100*(+AC35/$E$13)</f>
        <v>283.13588997680404</v>
      </c>
      <c r="V41" s="35">
        <f>EXP(5.6985-(0.68367*LN(U41)))</f>
        <v>6.2874093381744078</v>
      </c>
      <c r="W41" s="32">
        <f>(+V41*U41)/100</f>
        <v>17.801912386124794</v>
      </c>
      <c r="X41" s="31">
        <f>100*((((W41/100)-((W41/100)-0.03574)*$E$25)-0.03574-0.00619)/0.344)</f>
        <v>30.875147630926129</v>
      </c>
      <c r="Y41">
        <v>0</v>
      </c>
      <c r="Z41" s="31">
        <f>X41+Y41</f>
        <v>30.875147630926129</v>
      </c>
      <c r="AA41" s="31">
        <f>100*($E$21*$E$23+($E$22*(Z41/100))/(1-$E$25))</f>
        <v>25.549479213361622</v>
      </c>
      <c r="AB41" s="32">
        <f>AA41/U41</f>
        <v>9.023751533390828E-2</v>
      </c>
      <c r="AC41" s="30">
        <f>ROUND($E$12/(1-AB41),0)</f>
        <v>165337</v>
      </c>
      <c r="AD41" t="str">
        <f>IF(OR(OR(AC41=AC35,AC41=(AC35+1)),AC41=(AC35-1)),"yes","not yet")</f>
        <v>not yet</v>
      </c>
      <c r="AE41" s="31">
        <f>100*(1-AB41)</f>
        <v>90.976248466609164</v>
      </c>
      <c r="AI41" t="str">
        <f>HLOOKUP(1,$AI$17:$AQ$21,$E$16+1)</f>
        <v>not yet</v>
      </c>
      <c r="AJ41" t="str">
        <f>HLOOKUP(2,$AI$17:$AQ$21,$E$16+1)</f>
        <v>not yet</v>
      </c>
      <c r="AK41" t="str">
        <f>HLOOKUP(3,$AI$17:$AQ$21,$E$16+1)</f>
        <v>not yet</v>
      </c>
      <c r="AL41" t="str">
        <f>HLOOKUP(4,$AI$17:$AQ$21,$E$16+1)</f>
        <v>not yet</v>
      </c>
      <c r="AM41" t="str">
        <f>HLOOKUP(5,$AI$17:$AQ$21,$E$16+1)</f>
        <v>not yet</v>
      </c>
      <c r="AN41">
        <f>HLOOKUP(7,$AI$17:$AQ$21,$E$16+1)</f>
        <v>165337</v>
      </c>
      <c r="AO41">
        <f>HLOOKUP(8,$AI$17:$AQ$21,$E$16+1)</f>
        <v>165337</v>
      </c>
      <c r="AP41">
        <f>HLOOKUP(9,$AI$17:$AQ$21,$E$16+1)</f>
        <v>165337</v>
      </c>
    </row>
    <row r="42" spans="5:42">
      <c r="U42" s="31">
        <f>100*(+AC36/$E$13)</f>
        <v>282.93392817121128</v>
      </c>
      <c r="V42" s="35">
        <f>EXP(5.6922-(0.68367*LN(U42)))</f>
        <v>6.2509718903871594</v>
      </c>
      <c r="W42" s="32">
        <f>(+V42*U42)/100</f>
        <v>17.686120318350614</v>
      </c>
      <c r="X42" s="31">
        <f>100*((((W42/100)-((W42/100)-0.03574)*$E$25)-0.03574-0.00619)/0.344)</f>
        <v>30.609229800863336</v>
      </c>
      <c r="Y42">
        <v>0</v>
      </c>
      <c r="Z42" s="31">
        <f>X42+Y42</f>
        <v>30.609229800863336</v>
      </c>
      <c r="AA42" s="31">
        <f>100*($E$21*$E$23+($E$22*(Z42/100))/(1-$E$25))</f>
        <v>25.347516304453166</v>
      </c>
      <c r="AB42" s="32">
        <f>AA42/U42</f>
        <v>8.9588111501122877E-2</v>
      </c>
      <c r="AC42" s="30">
        <f>ROUND($E$12/(1-AB42),0)</f>
        <v>165219</v>
      </c>
      <c r="AD42" t="str">
        <f>IF(OR(OR(AC42=AC36,AC42=(AC36+1)),AC42=(AC36-1)),"yes","not yet")</f>
        <v>not yet</v>
      </c>
      <c r="AE42" s="31">
        <f>100*(1-AB42)</f>
        <v>91.041188849887718</v>
      </c>
      <c r="AH42">
        <v>1</v>
      </c>
      <c r="AI42" s="30">
        <f>AC9</f>
        <v>164534.83648023981</v>
      </c>
      <c r="AJ42" s="30">
        <f>AC15</f>
        <v>165875.47028323621</v>
      </c>
      <c r="AK42" s="30">
        <f>AC21</f>
        <v>165790.3041402552</v>
      </c>
      <c r="AL42" s="30">
        <f>AC27</f>
        <v>165795.67957096791</v>
      </c>
      <c r="AM42" s="30">
        <f>AC33</f>
        <v>165795.34015092481</v>
      </c>
      <c r="AN42" s="30">
        <f>AB45</f>
        <v>9.2753858797569505E-2</v>
      </c>
      <c r="AO42" s="30">
        <f>AB51</f>
        <v>9.2753858797569505E-2</v>
      </c>
      <c r="AP42" s="30">
        <f>AB57</f>
        <v>9.2753858797569505E-2</v>
      </c>
    </row>
    <row r="43" spans="5:42">
      <c r="Z43" s="31"/>
      <c r="AH43">
        <v>2</v>
      </c>
      <c r="AI43" s="30">
        <f>AC10</f>
        <v>164271.79895013288</v>
      </c>
      <c r="AJ43" s="30">
        <f>AC16</f>
        <v>165599.11183527857</v>
      </c>
      <c r="AK43" s="30">
        <f>AC22</f>
        <v>165516.45982893129</v>
      </c>
      <c r="AL43" s="30">
        <f>AC28</f>
        <v>165521.57370560447</v>
      </c>
      <c r="AM43" s="30">
        <f>AC34</f>
        <v>165521.25717200292</v>
      </c>
      <c r="AN43" s="30">
        <f>AB46</f>
        <v>9.125152979896195E-2</v>
      </c>
      <c r="AO43" s="30">
        <f>AB52</f>
        <v>9.125152979896195E-2</v>
      </c>
      <c r="AP43" s="30">
        <f>AB58</f>
        <v>9.125152979896195E-2</v>
      </c>
    </row>
    <row r="44" spans="5:42">
      <c r="U44" s="16" t="s">
        <v>187</v>
      </c>
      <c r="V44" s="2" t="s">
        <v>134</v>
      </c>
      <c r="W44" s="2" t="s">
        <v>135</v>
      </c>
      <c r="X44" s="2" t="s">
        <v>136</v>
      </c>
      <c r="Z44" s="31"/>
      <c r="AH44">
        <v>3</v>
      </c>
      <c r="AI44" s="30">
        <f>AC11</f>
        <v>164095.08592328505</v>
      </c>
      <c r="AJ44" s="30">
        <f>AC17</f>
        <v>165413.10436798894</v>
      </c>
      <c r="AK44" s="30">
        <f>AC23</f>
        <v>165332.14589664267</v>
      </c>
      <c r="AL44" s="30">
        <f>AC29</f>
        <v>165337.08717164348</v>
      </c>
      <c r="AM44" s="30">
        <f>AC35</f>
        <v>165336.785464944</v>
      </c>
      <c r="AN44" s="30">
        <f>AB47</f>
        <v>9.0237443257591976E-2</v>
      </c>
      <c r="AO44" s="30">
        <f>AB53</f>
        <v>9.0237443257591976E-2</v>
      </c>
      <c r="AP44" s="30">
        <f>AB59</f>
        <v>9.0237443257591976E-2</v>
      </c>
    </row>
    <row r="45" spans="5:42">
      <c r="U45" s="31">
        <f>100*(+AC39/$E$13)</f>
        <v>283.92057306967143</v>
      </c>
      <c r="V45" s="35">
        <f>EXP(5.7226-(0.68367*LN(+U45)))</f>
        <v>6.4286014640709785</v>
      </c>
      <c r="W45" s="32">
        <f>(+V45*U45)/100</f>
        <v>18.252122117155611</v>
      </c>
      <c r="X45" s="31">
        <f>100*((((W45/100)-((W45/100)-0.03574)*$E$25)-0.03574-0.00619)/0.344)</f>
        <v>31.90905951323527</v>
      </c>
      <c r="Y45">
        <v>0</v>
      </c>
      <c r="Z45" s="31">
        <f>X45+Y45</f>
        <v>31.90905951323527</v>
      </c>
      <c r="AA45" s="31">
        <f>100*($E$21*$E$23+($E$22*(Z45/100))/(1-$E$25))</f>
        <v>26.33472874422932</v>
      </c>
      <c r="AB45" s="32">
        <f>AA45/U45</f>
        <v>9.2753858797569505E-2</v>
      </c>
      <c r="AC45" s="30">
        <f>ROUND($E$12/(1-AB45),0)</f>
        <v>165795</v>
      </c>
      <c r="AD45" t="str">
        <f>IF(OR(OR(AC45=AC39,AC45=(AC39+1)),AC45=(AC31-1)),"yes","not yet")</f>
        <v>yes</v>
      </c>
      <c r="AE45" s="31">
        <f>100*(1-AB45)</f>
        <v>90.724614120243047</v>
      </c>
      <c r="AH45">
        <v>4</v>
      </c>
      <c r="AI45" s="30">
        <f>AC12</f>
        <v>163982.24729265692</v>
      </c>
      <c r="AJ45" s="30">
        <f>AC18</f>
        <v>165294.1858309166</v>
      </c>
      <c r="AK45" s="30">
        <f>AC24</f>
        <v>165214.31023062544</v>
      </c>
      <c r="AL45" s="30">
        <f>AC30</f>
        <v>165219.14263504182</v>
      </c>
      <c r="AM45" s="30">
        <f>AC36</f>
        <v>165218.85016636303</v>
      </c>
      <c r="AN45" s="30">
        <f>AB48</f>
        <v>8.9588061532897112E-2</v>
      </c>
      <c r="AO45" s="30">
        <f>AB54</f>
        <v>8.9588061532897112E-2</v>
      </c>
      <c r="AP45" s="30">
        <f>AB60</f>
        <v>8.9588061532897112E-2</v>
      </c>
    </row>
    <row r="46" spans="5:42">
      <c r="U46" s="31">
        <f>100*(+AC40/$E$13)</f>
        <v>283.45135362987475</v>
      </c>
      <c r="V46" s="35">
        <f>EXP(5.70827-(0.68367*LN(+U46)))</f>
        <v>6.3443065868033379</v>
      </c>
      <c r="W46" s="32">
        <f>(+V46*U46)/100</f>
        <v>17.983022898723366</v>
      </c>
      <c r="X46" s="31">
        <f>100*((((W46/100)-((W46/100)-0.03574)*$E$25)-0.03574-0.00619)/0.344)</f>
        <v>31.291070029044942</v>
      </c>
      <c r="Y46">
        <v>0</v>
      </c>
      <c r="Z46" s="31">
        <f>X46+Y46</f>
        <v>31.291070029044942</v>
      </c>
      <c r="AA46" s="31">
        <f>100*($E$21*$E$23+($E$22*(Z46/100))/(1-$E$25))</f>
        <v>25.865369642312615</v>
      </c>
      <c r="AB46" s="32">
        <f>AA46/U46</f>
        <v>9.125152979896195E-2</v>
      </c>
      <c r="AC46" s="30">
        <f>ROUND($E$12/(1-AB46),0)</f>
        <v>165521</v>
      </c>
      <c r="AD46" t="str">
        <f>IF(OR(OR(AC46=AC40,AC46=(AC40+1)),AC46=(AC40-1)),"yes","not yet")</f>
        <v>yes</v>
      </c>
      <c r="AE46" s="31">
        <f>100*(1-AB46)</f>
        <v>90.8748470201038</v>
      </c>
    </row>
    <row r="47" spans="5:42">
      <c r="U47" s="31">
        <f>100*(+AC41/$E$13)</f>
        <v>283.13625736373393</v>
      </c>
      <c r="V47" s="35">
        <f>EXP(5.6985-(0.68367*LN(U47)))</f>
        <v>6.2874037605847146</v>
      </c>
      <c r="W47" s="32">
        <f>(+V47*U47)/100</f>
        <v>17.801919693066221</v>
      </c>
      <c r="X47" s="31">
        <f>100*((((W47/100)-((W47/100)-0.03574)*$E$25)-0.03574-0.00619)/0.344)</f>
        <v>30.875164411402086</v>
      </c>
      <c r="Y47">
        <v>0</v>
      </c>
      <c r="Z47" s="31">
        <f>X47+Y47</f>
        <v>30.875164411402086</v>
      </c>
      <c r="AA47" s="31">
        <f>100*($E$21*$E$23+($E$22*(Z47/100))/(1-$E$25))</f>
        <v>25.549491958026898</v>
      </c>
      <c r="AB47" s="32">
        <f>AA47/U47</f>
        <v>9.0237443257591976E-2</v>
      </c>
      <c r="AC47" s="30">
        <f>ROUND($E$12/(1-AB47),0)</f>
        <v>165337</v>
      </c>
      <c r="AD47" t="str">
        <f>IF(OR(OR(AC47=AC41,AC47=(AC41+1)),AC47=(AC41-1)),"yes","not yet")</f>
        <v>yes</v>
      </c>
      <c r="AE47" s="31">
        <f>100*(1-AB47)</f>
        <v>90.976255674240804</v>
      </c>
      <c r="AI47" s="16" t="s">
        <v>184</v>
      </c>
    </row>
    <row r="48" spans="5:42">
      <c r="U48" s="31">
        <f>100*(+AC42/$E$13)</f>
        <v>282.93418475827406</v>
      </c>
      <c r="V48" s="35">
        <f>EXP(5.6922-(0.68367*LN(U48)))</f>
        <v>6.2509680147468565</v>
      </c>
      <c r="W48" s="32">
        <f>(+V48*U48)/100</f>
        <v>17.686125392024486</v>
      </c>
      <c r="X48" s="31">
        <f>100*((((W48/100)-((W48/100)-0.03574)*$E$25)-0.03574-0.00619)/0.344)</f>
        <v>30.609241452614377</v>
      </c>
      <c r="Y48">
        <v>0</v>
      </c>
      <c r="Z48" s="31">
        <f>X48+Y48</f>
        <v>30.609241452614377</v>
      </c>
      <c r="AA48" s="31">
        <f>100*($E$21*$E$23+($E$22*(Z48/100))/(1-$E$25))</f>
        <v>25.347525153884337</v>
      </c>
      <c r="AB48" s="32">
        <f>AA48/U48</f>
        <v>8.9588061532897112E-2</v>
      </c>
      <c r="AC48" s="30">
        <f>ROUND($E$12/(1-AB48),0)</f>
        <v>165219</v>
      </c>
      <c r="AD48" t="str">
        <f>IF(OR(OR(AC48=AC42,AC48=(AC42+1)),AC48=(AC42-1)),"yes","not yet")</f>
        <v>yes</v>
      </c>
      <c r="AE48" s="31">
        <f>100*(1-AB48)</f>
        <v>91.041193846710286</v>
      </c>
      <c r="AI48" s="30">
        <f>HLOOKUP($AI$38,$AI$41:$AQ$45,$E$16+1)</f>
        <v>165336.785464944</v>
      </c>
    </row>
    <row r="49" spans="4:31">
      <c r="Z49" s="31"/>
    </row>
    <row r="50" spans="4:31">
      <c r="D50" s="30"/>
      <c r="E50" s="30"/>
      <c r="F50" s="30"/>
      <c r="U50" s="16" t="s">
        <v>188</v>
      </c>
      <c r="V50" s="2" t="s">
        <v>134</v>
      </c>
      <c r="W50" s="2" t="s">
        <v>135</v>
      </c>
      <c r="X50" s="2" t="s">
        <v>136</v>
      </c>
      <c r="Z50" s="31"/>
    </row>
    <row r="51" spans="4:31">
      <c r="D51" s="30"/>
      <c r="E51" s="30"/>
      <c r="F51" s="30"/>
      <c r="U51" s="31">
        <f>100*(+AC45/$E$13)</f>
        <v>283.92057306967143</v>
      </c>
      <c r="V51" s="35">
        <f>EXP(5.7226-(0.68367*LN(+U51)))</f>
        <v>6.4286014640709785</v>
      </c>
      <c r="W51" s="32">
        <f>(+V51*U51)/100</f>
        <v>18.252122117155611</v>
      </c>
      <c r="X51" s="31">
        <f>100*((((W51/100)-((W51/100)-0.03574)*$E$25)-0.03574-0.00619)/0.344)</f>
        <v>31.90905951323527</v>
      </c>
      <c r="Y51">
        <v>0</v>
      </c>
      <c r="Z51" s="31">
        <f>X51+Y51</f>
        <v>31.90905951323527</v>
      </c>
      <c r="AA51" s="31">
        <f>100*($E$21*$E$23+($E$22*(Z51/100))/(1-$E$25))</f>
        <v>26.33472874422932</v>
      </c>
      <c r="AB51" s="32">
        <f>AA51/U51</f>
        <v>9.2753858797569505E-2</v>
      </c>
      <c r="AC51" s="30">
        <f>ROUND($E$12/(1-AB51),0)</f>
        <v>165795</v>
      </c>
      <c r="AD51" t="str">
        <f>IF(OR(OR(AC51=AC45,AC51=(AC45+1)),AC51=(AC37-1)),"yes","not yet")</f>
        <v>yes</v>
      </c>
      <c r="AE51" s="31">
        <f>100*(1-AB51)</f>
        <v>90.724614120243047</v>
      </c>
    </row>
    <row r="52" spans="4:31">
      <c r="U52" s="31">
        <f>100*(+AC46/$E$13)</f>
        <v>283.45135362987475</v>
      </c>
      <c r="V52" s="35">
        <f>EXP(5.70827-(0.68367*LN(+U52)))</f>
        <v>6.3443065868033379</v>
      </c>
      <c r="W52" s="32">
        <f>(+V52*U52)/100</f>
        <v>17.983022898723366</v>
      </c>
      <c r="X52" s="31">
        <f>100*((((W52/100)-((W52/100)-0.03574)*$E$25)-0.03574-0.00619)/0.344)</f>
        <v>31.291070029044942</v>
      </c>
      <c r="Y52">
        <v>0</v>
      </c>
      <c r="Z52" s="31">
        <f>X52+Y52</f>
        <v>31.291070029044942</v>
      </c>
      <c r="AA52" s="31">
        <f>100*($E$21*$E$23+($E$22*(Z52/100))/(1-$E$25))</f>
        <v>25.865369642312615</v>
      </c>
      <c r="AB52" s="32">
        <f>AA52/U52</f>
        <v>9.125152979896195E-2</v>
      </c>
      <c r="AC52" s="30">
        <f>ROUND($E$12/(1-AB52),0)</f>
        <v>165521</v>
      </c>
      <c r="AD52" t="str">
        <f>IF(OR(OR(AC52=AC46,AC52=(AC46+1)),AC52=(AC46-1)),"yes","not yet")</f>
        <v>yes</v>
      </c>
      <c r="AE52" s="31">
        <f>100*(1-AB52)</f>
        <v>90.8748470201038</v>
      </c>
    </row>
    <row r="53" spans="4:31">
      <c r="U53" s="31">
        <f>100*(+AC47/$E$13)</f>
        <v>283.13625736373393</v>
      </c>
      <c r="V53" s="35">
        <f>EXP(5.6985-(0.68367*LN(U53)))</f>
        <v>6.2874037605847146</v>
      </c>
      <c r="W53" s="32">
        <f>(+V53*U53)/100</f>
        <v>17.801919693066221</v>
      </c>
      <c r="X53" s="31">
        <f>100*((((W53/100)-((W53/100)-0.03574)*$E$25)-0.03574-0.00619)/0.344)</f>
        <v>30.875164411402086</v>
      </c>
      <c r="Y53">
        <v>0</v>
      </c>
      <c r="Z53" s="31">
        <f>X53+Y53</f>
        <v>30.875164411402086</v>
      </c>
      <c r="AA53" s="31">
        <f>100*($E$21*$E$23+($E$22*(Z53/100))/(1-$E$25))</f>
        <v>25.549491958026898</v>
      </c>
      <c r="AB53" s="32">
        <f>AA53/U53</f>
        <v>9.0237443257591976E-2</v>
      </c>
      <c r="AC53" s="30">
        <f>ROUND($E$12/(1-AB53),0)</f>
        <v>165337</v>
      </c>
      <c r="AD53" t="str">
        <f>IF(OR(OR(AC53=AC47,AC53=(AC47+1)),AC53=(AC47-1)),"yes","not yet")</f>
        <v>yes</v>
      </c>
      <c r="AE53" s="31">
        <f>100*(1-AB53)</f>
        <v>90.976255674240804</v>
      </c>
    </row>
    <row r="54" spans="4:31">
      <c r="U54" s="31">
        <f>100*(+AC48/$E$13)</f>
        <v>282.93418475827406</v>
      </c>
      <c r="V54" s="35">
        <f>EXP(5.6922-(0.68367*LN(U54)))</f>
        <v>6.2509680147468565</v>
      </c>
      <c r="W54" s="32">
        <f>(+V54*U54)/100</f>
        <v>17.686125392024486</v>
      </c>
      <c r="X54" s="31">
        <f>100*((((W54/100)-((W54/100)-0.03574)*$E$25)-0.03574-0.00619)/0.344)</f>
        <v>30.609241452614377</v>
      </c>
      <c r="Y54">
        <v>0</v>
      </c>
      <c r="Z54" s="31">
        <f>X54+Y54</f>
        <v>30.609241452614377</v>
      </c>
      <c r="AA54" s="31">
        <f>100*($E$21*$E$23+($E$22*(Z54/100))/(1-$E$25))</f>
        <v>25.347525153884337</v>
      </c>
      <c r="AB54" s="32">
        <f>AA54/U54</f>
        <v>8.9588061532897112E-2</v>
      </c>
      <c r="AC54" s="30">
        <f>ROUND($E$12/(1-AB54),0)</f>
        <v>165219</v>
      </c>
      <c r="AD54" t="str">
        <f>IF(OR(OR(AC54=AC48,AC54=(AC48+1)),AC54=(AC48-1)),"yes","not yet")</f>
        <v>yes</v>
      </c>
      <c r="AE54" s="31">
        <f>100*(1-AB54)</f>
        <v>91.041193846710286</v>
      </c>
    </row>
    <row r="55" spans="4:31">
      <c r="Z55" s="31"/>
    </row>
    <row r="56" spans="4:31">
      <c r="U56" s="16" t="s">
        <v>189</v>
      </c>
      <c r="V56" s="2" t="s">
        <v>134</v>
      </c>
      <c r="W56" s="2" t="s">
        <v>135</v>
      </c>
      <c r="X56" s="2" t="s">
        <v>136</v>
      </c>
      <c r="Z56" s="31"/>
    </row>
    <row r="57" spans="4:31">
      <c r="U57" s="31">
        <f>100*(+AC51/$E$13)</f>
        <v>283.92057306967143</v>
      </c>
      <c r="V57" s="35">
        <f>EXP(5.7226-(0.68367*LN(+U57)))</f>
        <v>6.4286014640709785</v>
      </c>
      <c r="W57" s="32">
        <f>(+V57*U57)/100</f>
        <v>18.252122117155611</v>
      </c>
      <c r="X57" s="31">
        <f>100*((((W57/100)-((W57/100)-0.03574)*$E$25)-0.03574-0.00619)/0.344)</f>
        <v>31.90905951323527</v>
      </c>
      <c r="Y57">
        <v>0</v>
      </c>
      <c r="Z57" s="31">
        <f>X57+Y57</f>
        <v>31.90905951323527</v>
      </c>
      <c r="AA57" s="31">
        <f>100*($E$21*$E$23+($E$22*(Z57/100))/(1-$E$25))</f>
        <v>26.33472874422932</v>
      </c>
      <c r="AB57" s="32">
        <f>AA57/U57</f>
        <v>9.2753858797569505E-2</v>
      </c>
      <c r="AC57" s="30">
        <f>ROUND($E$12/(1-AB57),0)</f>
        <v>165795</v>
      </c>
      <c r="AD57" t="str">
        <f>IF(OR(OR(AC57=AC51,AC57=(AC51+1)),AC57=(AC43-1)),"yes","not yet")</f>
        <v>yes</v>
      </c>
      <c r="AE57" s="31">
        <f>100*(1-AB57)</f>
        <v>90.724614120243047</v>
      </c>
    </row>
    <row r="58" spans="4:31">
      <c r="U58" s="31">
        <f>100*(+AC52/$E$13)</f>
        <v>283.45135362987475</v>
      </c>
      <c r="V58" s="35">
        <f>EXP(5.70827-(0.68367*LN(+U58)))</f>
        <v>6.3443065868033379</v>
      </c>
      <c r="W58" s="32">
        <f>(+V58*U58)/100</f>
        <v>17.983022898723366</v>
      </c>
      <c r="X58" s="31">
        <f>100*((((W58/100)-((W58/100)-0.03574)*$E$25)-0.03574-0.00619)/0.344)</f>
        <v>31.291070029044942</v>
      </c>
      <c r="Y58">
        <v>0</v>
      </c>
      <c r="Z58" s="31">
        <f>X58+Y58</f>
        <v>31.291070029044942</v>
      </c>
      <c r="AA58" s="31">
        <f>100*($E$21*$E$23+($E$22*(Z58/100))/(1-$E$25))</f>
        <v>25.865369642312615</v>
      </c>
      <c r="AB58" s="32">
        <f>AA58/U58</f>
        <v>9.125152979896195E-2</v>
      </c>
      <c r="AC58" s="30">
        <f>ROUND($E$12/(1-AB58),0)</f>
        <v>165521</v>
      </c>
      <c r="AD58" t="str">
        <f>IF(OR(OR(AC58=AC52,AC58=(AC52+1)),AC58=(AC52-1)),"yes","not yet")</f>
        <v>yes</v>
      </c>
      <c r="AE58" s="31">
        <f>100*(1-AB58)</f>
        <v>90.8748470201038</v>
      </c>
    </row>
    <row r="59" spans="4:31">
      <c r="U59" s="31">
        <f>100*(+AC53/$E$13)</f>
        <v>283.13625736373393</v>
      </c>
      <c r="V59" s="35">
        <f>EXP(5.6985-(0.68367*LN(U59)))</f>
        <v>6.2874037605847146</v>
      </c>
      <c r="W59" s="32">
        <f>(+V59*U59)/100</f>
        <v>17.801919693066221</v>
      </c>
      <c r="X59" s="31">
        <f>100*((((W59/100)-((W59/100)-0.03574)*$E$25)-0.03574-0.00619)/0.344)</f>
        <v>30.875164411402086</v>
      </c>
      <c r="Y59">
        <v>0</v>
      </c>
      <c r="Z59" s="31">
        <f>X59+Y59</f>
        <v>30.875164411402086</v>
      </c>
      <c r="AA59" s="31">
        <f>100*($E$21*$E$23+($E$22*(Z59/100))/(1-$E$25))</f>
        <v>25.549491958026898</v>
      </c>
      <c r="AB59" s="32">
        <f>AA59/U59</f>
        <v>9.0237443257591976E-2</v>
      </c>
      <c r="AC59" s="30">
        <f>ROUND($E$12/(1-AB59),0)</f>
        <v>165337</v>
      </c>
      <c r="AD59" t="str">
        <f>IF(OR(OR(AC59=AC53,AC59=(AC53+1)),AC59=(AC53-1)),"yes","not yet")</f>
        <v>yes</v>
      </c>
      <c r="AE59" s="31">
        <f>100*(1-AB59)</f>
        <v>90.976255674240804</v>
      </c>
    </row>
    <row r="60" spans="4:31">
      <c r="U60" s="31">
        <f>100*(+AC54/$E$13)</f>
        <v>282.93418475827406</v>
      </c>
      <c r="V60" s="35">
        <f>EXP(5.6922-(0.68367*LN(U60)))</f>
        <v>6.2509680147468565</v>
      </c>
      <c r="W60" s="32">
        <f>(+V60*U60)/100</f>
        <v>17.686125392024486</v>
      </c>
      <c r="X60" s="31">
        <f>100*((((W60/100)-((W60/100)-0.03574)*$E$25)-0.03574-0.00619)/0.344)</f>
        <v>30.609241452614377</v>
      </c>
      <c r="Y60">
        <v>0</v>
      </c>
      <c r="Z60" s="31">
        <f>X60+Y60</f>
        <v>30.609241452614377</v>
      </c>
      <c r="AA60" s="31">
        <f>100*($E$21*$E$23+($E$22*(Z60/100))/(1-$E$25))</f>
        <v>25.347525153884337</v>
      </c>
      <c r="AB60" s="32">
        <f>AA60/U60</f>
        <v>8.9588061532897112E-2</v>
      </c>
      <c r="AC60" s="30">
        <f>ROUND($E$12/(1-AB60),0)</f>
        <v>165219</v>
      </c>
      <c r="AD60" t="str">
        <f>IF(OR(OR(AC60=AC54,AC60=(AC54+1)),AC60=(AC54-1)),"yes","not yet")</f>
        <v>yes</v>
      </c>
      <c r="AE60" s="31">
        <f>100*(1-AB60)</f>
        <v>91.041193846710286</v>
      </c>
    </row>
    <row r="61" spans="4:31">
      <c r="Z61" s="31"/>
    </row>
    <row r="63" spans="4:31">
      <c r="U63" s="31"/>
      <c r="V63" s="35"/>
      <c r="W63" s="32"/>
      <c r="X63" s="31"/>
      <c r="AA63" s="31"/>
      <c r="AB63" s="32"/>
      <c r="AC63" s="30"/>
    </row>
    <row r="64" spans="4:31">
      <c r="U64" s="31"/>
      <c r="V64" s="35"/>
      <c r="W64" s="32"/>
      <c r="X64" s="31"/>
      <c r="AA64" s="31"/>
      <c r="AB64" s="32"/>
      <c r="AC64" s="30"/>
    </row>
    <row r="65" spans="20:29">
      <c r="U65" s="31"/>
      <c r="V65" s="35"/>
      <c r="W65" s="32"/>
      <c r="X65" s="31"/>
      <c r="AA65" s="31"/>
      <c r="AB65" s="32"/>
      <c r="AC65" s="30"/>
    </row>
    <row r="66" spans="20:29">
      <c r="U66" s="31"/>
      <c r="V66" s="35"/>
      <c r="W66" s="32"/>
      <c r="X66" s="31"/>
      <c r="AA66" s="31"/>
      <c r="AB66" s="32"/>
      <c r="AC66" s="30"/>
    </row>
    <row r="69" spans="20:29">
      <c r="U69" s="31"/>
      <c r="V69" s="35"/>
      <c r="W69" s="32"/>
      <c r="X69" s="31"/>
      <c r="AA69" s="31"/>
      <c r="AB69" s="32"/>
      <c r="AC69" s="30"/>
    </row>
    <row r="70" spans="20:29">
      <c r="U70" s="31"/>
      <c r="V70" s="35"/>
      <c r="W70" s="32"/>
      <c r="X70" s="31"/>
      <c r="AA70" s="31"/>
      <c r="AB70" s="32"/>
      <c r="AC70" s="30"/>
    </row>
    <row r="71" spans="20:29">
      <c r="T71" s="31"/>
      <c r="U71" s="35"/>
      <c r="V71" s="32"/>
      <c r="W71" s="31"/>
      <c r="Z71" s="31"/>
      <c r="AA71" s="32"/>
      <c r="AB71" s="30"/>
    </row>
    <row r="72" spans="20:29">
      <c r="T72" s="31"/>
      <c r="U72" s="35"/>
      <c r="V72" s="32"/>
      <c r="W72" s="31"/>
      <c r="Z72" s="31"/>
      <c r="AA72" s="32"/>
      <c r="AB72" s="30"/>
    </row>
    <row r="75" spans="20:29">
      <c r="T75" s="31"/>
      <c r="U75" s="35"/>
      <c r="V75" s="32"/>
      <c r="W75" s="31"/>
      <c r="Z75" s="31"/>
      <c r="AA75" s="32"/>
      <c r="AB75" s="30"/>
    </row>
    <row r="76" spans="20:29">
      <c r="T76" s="31"/>
      <c r="U76" s="35"/>
      <c r="V76" s="32"/>
      <c r="W76" s="31"/>
      <c r="Z76" s="31"/>
      <c r="AA76" s="32"/>
      <c r="AB76" s="30"/>
    </row>
    <row r="77" spans="20:29">
      <c r="T77" s="31"/>
      <c r="U77" s="35"/>
      <c r="V77" s="32"/>
      <c r="W77" s="31"/>
      <c r="Z77" s="31"/>
      <c r="AA77" s="32"/>
      <c r="AB77" s="30"/>
    </row>
    <row r="78" spans="20:29">
      <c r="T78" s="31"/>
      <c r="U78" s="35"/>
      <c r="V78" s="32"/>
      <c r="W78" s="31"/>
      <c r="Z78" s="31"/>
      <c r="AA78" s="32"/>
      <c r="AB78" s="30"/>
    </row>
    <row r="81" spans="20:28">
      <c r="T81" s="31"/>
      <c r="U81" s="35"/>
      <c r="V81" s="32"/>
      <c r="W81" s="31"/>
      <c r="Z81" s="31"/>
      <c r="AA81" s="32"/>
      <c r="AB81" s="30"/>
    </row>
    <row r="82" spans="20:28">
      <c r="T82" s="31"/>
      <c r="U82" s="35"/>
      <c r="V82" s="32"/>
      <c r="W82" s="31"/>
      <c r="Z82" s="31"/>
      <c r="AA82" s="32"/>
      <c r="AB82" s="30"/>
    </row>
    <row r="83" spans="20:28">
      <c r="T83" s="31"/>
      <c r="U83" s="35"/>
      <c r="V83" s="32"/>
      <c r="W83" s="31"/>
      <c r="Z83" s="31"/>
      <c r="AA83" s="32"/>
      <c r="AB83" s="30"/>
    </row>
    <row r="84" spans="20:28">
      <c r="T84" s="31"/>
      <c r="U84" s="35"/>
      <c r="V84" s="32"/>
      <c r="W84" s="31"/>
      <c r="Z84" s="31"/>
      <c r="AA84" s="32"/>
      <c r="AB84" s="30"/>
    </row>
    <row r="87" spans="20:28">
      <c r="T87" s="31"/>
      <c r="U87" s="35"/>
      <c r="V87" s="32"/>
      <c r="W87" s="31"/>
      <c r="Z87" s="31"/>
      <c r="AA87" s="32"/>
      <c r="AB87" s="30"/>
    </row>
    <row r="88" spans="20:28">
      <c r="T88" s="31"/>
      <c r="U88" s="35"/>
      <c r="V88" s="32"/>
      <c r="W88" s="31"/>
      <c r="Z88" s="31"/>
      <c r="AA88" s="32"/>
      <c r="AB88" s="30"/>
    </row>
    <row r="89" spans="20:28">
      <c r="T89" s="31"/>
      <c r="U89" s="35"/>
      <c r="V89" s="32"/>
      <c r="W89" s="31"/>
      <c r="Z89" s="31"/>
      <c r="AA89" s="32"/>
      <c r="AB89" s="30"/>
    </row>
    <row r="90" spans="20:28">
      <c r="T90" s="31"/>
      <c r="U90" s="35"/>
      <c r="V90" s="32"/>
      <c r="W90" s="31"/>
      <c r="Z90" s="31"/>
      <c r="AA90" s="32"/>
      <c r="AB90" s="30"/>
    </row>
    <row r="93" spans="20:28">
      <c r="T93" s="31"/>
      <c r="U93" s="35"/>
      <c r="V93" s="32"/>
      <c r="W93" s="31"/>
      <c r="Z93" s="31"/>
      <c r="AA93" s="32"/>
      <c r="AB93" s="30"/>
    </row>
    <row r="94" spans="20:28">
      <c r="T94" s="31"/>
      <c r="U94" s="35"/>
      <c r="V94" s="32"/>
      <c r="W94" s="31"/>
      <c r="Z94" s="31"/>
      <c r="AA94" s="32"/>
      <c r="AB94" s="30"/>
    </row>
    <row r="95" spans="20:28">
      <c r="T95" s="31"/>
      <c r="U95" s="35"/>
      <c r="V95" s="32"/>
      <c r="W95" s="31"/>
      <c r="Z95" s="31"/>
      <c r="AA95" s="32"/>
      <c r="AB95" s="30"/>
    </row>
    <row r="96" spans="20:28">
      <c r="T96" s="31"/>
      <c r="U96" s="35"/>
      <c r="V96" s="32"/>
      <c r="W96" s="31"/>
      <c r="Z96" s="31"/>
      <c r="AA96" s="32"/>
      <c r="AB96" s="30"/>
    </row>
  </sheetData>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6"/>
  <sheetViews>
    <sheetView workbookViewId="0">
      <selection activeCell="D4" sqref="D4"/>
    </sheetView>
  </sheetViews>
  <sheetFormatPr defaultRowHeight="12.75"/>
  <cols>
    <col min="1" max="1" width="10.140625" bestFit="1" customWidth="1"/>
    <col min="5" max="5" width="10.28515625" customWidth="1"/>
  </cols>
  <sheetData>
    <row r="1" spans="1:35">
      <c r="A1" t="s">
        <v>0</v>
      </c>
    </row>
    <row r="3" spans="1:35">
      <c r="A3" t="s">
        <v>474</v>
      </c>
      <c r="D3" s="693" t="s">
        <v>1414</v>
      </c>
      <c r="E3" s="693" t="s">
        <v>702</v>
      </c>
    </row>
    <row r="5" spans="1:35">
      <c r="A5" s="728">
        <v>44196</v>
      </c>
    </row>
    <row r="7" spans="1:35">
      <c r="B7" s="16" t="s">
        <v>127</v>
      </c>
      <c r="AD7" s="2" t="s">
        <v>128</v>
      </c>
      <c r="AE7" s="2" t="s">
        <v>129</v>
      </c>
      <c r="AH7" s="16" t="s">
        <v>130</v>
      </c>
    </row>
    <row r="8" spans="1:35">
      <c r="E8" s="28"/>
      <c r="M8" s="16" t="s">
        <v>131</v>
      </c>
      <c r="T8" s="2" t="s">
        <v>132</v>
      </c>
      <c r="U8" s="2" t="s">
        <v>133</v>
      </c>
      <c r="V8" s="2" t="s">
        <v>134</v>
      </c>
      <c r="W8" s="2" t="s">
        <v>135</v>
      </c>
      <c r="X8" s="2" t="s">
        <v>136</v>
      </c>
      <c r="Z8" s="2" t="s">
        <v>137</v>
      </c>
      <c r="AA8" s="16" t="s">
        <v>138</v>
      </c>
      <c r="AB8" s="2" t="s">
        <v>139</v>
      </c>
      <c r="AC8" s="2" t="s">
        <v>140</v>
      </c>
      <c r="AD8" s="2" t="s">
        <v>141</v>
      </c>
      <c r="AH8" s="16" t="s">
        <v>142</v>
      </c>
    </row>
    <row r="9" spans="1:35">
      <c r="B9" s="16" t="s">
        <v>143</v>
      </c>
      <c r="C9" s="16" t="s">
        <v>144</v>
      </c>
      <c r="E9" s="28">
        <f>E11+E10</f>
        <v>433864.251071334</v>
      </c>
      <c r="F9" s="16" t="s">
        <v>145</v>
      </c>
      <c r="K9" s="29"/>
      <c r="M9" s="16" t="s">
        <v>146</v>
      </c>
      <c r="P9" s="16" t="s">
        <v>147</v>
      </c>
      <c r="T9" s="30">
        <f>$E$12*1.25</f>
        <v>501253.51984774217</v>
      </c>
      <c r="U9" s="31">
        <f>100*(+T9/$E$13)</f>
        <v>366.13682702813071</v>
      </c>
      <c r="V9" s="32">
        <f>EXP(5.7226-(0.68367*LN(+U9)))</f>
        <v>5.4026584098787334</v>
      </c>
      <c r="W9" s="32">
        <f>(+V9*U9)/100</f>
        <v>19.781122077098455</v>
      </c>
      <c r="X9" s="31">
        <f>100*((((W9/100)-((W9/100)-0.03574)*$E$25)-0.03574-0.00619)/0.344)</f>
        <v>35.420425700313316</v>
      </c>
      <c r="Y9">
        <v>0</v>
      </c>
      <c r="Z9" s="31">
        <f>X9+Y9</f>
        <v>35.420425700313316</v>
      </c>
      <c r="AA9" s="31">
        <f>100*($E$21*$E$23+($E$22*(Z9/100))/(1-$E$25))</f>
        <v>29.001589139478469</v>
      </c>
      <c r="AB9" s="32">
        <f>AA9/U9</f>
        <v>7.9209702489857009E-2</v>
      </c>
      <c r="AC9" s="30">
        <f>$E$12/(1-AB9)</f>
        <v>435498.52443332947</v>
      </c>
      <c r="AD9" t="str">
        <f>IF(AC9=$T$9,"yes","not yet")</f>
        <v>not yet</v>
      </c>
      <c r="AE9" s="31">
        <f>100*(1-AB9)</f>
        <v>92.079029751014303</v>
      </c>
      <c r="AH9">
        <v>0</v>
      </c>
      <c r="AI9">
        <v>1</v>
      </c>
    </row>
    <row r="10" spans="1:35">
      <c r="B10" s="16" t="s">
        <v>143</v>
      </c>
      <c r="C10" s="16" t="s">
        <v>148</v>
      </c>
      <c r="E10" s="28">
        <f>(+E12-((H19/100)*E11))/H29</f>
        <v>-98687.54755372103</v>
      </c>
      <c r="F10" s="33" t="s">
        <v>145</v>
      </c>
      <c r="K10" s="29"/>
      <c r="M10" s="16" t="s">
        <v>149</v>
      </c>
      <c r="P10" s="16" t="s">
        <v>150</v>
      </c>
      <c r="T10" s="30">
        <f>$E$12*1.25</f>
        <v>501253.51984774217</v>
      </c>
      <c r="U10" s="31">
        <f>100*(+T10/$E$13)</f>
        <v>366.13682702813071</v>
      </c>
      <c r="V10" s="32">
        <f>EXP(5.70827-(0.68367*LN(+U10)))</f>
        <v>5.3257903896227532</v>
      </c>
      <c r="W10" s="32">
        <f>(+V10*U10)/100</f>
        <v>19.499679946733867</v>
      </c>
      <c r="X10" s="31">
        <f>100*((((W10/100)-((W10/100)-0.03574)*$E$25)-0.03574-0.00619)/0.344)</f>
        <v>34.774090575348126</v>
      </c>
      <c r="Y10">
        <v>0</v>
      </c>
      <c r="Z10" s="31">
        <f>X10+Y10</f>
        <v>34.774090575348126</v>
      </c>
      <c r="AA10" s="31">
        <f>100*($E$21*$E$23+($E$22*(Z10/100))/(1-$E$25))</f>
        <v>28.510701702796045</v>
      </c>
      <c r="AB10" s="32">
        <f>AA10/U10</f>
        <v>7.7868981206322449E-2</v>
      </c>
      <c r="AC10" s="30">
        <f>$E$12/(1-AB10)</f>
        <v>434865.33660127985</v>
      </c>
      <c r="AD10" t="str">
        <f>IF(AC10=$T$10,"yes","not yet")</f>
        <v>not yet</v>
      </c>
      <c r="AE10" s="31">
        <f>100*(1-AB10)</f>
        <v>92.213101879367755</v>
      </c>
      <c r="AH10">
        <v>50</v>
      </c>
      <c r="AI10">
        <v>2</v>
      </c>
    </row>
    <row r="11" spans="1:35">
      <c r="B11" s="34" t="s">
        <v>151</v>
      </c>
      <c r="C11" s="16" t="s">
        <v>152</v>
      </c>
      <c r="D11" s="34" t="s">
        <v>153</v>
      </c>
      <c r="E11" s="28">
        <f>+'Results of Operations Regulated'!J21</f>
        <v>532551.798625055</v>
      </c>
      <c r="F11" s="16" t="s">
        <v>154</v>
      </c>
      <c r="K11" s="29"/>
      <c r="M11" s="16" t="s">
        <v>155</v>
      </c>
      <c r="P11" s="16" t="s">
        <v>156</v>
      </c>
      <c r="T11" s="30">
        <f>$E$12*1.25</f>
        <v>501253.51984774217</v>
      </c>
      <c r="U11" s="31">
        <f>100*(+T11/$E$13)</f>
        <v>366.13682702813071</v>
      </c>
      <c r="V11" s="32">
        <f>EXP(5.6985-(0.68367*LN(U11)))</f>
        <v>5.2740107728197829</v>
      </c>
      <c r="W11" s="32">
        <f>(+V11*U11)/100</f>
        <v>19.310095700724148</v>
      </c>
      <c r="X11" s="31">
        <f>100*((((W11/100)-((W11/100)-0.03574)*$E$25)-0.03574-0.00619)/0.344)</f>
        <v>34.33870814991883</v>
      </c>
      <c r="Y11">
        <v>0</v>
      </c>
      <c r="Z11" s="31">
        <f>X11+Y11</f>
        <v>34.33870814991883</v>
      </c>
      <c r="AA11" s="31">
        <f>100*($E$21*$E$23+($E$22*(Z11/100))/(1-$E$25))</f>
        <v>28.180031506267468</v>
      </c>
      <c r="AB11" s="32">
        <f>AA11/U11</f>
        <v>7.6965848355107863E-2</v>
      </c>
      <c r="AC11" s="30">
        <f>$E$12/(1-AB11)</f>
        <v>434439.8472836428</v>
      </c>
      <c r="AD11" t="str">
        <f>IF(AC11=$T$11,"yes","not yet")</f>
        <v>not yet</v>
      </c>
      <c r="AE11" s="31">
        <f>100*(1-AB11)</f>
        <v>92.303415164489209</v>
      </c>
      <c r="AH11">
        <v>125</v>
      </c>
      <c r="AI11">
        <v>3</v>
      </c>
    </row>
    <row r="12" spans="1:35">
      <c r="B12" s="34" t="s">
        <v>151</v>
      </c>
      <c r="C12" s="16" t="s">
        <v>157</v>
      </c>
      <c r="D12" s="34" t="s">
        <v>153</v>
      </c>
      <c r="E12" s="28">
        <f>+'Results of Operations Regulated'!J100</f>
        <v>401002.81587819371</v>
      </c>
      <c r="F12" s="16" t="s">
        <v>154</v>
      </c>
      <c r="K12" s="29"/>
      <c r="M12" s="16" t="s">
        <v>158</v>
      </c>
      <c r="P12" s="16" t="s">
        <v>159</v>
      </c>
      <c r="T12" s="30">
        <f>$E$12*1.25</f>
        <v>501253.51984774217</v>
      </c>
      <c r="U12" s="31">
        <f>100*(+T12/$E$13)</f>
        <v>366.13682702813071</v>
      </c>
      <c r="V12" s="32">
        <f>EXP(5.6922-(0.68367*LN(U12)))</f>
        <v>5.2408889482487773</v>
      </c>
      <c r="W12" s="32">
        <f>(+V12*U12)/100</f>
        <v>19.188824503186044</v>
      </c>
      <c r="X12" s="31">
        <f>100*((((W12/100)-((W12/100)-0.03574)*$E$25)-0.03574-0.00619)/0.344)</f>
        <v>34.060207434642379</v>
      </c>
      <c r="Y12">
        <v>0</v>
      </c>
      <c r="Z12" s="31">
        <f>X12+Y12</f>
        <v>34.060207434642379</v>
      </c>
      <c r="AA12" s="31">
        <f>100*($E$21*$E$23+($E$22*(Z12/100))/(1-$E$25))</f>
        <v>27.968511975677757</v>
      </c>
      <c r="AB12" s="32">
        <f>AA12/U12</f>
        <v>7.6388142112590346E-2</v>
      </c>
      <c r="AC12" s="30">
        <f>$E$12/(1-AB12)</f>
        <v>434168.11126203282</v>
      </c>
      <c r="AD12" t="str">
        <f>IF(AC12=$T$12,"yes","not yet")</f>
        <v>not yet</v>
      </c>
      <c r="AE12" s="31">
        <f>100*(1-AB12)</f>
        <v>92.361185788740968</v>
      </c>
      <c r="AH12">
        <v>401</v>
      </c>
      <c r="AI12">
        <v>4</v>
      </c>
    </row>
    <row r="13" spans="1:35">
      <c r="B13" s="34" t="s">
        <v>151</v>
      </c>
      <c r="C13" s="16" t="s">
        <v>160</v>
      </c>
      <c r="E13" s="28">
        <f>+'Results of Operations Regulated'!J106</f>
        <v>136903.33308351698</v>
      </c>
      <c r="F13" s="16" t="s">
        <v>154</v>
      </c>
      <c r="K13" s="29"/>
      <c r="Z13" s="31"/>
    </row>
    <row r="14" spans="1:35">
      <c r="C14" s="16" t="s">
        <v>161</v>
      </c>
      <c r="E14" s="31">
        <f>U9</f>
        <v>366.13682702813071</v>
      </c>
      <c r="F14" s="16" t="s">
        <v>162</v>
      </c>
      <c r="H14" s="31"/>
      <c r="U14" s="2" t="s">
        <v>163</v>
      </c>
      <c r="V14" s="2" t="s">
        <v>134</v>
      </c>
      <c r="W14" s="2" t="s">
        <v>135</v>
      </c>
      <c r="X14" s="2" t="s">
        <v>136</v>
      </c>
      <c r="Z14" s="31"/>
      <c r="AH14" s="16" t="s">
        <v>164</v>
      </c>
    </row>
    <row r="15" spans="1:35">
      <c r="C15" s="16" t="s">
        <v>165</v>
      </c>
      <c r="E15" s="31">
        <f>HLOOKUP($AI$38,$AI$32:$AQ$36,$E$16+1)</f>
        <v>319.67469931350394</v>
      </c>
      <c r="F15" s="16" t="s">
        <v>162</v>
      </c>
      <c r="U15" s="31">
        <f>100*(+AC9/$E$13)</f>
        <v>318.10658997444312</v>
      </c>
      <c r="V15" s="35">
        <f>EXP(5.7226-(0.68367*LN(+U15)))</f>
        <v>5.9478464397565647</v>
      </c>
      <c r="W15" s="32">
        <f>(+V15*U15)/100</f>
        <v>18.920491486425927</v>
      </c>
      <c r="X15" s="31">
        <f>100*((((W15/100)-((W15/100)-0.03574)*$E$25)-0.03574-0.00619)/0.344)</f>
        <v>33.443977541501411</v>
      </c>
      <c r="Y15">
        <v>0</v>
      </c>
      <c r="Z15" s="31">
        <f>X15+Y15</f>
        <v>33.443977541501411</v>
      </c>
      <c r="AA15" s="31">
        <f>100*($E$21*$E$23+($E$22*(Z15/100))/(1-$E$25))</f>
        <v>27.500489272026389</v>
      </c>
      <c r="AB15" s="32">
        <f>AA15/U15</f>
        <v>8.6450548774345715E-2</v>
      </c>
      <c r="AC15" s="30">
        <f>$E$12/(1-AB15)</f>
        <v>438950.31116289581</v>
      </c>
      <c r="AD15" t="str">
        <f>IF(OR(OR(AC15=AC9,AC15=(AC9+1)),AC15=(AC8193-1)),"yes","not yet")</f>
        <v>not yet</v>
      </c>
      <c r="AE15" s="31">
        <f>100*(1-AB15)</f>
        <v>91.354945122565439</v>
      </c>
    </row>
    <row r="16" spans="1:35">
      <c r="C16" s="16" t="s">
        <v>166</v>
      </c>
      <c r="E16">
        <f>VLOOKUP(E14,AH9:AI12,2)</f>
        <v>3</v>
      </c>
      <c r="F16" s="16" t="s">
        <v>162</v>
      </c>
      <c r="U16" s="31">
        <f>100*(+AC10/$E$13)</f>
        <v>317.64408273098297</v>
      </c>
      <c r="V16" s="35">
        <f>EXP(5.70827-(0.68367*LN(+U16)))</f>
        <v>5.8690568511837071</v>
      </c>
      <c r="W16" s="32">
        <f>(+V16*U16)/100</f>
        <v>18.642711799902401</v>
      </c>
      <c r="X16" s="31">
        <f>100*((((W16/100)-((W16/100)-0.03574)*$E$25)-0.03574-0.00619)/0.344)</f>
        <v>32.806053261403775</v>
      </c>
      <c r="Y16">
        <v>0</v>
      </c>
      <c r="Z16" s="31">
        <f>X16+Y16</f>
        <v>32.806053261403775</v>
      </c>
      <c r="AA16" s="31">
        <f>100*($E$21*$E$23+($E$22*(Z16/100))/(1-$E$25))</f>
        <v>27.015989818787677</v>
      </c>
      <c r="AB16" s="32">
        <f>AA16/U16</f>
        <v>8.5051135177820647E-2</v>
      </c>
      <c r="AC16" s="30">
        <f>$E$12/(1-AB16)</f>
        <v>438278.93699406774</v>
      </c>
      <c r="AD16" t="str">
        <f>IF(OR(OR(AC16=AC10,AC16=(AC10+1)),AC16=(AC10-1)),"yes","not yet")</f>
        <v>not yet</v>
      </c>
      <c r="AE16" s="31">
        <f>100*(1-AB16)</f>
        <v>91.494886482217936</v>
      </c>
    </row>
    <row r="17" spans="2:42">
      <c r="U17" s="31">
        <f>100*(+AC11/$E$13)</f>
        <v>317.33328729010248</v>
      </c>
      <c r="V17" s="35">
        <f>EXP(5.6985-(0.68367*LN(U17)))</f>
        <v>5.8158863856850367</v>
      </c>
      <c r="W17" s="32">
        <f>(+V17*U17)/100</f>
        <v>18.455743452751857</v>
      </c>
      <c r="X17" s="31">
        <f>100*((((W17/100)-((W17/100)-0.03574)*$E$25)-0.03574-0.00619)/0.344)</f>
        <v>32.376678278122</v>
      </c>
      <c r="Y17">
        <v>0</v>
      </c>
      <c r="Z17" s="31">
        <f>X17+Y17</f>
        <v>32.376678278122</v>
      </c>
      <c r="AA17" s="31">
        <f>100*($E$21*$E$23+($E$22*(Z17/100))/(1-$E$25))</f>
        <v>26.68988223654835</v>
      </c>
      <c r="AB17" s="32">
        <f>AA17/U17</f>
        <v>8.4106783957236614E-2</v>
      </c>
      <c r="AC17" s="30">
        <f>$E$12/(1-AB17)</f>
        <v>437827.04015516012</v>
      </c>
      <c r="AD17" t="str">
        <f>IF(OR(OR(AC17=AC11,AC17=(AC11+1)),AC17=(AC11-1)),"yes","not yet")</f>
        <v>not yet</v>
      </c>
      <c r="AE17" s="31">
        <f>100*(1-AB17)</f>
        <v>91.589321604276336</v>
      </c>
      <c r="AI17">
        <v>1</v>
      </c>
      <c r="AJ17">
        <v>2</v>
      </c>
      <c r="AK17">
        <v>3</v>
      </c>
      <c r="AL17">
        <v>4</v>
      </c>
      <c r="AM17">
        <v>5</v>
      </c>
      <c r="AN17">
        <v>7</v>
      </c>
      <c r="AO17">
        <v>8</v>
      </c>
      <c r="AP17">
        <v>9</v>
      </c>
    </row>
    <row r="18" spans="2:42">
      <c r="C18" s="16" t="s">
        <v>167</v>
      </c>
      <c r="U18" s="31">
        <f>100*(+AC12/$E$13)</f>
        <v>317.13479977669459</v>
      </c>
      <c r="V18" s="35">
        <f>EXP(5.6922-(0.68367*LN(U18)))</f>
        <v>5.7818341829101128</v>
      </c>
      <c r="W18" s="32">
        <f>(+V18*U18)/100</f>
        <v>18.336208259392471</v>
      </c>
      <c r="X18" s="31">
        <f>100*((((W18/100)-((W18/100)-0.03574)*$E$25)-0.03574-0.00619)/0.344)</f>
        <v>32.10216431662807</v>
      </c>
      <c r="Y18">
        <v>0</v>
      </c>
      <c r="Z18" s="31">
        <f>X18+Y18</f>
        <v>32.10216431662807</v>
      </c>
      <c r="AA18" s="31">
        <f>100*($E$21*$E$23+($E$22*(Z18/100))/(1-$E$25))</f>
        <v>26.481390620223848</v>
      </c>
      <c r="AB18" s="32">
        <f>AA18/U18</f>
        <v>8.3502001795042038E-2</v>
      </c>
      <c r="AC18" s="30">
        <f>$E$12/(1-AB18)</f>
        <v>437538.12519350077</v>
      </c>
      <c r="AD18" t="str">
        <f>IF(OR(OR(AC18=AC12,AC18=(AC12+1)),AC18=(AC12-1)),"yes","not yet")</f>
        <v>not yet</v>
      </c>
      <c r="AE18" s="31">
        <f>100*(1-AB18)</f>
        <v>91.649799820495787</v>
      </c>
      <c r="AI18" t="str">
        <f>AD9</f>
        <v>not yet</v>
      </c>
      <c r="AJ18" t="str">
        <f>AD15</f>
        <v>not yet</v>
      </c>
      <c r="AK18" t="str">
        <f>AD21</f>
        <v>not yet</v>
      </c>
      <c r="AL18" t="str">
        <f>AD27</f>
        <v>not yet</v>
      </c>
      <c r="AM18" t="str">
        <f>AD33</f>
        <v>not yet</v>
      </c>
      <c r="AN18">
        <f>AC45</f>
        <v>438759</v>
      </c>
      <c r="AO18">
        <f>AC51</f>
        <v>438759</v>
      </c>
      <c r="AP18">
        <f>AC57</f>
        <v>438759</v>
      </c>
    </row>
    <row r="19" spans="2:42">
      <c r="C19" s="16" t="s">
        <v>168</v>
      </c>
      <c r="E19" s="34" t="s">
        <v>143</v>
      </c>
      <c r="F19" s="16" t="s">
        <v>169</v>
      </c>
      <c r="H19" s="31">
        <f>HLOOKUP($AI$29,$AI$23:$AQ$27,$E$16+1)</f>
        <v>91.627480710250211</v>
      </c>
      <c r="I19" s="16" t="s">
        <v>145</v>
      </c>
      <c r="J19" s="36"/>
      <c r="Z19" s="31"/>
      <c r="AI19" t="str">
        <f>AD10</f>
        <v>not yet</v>
      </c>
      <c r="AJ19" t="str">
        <f>AD16</f>
        <v>not yet</v>
      </c>
      <c r="AK19" t="str">
        <f>AD22</f>
        <v>not yet</v>
      </c>
      <c r="AL19" t="str">
        <f>AD28</f>
        <v>not yet</v>
      </c>
      <c r="AM19" t="str">
        <f>AD34</f>
        <v>not yet</v>
      </c>
      <c r="AN19">
        <f>AC46</f>
        <v>438093</v>
      </c>
      <c r="AO19">
        <f>AC52</f>
        <v>438093</v>
      </c>
      <c r="AP19">
        <f>AC58</f>
        <v>438093</v>
      </c>
    </row>
    <row r="20" spans="2:42">
      <c r="C20" s="37" t="s">
        <v>153</v>
      </c>
      <c r="D20" s="37" t="s">
        <v>153</v>
      </c>
      <c r="E20" s="38"/>
      <c r="H20" s="37" t="s">
        <v>170</v>
      </c>
      <c r="U20" s="16" t="s">
        <v>171</v>
      </c>
      <c r="V20" s="2" t="s">
        <v>134</v>
      </c>
      <c r="W20" s="2" t="s">
        <v>135</v>
      </c>
      <c r="X20" s="2" t="s">
        <v>136</v>
      </c>
      <c r="Z20" s="31"/>
      <c r="AI20" t="str">
        <f>AD11</f>
        <v>not yet</v>
      </c>
      <c r="AJ20" t="str">
        <f>AD17</f>
        <v>not yet</v>
      </c>
      <c r="AK20" t="str">
        <f>AD23</f>
        <v>not yet</v>
      </c>
      <c r="AL20" t="str">
        <f>AD29</f>
        <v>not yet</v>
      </c>
      <c r="AM20" t="str">
        <f>AD35</f>
        <v>not yet</v>
      </c>
      <c r="AN20">
        <f>AC47</f>
        <v>437645</v>
      </c>
      <c r="AO20">
        <f>AC53</f>
        <v>437645</v>
      </c>
      <c r="AP20">
        <f>AC59</f>
        <v>437645</v>
      </c>
    </row>
    <row r="21" spans="2:42">
      <c r="B21" s="34" t="s">
        <v>151</v>
      </c>
      <c r="C21" s="16" t="s">
        <v>172</v>
      </c>
      <c r="E21" s="40">
        <v>0.4</v>
      </c>
      <c r="F21" s="16" t="s">
        <v>173</v>
      </c>
      <c r="U21" s="31">
        <f>100*(+AC15/$E$13)</f>
        <v>320.62792137801137</v>
      </c>
      <c r="V21" s="35">
        <f>EXP(5.7226-(0.68367*LN(+U21)))</f>
        <v>5.9158297402780615</v>
      </c>
      <c r="W21" s="32">
        <f>(+V21*U21)/100</f>
        <v>18.967801928515758</v>
      </c>
      <c r="X21" s="31">
        <f>100*((((W21/100)-((W21/100)-0.03574)*$E$25)-0.03574-0.00619)/0.344)</f>
        <v>33.552626521882125</v>
      </c>
      <c r="Y21">
        <v>0</v>
      </c>
      <c r="Z21" s="31">
        <f>X21+Y21</f>
        <v>33.552626521882125</v>
      </c>
      <c r="AA21" s="31">
        <f>100*($E$21*$E$23+($E$22*(Z21/100))/(1-$E$25))</f>
        <v>27.583007484973766</v>
      </c>
      <c r="AB21" s="32">
        <f>AA21/U21</f>
        <v>8.6028089401653116E-2</v>
      </c>
      <c r="AC21" s="30">
        <f>$E$12/(1-AB21)</f>
        <v>438747.41797663184</v>
      </c>
      <c r="AD21" t="str">
        <f>IF(OR(OR(AC21=AC15,AC21=(AC15+1)),AC21=(AC7-1)),"yes","not yet")</f>
        <v>not yet</v>
      </c>
      <c r="AE21" s="31">
        <f>100*(1-AB21)</f>
        <v>91.397191059834697</v>
      </c>
      <c r="AI21" t="str">
        <f>AD12</f>
        <v>not yet</v>
      </c>
      <c r="AJ21" t="str">
        <f>AD18</f>
        <v>not yet</v>
      </c>
      <c r="AK21" t="str">
        <f>AD24</f>
        <v>not yet</v>
      </c>
      <c r="AL21" t="str">
        <f>AD30</f>
        <v>not yet</v>
      </c>
      <c r="AM21" t="str">
        <f>AD36</f>
        <v>not yet</v>
      </c>
      <c r="AN21">
        <f>AC48</f>
        <v>437358</v>
      </c>
      <c r="AO21">
        <f>AC54</f>
        <v>437358</v>
      </c>
      <c r="AP21">
        <f>AC60</f>
        <v>437358</v>
      </c>
    </row>
    <row r="22" spans="2:42">
      <c r="B22" s="34" t="s">
        <v>151</v>
      </c>
      <c r="C22" s="16" t="s">
        <v>174</v>
      </c>
      <c r="E22" s="40">
        <v>0.6</v>
      </c>
      <c r="F22" s="16" t="s">
        <v>175</v>
      </c>
      <c r="H22" s="46">
        <v>1.7999999999999999E-2</v>
      </c>
      <c r="I22" s="16" t="s">
        <v>151</v>
      </c>
      <c r="U22" s="31">
        <f>100*(+AC16/$E$13)</f>
        <v>320.13752121484038</v>
      </c>
      <c r="V22" s="35">
        <f>EXP(5.70827-(0.68367*LN(+U22)))</f>
        <v>5.8377662844970182</v>
      </c>
      <c r="W22" s="32">
        <f>(+V22*U22)/100</f>
        <v>18.688880277504442</v>
      </c>
      <c r="X22" s="31">
        <f>100*((((W22/100)-((W22/100)-0.03574)*$E$25)-0.03574-0.00619)/0.344)</f>
        <v>32.912079707059625</v>
      </c>
      <c r="Y22">
        <v>0</v>
      </c>
      <c r="Z22" s="31">
        <f>X22+Y22</f>
        <v>32.912079707059625</v>
      </c>
      <c r="AA22" s="31">
        <f>100*($E$21*$E$23+($E$22*(Z22/100))/(1-$E$25))</f>
        <v>27.09651623320984</v>
      </c>
      <c r="AB22" s="32">
        <f>AA22/U22</f>
        <v>8.4640238764845374E-2</v>
      </c>
      <c r="AC22" s="30">
        <f>$E$12/(1-AB22)</f>
        <v>438082.19768923911</v>
      </c>
      <c r="AD22" t="str">
        <f>IF(OR(OR(AC22=AC16,AC22=(AC16+1)),AC22=(AC16-1)),"yes","not yet")</f>
        <v>not yet</v>
      </c>
      <c r="AE22" s="31">
        <f>100*(1-AB22)</f>
        <v>91.535976123515468</v>
      </c>
    </row>
    <row r="23" spans="2:42">
      <c r="B23" s="34" t="s">
        <v>151</v>
      </c>
      <c r="C23" s="16" t="s">
        <v>176</v>
      </c>
      <c r="E23" s="41">
        <v>5.2499999999999998E-2</v>
      </c>
      <c r="F23" s="16" t="s">
        <v>177</v>
      </c>
      <c r="H23" s="77">
        <v>5.1000000000000004E-3</v>
      </c>
      <c r="I23" s="16" t="s">
        <v>151</v>
      </c>
      <c r="U23" s="31">
        <f>100*(+AC17/$E$13)</f>
        <v>319.80743660058783</v>
      </c>
      <c r="V23" s="35">
        <f>EXP(5.6985-(0.68367*LN(U23)))</f>
        <v>5.7850876646962055</v>
      </c>
      <c r="W23" s="32">
        <f>(+V23*U23)/100</f>
        <v>18.501140565561744</v>
      </c>
      <c r="X23" s="31">
        <f>100*((((W23/100)-((W23/100)-0.03574)*$E$25)-0.03574-0.00619)/0.344)</f>
        <v>32.480933275563309</v>
      </c>
      <c r="Y23">
        <v>0</v>
      </c>
      <c r="Z23" s="31">
        <f>X23+Y23</f>
        <v>32.480933275563309</v>
      </c>
      <c r="AA23" s="31">
        <f>100*($E$21*$E$23+($E$22*(Z23/100))/(1-$E$25))</f>
        <v>26.769063247263276</v>
      </c>
      <c r="AB23" s="32">
        <f>AA23/U23</f>
        <v>8.3703692233697335E-2</v>
      </c>
      <c r="AC23" s="30">
        <f>$E$12/(1-AB23)</f>
        <v>437634.43383913289</v>
      </c>
      <c r="AD23" t="str">
        <f>IF(OR(OR(AC23=AC17,AC23=(AC17+1)),AC23=(AC17-1)),"yes","not yet")</f>
        <v>not yet</v>
      </c>
      <c r="AE23" s="31">
        <f>100*(1-AB23)</f>
        <v>91.629630776630265</v>
      </c>
      <c r="AI23" t="str">
        <f>HLOOKUP(1,$AI$17:$AQ$21,$E$16+1)</f>
        <v>not yet</v>
      </c>
      <c r="AJ23" t="str">
        <f>HLOOKUP(2,$AI$17:$AQ$21,$E$16+1)</f>
        <v>not yet</v>
      </c>
      <c r="AK23" t="str">
        <f>HLOOKUP(3,$AI$17:$AQ$21,$E$16+1)</f>
        <v>not yet</v>
      </c>
      <c r="AL23" t="str">
        <f>HLOOKUP(4,$AI$17:$AQ$21,$E$16+1)</f>
        <v>not yet</v>
      </c>
      <c r="AM23" t="str">
        <f>HLOOKUP(5,$AI$17:$AQ$21,$E$16+1)</f>
        <v>not yet</v>
      </c>
      <c r="AN23">
        <f>HLOOKUP(7,$AI$17:$AQ$21,$E$16+1)</f>
        <v>437645</v>
      </c>
      <c r="AO23">
        <f>HLOOKUP(8,$AI$17:$AQ$21,$E$16+1)</f>
        <v>437645</v>
      </c>
      <c r="AP23">
        <f>HLOOKUP(9,$AI$17:$AQ$21,$E$16+1)</f>
        <v>437645</v>
      </c>
    </row>
    <row r="24" spans="2:42">
      <c r="E24" s="39"/>
      <c r="F24" s="16" t="s">
        <v>178</v>
      </c>
      <c r="H24" s="46">
        <v>0</v>
      </c>
      <c r="I24" s="16" t="s">
        <v>151</v>
      </c>
      <c r="U24" s="31">
        <f>100*(+AC18/$E$13)</f>
        <v>319.59640086087859</v>
      </c>
      <c r="V24" s="35">
        <f>EXP(5.6922-(0.68367*LN(U24)))</f>
        <v>5.751351127972093</v>
      </c>
      <c r="W24" s="32">
        <f>(+V24*U24)/100</f>
        <v>18.381111205870351</v>
      </c>
      <c r="X24" s="31">
        <f>100*((((W24/100)-((W24/100)-0.03574)*$E$25)-0.03574-0.00619)/0.344)</f>
        <v>32.205284455341804</v>
      </c>
      <c r="Y24">
        <v>0</v>
      </c>
      <c r="Z24" s="31">
        <f>X24+Y24</f>
        <v>32.205284455341804</v>
      </c>
      <c r="AA24" s="31">
        <f>100*($E$21*$E$23+($E$22*(Z24/100))/(1-$E$25))</f>
        <v>26.559709712917822</v>
      </c>
      <c r="AB24" s="32">
        <f>AA24/U24</f>
        <v>8.3103907432547572E-2</v>
      </c>
      <c r="AC24" s="30">
        <f>$E$12/(1-AB24)</f>
        <v>437348.15660008229</v>
      </c>
      <c r="AD24" t="str">
        <f>IF(OR(OR(AC24=AC18,AC24=(AC18+1)),AC24=(AC18-1)),"yes","not yet")</f>
        <v>not yet</v>
      </c>
      <c r="AE24" s="31">
        <f>100*(1-AB24)</f>
        <v>91.689609256745243</v>
      </c>
      <c r="AH24">
        <v>1</v>
      </c>
      <c r="AI24" s="31">
        <f>AE9</f>
        <v>92.079029751014303</v>
      </c>
      <c r="AJ24" s="31">
        <f>AE15</f>
        <v>91.354945122565439</v>
      </c>
      <c r="AK24" s="31">
        <f>AE21</f>
        <v>91.397191059834697</v>
      </c>
      <c r="AL24" s="31">
        <f>AE27</f>
        <v>91.394722429314427</v>
      </c>
      <c r="AM24" s="31">
        <f>AE33</f>
        <v>91.394866669983728</v>
      </c>
      <c r="AN24" s="31" t="str">
        <f>AD45</f>
        <v>yes</v>
      </c>
      <c r="AO24" s="31" t="str">
        <f>AD51</f>
        <v>yes</v>
      </c>
      <c r="AP24" s="31" t="str">
        <f>AD57</f>
        <v>yes</v>
      </c>
    </row>
    <row r="25" spans="2:42">
      <c r="B25" s="34" t="s">
        <v>151</v>
      </c>
      <c r="C25" s="16" t="s">
        <v>179</v>
      </c>
      <c r="E25" s="40">
        <v>0.21</v>
      </c>
      <c r="F25" s="16" t="s">
        <v>180</v>
      </c>
      <c r="H25" s="46">
        <v>1.2E-2</v>
      </c>
      <c r="I25" s="16" t="s">
        <v>151</v>
      </c>
      <c r="Z25" s="31"/>
      <c r="AH25">
        <v>2</v>
      </c>
      <c r="AI25" s="31">
        <f>AE10</f>
        <v>92.213101879367755</v>
      </c>
      <c r="AJ25" s="31">
        <f>AE16</f>
        <v>91.494886482217936</v>
      </c>
      <c r="AK25" s="31">
        <f>AE22</f>
        <v>91.535976123515468</v>
      </c>
      <c r="AL25" s="31">
        <f>AE28</f>
        <v>91.533621708243317</v>
      </c>
      <c r="AM25" s="31">
        <f>AE34</f>
        <v>91.533756603034959</v>
      </c>
      <c r="AN25" s="31" t="str">
        <f>AD46</f>
        <v>yes</v>
      </c>
      <c r="AO25" s="31" t="str">
        <f>AD52</f>
        <v>yes</v>
      </c>
      <c r="AP25" s="31" t="str">
        <f>AD58</f>
        <v>yes</v>
      </c>
    </row>
    <row r="26" spans="2:42">
      <c r="H26" s="37" t="s">
        <v>153</v>
      </c>
      <c r="U26" s="16" t="s">
        <v>181</v>
      </c>
      <c r="V26" s="2" t="s">
        <v>134</v>
      </c>
      <c r="W26" s="2" t="s">
        <v>135</v>
      </c>
      <c r="X26" s="2" t="s">
        <v>136</v>
      </c>
      <c r="Z26" s="31"/>
      <c r="AH26">
        <v>3</v>
      </c>
      <c r="AI26" s="31">
        <f>AE11</f>
        <v>92.303415164489209</v>
      </c>
      <c r="AJ26" s="31">
        <f>AE17</f>
        <v>91.589321604276336</v>
      </c>
      <c r="AK26" s="31">
        <f>AE23</f>
        <v>91.629630776630265</v>
      </c>
      <c r="AL26" s="31">
        <f>AE29</f>
        <v>91.627351883499912</v>
      </c>
      <c r="AM26" s="31">
        <f>AE35</f>
        <v>91.627480710250211</v>
      </c>
      <c r="AN26" s="31" t="str">
        <f>AD47</f>
        <v>yes</v>
      </c>
      <c r="AO26" s="31" t="str">
        <f>AD53</f>
        <v>yes</v>
      </c>
      <c r="AP26" s="31" t="str">
        <f>AD59</f>
        <v>yes</v>
      </c>
    </row>
    <row r="27" spans="2:42">
      <c r="F27" s="16" t="s">
        <v>182</v>
      </c>
      <c r="H27" s="29">
        <f>SUM(H22:H25)</f>
        <v>3.5099999999999999E-2</v>
      </c>
      <c r="U27" s="31">
        <f>100*(+AC21/$E$13)</f>
        <v>320.47971959088602</v>
      </c>
      <c r="V27" s="35">
        <f>EXP(5.7226-(0.68367*LN(+U27)))</f>
        <v>5.917699919891942</v>
      </c>
      <c r="W27" s="32">
        <f>(+V27*U27)/100</f>
        <v>18.965028109499784</v>
      </c>
      <c r="X27" s="31">
        <f>100*((((W27/100)-((W27/100)-0.03574)*$E$25)-0.03574-0.00619)/0.344)</f>
        <v>33.546256414258231</v>
      </c>
      <c r="Y27">
        <v>0</v>
      </c>
      <c r="Z27" s="31">
        <f>X27+Y27</f>
        <v>33.546256414258231</v>
      </c>
      <c r="AA27" s="31">
        <f>100*($E$21*$E$23+($E$22*(Z27/100))/(1-$E$25))</f>
        <v>27.578169428550552</v>
      </c>
      <c r="AB27" s="32">
        <f>AA27/U27</f>
        <v>8.6052775706855794E-2</v>
      </c>
      <c r="AC27" s="30">
        <f>$E$12/(1-AB27)</f>
        <v>438759.26882794924</v>
      </c>
      <c r="AD27" t="str">
        <f>IF(OR(OR(AC27=AC21,AC27=(AC21+1)),AC27=(AC13-1)),"yes","not yet")</f>
        <v>not yet</v>
      </c>
      <c r="AE27" s="31">
        <f>100*(1-AB27)</f>
        <v>91.394722429314427</v>
      </c>
      <c r="AH27">
        <v>4</v>
      </c>
      <c r="AI27" s="31">
        <f>AE12</f>
        <v>92.361185788740968</v>
      </c>
      <c r="AJ27" s="31">
        <f>AE18</f>
        <v>91.649799820495787</v>
      </c>
      <c r="AK27" s="31">
        <f>AE24</f>
        <v>91.689609256745243</v>
      </c>
      <c r="AL27" s="31">
        <f>AE30</f>
        <v>91.687378064991449</v>
      </c>
      <c r="AM27" s="31">
        <f>AE36</f>
        <v>91.687503105339488</v>
      </c>
      <c r="AN27" s="31" t="str">
        <f>AD48</f>
        <v>yes</v>
      </c>
      <c r="AO27" s="31" t="str">
        <f>AD54</f>
        <v>yes</v>
      </c>
      <c r="AP27" s="31" t="str">
        <f>AD60</f>
        <v>yes</v>
      </c>
    </row>
    <row r="28" spans="2:42">
      <c r="U28" s="31">
        <f>100*(+AC22/$E$13)</f>
        <v>319.99381448367654</v>
      </c>
      <c r="V28" s="35">
        <f>EXP(5.70827-(0.68367*LN(+U28)))</f>
        <v>5.8395585316996259</v>
      </c>
      <c r="W28" s="32">
        <f>(+V28*U28)/100</f>
        <v>18.686226094592609</v>
      </c>
      <c r="X28" s="31">
        <f>100*((((W28/100)-((W28/100)-0.03574)*$E$25)-0.03574-0.00619)/0.344)</f>
        <v>32.905984345140013</v>
      </c>
      <c r="Y28">
        <v>0</v>
      </c>
      <c r="Z28" s="31">
        <f>X28+Y28</f>
        <v>32.905984345140013</v>
      </c>
      <c r="AA28" s="31">
        <f>100*($E$21*$E$23+($E$22*(Z28/100))/(1-$E$25))</f>
        <v>27.091886844410134</v>
      </c>
      <c r="AB28" s="32">
        <f>AA28/U28</f>
        <v>8.4663782917566793E-2</v>
      </c>
      <c r="AC28" s="30">
        <f>$E$12/(1-AB28)</f>
        <v>438093.46597948531</v>
      </c>
      <c r="AD28" t="str">
        <f>IF(OR(OR(AC28=AC22,AC28=(AC22+1)),AC28=(AC22-1)),"yes","not yet")</f>
        <v>not yet</v>
      </c>
      <c r="AE28" s="31">
        <f>100*(1-AB28)</f>
        <v>91.533621708243317</v>
      </c>
    </row>
    <row r="29" spans="2:42">
      <c r="F29" s="16" t="s">
        <v>183</v>
      </c>
      <c r="H29" s="32">
        <f>((+H19/100)-H27)</f>
        <v>0.88117480710250207</v>
      </c>
      <c r="U29" s="31">
        <f>100*(+AC23/$E$13)</f>
        <v>319.66674877970786</v>
      </c>
      <c r="V29" s="35">
        <f>EXP(5.6985-(0.68367*LN(U29)))</f>
        <v>5.786828209792942</v>
      </c>
      <c r="W29" s="32">
        <f>(+V29*U29)/100</f>
        <v>18.498565595712069</v>
      </c>
      <c r="X29" s="31">
        <f>100*((((W29/100)-((W29/100)-0.03574)*$E$25)-0.03574-0.00619)/0.344)</f>
        <v>32.475019827362019</v>
      </c>
      <c r="Y29">
        <v>0</v>
      </c>
      <c r="Z29" s="31">
        <f>X29+Y29</f>
        <v>32.475019827362019</v>
      </c>
      <c r="AA29" s="31">
        <f>100*($E$21*$E$23+($E$22*(Z29/100))/(1-$E$25))</f>
        <v>26.764572020781273</v>
      </c>
      <c r="AB29" s="32">
        <f>AA29/U29</f>
        <v>8.3726481165000866E-2</v>
      </c>
      <c r="AC29" s="30">
        <f>$E$12/(1-AB29)</f>
        <v>437645.31838489766</v>
      </c>
      <c r="AD29" t="str">
        <f>IF(OR(OR(AC29=AC23,AC29=(AC23+1)),AC29=(AC23-1)),"yes","not yet")</f>
        <v>not yet</v>
      </c>
      <c r="AE29" s="31">
        <f>100*(1-AB29)</f>
        <v>91.627351883499912</v>
      </c>
      <c r="AI29" s="16" t="s">
        <v>184</v>
      </c>
    </row>
    <row r="30" spans="2:42">
      <c r="U30" s="31">
        <f>100*(+AC24/$E$13)</f>
        <v>319.45763974444719</v>
      </c>
      <c r="V30" s="35">
        <f>EXP(5.6922-(0.68367*LN(U30)))</f>
        <v>5.753058943982432</v>
      </c>
      <c r="W30" s="32">
        <f>(+V30*U30)/100</f>
        <v>18.378586315553097</v>
      </c>
      <c r="X30" s="31">
        <f>100*((((W30/100)-((W30/100)-0.03574)*$E$25)-0.03574-0.00619)/0.344)</f>
        <v>32.199486015369033</v>
      </c>
      <c r="Y30">
        <v>0</v>
      </c>
      <c r="Z30" s="31">
        <f>X30+Y30</f>
        <v>32.199486015369033</v>
      </c>
      <c r="AA30" s="31">
        <f>100*($E$21*$E$23+($E$22*(Z30/100))/(1-$E$25))</f>
        <v>26.555305834457492</v>
      </c>
      <c r="AB30" s="32">
        <f>AA30/U30</f>
        <v>8.3126219350085448E-2</v>
      </c>
      <c r="AC30" s="30">
        <f>$E$12/(1-AB30)</f>
        <v>437358.79936925217</v>
      </c>
      <c r="AD30" t="str">
        <f>IF(OR(OR(AC30=AC24,AC30=(AC24+1)),AC30=(AC24-1)),"yes","not yet")</f>
        <v>not yet</v>
      </c>
      <c r="AE30" s="31">
        <f>100*(1-AB30)</f>
        <v>91.687378064991449</v>
      </c>
      <c r="AI30" s="31">
        <f>HLOOKUP($AI$29,$AI$23:$AQ$27,$E$16+1)</f>
        <v>91.627480710250211</v>
      </c>
    </row>
    <row r="31" spans="2:42">
      <c r="E31" s="30"/>
      <c r="Z31" s="31"/>
    </row>
    <row r="32" spans="2:42">
      <c r="U32" s="16" t="s">
        <v>185</v>
      </c>
      <c r="V32" s="2" t="s">
        <v>134</v>
      </c>
      <c r="W32" s="2" t="s">
        <v>135</v>
      </c>
      <c r="X32" s="2" t="s">
        <v>136</v>
      </c>
      <c r="Z32" s="31"/>
      <c r="AI32" t="str">
        <f>HLOOKUP(1,$AI$17:$AQ$21,$E$16+1)</f>
        <v>not yet</v>
      </c>
      <c r="AJ32" t="str">
        <f>HLOOKUP(2,$AI$17:$AQ$21,$E$16+1)</f>
        <v>not yet</v>
      </c>
      <c r="AK32" t="str">
        <f>HLOOKUP(3,$AI$17:$AQ$21,$E$16+1)</f>
        <v>not yet</v>
      </c>
      <c r="AL32" t="str">
        <f>HLOOKUP(4,$AI$17:$AQ$21,$E$16+1)</f>
        <v>not yet</v>
      </c>
      <c r="AM32" t="str">
        <f>HLOOKUP(5,$AI$17:$AQ$21,$E$16+1)</f>
        <v>not yet</v>
      </c>
      <c r="AN32">
        <f>HLOOKUP(7,$AI$17:$AQ$21,$E$16+1)</f>
        <v>437645</v>
      </c>
      <c r="AO32">
        <f>HLOOKUP(8,$AI$17:$AQ$21,$E$16+1)</f>
        <v>437645</v>
      </c>
      <c r="AP32">
        <f>HLOOKUP(9,$AI$17:$AQ$21,$E$16+1)</f>
        <v>437645</v>
      </c>
    </row>
    <row r="33" spans="5:42">
      <c r="E33" s="30"/>
      <c r="U33" s="31">
        <f>100*(+AC27/$E$13)</f>
        <v>320.4883759552348</v>
      </c>
      <c r="V33" s="35">
        <f>EXP(5.7226-(0.68367*LN(+U33)))</f>
        <v>5.9175906439490271</v>
      </c>
      <c r="W33" s="32">
        <f>(+V33*U33)/100</f>
        <v>18.965190150471159</v>
      </c>
      <c r="X33" s="31">
        <f>100*((((W33/100)-((W33/100)-0.03574)*$E$25)-0.03574-0.00619)/0.344)</f>
        <v>33.54662854323319</v>
      </c>
      <c r="Y33">
        <v>0</v>
      </c>
      <c r="Z33" s="31">
        <f>X33+Y33</f>
        <v>33.54662854323319</v>
      </c>
      <c r="AA33" s="31">
        <f>100*($E$21*$E$23+($E$22*(Z33/100))/(1-$E$25))</f>
        <v>27.578452058151793</v>
      </c>
      <c r="AB33" s="32">
        <f>AA33/U33</f>
        <v>8.6051333300162805E-2</v>
      </c>
      <c r="AC33" s="30">
        <f>$E$12/(1-AB33)</f>
        <v>438758.57637187483</v>
      </c>
      <c r="AD33" t="str">
        <f>IF(OR(OR(AC33=AC27,AC33=(AC27+1)),AC33=(AC19-1)),"yes","not yet")</f>
        <v>not yet</v>
      </c>
      <c r="AE33" s="31">
        <f>100*(1-AB33)</f>
        <v>91.394866669983728</v>
      </c>
      <c r="AH33">
        <v>1</v>
      </c>
      <c r="AI33" s="31">
        <f>U9</f>
        <v>366.13682702813071</v>
      </c>
      <c r="AJ33" s="31">
        <f>U15</f>
        <v>318.10658997444312</v>
      </c>
      <c r="AK33" s="31">
        <f>U21</f>
        <v>320.62792137801137</v>
      </c>
      <c r="AL33" s="31">
        <f>U27</f>
        <v>320.47971959088602</v>
      </c>
      <c r="AM33" s="31">
        <f>U33</f>
        <v>320.4883759552348</v>
      </c>
      <c r="AN33" s="31">
        <f>T45</f>
        <v>0</v>
      </c>
      <c r="AO33" s="31">
        <f>T51</f>
        <v>0</v>
      </c>
      <c r="AP33" s="31">
        <f>T57</f>
        <v>0</v>
      </c>
    </row>
    <row r="34" spans="5:42">
      <c r="E34" s="30"/>
      <c r="U34" s="31">
        <f>100*(+AC28/$E$13)</f>
        <v>320.00204532071496</v>
      </c>
      <c r="V34" s="35">
        <f>EXP(5.70827-(0.68367*LN(+U34)))</f>
        <v>5.8394558437328614</v>
      </c>
      <c r="W34" s="32">
        <f>(+V34*U34)/100</f>
        <v>18.686378135545169</v>
      </c>
      <c r="X34" s="31">
        <f>100*((((W34/100)-((W34/100)-0.03574)*$E$25)-0.03574-0.00619)/0.344)</f>
        <v>32.906333508955484</v>
      </c>
      <c r="Y34">
        <v>0</v>
      </c>
      <c r="Z34" s="31">
        <f>X34+Y34</f>
        <v>32.906333508955484</v>
      </c>
      <c r="AA34" s="31">
        <f>100*($E$21*$E$23+($E$22*(Z34/100))/(1-$E$25))</f>
        <v>27.092152032118083</v>
      </c>
      <c r="AB34" s="32">
        <f>AA34/U34</f>
        <v>8.4662433969650328E-2</v>
      </c>
      <c r="AC34" s="30">
        <f>$E$12/(1-AB34)</f>
        <v>438092.82035399141</v>
      </c>
      <c r="AD34" t="str">
        <f>IF(OR(OR(AC34=AC28,AC34=(AC28+1)),AC34=(AC28-1)),"yes","not yet")</f>
        <v>not yet</v>
      </c>
      <c r="AE34" s="31">
        <f>100*(1-AB34)</f>
        <v>91.533756603034959</v>
      </c>
      <c r="AH34">
        <v>2</v>
      </c>
      <c r="AI34" s="31">
        <f>U10</f>
        <v>366.13682702813071</v>
      </c>
      <c r="AJ34" s="31">
        <f>U16</f>
        <v>317.64408273098297</v>
      </c>
      <c r="AK34" s="31">
        <f>U22</f>
        <v>320.13752121484038</v>
      </c>
      <c r="AL34" s="31">
        <f>U28</f>
        <v>319.99381448367654</v>
      </c>
      <c r="AM34" s="31">
        <f>U34</f>
        <v>320.00204532071496</v>
      </c>
      <c r="AN34" s="31">
        <f>T46</f>
        <v>0</v>
      </c>
      <c r="AO34" s="31">
        <f>T52</f>
        <v>0</v>
      </c>
      <c r="AP34" s="31">
        <f>T58</f>
        <v>0</v>
      </c>
    </row>
    <row r="35" spans="5:42">
      <c r="E35" s="30"/>
      <c r="U35" s="31">
        <f>100*(+AC29/$E$13)</f>
        <v>319.67469931350394</v>
      </c>
      <c r="V35" s="35">
        <f>EXP(5.6985-(0.68367*LN(U35)))</f>
        <v>5.7867298139288241</v>
      </c>
      <c r="W35" s="32">
        <f>(+V35*U35)/100</f>
        <v>18.498711132761855</v>
      </c>
      <c r="X35" s="31">
        <f>100*((((W35/100)-((W35/100)-0.03574)*$E$25)-0.03574-0.00619)/0.344)</f>
        <v>32.475354054889152</v>
      </c>
      <c r="Y35">
        <v>0</v>
      </c>
      <c r="Z35" s="31">
        <f>X35+Y35</f>
        <v>32.475354054889152</v>
      </c>
      <c r="AA35" s="31">
        <f>100*($E$21*$E$23+($E$22*(Z35/100))/(1-$E$25))</f>
        <v>26.764825864472769</v>
      </c>
      <c r="AB35" s="32">
        <f>AA35/U35</f>
        <v>8.3725192897497941E-2</v>
      </c>
      <c r="AC35" s="30">
        <f>$E$12/(1-AB35)</f>
        <v>437644.70306268521</v>
      </c>
      <c r="AD35" t="str">
        <f>IF(OR(OR(AC35=AC29,AC35=(AC29+1)),AC35=(AC29-1)),"yes","not yet")</f>
        <v>not yet</v>
      </c>
      <c r="AE35" s="31">
        <f>100*(1-AB35)</f>
        <v>91.627480710250211</v>
      </c>
      <c r="AH35">
        <v>3</v>
      </c>
      <c r="AI35" s="31">
        <f>U11</f>
        <v>366.13682702813071</v>
      </c>
      <c r="AJ35" s="31">
        <f>U17</f>
        <v>317.33328729010248</v>
      </c>
      <c r="AK35" s="31">
        <f>U23</f>
        <v>319.80743660058783</v>
      </c>
      <c r="AL35" s="31">
        <f>U29</f>
        <v>319.66674877970786</v>
      </c>
      <c r="AM35" s="31">
        <f>U35</f>
        <v>319.67469931350394</v>
      </c>
      <c r="AN35" s="31">
        <f>T47</f>
        <v>0</v>
      </c>
      <c r="AO35" s="31">
        <f>T53</f>
        <v>0</v>
      </c>
      <c r="AP35" s="31">
        <f>T59</f>
        <v>0</v>
      </c>
    </row>
    <row r="36" spans="5:42">
      <c r="E36" s="30"/>
      <c r="U36" s="31">
        <f>100*(+AC30/$E$13)</f>
        <v>319.46541367436561</v>
      </c>
      <c r="V36" s="35">
        <f>EXP(5.6922-(0.68367*LN(U36)))</f>
        <v>5.7529632325551647</v>
      </c>
      <c r="W36" s="32">
        <f>(+V36*U36)/100</f>
        <v>18.378727789416512</v>
      </c>
      <c r="X36" s="31">
        <f>100*((((W36/100)-((W36/100)-0.03574)*$E$25)-0.03574-0.00619)/0.344)</f>
        <v>32.199810911741409</v>
      </c>
      <c r="Y36">
        <v>0</v>
      </c>
      <c r="Z36" s="31">
        <f>X36+Y36</f>
        <v>32.199810911741409</v>
      </c>
      <c r="AA36" s="31">
        <f>100*($E$21*$E$23+($E$22*(Z36/100))/(1-$E$25))</f>
        <v>26.555552591196008</v>
      </c>
      <c r="AB36" s="32">
        <f>AA36/U36</f>
        <v>8.3124968946605149E-2</v>
      </c>
      <c r="AC36" s="30">
        <f>$E$12/(1-AB36)</f>
        <v>437358.20291395963</v>
      </c>
      <c r="AD36" t="str">
        <f>IF(OR(OR(AC36=AC30,AC36=(AC30+1)),AC36=(AC30-1)),"yes","not yet")</f>
        <v>not yet</v>
      </c>
      <c r="AE36" s="31">
        <f>100*(1-AB36)</f>
        <v>91.687503105339488</v>
      </c>
      <c r="AH36">
        <v>4</v>
      </c>
      <c r="AI36" s="31">
        <f>U12</f>
        <v>366.13682702813071</v>
      </c>
      <c r="AJ36" s="31">
        <f>U18</f>
        <v>317.13479977669459</v>
      </c>
      <c r="AK36" s="31">
        <f>U24</f>
        <v>319.59640086087859</v>
      </c>
      <c r="AL36" s="31">
        <f>U30</f>
        <v>319.45763974444719</v>
      </c>
      <c r="AM36" s="31">
        <f>U36</f>
        <v>319.46541367436561</v>
      </c>
      <c r="AN36" s="31">
        <f>T48</f>
        <v>0</v>
      </c>
      <c r="AO36" s="31">
        <f>T54</f>
        <v>0</v>
      </c>
      <c r="AP36" s="31">
        <f>T60</f>
        <v>0</v>
      </c>
    </row>
    <row r="37" spans="5:42">
      <c r="E37" s="30"/>
      <c r="Z37" s="31"/>
    </row>
    <row r="38" spans="5:42">
      <c r="U38" s="16" t="s">
        <v>186</v>
      </c>
      <c r="V38" s="2" t="s">
        <v>134</v>
      </c>
      <c r="W38" s="2" t="s">
        <v>135</v>
      </c>
      <c r="X38" s="2" t="s">
        <v>136</v>
      </c>
      <c r="Z38" s="31"/>
      <c r="AI38" s="16" t="s">
        <v>184</v>
      </c>
    </row>
    <row r="39" spans="5:42">
      <c r="U39" s="31">
        <f>100*(+AC33/$E$13)</f>
        <v>320.48787015595377</v>
      </c>
      <c r="V39" s="35">
        <f>EXP(5.7226-(0.68367*LN(+U39)))</f>
        <v>5.9175970289055506</v>
      </c>
      <c r="W39" s="32">
        <f>(+V39*U39)/100</f>
        <v>18.965180682351399</v>
      </c>
      <c r="X39" s="31">
        <f>100*((((W39/100)-((W39/100)-0.03574)*$E$25)-0.03574-0.00619)/0.344)</f>
        <v>33.546606799586073</v>
      </c>
      <c r="Y39">
        <v>0</v>
      </c>
      <c r="Z39" s="31">
        <f>X39+Y39</f>
        <v>33.546606799586073</v>
      </c>
      <c r="AA39" s="31">
        <f>100*($E$21*$E$23+($E$22*(Z39/100))/(1-$E$25))</f>
        <v>27.578435543989421</v>
      </c>
      <c r="AB39" s="32">
        <f>AA39/U39</f>
        <v>8.6051417579608797E-2</v>
      </c>
      <c r="AC39" s="30">
        <f>ROUND($E$12/(1-AB39),0)</f>
        <v>438759</v>
      </c>
      <c r="AD39" t="str">
        <f>IF(OR(OR(AC39=AC33,AC39=(AC33+1)),AC39=(AC25-1)),"yes","not yet")</f>
        <v>not yet</v>
      </c>
      <c r="AE39" s="31">
        <f>100*(1-AB39)</f>
        <v>91.39485824203912</v>
      </c>
      <c r="AI39" s="31">
        <f>HLOOKUP($AI$38,$AI$32:$AQ$36,$E$16+1)</f>
        <v>319.67469931350394</v>
      </c>
    </row>
    <row r="40" spans="5:42">
      <c r="U40" s="31">
        <f>100*(+AC34/$E$13)</f>
        <v>320.00157372847582</v>
      </c>
      <c r="V40" s="35">
        <f>EXP(5.70827-(0.68367*LN(+U40)))</f>
        <v>5.839461727200054</v>
      </c>
      <c r="W40" s="32">
        <f>(+V40*U40)/100</f>
        <v>18.686369424312208</v>
      </c>
      <c r="X40" s="31">
        <f>100*((((W40/100)-((W40/100)-0.03574)*$E$25)-0.03574-0.00619)/0.344)</f>
        <v>32.90631350350769</v>
      </c>
      <c r="Y40">
        <v>0</v>
      </c>
      <c r="Z40" s="31">
        <f>X40+Y40</f>
        <v>32.90631350350769</v>
      </c>
      <c r="AA40" s="31">
        <f>100*($E$21*$E$23+($E$22*(Z40/100))/(1-$E$25))</f>
        <v>27.092136838107102</v>
      </c>
      <c r="AB40" s="32">
        <f>AA40/U40</f>
        <v>8.4662511257194692E-2</v>
      </c>
      <c r="AC40" s="30">
        <f>ROUND($E$12/(1-AB40),0)</f>
        <v>438093</v>
      </c>
      <c r="AD40" t="str">
        <f>IF(OR(OR(AC40=AC34,AC40=(AC34+1)),AC40=(AC34-1)),"yes","not yet")</f>
        <v>not yet</v>
      </c>
      <c r="AE40" s="31">
        <f>100*(1-AB40)</f>
        <v>91.533748874280533</v>
      </c>
    </row>
    <row r="41" spans="5:42">
      <c r="U41" s="31">
        <f>100*(+AC35/$E$13)</f>
        <v>319.67424985606664</v>
      </c>
      <c r="V41" s="35">
        <f>EXP(5.6985-(0.68367*LN(U41)))</f>
        <v>5.78673537630746</v>
      </c>
      <c r="W41" s="32">
        <f>(+V41*U41)/100</f>
        <v>18.498702905366507</v>
      </c>
      <c r="X41" s="31">
        <f>100*((((W41/100)-((W41/100)-0.03574)*$E$25)-0.03574-0.00619)/0.344)</f>
        <v>32.475335160580059</v>
      </c>
      <c r="Y41">
        <v>0</v>
      </c>
      <c r="Z41" s="31">
        <f>X41+Y41</f>
        <v>32.475335160580059</v>
      </c>
      <c r="AA41" s="31">
        <f>100*($E$21*$E$23+($E$22*(Z41/100))/(1-$E$25))</f>
        <v>26.764811514364599</v>
      </c>
      <c r="AB41" s="32">
        <f>AA41/U41</f>
        <v>8.3725265724140921E-2</v>
      </c>
      <c r="AC41" s="30">
        <f>ROUND($E$12/(1-AB41),0)</f>
        <v>437645</v>
      </c>
      <c r="AD41" t="str">
        <f>IF(OR(OR(AC41=AC35,AC41=(AC35+1)),AC41=(AC35-1)),"yes","not yet")</f>
        <v>not yet</v>
      </c>
      <c r="AE41" s="31">
        <f>100*(1-AB41)</f>
        <v>91.627473427585898</v>
      </c>
      <c r="AI41" t="str">
        <f>HLOOKUP(1,$AI$17:$AQ$21,$E$16+1)</f>
        <v>not yet</v>
      </c>
      <c r="AJ41" t="str">
        <f>HLOOKUP(2,$AI$17:$AQ$21,$E$16+1)</f>
        <v>not yet</v>
      </c>
      <c r="AK41" t="str">
        <f>HLOOKUP(3,$AI$17:$AQ$21,$E$16+1)</f>
        <v>not yet</v>
      </c>
      <c r="AL41" t="str">
        <f>HLOOKUP(4,$AI$17:$AQ$21,$E$16+1)</f>
        <v>not yet</v>
      </c>
      <c r="AM41" t="str">
        <f>HLOOKUP(5,$AI$17:$AQ$21,$E$16+1)</f>
        <v>not yet</v>
      </c>
      <c r="AN41">
        <f>HLOOKUP(7,$AI$17:$AQ$21,$E$16+1)</f>
        <v>437645</v>
      </c>
      <c r="AO41">
        <f>HLOOKUP(8,$AI$17:$AQ$21,$E$16+1)</f>
        <v>437645</v>
      </c>
      <c r="AP41">
        <f>HLOOKUP(9,$AI$17:$AQ$21,$E$16+1)</f>
        <v>437645</v>
      </c>
    </row>
    <row r="42" spans="5:42">
      <c r="U42" s="31">
        <f>100*(+AC36/$E$13)</f>
        <v>319.4649779981267</v>
      </c>
      <c r="V42" s="35">
        <f>EXP(5.6922-(0.68367*LN(U42)))</f>
        <v>5.7529685964301605</v>
      </c>
      <c r="W42" s="32">
        <f>(+V42*U42)/100</f>
        <v>18.378719860824752</v>
      </c>
      <c r="X42" s="31">
        <f>100*((((W42/100)-((W42/100)-0.03574)*$E$25)-0.03574-0.00619)/0.344)</f>
        <v>32.199792703638238</v>
      </c>
      <c r="Y42">
        <v>0</v>
      </c>
      <c r="Z42" s="31">
        <f>X42+Y42</f>
        <v>32.199792703638238</v>
      </c>
      <c r="AA42" s="31">
        <f>100*($E$21*$E$23+($E$22*(Z42/100))/(1-$E$25))</f>
        <v>26.555538762256887</v>
      </c>
      <c r="AB42" s="32">
        <f>AA42/U42</f>
        <v>8.3125039022000732E-2</v>
      </c>
      <c r="AC42" s="30">
        <f>ROUND($E$12/(1-AB42),0)</f>
        <v>437358</v>
      </c>
      <c r="AD42" t="str">
        <f>IF(OR(OR(AC42=AC36,AC42=(AC36+1)),AC42=(AC36-1)),"yes","not yet")</f>
        <v>not yet</v>
      </c>
      <c r="AE42" s="31">
        <f>100*(1-AB42)</f>
        <v>91.687496097799922</v>
      </c>
      <c r="AH42">
        <v>1</v>
      </c>
      <c r="AI42" s="30">
        <f>AC9</f>
        <v>435498.52443332947</v>
      </c>
      <c r="AJ42" s="30">
        <f>AC15</f>
        <v>438950.31116289581</v>
      </c>
      <c r="AK42" s="30">
        <f>AC21</f>
        <v>438747.41797663184</v>
      </c>
      <c r="AL42" s="30">
        <f>AC27</f>
        <v>438759.26882794924</v>
      </c>
      <c r="AM42" s="30">
        <f>AC33</f>
        <v>438758.57637187483</v>
      </c>
      <c r="AN42" s="30">
        <f>AB45</f>
        <v>8.6051366019427117E-2</v>
      </c>
      <c r="AO42" s="30">
        <f>AB51</f>
        <v>8.6051366019427117E-2</v>
      </c>
      <c r="AP42" s="30">
        <f>AB57</f>
        <v>8.6051366019427117E-2</v>
      </c>
    </row>
    <row r="43" spans="5:42">
      <c r="Z43" s="31"/>
      <c r="AH43">
        <v>2</v>
      </c>
      <c r="AI43" s="30">
        <f>AC10</f>
        <v>434865.33660127985</v>
      </c>
      <c r="AJ43" s="30">
        <f>AC16</f>
        <v>438278.93699406774</v>
      </c>
      <c r="AK43" s="30">
        <f>AC22</f>
        <v>438082.19768923911</v>
      </c>
      <c r="AL43" s="30">
        <f>AC28</f>
        <v>438093.46597948531</v>
      </c>
      <c r="AM43" s="30">
        <f>AC34</f>
        <v>438092.82035399141</v>
      </c>
      <c r="AN43" s="30">
        <f>AB46</f>
        <v>8.4662489751831868E-2</v>
      </c>
      <c r="AO43" s="30">
        <f>AB52</f>
        <v>8.4662489751831868E-2</v>
      </c>
      <c r="AP43" s="30">
        <f>AB58</f>
        <v>8.4662489751831868E-2</v>
      </c>
    </row>
    <row r="44" spans="5:42">
      <c r="U44" s="16" t="s">
        <v>187</v>
      </c>
      <c r="V44" s="2" t="s">
        <v>134</v>
      </c>
      <c r="W44" s="2" t="s">
        <v>135</v>
      </c>
      <c r="X44" s="2" t="s">
        <v>136</v>
      </c>
      <c r="Z44" s="31"/>
      <c r="AH44">
        <v>3</v>
      </c>
      <c r="AI44" s="30">
        <f>AC11</f>
        <v>434439.8472836428</v>
      </c>
      <c r="AJ44" s="30">
        <f>AC17</f>
        <v>437827.04015516012</v>
      </c>
      <c r="AK44" s="30">
        <f>AC23</f>
        <v>437634.43383913289</v>
      </c>
      <c r="AL44" s="30">
        <f>AC29</f>
        <v>437645.31838489766</v>
      </c>
      <c r="AM44" s="30">
        <f>AC35</f>
        <v>437644.70306268521</v>
      </c>
      <c r="AN44" s="30">
        <f>AB47</f>
        <v>8.3725230580016768E-2</v>
      </c>
      <c r="AO44" s="30">
        <f>AB53</f>
        <v>8.3725230580016768E-2</v>
      </c>
      <c r="AP44" s="30">
        <f>AB59</f>
        <v>8.3725230580016768E-2</v>
      </c>
    </row>
    <row r="45" spans="5:42">
      <c r="U45" s="31">
        <f>100*(+AC39/$E$13)</f>
        <v>320.4881795919008</v>
      </c>
      <c r="V45" s="35">
        <f>EXP(5.7226-(0.68367*LN(+U45)))</f>
        <v>5.9175931227392882</v>
      </c>
      <c r="W45" s="32">
        <f>(+V45*U45)/100</f>
        <v>18.96518647472266</v>
      </c>
      <c r="X45" s="31">
        <f>100*((((W45/100)-((W45/100)-0.03574)*$E$25)-0.03574-0.00619)/0.344)</f>
        <v>33.546620101834016</v>
      </c>
      <c r="Y45">
        <v>0</v>
      </c>
      <c r="Z45" s="31">
        <f>X45+Y45</f>
        <v>33.546620101834016</v>
      </c>
      <c r="AA45" s="31">
        <f>100*($E$21*$E$23+($E$22*(Z45/100))/(1-$E$25))</f>
        <v>27.578445646962546</v>
      </c>
      <c r="AB45" s="32">
        <f>AA45/U45</f>
        <v>8.6051366019427117E-2</v>
      </c>
      <c r="AC45" s="30">
        <f>ROUND($E$12/(1-AB45),0)</f>
        <v>438759</v>
      </c>
      <c r="AD45" t="str">
        <f>IF(OR(OR(AC45=AC39,AC45=(AC39+1)),AC45=(AC31-1)),"yes","not yet")</f>
        <v>yes</v>
      </c>
      <c r="AE45" s="31">
        <f>100*(1-AB45)</f>
        <v>91.394863398057296</v>
      </c>
      <c r="AH45">
        <v>4</v>
      </c>
      <c r="AI45" s="30">
        <f>AC12</f>
        <v>434168.11126203282</v>
      </c>
      <c r="AJ45" s="30">
        <f>AC18</f>
        <v>437538.12519350077</v>
      </c>
      <c r="AK45" s="30">
        <f>AC24</f>
        <v>437348.15660008229</v>
      </c>
      <c r="AL45" s="30">
        <f>AC30</f>
        <v>437358.79936925217</v>
      </c>
      <c r="AM45" s="30">
        <f>AC36</f>
        <v>437358.20291395963</v>
      </c>
      <c r="AN45" s="30">
        <f>AB48</f>
        <v>8.3125062861669333E-2</v>
      </c>
      <c r="AO45" s="30">
        <f>AB54</f>
        <v>8.3125062861669333E-2</v>
      </c>
      <c r="AP45" s="30">
        <f>AB60</f>
        <v>8.3125062861669333E-2</v>
      </c>
    </row>
    <row r="46" spans="5:42">
      <c r="U46" s="31">
        <f>100*(+AC40/$E$13)</f>
        <v>320.00170494953852</v>
      </c>
      <c r="V46" s="35">
        <f>EXP(5.70827-(0.68367*LN(+U46)))</f>
        <v>5.8394600901173295</v>
      </c>
      <c r="W46" s="32">
        <f>(+V46*U46)/100</f>
        <v>18.686371848223313</v>
      </c>
      <c r="X46" s="31">
        <f>100*((((W46/100)-((W46/100)-0.03574)*$E$25)-0.03574-0.00619)/0.344)</f>
        <v>32.906319070047722</v>
      </c>
      <c r="Y46">
        <v>0</v>
      </c>
      <c r="Z46" s="31">
        <f>X46+Y46</f>
        <v>32.906319070047722</v>
      </c>
      <c r="AA46" s="31">
        <f>100*($E$21*$E$23+($E$22*(Z46/100))/(1-$E$25))</f>
        <v>27.092141065859028</v>
      </c>
      <c r="AB46" s="32">
        <f>AA46/U46</f>
        <v>8.4662489751831868E-2</v>
      </c>
      <c r="AC46" s="30">
        <f>ROUND($E$12/(1-AB46),0)</f>
        <v>438093</v>
      </c>
      <c r="AD46" t="str">
        <f>IF(OR(OR(AC46=AC40,AC46=(AC40+1)),AC46=(AC40-1)),"yes","not yet")</f>
        <v>yes</v>
      </c>
      <c r="AE46" s="31">
        <f>100*(1-AB46)</f>
        <v>91.533751024816809</v>
      </c>
    </row>
    <row r="47" spans="5:42">
      <c r="U47" s="31">
        <f>100*(+AC41/$E$13)</f>
        <v>319.67446675167326</v>
      </c>
      <c r="V47" s="35">
        <f>EXP(5.6985-(0.68367*LN(U47)))</f>
        <v>5.7867326920572344</v>
      </c>
      <c r="W47" s="32">
        <f>(+V47*U47)/100</f>
        <v>18.49870687567871</v>
      </c>
      <c r="X47" s="31">
        <f>100*((((W47/100)-((W47/100)-0.03574)*$E$25)-0.03574-0.00619)/0.344)</f>
        <v>32.475344278448205</v>
      </c>
      <c r="Y47">
        <v>0</v>
      </c>
      <c r="Z47" s="31">
        <f>X47+Y47</f>
        <v>32.475344278448205</v>
      </c>
      <c r="AA47" s="31">
        <f>100*($E$21*$E$23+($E$22*(Z47/100))/(1-$E$25))</f>
        <v>26.764818439327748</v>
      </c>
      <c r="AB47" s="32">
        <f>AA47/U47</f>
        <v>8.3725230580016768E-2</v>
      </c>
      <c r="AC47" s="30">
        <f>ROUND($E$12/(1-AB47),0)</f>
        <v>437645</v>
      </c>
      <c r="AD47" t="str">
        <f>IF(OR(OR(AC47=AC41,AC47=(AC41+1)),AC47=(AC41-1)),"yes","not yet")</f>
        <v>yes</v>
      </c>
      <c r="AE47" s="31">
        <f>100*(1-AB47)</f>
        <v>91.627476941998324</v>
      </c>
      <c r="AI47" s="16" t="s">
        <v>184</v>
      </c>
    </row>
    <row r="48" spans="5:42">
      <c r="U48" s="31">
        <f>100*(+AC42/$E$13)</f>
        <v>319.46482978116586</v>
      </c>
      <c r="V48" s="35">
        <f>EXP(5.6922-(0.68367*LN(U48)))</f>
        <v>5.7529704212220656</v>
      </c>
      <c r="W48" s="32">
        <f>(+V48*U48)/100</f>
        <v>18.378717163517891</v>
      </c>
      <c r="X48" s="31">
        <f>100*((((W48/100)-((W48/100)-0.03574)*$E$25)-0.03574-0.00619)/0.344)</f>
        <v>32.199786509241676</v>
      </c>
      <c r="Y48">
        <v>0</v>
      </c>
      <c r="Z48" s="31">
        <f>X48+Y48</f>
        <v>32.199786509241676</v>
      </c>
      <c r="AA48" s="31">
        <f>100*($E$21*$E$23+($E$22*(Z48/100))/(1-$E$25))</f>
        <v>26.555534057651904</v>
      </c>
      <c r="AB48" s="32">
        <f>AA48/U48</f>
        <v>8.3125062861669333E-2</v>
      </c>
      <c r="AC48" s="30">
        <f>ROUND($E$12/(1-AB48),0)</f>
        <v>437358</v>
      </c>
      <c r="AD48" t="str">
        <f>IF(OR(OR(AC48=AC42,AC48=(AC42+1)),AC48=(AC42-1)),"yes","not yet")</f>
        <v>yes</v>
      </c>
      <c r="AE48" s="31">
        <f>100*(1-AB48)</f>
        <v>91.687493713833064</v>
      </c>
      <c r="AI48" s="30">
        <f>HLOOKUP($AI$38,$AI$41:$AQ$45,$E$16+1)</f>
        <v>437644.70306268521</v>
      </c>
    </row>
    <row r="49" spans="4:31">
      <c r="Z49" s="31"/>
    </row>
    <row r="50" spans="4:31">
      <c r="D50" s="30"/>
      <c r="E50" s="30"/>
      <c r="F50" s="30"/>
      <c r="U50" s="16" t="s">
        <v>188</v>
      </c>
      <c r="V50" s="2" t="s">
        <v>134</v>
      </c>
      <c r="W50" s="2" t="s">
        <v>135</v>
      </c>
      <c r="X50" s="2" t="s">
        <v>136</v>
      </c>
      <c r="Z50" s="31"/>
    </row>
    <row r="51" spans="4:31">
      <c r="D51" s="30"/>
      <c r="E51" s="30"/>
      <c r="F51" s="30"/>
      <c r="U51" s="31">
        <f>100*(+AC45/$E$13)</f>
        <v>320.4881795919008</v>
      </c>
      <c r="V51" s="35">
        <f>EXP(5.7226-(0.68367*LN(+U51)))</f>
        <v>5.9175931227392882</v>
      </c>
      <c r="W51" s="32">
        <f>(+V51*U51)/100</f>
        <v>18.96518647472266</v>
      </c>
      <c r="X51" s="31">
        <f>100*((((W51/100)-((W51/100)-0.03574)*$E$25)-0.03574-0.00619)/0.344)</f>
        <v>33.546620101834016</v>
      </c>
      <c r="Y51">
        <v>0</v>
      </c>
      <c r="Z51" s="31">
        <f>X51+Y51</f>
        <v>33.546620101834016</v>
      </c>
      <c r="AA51" s="31">
        <f>100*($E$21*$E$23+($E$22*(Z51/100))/(1-$E$25))</f>
        <v>27.578445646962546</v>
      </c>
      <c r="AB51" s="32">
        <f>AA51/U51</f>
        <v>8.6051366019427117E-2</v>
      </c>
      <c r="AC51" s="30">
        <f>ROUND($E$12/(1-AB51),0)</f>
        <v>438759</v>
      </c>
      <c r="AD51" t="str">
        <f>IF(OR(OR(AC51=AC45,AC51=(AC45+1)),AC51=(AC37-1)),"yes","not yet")</f>
        <v>yes</v>
      </c>
      <c r="AE51" s="31">
        <f>100*(1-AB51)</f>
        <v>91.394863398057296</v>
      </c>
    </row>
    <row r="52" spans="4:31">
      <c r="U52" s="31">
        <f>100*(+AC46/$E$13)</f>
        <v>320.00170494953852</v>
      </c>
      <c r="V52" s="35">
        <f>EXP(5.70827-(0.68367*LN(+U52)))</f>
        <v>5.8394600901173295</v>
      </c>
      <c r="W52" s="32">
        <f>(+V52*U52)/100</f>
        <v>18.686371848223313</v>
      </c>
      <c r="X52" s="31">
        <f>100*((((W52/100)-((W52/100)-0.03574)*$E$25)-0.03574-0.00619)/0.344)</f>
        <v>32.906319070047722</v>
      </c>
      <c r="Y52">
        <v>0</v>
      </c>
      <c r="Z52" s="31">
        <f>X52+Y52</f>
        <v>32.906319070047722</v>
      </c>
      <c r="AA52" s="31">
        <f>100*($E$21*$E$23+($E$22*(Z52/100))/(1-$E$25))</f>
        <v>27.092141065859028</v>
      </c>
      <c r="AB52" s="32">
        <f>AA52/U52</f>
        <v>8.4662489751831868E-2</v>
      </c>
      <c r="AC52" s="30">
        <f>ROUND($E$12/(1-AB52),0)</f>
        <v>438093</v>
      </c>
      <c r="AD52" t="str">
        <f>IF(OR(OR(AC52=AC46,AC52=(AC46+1)),AC52=(AC46-1)),"yes","not yet")</f>
        <v>yes</v>
      </c>
      <c r="AE52" s="31">
        <f>100*(1-AB52)</f>
        <v>91.533751024816809</v>
      </c>
    </row>
    <row r="53" spans="4:31">
      <c r="U53" s="31">
        <f>100*(+AC47/$E$13)</f>
        <v>319.67446675167326</v>
      </c>
      <c r="V53" s="35">
        <f>EXP(5.6985-(0.68367*LN(U53)))</f>
        <v>5.7867326920572344</v>
      </c>
      <c r="W53" s="32">
        <f>(+V53*U53)/100</f>
        <v>18.49870687567871</v>
      </c>
      <c r="X53" s="31">
        <f>100*((((W53/100)-((W53/100)-0.03574)*$E$25)-0.03574-0.00619)/0.344)</f>
        <v>32.475344278448205</v>
      </c>
      <c r="Y53">
        <v>0</v>
      </c>
      <c r="Z53" s="31">
        <f>X53+Y53</f>
        <v>32.475344278448205</v>
      </c>
      <c r="AA53" s="31">
        <f>100*($E$21*$E$23+($E$22*(Z53/100))/(1-$E$25))</f>
        <v>26.764818439327748</v>
      </c>
      <c r="AB53" s="32">
        <f>AA53/U53</f>
        <v>8.3725230580016768E-2</v>
      </c>
      <c r="AC53" s="30">
        <f>ROUND($E$12/(1-AB53),0)</f>
        <v>437645</v>
      </c>
      <c r="AD53" t="str">
        <f>IF(OR(OR(AC53=AC47,AC53=(AC47+1)),AC53=(AC47-1)),"yes","not yet")</f>
        <v>yes</v>
      </c>
      <c r="AE53" s="31">
        <f>100*(1-AB53)</f>
        <v>91.627476941998324</v>
      </c>
    </row>
    <row r="54" spans="4:31">
      <c r="U54" s="31">
        <f>100*(+AC48/$E$13)</f>
        <v>319.46482978116586</v>
      </c>
      <c r="V54" s="35">
        <f>EXP(5.6922-(0.68367*LN(U54)))</f>
        <v>5.7529704212220656</v>
      </c>
      <c r="W54" s="32">
        <f>(+V54*U54)/100</f>
        <v>18.378717163517891</v>
      </c>
      <c r="X54" s="31">
        <f>100*((((W54/100)-((W54/100)-0.03574)*$E$25)-0.03574-0.00619)/0.344)</f>
        <v>32.199786509241676</v>
      </c>
      <c r="Y54">
        <v>0</v>
      </c>
      <c r="Z54" s="31">
        <f>X54+Y54</f>
        <v>32.199786509241676</v>
      </c>
      <c r="AA54" s="31">
        <f>100*($E$21*$E$23+($E$22*(Z54/100))/(1-$E$25))</f>
        <v>26.555534057651904</v>
      </c>
      <c r="AB54" s="32">
        <f>AA54/U54</f>
        <v>8.3125062861669333E-2</v>
      </c>
      <c r="AC54" s="30">
        <f>ROUND($E$12/(1-AB54),0)</f>
        <v>437358</v>
      </c>
      <c r="AD54" t="str">
        <f>IF(OR(OR(AC54=AC48,AC54=(AC48+1)),AC54=(AC48-1)),"yes","not yet")</f>
        <v>yes</v>
      </c>
      <c r="AE54" s="31">
        <f>100*(1-AB54)</f>
        <v>91.687493713833064</v>
      </c>
    </row>
    <row r="55" spans="4:31">
      <c r="Z55" s="31"/>
    </row>
    <row r="56" spans="4:31">
      <c r="U56" s="16" t="s">
        <v>189</v>
      </c>
      <c r="V56" s="2" t="s">
        <v>134</v>
      </c>
      <c r="W56" s="2" t="s">
        <v>135</v>
      </c>
      <c r="X56" s="2" t="s">
        <v>136</v>
      </c>
      <c r="Z56" s="31"/>
    </row>
    <row r="57" spans="4:31">
      <c r="U57" s="31">
        <f>100*(+AC51/$E$13)</f>
        <v>320.4881795919008</v>
      </c>
      <c r="V57" s="35">
        <f>EXP(5.7226-(0.68367*LN(+U57)))</f>
        <v>5.9175931227392882</v>
      </c>
      <c r="W57" s="32">
        <f>(+V57*U57)/100</f>
        <v>18.96518647472266</v>
      </c>
      <c r="X57" s="31">
        <f>100*((((W57/100)-((W57/100)-0.03574)*$E$25)-0.03574-0.00619)/0.344)</f>
        <v>33.546620101834016</v>
      </c>
      <c r="Y57">
        <v>0</v>
      </c>
      <c r="Z57" s="31">
        <f>X57+Y57</f>
        <v>33.546620101834016</v>
      </c>
      <c r="AA57" s="31">
        <f>100*($E$21*$E$23+($E$22*(Z57/100))/(1-$E$25))</f>
        <v>27.578445646962546</v>
      </c>
      <c r="AB57" s="32">
        <f>AA57/U57</f>
        <v>8.6051366019427117E-2</v>
      </c>
      <c r="AC57" s="30">
        <f>ROUND($E$12/(1-AB57),0)</f>
        <v>438759</v>
      </c>
      <c r="AD57" t="str">
        <f>IF(OR(OR(AC57=AC51,AC57=(AC51+1)),AC57=(AC43-1)),"yes","not yet")</f>
        <v>yes</v>
      </c>
      <c r="AE57" s="31">
        <f>100*(1-AB57)</f>
        <v>91.394863398057296</v>
      </c>
    </row>
    <row r="58" spans="4:31">
      <c r="U58" s="31">
        <f>100*(+AC52/$E$13)</f>
        <v>320.00170494953852</v>
      </c>
      <c r="V58" s="35">
        <f>EXP(5.70827-(0.68367*LN(+U58)))</f>
        <v>5.8394600901173295</v>
      </c>
      <c r="W58" s="32">
        <f>(+V58*U58)/100</f>
        <v>18.686371848223313</v>
      </c>
      <c r="X58" s="31">
        <f>100*((((W58/100)-((W58/100)-0.03574)*$E$25)-0.03574-0.00619)/0.344)</f>
        <v>32.906319070047722</v>
      </c>
      <c r="Y58">
        <v>0</v>
      </c>
      <c r="Z58" s="31">
        <f>X58+Y58</f>
        <v>32.906319070047722</v>
      </c>
      <c r="AA58" s="31">
        <f>100*($E$21*$E$23+($E$22*(Z58/100))/(1-$E$25))</f>
        <v>27.092141065859028</v>
      </c>
      <c r="AB58" s="32">
        <f>AA58/U58</f>
        <v>8.4662489751831868E-2</v>
      </c>
      <c r="AC58" s="30">
        <f>ROUND($E$12/(1-AB58),0)</f>
        <v>438093</v>
      </c>
      <c r="AD58" t="str">
        <f>IF(OR(OR(AC58=AC52,AC58=(AC52+1)),AC58=(AC52-1)),"yes","not yet")</f>
        <v>yes</v>
      </c>
      <c r="AE58" s="31">
        <f>100*(1-AB58)</f>
        <v>91.533751024816809</v>
      </c>
    </row>
    <row r="59" spans="4:31">
      <c r="U59" s="31">
        <f>100*(+AC53/$E$13)</f>
        <v>319.67446675167326</v>
      </c>
      <c r="V59" s="35">
        <f>EXP(5.6985-(0.68367*LN(U59)))</f>
        <v>5.7867326920572344</v>
      </c>
      <c r="W59" s="32">
        <f>(+V59*U59)/100</f>
        <v>18.49870687567871</v>
      </c>
      <c r="X59" s="31">
        <f>100*((((W59/100)-((W59/100)-0.03574)*$E$25)-0.03574-0.00619)/0.344)</f>
        <v>32.475344278448205</v>
      </c>
      <c r="Y59">
        <v>0</v>
      </c>
      <c r="Z59" s="31">
        <f>X59+Y59</f>
        <v>32.475344278448205</v>
      </c>
      <c r="AA59" s="31">
        <f>100*($E$21*$E$23+($E$22*(Z59/100))/(1-$E$25))</f>
        <v>26.764818439327748</v>
      </c>
      <c r="AB59" s="32">
        <f>AA59/U59</f>
        <v>8.3725230580016768E-2</v>
      </c>
      <c r="AC59" s="30">
        <f>ROUND($E$12/(1-AB59),0)</f>
        <v>437645</v>
      </c>
      <c r="AD59" t="str">
        <f>IF(OR(OR(AC59=AC53,AC59=(AC53+1)),AC59=(AC53-1)),"yes","not yet")</f>
        <v>yes</v>
      </c>
      <c r="AE59" s="31">
        <f>100*(1-AB59)</f>
        <v>91.627476941998324</v>
      </c>
    </row>
    <row r="60" spans="4:31">
      <c r="U60" s="31">
        <f>100*(+AC54/$E$13)</f>
        <v>319.46482978116586</v>
      </c>
      <c r="V60" s="35">
        <f>EXP(5.6922-(0.68367*LN(U60)))</f>
        <v>5.7529704212220656</v>
      </c>
      <c r="W60" s="32">
        <f>(+V60*U60)/100</f>
        <v>18.378717163517891</v>
      </c>
      <c r="X60" s="31">
        <f>100*((((W60/100)-((W60/100)-0.03574)*$E$25)-0.03574-0.00619)/0.344)</f>
        <v>32.199786509241676</v>
      </c>
      <c r="Y60">
        <v>0</v>
      </c>
      <c r="Z60" s="31">
        <f>X60+Y60</f>
        <v>32.199786509241676</v>
      </c>
      <c r="AA60" s="31">
        <f>100*($E$21*$E$23+($E$22*(Z60/100))/(1-$E$25))</f>
        <v>26.555534057651904</v>
      </c>
      <c r="AB60" s="32">
        <f>AA60/U60</f>
        <v>8.3125062861669333E-2</v>
      </c>
      <c r="AC60" s="30">
        <f>ROUND($E$12/(1-AB60),0)</f>
        <v>437358</v>
      </c>
      <c r="AD60" t="str">
        <f>IF(OR(OR(AC60=AC54,AC60=(AC54+1)),AC60=(AC54-1)),"yes","not yet")</f>
        <v>yes</v>
      </c>
      <c r="AE60" s="31">
        <f>100*(1-AB60)</f>
        <v>91.687493713833064</v>
      </c>
    </row>
    <row r="61" spans="4:31">
      <c r="Z61" s="31"/>
    </row>
    <row r="63" spans="4:31">
      <c r="U63" s="31"/>
      <c r="V63" s="35"/>
      <c r="W63" s="32"/>
      <c r="X63" s="31"/>
      <c r="AA63" s="31"/>
      <c r="AB63" s="32"/>
      <c r="AC63" s="30"/>
    </row>
    <row r="64" spans="4:31">
      <c r="U64" s="31"/>
      <c r="V64" s="35"/>
      <c r="W64" s="32"/>
      <c r="X64" s="31"/>
      <c r="AA64" s="31"/>
      <c r="AB64" s="32"/>
      <c r="AC64" s="30"/>
    </row>
    <row r="65" spans="20:29">
      <c r="U65" s="31"/>
      <c r="V65" s="35"/>
      <c r="W65" s="32"/>
      <c r="X65" s="31"/>
      <c r="AA65" s="31"/>
      <c r="AB65" s="32"/>
      <c r="AC65" s="30"/>
    </row>
    <row r="66" spans="20:29">
      <c r="U66" s="31"/>
      <c r="V66" s="35"/>
      <c r="W66" s="32"/>
      <c r="X66" s="31"/>
      <c r="AA66" s="31"/>
      <c r="AB66" s="32"/>
      <c r="AC66" s="30"/>
    </row>
    <row r="69" spans="20:29">
      <c r="U69" s="31"/>
      <c r="V69" s="35"/>
      <c r="W69" s="32"/>
      <c r="X69" s="31"/>
      <c r="AA69" s="31"/>
      <c r="AB69" s="32"/>
      <c r="AC69" s="30"/>
    </row>
    <row r="70" spans="20:29">
      <c r="U70" s="31"/>
      <c r="V70" s="35"/>
      <c r="W70" s="32"/>
      <c r="X70" s="31"/>
      <c r="AA70" s="31"/>
      <c r="AB70" s="32"/>
      <c r="AC70" s="30"/>
    </row>
    <row r="71" spans="20:29">
      <c r="T71" s="31"/>
      <c r="U71" s="35"/>
      <c r="V71" s="32"/>
      <c r="W71" s="31"/>
      <c r="Z71" s="31"/>
      <c r="AA71" s="32"/>
      <c r="AB71" s="30"/>
    </row>
    <row r="72" spans="20:29">
      <c r="T72" s="31"/>
      <c r="U72" s="35"/>
      <c r="V72" s="32"/>
      <c r="W72" s="31"/>
      <c r="Z72" s="31"/>
      <c r="AA72" s="32"/>
      <c r="AB72" s="30"/>
    </row>
    <row r="75" spans="20:29">
      <c r="T75" s="31"/>
      <c r="U75" s="35"/>
      <c r="V75" s="32"/>
      <c r="W75" s="31"/>
      <c r="Z75" s="31"/>
      <c r="AA75" s="32"/>
      <c r="AB75" s="30"/>
    </row>
    <row r="76" spans="20:29">
      <c r="T76" s="31"/>
      <c r="U76" s="35"/>
      <c r="V76" s="32"/>
      <c r="W76" s="31"/>
      <c r="Z76" s="31"/>
      <c r="AA76" s="32"/>
      <c r="AB76" s="30"/>
    </row>
    <row r="77" spans="20:29">
      <c r="T77" s="31"/>
      <c r="U77" s="35"/>
      <c r="V77" s="32"/>
      <c r="W77" s="31"/>
      <c r="Z77" s="31"/>
      <c r="AA77" s="32"/>
      <c r="AB77" s="30"/>
    </row>
    <row r="78" spans="20:29">
      <c r="T78" s="31"/>
      <c r="U78" s="35"/>
      <c r="V78" s="32"/>
      <c r="W78" s="31"/>
      <c r="Z78" s="31"/>
      <c r="AA78" s="32"/>
      <c r="AB78" s="30"/>
    </row>
    <row r="81" spans="20:28">
      <c r="T81" s="31"/>
      <c r="U81" s="35"/>
      <c r="V81" s="32"/>
      <c r="W81" s="31"/>
      <c r="Z81" s="31"/>
      <c r="AA81" s="32"/>
      <c r="AB81" s="30"/>
    </row>
    <row r="82" spans="20:28">
      <c r="T82" s="31"/>
      <c r="U82" s="35"/>
      <c r="V82" s="32"/>
      <c r="W82" s="31"/>
      <c r="Z82" s="31"/>
      <c r="AA82" s="32"/>
      <c r="AB82" s="30"/>
    </row>
    <row r="83" spans="20:28">
      <c r="T83" s="31"/>
      <c r="U83" s="35"/>
      <c r="V83" s="32"/>
      <c r="W83" s="31"/>
      <c r="Z83" s="31"/>
      <c r="AA83" s="32"/>
      <c r="AB83" s="30"/>
    </row>
    <row r="84" spans="20:28">
      <c r="T84" s="31"/>
      <c r="U84" s="35"/>
      <c r="V84" s="32"/>
      <c r="W84" s="31"/>
      <c r="Z84" s="31"/>
      <c r="AA84" s="32"/>
      <c r="AB84" s="30"/>
    </row>
    <row r="87" spans="20:28">
      <c r="T87" s="31"/>
      <c r="U87" s="35"/>
      <c r="V87" s="32"/>
      <c r="W87" s="31"/>
      <c r="Z87" s="31"/>
      <c r="AA87" s="32"/>
      <c r="AB87" s="30"/>
    </row>
    <row r="88" spans="20:28">
      <c r="T88" s="31"/>
      <c r="U88" s="35"/>
      <c r="V88" s="32"/>
      <c r="W88" s="31"/>
      <c r="Z88" s="31"/>
      <c r="AA88" s="32"/>
      <c r="AB88" s="30"/>
    </row>
    <row r="89" spans="20:28">
      <c r="T89" s="31"/>
      <c r="U89" s="35"/>
      <c r="V89" s="32"/>
      <c r="W89" s="31"/>
      <c r="Z89" s="31"/>
      <c r="AA89" s="32"/>
      <c r="AB89" s="30"/>
    </row>
    <row r="90" spans="20:28">
      <c r="T90" s="31"/>
      <c r="U90" s="35"/>
      <c r="V90" s="32"/>
      <c r="W90" s="31"/>
      <c r="Z90" s="31"/>
      <c r="AA90" s="32"/>
      <c r="AB90" s="30"/>
    </row>
    <row r="93" spans="20:28">
      <c r="T93" s="31"/>
      <c r="U93" s="35"/>
      <c r="V93" s="32"/>
      <c r="W93" s="31"/>
      <c r="Z93" s="31"/>
      <c r="AA93" s="32"/>
      <c r="AB93" s="30"/>
    </row>
    <row r="94" spans="20:28">
      <c r="T94" s="31"/>
      <c r="U94" s="35"/>
      <c r="V94" s="32"/>
      <c r="W94" s="31"/>
      <c r="Z94" s="31"/>
      <c r="AA94" s="32"/>
      <c r="AB94" s="30"/>
    </row>
    <row r="95" spans="20:28">
      <c r="T95" s="31"/>
      <c r="U95" s="35"/>
      <c r="V95" s="32"/>
      <c r="W95" s="31"/>
      <c r="Z95" s="31"/>
      <c r="AA95" s="32"/>
      <c r="AB95" s="30"/>
    </row>
    <row r="96" spans="20:28">
      <c r="T96" s="31"/>
      <c r="U96" s="35"/>
      <c r="V96" s="32"/>
      <c r="W96" s="31"/>
      <c r="Z96" s="31"/>
      <c r="AA96" s="32"/>
      <c r="AB96" s="30"/>
    </row>
  </sheetData>
  <pageMargins left="0.75" right="0.75" top="1" bottom="1" header="0.5" footer="0.5"/>
  <pageSetup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8"/>
  <sheetViews>
    <sheetView workbookViewId="0">
      <selection activeCell="F3" sqref="F3"/>
    </sheetView>
  </sheetViews>
  <sheetFormatPr defaultRowHeight="12.75"/>
  <cols>
    <col min="4" max="4" width="12.42578125" customWidth="1"/>
    <col min="5" max="5" width="10.28515625" bestFit="1" customWidth="1"/>
    <col min="11" max="11" width="12.5703125" customWidth="1"/>
    <col min="12" max="12" width="9.28515625" bestFit="1" customWidth="1"/>
    <col min="14" max="14" width="19.5703125" customWidth="1"/>
    <col min="20" max="20" width="14" bestFit="1" customWidth="1"/>
    <col min="21" max="21" width="12.28515625" bestFit="1" customWidth="1"/>
    <col min="22" max="23" width="11.28515625" bestFit="1" customWidth="1"/>
  </cols>
  <sheetData>
    <row r="1" spans="1:23">
      <c r="A1" t="s">
        <v>0</v>
      </c>
    </row>
    <row r="3" spans="1:23">
      <c r="A3" t="s">
        <v>497</v>
      </c>
      <c r="E3" s="693" t="s">
        <v>1414</v>
      </c>
      <c r="F3" s="693" t="s">
        <v>702</v>
      </c>
    </row>
    <row r="5" spans="1:23">
      <c r="A5" s="692" t="s">
        <v>1416</v>
      </c>
    </row>
    <row r="6" spans="1:23">
      <c r="A6" s="83" t="s">
        <v>327</v>
      </c>
    </row>
    <row r="7" spans="1:23">
      <c r="E7" s="2" t="s">
        <v>477</v>
      </c>
      <c r="F7" s="2" t="s">
        <v>476</v>
      </c>
      <c r="G7" s="2" t="s">
        <v>475</v>
      </c>
      <c r="H7" s="2"/>
      <c r="O7" t="s">
        <v>1173</v>
      </c>
      <c r="P7" s="2"/>
      <c r="Q7" s="2"/>
      <c r="R7" s="2"/>
    </row>
    <row r="8" spans="1:23">
      <c r="A8" t="s">
        <v>496</v>
      </c>
      <c r="E8" s="2" t="s">
        <v>495</v>
      </c>
      <c r="F8" s="2" t="s">
        <v>495</v>
      </c>
      <c r="G8" s="2" t="s">
        <v>495</v>
      </c>
      <c r="H8" s="2"/>
      <c r="K8" t="s">
        <v>496</v>
      </c>
      <c r="O8" s="2" t="s">
        <v>105</v>
      </c>
      <c r="P8" s="2" t="s">
        <v>113</v>
      </c>
      <c r="Q8" s="2" t="s">
        <v>110</v>
      </c>
      <c r="R8" s="2"/>
      <c r="T8" s="2" t="s">
        <v>105</v>
      </c>
      <c r="U8" s="2" t="s">
        <v>113</v>
      </c>
      <c r="V8" s="2" t="s">
        <v>110</v>
      </c>
    </row>
    <row r="10" spans="1:23">
      <c r="B10" t="s">
        <v>494</v>
      </c>
      <c r="E10" s="11">
        <f>+E25</f>
        <v>0.72466676548990949</v>
      </c>
      <c r="F10" s="11">
        <f>+E26</f>
        <v>6.6287506657705803E-2</v>
      </c>
      <c r="G10" s="11">
        <f>+E27</f>
        <v>0.20904572785238482</v>
      </c>
      <c r="L10" t="s">
        <v>494</v>
      </c>
      <c r="O10" s="11">
        <f>T10/$W10</f>
        <v>0.8653276291850065</v>
      </c>
      <c r="P10" s="11">
        <f>U10/$W10</f>
        <v>9.3511936619990882E-2</v>
      </c>
      <c r="Q10" s="11">
        <f>V10/$W10</f>
        <v>4.1160434195002635E-2</v>
      </c>
      <c r="T10" s="112">
        <f>'Staff Pro Forma'!I11+'Staff Pro Forma'!I14+'Staff Pro Forma'!I16+'Staff Pro Forma'!I17</f>
        <v>2206681.7999999998</v>
      </c>
      <c r="U10" s="112">
        <f>'Staff Pro Forma'!I12</f>
        <v>238465.85</v>
      </c>
      <c r="V10" s="112">
        <f>'Staff Pro Forma'!I13</f>
        <v>104963.68999999999</v>
      </c>
      <c r="W10" s="386">
        <f>SUM(T10:V10)</f>
        <v>2550111.34</v>
      </c>
    </row>
    <row r="11" spans="1:23">
      <c r="B11" t="s">
        <v>493</v>
      </c>
      <c r="E11" s="11">
        <f>+E35</f>
        <v>0.76882180689732338</v>
      </c>
      <c r="F11" s="11">
        <f>+E36</f>
        <v>5.8879277694555671E-2</v>
      </c>
      <c r="G11" s="11">
        <f>+E37</f>
        <v>0.17229891540812101</v>
      </c>
      <c r="L11" t="s">
        <v>493</v>
      </c>
      <c r="O11" s="11">
        <f t="shared" ref="O11:O12" si="0">T11/$W11</f>
        <v>0.85116487660081286</v>
      </c>
      <c r="P11" s="11">
        <f t="shared" ref="P11:P12" si="1">U11/$W11</f>
        <v>0.1033460727089523</v>
      </c>
      <c r="Q11" s="11">
        <f t="shared" ref="Q11:Q12" si="2">V11/$W11</f>
        <v>4.5489050690234803E-2</v>
      </c>
      <c r="T11" s="112">
        <f>'Staff Pro Forma'!I11+'Staff Pro Forma'!I16+'Staff Pro Forma'!I17</f>
        <v>1964020.02</v>
      </c>
      <c r="U11" s="112">
        <f>'Staff Pro Forma'!I12</f>
        <v>238465.85</v>
      </c>
      <c r="V11" s="112">
        <f>'Staff Pro Forma'!I13</f>
        <v>104963.68999999999</v>
      </c>
      <c r="W11" s="386">
        <f t="shared" ref="W11:W16" si="3">SUM(T11:V11)</f>
        <v>2307449.56</v>
      </c>
    </row>
    <row r="12" spans="1:23">
      <c r="B12" t="s">
        <v>492</v>
      </c>
      <c r="E12" s="11">
        <f>+E44</f>
        <v>0.61467311859237317</v>
      </c>
      <c r="F12" s="11">
        <f>+E45</f>
        <v>0.10530603921794435</v>
      </c>
      <c r="G12" s="11">
        <f>+E46</f>
        <v>0.28002084218968243</v>
      </c>
      <c r="L12" t="s">
        <v>1174</v>
      </c>
      <c r="O12" s="11">
        <f t="shared" si="0"/>
        <v>0.83806526513844315</v>
      </c>
      <c r="P12" s="11">
        <f t="shared" si="1"/>
        <v>0.11369250307274792</v>
      </c>
      <c r="Q12" s="11">
        <f t="shared" si="2"/>
        <v>4.8242231788808931E-2</v>
      </c>
      <c r="T12" s="112">
        <f>'Service Counts'!I79+'Service Counts'!R79+'Service Counts'!AA79</f>
        <v>60341.729445727484</v>
      </c>
      <c r="U12" s="112">
        <f>'Bridgeport Service Counts'!P30</f>
        <v>8186</v>
      </c>
      <c r="V12" s="112">
        <f>'Pateros Service Counts'!P34</f>
        <v>3473.5</v>
      </c>
      <c r="W12" s="386">
        <f t="shared" si="3"/>
        <v>72001.229445727484</v>
      </c>
    </row>
    <row r="13" spans="1:23">
      <c r="B13" t="s">
        <v>491</v>
      </c>
      <c r="E13" s="11">
        <f>+E55</f>
        <v>0.86348377471092874</v>
      </c>
      <c r="F13" s="11">
        <f>+E56</f>
        <v>7.0123088399850805E-2</v>
      </c>
      <c r="G13" s="11">
        <f>+E57</f>
        <v>6.6393136889220439E-2</v>
      </c>
      <c r="L13" s="442" t="s">
        <v>706</v>
      </c>
      <c r="M13" s="442"/>
      <c r="O13" s="11">
        <f>'Monthly Data-Container Count'!X16+'Monthly Data-Container Count'!X17+'Monthly Data-Container Count'!X18</f>
        <v>0.8260017809439002</v>
      </c>
      <c r="P13" s="11">
        <f>'Monthly Data-Container Count'!X14</f>
        <v>0.12555654496883348</v>
      </c>
      <c r="Q13" s="11">
        <f>'Monthly Data-Container Count'!X15</f>
        <v>4.8441674087266254E-2</v>
      </c>
      <c r="T13" s="112"/>
      <c r="U13" s="112"/>
      <c r="V13" s="112"/>
      <c r="W13" s="386">
        <f t="shared" si="3"/>
        <v>0</v>
      </c>
    </row>
    <row r="14" spans="1:23">
      <c r="B14" t="s">
        <v>490</v>
      </c>
      <c r="E14" s="11">
        <f>+E65</f>
        <v>0.78523744752734037</v>
      </c>
      <c r="F14" s="11">
        <f>+E66</f>
        <v>6.7195645252181843E-2</v>
      </c>
      <c r="G14" s="11">
        <f>+E67</f>
        <v>0.14756690722047774</v>
      </c>
      <c r="L14" t="s">
        <v>490</v>
      </c>
      <c r="O14" s="11">
        <f>'Hours &amp; Miles'!D25</f>
        <v>0.86878758697956915</v>
      </c>
      <c r="P14" s="11">
        <f>'Hours &amp; Miles'!E25</f>
        <v>8.8962217417673212E-2</v>
      </c>
      <c r="Q14" s="11">
        <f>'Hours &amp; Miles'!F25</f>
        <v>4.2250195602757411E-2</v>
      </c>
      <c r="T14" s="112"/>
      <c r="U14" s="112"/>
      <c r="V14" s="112"/>
      <c r="W14" s="386">
        <f t="shared" si="3"/>
        <v>0</v>
      </c>
    </row>
    <row r="15" spans="1:23">
      <c r="B15" t="s">
        <v>489</v>
      </c>
      <c r="E15" s="11">
        <f>+E74</f>
        <v>0.74677692737009449</v>
      </c>
      <c r="F15" s="11">
        <f>+E75</f>
        <v>9.4808936811579828E-2</v>
      </c>
      <c r="G15" s="11">
        <f>+E76</f>
        <v>0.1584141358183257</v>
      </c>
      <c r="L15" s="83" t="s">
        <v>1344</v>
      </c>
      <c r="O15" s="11">
        <f>'Hours &amp; Miles'!D47</f>
        <v>0.87580954687059542</v>
      </c>
      <c r="P15" s="11">
        <f>'Hours &amp; Miles'!E47</f>
        <v>8.4003136994123567E-2</v>
      </c>
      <c r="Q15" s="11">
        <f>'Hours &amp; Miles'!F47</f>
        <v>4.0187316135281072E-2</v>
      </c>
      <c r="T15" s="112"/>
      <c r="U15" s="112"/>
      <c r="V15" s="112"/>
      <c r="W15" s="386">
        <f t="shared" si="3"/>
        <v>0</v>
      </c>
    </row>
    <row r="16" spans="1:23">
      <c r="B16" t="s">
        <v>488</v>
      </c>
      <c r="E16" s="162">
        <f>+E83</f>
        <v>0.69686598938262956</v>
      </c>
      <c r="F16" s="162">
        <f>+E84</f>
        <v>9.2848096149182144E-2</v>
      </c>
      <c r="G16" s="162">
        <f>+E85</f>
        <v>0.21028591446818831</v>
      </c>
      <c r="L16" t="s">
        <v>488</v>
      </c>
      <c r="O16" s="162">
        <f>'Hours &amp; Miles'!D71</f>
        <v>0.87874590037769806</v>
      </c>
      <c r="P16" s="162">
        <f>'Hours &amp; Miles'!E71</f>
        <v>8.0997880628470617E-2</v>
      </c>
      <c r="Q16" s="162">
        <f>'Hours &amp; Miles'!F71</f>
        <v>4.0256218993831326E-2</v>
      </c>
      <c r="T16" s="112"/>
      <c r="U16" s="112"/>
      <c r="V16" s="112"/>
      <c r="W16" s="386">
        <f t="shared" si="3"/>
        <v>0</v>
      </c>
    </row>
    <row r="18" spans="1:18">
      <c r="E18" s="42">
        <f>SUM(E10:E16)</f>
        <v>5.2005258299705996</v>
      </c>
      <c r="F18" s="42">
        <f>SUM(F10:F16)</f>
        <v>0.55544859018300041</v>
      </c>
      <c r="G18" s="42">
        <f>SUM(G10:G16)</f>
        <v>1.2440255798464004</v>
      </c>
      <c r="H18" s="42">
        <f>SUM(E18:G18)</f>
        <v>7</v>
      </c>
      <c r="O18" s="42">
        <f>SUM(O10:O16)</f>
        <v>6.0039025860960251</v>
      </c>
      <c r="P18" s="42">
        <f>SUM(P10:P16)</f>
        <v>0.69007029241079187</v>
      </c>
      <c r="Q18" s="42">
        <f>SUM(Q10:Q16)</f>
        <v>0.3060271214931824</v>
      </c>
      <c r="R18" s="42">
        <f>SUM(O18:Q18)</f>
        <v>6.9999999999999991</v>
      </c>
    </row>
    <row r="19" spans="1:18" ht="13.5" thickBot="1">
      <c r="E19" s="171"/>
      <c r="F19" s="171"/>
      <c r="G19" s="171"/>
      <c r="H19" s="170"/>
      <c r="O19" s="171"/>
      <c r="P19" s="171"/>
      <c r="Q19" s="171"/>
      <c r="R19" s="170"/>
    </row>
    <row r="20" spans="1:18" ht="13.5" thickBot="1">
      <c r="C20" t="s">
        <v>487</v>
      </c>
      <c r="E20" s="169">
        <f>+E18/H18</f>
        <v>0.74293226142437141</v>
      </c>
      <c r="F20" s="169">
        <f>+F18/H18</f>
        <v>7.9349798597571491E-2</v>
      </c>
      <c r="G20" s="169">
        <f>+G18/H18</f>
        <v>0.17771793997805721</v>
      </c>
      <c r="H20" s="168">
        <f>SUM(E20:G20)</f>
        <v>1.0000000000000002</v>
      </c>
      <c r="M20" t="s">
        <v>487</v>
      </c>
      <c r="O20" s="169">
        <f>+O18/R18</f>
        <v>0.85770036944228945</v>
      </c>
      <c r="P20" s="169">
        <f>+P18/R18</f>
        <v>9.8581470344398847E-2</v>
      </c>
      <c r="Q20" s="169">
        <f>+Q18/R18</f>
        <v>4.3718160213311777E-2</v>
      </c>
      <c r="R20" s="168">
        <f>SUM(O20:Q20)</f>
        <v>1.0000000000000002</v>
      </c>
    </row>
    <row r="23" spans="1:18">
      <c r="A23" t="s">
        <v>486</v>
      </c>
    </row>
    <row r="25" spans="1:18">
      <c r="A25" t="s">
        <v>480</v>
      </c>
      <c r="D25" s="6">
        <f>+'Service Counts'!J76</f>
        <v>1534078.0375000003</v>
      </c>
      <c r="E25" s="11">
        <f>+D25/D29</f>
        <v>0.72466676548990949</v>
      </c>
      <c r="J25" s="6"/>
      <c r="K25" s="11"/>
    </row>
    <row r="26" spans="1:18">
      <c r="A26" t="s">
        <v>476</v>
      </c>
      <c r="D26" s="6">
        <f>+'Service Counts'!S76</f>
        <v>140326.85499999998</v>
      </c>
      <c r="E26" s="11">
        <f>+D26/D29</f>
        <v>6.6287506657705803E-2</v>
      </c>
      <c r="J26" s="82"/>
      <c r="K26" s="96"/>
    </row>
    <row r="27" spans="1:18">
      <c r="A27" t="s">
        <v>475</v>
      </c>
      <c r="D27" s="43">
        <f>+'Service Counts'!AB76</f>
        <v>442537.83284064662</v>
      </c>
      <c r="E27" s="162">
        <f>+D27/D29</f>
        <v>0.20904572785238482</v>
      </c>
      <c r="J27" s="82"/>
      <c r="K27" s="96"/>
    </row>
    <row r="28" spans="1:18">
      <c r="D28" s="6"/>
      <c r="E28" s="11"/>
      <c r="J28" s="82"/>
      <c r="K28" s="96"/>
    </row>
    <row r="29" spans="1:18" ht="13.5" thickBot="1">
      <c r="D29" s="8">
        <f>SUM(D25:D27)</f>
        <v>2116942.7253406467</v>
      </c>
      <c r="E29" s="14">
        <f>SUM(E25:E27)</f>
        <v>1</v>
      </c>
      <c r="J29" s="82"/>
      <c r="K29" s="96"/>
    </row>
    <row r="30" spans="1:18" ht="13.5" thickTop="1">
      <c r="J30" s="18"/>
      <c r="K30" s="18"/>
    </row>
    <row r="31" spans="1:18">
      <c r="J31" s="18"/>
      <c r="K31" s="18"/>
    </row>
    <row r="32" spans="1:18">
      <c r="H32" t="s">
        <v>485</v>
      </c>
    </row>
    <row r="33" spans="1:12">
      <c r="A33" t="s">
        <v>484</v>
      </c>
      <c r="H33" t="s">
        <v>483</v>
      </c>
    </row>
    <row r="35" spans="1:12">
      <c r="A35" t="s">
        <v>480</v>
      </c>
      <c r="D35" s="6">
        <f>SUM('Service Counts'!J10:J51)+SUM('Service Counts'!J73:J74)</f>
        <v>1439336.8875000004</v>
      </c>
      <c r="E35" s="11">
        <f>+D35/D39</f>
        <v>0.76882180689732338</v>
      </c>
      <c r="H35" t="s">
        <v>480</v>
      </c>
      <c r="K35" s="6">
        <f>SUM('Service Counts'!J10:J51)+SUM('Service Counts'!J73:J74)+'Proforma AJEs'!$G$52</f>
        <v>1439336.8875000004</v>
      </c>
      <c r="L35" s="11">
        <f>+K35/K39</f>
        <v>0.76882180689732338</v>
      </c>
    </row>
    <row r="36" spans="1:12">
      <c r="A36" t="s">
        <v>476</v>
      </c>
      <c r="D36" s="6">
        <f>SUM('Service Counts'!S10:S51)+SUM('Service Counts'!S73:S74)</f>
        <v>110229.85500000001</v>
      </c>
      <c r="E36" s="11">
        <f>+D36/D39</f>
        <v>5.8879277694555671E-2</v>
      </c>
      <c r="H36" t="s">
        <v>476</v>
      </c>
      <c r="K36" s="6">
        <f>SUM('Service Counts'!S10:S51)+SUM('Service Counts'!S73:S74)+'Proforma AJEs'!$G$53</f>
        <v>110229.85500000001</v>
      </c>
      <c r="L36" s="11">
        <f>+K36/K39</f>
        <v>5.8879277694555671E-2</v>
      </c>
    </row>
    <row r="37" spans="1:12">
      <c r="A37" t="s">
        <v>475</v>
      </c>
      <c r="D37" s="43">
        <f>SUM('Service Counts'!AB10:AB51)+SUM('Service Counts'!AB73:AB74)</f>
        <v>322566.53284064663</v>
      </c>
      <c r="E37" s="162">
        <f>+D37/D39</f>
        <v>0.17229891540812101</v>
      </c>
      <c r="H37" t="s">
        <v>475</v>
      </c>
      <c r="K37" s="43">
        <f>SUM('Service Counts'!AB10:AB51)+SUM('Service Counts'!AB73:AB74)+'Proforma AJEs'!$G$54</f>
        <v>322566.53284064663</v>
      </c>
      <c r="L37" s="162">
        <f>+K37/K39</f>
        <v>0.17229891540812101</v>
      </c>
    </row>
    <row r="38" spans="1:12">
      <c r="D38" s="6"/>
      <c r="E38" s="11"/>
      <c r="K38" s="6"/>
      <c r="L38" s="11"/>
    </row>
    <row r="39" spans="1:12" ht="13.5" thickBot="1">
      <c r="D39" s="8">
        <f>SUM(D35:D37)</f>
        <v>1872133.275340647</v>
      </c>
      <c r="E39" s="14">
        <f>SUM(E35:E37)</f>
        <v>1</v>
      </c>
      <c r="K39" s="8">
        <f>SUM(K35:K37)</f>
        <v>1872133.275340647</v>
      </c>
      <c r="L39" s="14">
        <f>SUM(L35:L37)</f>
        <v>1</v>
      </c>
    </row>
    <row r="40" spans="1:12" ht="13.5" thickTop="1"/>
    <row r="42" spans="1:12">
      <c r="A42" s="693" t="s">
        <v>1413</v>
      </c>
    </row>
    <row r="44" spans="1:12">
      <c r="A44" t="s">
        <v>480</v>
      </c>
      <c r="D44" s="122">
        <f>+'Service Counts'!I76</f>
        <v>64799.35</v>
      </c>
      <c r="E44" s="11">
        <f>+D44/D48</f>
        <v>0.61467311859237317</v>
      </c>
    </row>
    <row r="45" spans="1:12">
      <c r="A45" t="s">
        <v>476</v>
      </c>
      <c r="D45" s="122">
        <f>+'Service Counts'!R76</f>
        <v>11101.45</v>
      </c>
      <c r="E45" s="11">
        <f>+D45/D48</f>
        <v>0.10530603921794435</v>
      </c>
    </row>
    <row r="46" spans="1:12">
      <c r="A46" t="s">
        <v>475</v>
      </c>
      <c r="D46" s="167">
        <f>+'Service Counts'!AA76</f>
        <v>29520.029445727483</v>
      </c>
      <c r="E46" s="162">
        <f>+D46/D48</f>
        <v>0.28002084218968243</v>
      </c>
    </row>
    <row r="47" spans="1:12">
      <c r="D47" s="122"/>
      <c r="E47" s="11"/>
    </row>
    <row r="48" spans="1:12" ht="13.5" thickBot="1">
      <c r="D48" s="166">
        <f>SUM(D44:D46)</f>
        <v>105420.82944572749</v>
      </c>
      <c r="E48" s="14">
        <f>SUM(E44:E46)</f>
        <v>1</v>
      </c>
    </row>
    <row r="49" spans="1:5" ht="13.5" thickTop="1"/>
    <row r="52" spans="1:5">
      <c r="A52" s="402" t="s">
        <v>482</v>
      </c>
      <c r="B52" s="402"/>
      <c r="C52" s="402"/>
    </row>
    <row r="53" spans="1:5">
      <c r="A53" t="s">
        <v>481</v>
      </c>
    </row>
    <row r="55" spans="1:5">
      <c r="A55" t="s">
        <v>480</v>
      </c>
      <c r="D55" s="165">
        <f>+'General Data'!$D$33</f>
        <v>2315</v>
      </c>
      <c r="E55" s="11">
        <f>+D55/D59</f>
        <v>0.86348377471092874</v>
      </c>
    </row>
    <row r="56" spans="1:5">
      <c r="A56" t="s">
        <v>476</v>
      </c>
      <c r="D56" s="165">
        <f>+'General Data'!$D$34</f>
        <v>188</v>
      </c>
      <c r="E56" s="11">
        <f>+D56/D59</f>
        <v>7.0123088399850805E-2</v>
      </c>
    </row>
    <row r="57" spans="1:5">
      <c r="A57" t="s">
        <v>475</v>
      </c>
      <c r="D57" s="164">
        <f>+'General Data'!$D$35</f>
        <v>178</v>
      </c>
      <c r="E57" s="162">
        <f>+D57/D59</f>
        <v>6.6393136889220439E-2</v>
      </c>
    </row>
    <row r="58" spans="1:5">
      <c r="D58" s="99"/>
      <c r="E58" s="11"/>
    </row>
    <row r="59" spans="1:5" ht="13.5" thickBot="1">
      <c r="D59" s="163">
        <f>SUM(D55:D57)</f>
        <v>2681</v>
      </c>
      <c r="E59" s="14">
        <f>SUM(E55:E57)</f>
        <v>1</v>
      </c>
    </row>
    <row r="60" spans="1:5" ht="13.5" thickTop="1"/>
    <row r="63" spans="1:5">
      <c r="A63" t="s">
        <v>112</v>
      </c>
    </row>
    <row r="65" spans="1:5">
      <c r="A65" t="s">
        <v>480</v>
      </c>
      <c r="D65" s="47">
        <f>+'Hours &amp; Miles by County'!D23</f>
        <v>5894.22</v>
      </c>
      <c r="E65" s="11">
        <f>+D65/D69</f>
        <v>0.78523744752734037</v>
      </c>
    </row>
    <row r="66" spans="1:5">
      <c r="A66" t="s">
        <v>476</v>
      </c>
      <c r="D66" s="47">
        <f>+'Hours &amp; Miles by County'!E23</f>
        <v>504.3900000000001</v>
      </c>
      <c r="E66" s="11">
        <f>+D66/D69</f>
        <v>6.7195645252181843E-2</v>
      </c>
    </row>
    <row r="67" spans="1:5">
      <c r="A67" t="s">
        <v>475</v>
      </c>
      <c r="D67" s="62">
        <f>+'Hours &amp; Miles by County'!F23</f>
        <v>1107.68</v>
      </c>
      <c r="E67" s="162">
        <f>+D67/D69</f>
        <v>0.14756690722047774</v>
      </c>
    </row>
    <row r="68" spans="1:5">
      <c r="D68" s="47"/>
      <c r="E68" s="11"/>
    </row>
    <row r="69" spans="1:5" ht="13.5" thickBot="1">
      <c r="D69" s="161">
        <f>SUM(D65:D67)</f>
        <v>7506.2900000000009</v>
      </c>
      <c r="E69" s="14">
        <f>SUM(E65:E67)</f>
        <v>0.99999999999999989</v>
      </c>
    </row>
    <row r="70" spans="1:5" ht="13.5" thickTop="1"/>
    <row r="72" spans="1:5">
      <c r="A72" s="83" t="s">
        <v>1343</v>
      </c>
    </row>
    <row r="74" spans="1:5">
      <c r="A74" t="s">
        <v>480</v>
      </c>
      <c r="D74" s="47">
        <f>+'Hours &amp; Miles by County'!D44</f>
        <v>7238.8</v>
      </c>
      <c r="E74" s="11">
        <f>+D74/D78</f>
        <v>0.74677692737009449</v>
      </c>
    </row>
    <row r="75" spans="1:5">
      <c r="A75" t="s">
        <v>476</v>
      </c>
      <c r="D75" s="47">
        <f>+'Hours &amp; Miles by County'!E44</f>
        <v>919.01999999999975</v>
      </c>
      <c r="E75" s="11">
        <f>+D75/D78</f>
        <v>9.4808936811579828E-2</v>
      </c>
    </row>
    <row r="76" spans="1:5">
      <c r="A76" t="s">
        <v>475</v>
      </c>
      <c r="D76" s="62">
        <f>+'Hours &amp; Miles by County'!F44</f>
        <v>1535.5700000000002</v>
      </c>
      <c r="E76" s="162">
        <f>+D76/D78</f>
        <v>0.1584141358183257</v>
      </c>
    </row>
    <row r="77" spans="1:5">
      <c r="D77" s="47"/>
      <c r="E77" s="11"/>
    </row>
    <row r="78" spans="1:5" ht="13.5" thickBot="1">
      <c r="D78" s="161">
        <f>SUM(D74:D76)</f>
        <v>9693.39</v>
      </c>
      <c r="E78" s="14">
        <f>SUM(E74:E76)</f>
        <v>1</v>
      </c>
    </row>
    <row r="79" spans="1:5" ht="13.5" thickTop="1"/>
    <row r="81" spans="1:5">
      <c r="A81" t="s">
        <v>116</v>
      </c>
    </row>
    <row r="83" spans="1:5">
      <c r="A83" t="s">
        <v>480</v>
      </c>
      <c r="D83" s="47">
        <f>+'Hours &amp; Miles by County'!D66</f>
        <v>51720</v>
      </c>
      <c r="E83" s="11">
        <f>+D83/D87</f>
        <v>0.69686598938262956</v>
      </c>
    </row>
    <row r="84" spans="1:5">
      <c r="A84" t="s">
        <v>476</v>
      </c>
      <c r="D84" s="47">
        <f>+'Hours &amp; Miles by County'!E66</f>
        <v>6891</v>
      </c>
      <c r="E84" s="11">
        <f>+D84/D87</f>
        <v>9.2848096149182144E-2</v>
      </c>
    </row>
    <row r="85" spans="1:5">
      <c r="A85" t="s">
        <v>475</v>
      </c>
      <c r="D85" s="62">
        <f>+'Hours &amp; Miles by County'!F66</f>
        <v>15607</v>
      </c>
      <c r="E85" s="162">
        <f>+D85/D87</f>
        <v>0.21028591446818831</v>
      </c>
    </row>
    <row r="86" spans="1:5">
      <c r="D86" s="47"/>
      <c r="E86" s="11"/>
    </row>
    <row r="87" spans="1:5" ht="13.5" thickBot="1">
      <c r="D87" s="161">
        <f>SUM(D83:D85)</f>
        <v>74218</v>
      </c>
      <c r="E87" s="14">
        <f>SUM(E83:E85)</f>
        <v>1</v>
      </c>
    </row>
    <row r="88" spans="1:5" ht="13.5" thickTop="1"/>
  </sheetData>
  <pageMargins left="0.2" right="0.3" top="0.49" bottom="0.49" header="0.5" footer="0.5"/>
  <pageSetup scale="49" orientation="landscape" horizontalDpi="4294967293" verticalDpi="4294967293"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F3" sqref="F3"/>
    </sheetView>
  </sheetViews>
  <sheetFormatPr defaultRowHeight="12.75"/>
  <cols>
    <col min="1" max="1" width="9.42578125" bestFit="1" customWidth="1"/>
    <col min="4" max="4" width="11.5703125" customWidth="1"/>
    <col min="5" max="5" width="11.140625" customWidth="1"/>
    <col min="6" max="7" width="11.5703125" customWidth="1"/>
    <col min="8" max="8" width="10.85546875" customWidth="1"/>
    <col min="9" max="9" width="10.28515625" customWidth="1"/>
    <col min="10" max="10" width="9.7109375" bestFit="1" customWidth="1"/>
    <col min="11" max="11" width="12.28515625" customWidth="1"/>
  </cols>
  <sheetData>
    <row r="1" spans="1:12">
      <c r="A1" t="s">
        <v>0</v>
      </c>
    </row>
    <row r="3" spans="1:12">
      <c r="A3" t="s">
        <v>190</v>
      </c>
      <c r="D3" s="693" t="s">
        <v>1414</v>
      </c>
      <c r="E3" s="693" t="s">
        <v>702</v>
      </c>
    </row>
    <row r="5" spans="1:12">
      <c r="A5" s="692" t="s">
        <v>1386</v>
      </c>
    </row>
    <row r="9" spans="1:12">
      <c r="D9" s="2" t="s">
        <v>191</v>
      </c>
      <c r="E9" s="2" t="s">
        <v>263</v>
      </c>
      <c r="F9" s="2"/>
      <c r="G9" s="2"/>
      <c r="H9" s="2" t="s">
        <v>263</v>
      </c>
      <c r="I9" s="2" t="s">
        <v>194</v>
      </c>
      <c r="J9" s="2" t="s">
        <v>195</v>
      </c>
      <c r="K9" s="2"/>
      <c r="L9" s="2"/>
    </row>
    <row r="10" spans="1:12" ht="13.5" thickBot="1">
      <c r="D10" s="20" t="s">
        <v>192</v>
      </c>
      <c r="E10" s="20" t="s">
        <v>192</v>
      </c>
      <c r="F10" s="20" t="s">
        <v>193</v>
      </c>
      <c r="G10" s="20" t="s">
        <v>316</v>
      </c>
      <c r="H10" s="20" t="s">
        <v>193</v>
      </c>
      <c r="I10" s="20" t="s">
        <v>192</v>
      </c>
      <c r="J10" s="20" t="s">
        <v>192</v>
      </c>
      <c r="K10" s="20" t="s">
        <v>2</v>
      </c>
      <c r="L10" s="2"/>
    </row>
    <row r="12" spans="1:12">
      <c r="A12" t="s">
        <v>477</v>
      </c>
      <c r="D12" s="6">
        <f t="shared" ref="D12:J12" si="0">+D18-D14-D16</f>
        <v>147238.38253435216</v>
      </c>
      <c r="E12" s="6">
        <f t="shared" si="0"/>
        <v>739.86576322931978</v>
      </c>
      <c r="F12" s="6">
        <f>+F18-F14-F16</f>
        <v>9341.0647818853922</v>
      </c>
      <c r="G12" s="6">
        <f>+G18-G14-G16</f>
        <v>12920.978455856753</v>
      </c>
      <c r="H12" s="6">
        <f t="shared" si="0"/>
        <v>2434.4013967495944</v>
      </c>
      <c r="I12" s="6">
        <f t="shared" si="0"/>
        <v>3597.3214279927229</v>
      </c>
      <c r="J12" s="6">
        <f t="shared" si="0"/>
        <v>281.9031529017098</v>
      </c>
      <c r="K12" s="6">
        <f>SUM(D12:J12)</f>
        <v>176553.91751296766</v>
      </c>
      <c r="L12" s="11">
        <f>+K12/K18</f>
        <v>0.7842513659992818</v>
      </c>
    </row>
    <row r="13" spans="1:12">
      <c r="D13" s="6"/>
      <c r="E13" s="6"/>
      <c r="F13" s="6"/>
      <c r="G13" s="6"/>
      <c r="H13" s="6"/>
      <c r="I13" s="6"/>
      <c r="J13" s="6"/>
      <c r="K13" s="6"/>
      <c r="L13" s="11"/>
    </row>
    <row r="14" spans="1:12">
      <c r="A14" t="s">
        <v>476</v>
      </c>
      <c r="D14" s="6">
        <f t="shared" ref="D14:J14" si="1">+D18*D26</f>
        <v>12599.727829382329</v>
      </c>
      <c r="E14" s="6">
        <f t="shared" si="1"/>
        <v>235.03767767134806</v>
      </c>
      <c r="F14" s="6">
        <f>+F18*F26</f>
        <v>576.60893715341933</v>
      </c>
      <c r="G14" s="6">
        <f t="shared" si="1"/>
        <v>0</v>
      </c>
      <c r="H14" s="6">
        <f t="shared" si="1"/>
        <v>773.35116618251436</v>
      </c>
      <c r="I14" s="6">
        <f t="shared" si="1"/>
        <v>307.83597406700972</v>
      </c>
      <c r="J14" s="6">
        <f t="shared" si="1"/>
        <v>30.109014735589295</v>
      </c>
      <c r="K14" s="6">
        <f>SUM(D14:J14)</f>
        <v>14522.67059919221</v>
      </c>
      <c r="L14" s="11">
        <f>+K14/K18</f>
        <v>6.4509609391915995E-2</v>
      </c>
    </row>
    <row r="15" spans="1:12">
      <c r="D15" s="6"/>
      <c r="E15" s="6"/>
      <c r="F15" s="6"/>
      <c r="G15" s="6"/>
      <c r="H15" s="6"/>
      <c r="I15" s="6"/>
      <c r="J15" s="6"/>
      <c r="K15" s="6"/>
      <c r="L15" s="11"/>
    </row>
    <row r="16" spans="1:12">
      <c r="A16" t="s">
        <v>475</v>
      </c>
      <c r="D16" s="43">
        <f t="shared" ref="D16:J16" si="2">+D18*D27</f>
        <v>27669.990527270995</v>
      </c>
      <c r="E16" s="43">
        <f t="shared" si="2"/>
        <v>936.89655909933231</v>
      </c>
      <c r="F16" s="43">
        <f t="shared" si="2"/>
        <v>1614.5050240295743</v>
      </c>
      <c r="G16" s="43">
        <f t="shared" si="2"/>
        <v>0</v>
      </c>
      <c r="H16" s="43">
        <f t="shared" si="2"/>
        <v>3082.6974370678904</v>
      </c>
      <c r="I16" s="43">
        <f t="shared" si="2"/>
        <v>676.03194304911938</v>
      </c>
      <c r="J16" s="43">
        <f t="shared" si="2"/>
        <v>67.434475803970898</v>
      </c>
      <c r="K16" s="43">
        <f>SUM(D16:J16)</f>
        <v>34047.555966320884</v>
      </c>
      <c r="L16" s="172">
        <f>+K16/K18</f>
        <v>0.1512390246088022</v>
      </c>
    </row>
    <row r="17" spans="1:13">
      <c r="D17" s="6"/>
      <c r="E17" s="6"/>
      <c r="F17" s="6"/>
      <c r="G17" s="6"/>
      <c r="H17" s="6"/>
      <c r="I17" s="6"/>
      <c r="J17" s="6"/>
      <c r="K17" s="6"/>
      <c r="L17" s="11"/>
    </row>
    <row r="18" spans="1:13" ht="13.5" thickBot="1">
      <c r="B18" t="s">
        <v>2</v>
      </c>
      <c r="D18" s="379">
        <f>'Depr Allocation'!D12</f>
        <v>187508.10089100548</v>
      </c>
      <c r="E18" s="379">
        <f>'Depr Allocation'!E12</f>
        <v>1911.8000000000002</v>
      </c>
      <c r="F18" s="379">
        <f>'Depr Allocation'!F12</f>
        <v>11532.178743068387</v>
      </c>
      <c r="G18" s="379">
        <f>'Depr Allocation'!G12</f>
        <v>12920.978455856753</v>
      </c>
      <c r="H18" s="379">
        <f>'Depr Allocation'!H12</f>
        <v>6290.4499999999989</v>
      </c>
      <c r="I18" s="379">
        <f>'Depr Allocation'!I12</f>
        <v>4581.1893451088517</v>
      </c>
      <c r="J18" s="379">
        <f>'Depr Allocation'!J12</f>
        <v>379.44664344127</v>
      </c>
      <c r="K18" s="8">
        <f>SUM(D18:J18)</f>
        <v>225124.14407848075</v>
      </c>
      <c r="L18" s="14">
        <f>SUM(L12:L16)</f>
        <v>1</v>
      </c>
      <c r="M18" s="6">
        <f>SUM(D18:J18)-SUM(K12:K16)</f>
        <v>0</v>
      </c>
    </row>
    <row r="19" spans="1:13" ht="13.5" thickTop="1"/>
    <row r="21" spans="1:13">
      <c r="D21" s="2" t="s">
        <v>197</v>
      </c>
      <c r="E21" s="2" t="s">
        <v>263</v>
      </c>
      <c r="F21" s="2"/>
      <c r="G21" s="2"/>
      <c r="H21" s="2" t="s">
        <v>263</v>
      </c>
      <c r="I21" s="2" t="s">
        <v>197</v>
      </c>
      <c r="J21" s="2" t="s">
        <v>195</v>
      </c>
    </row>
    <row r="22" spans="1:13" ht="13.5" thickBot="1">
      <c r="A22" t="s">
        <v>196</v>
      </c>
      <c r="D22" s="20" t="s">
        <v>198</v>
      </c>
      <c r="E22" s="20" t="s">
        <v>152</v>
      </c>
      <c r="F22" s="20" t="s">
        <v>199</v>
      </c>
      <c r="G22" s="20" t="s">
        <v>199</v>
      </c>
      <c r="H22" s="20" t="s">
        <v>152</v>
      </c>
      <c r="I22" s="20" t="s">
        <v>198</v>
      </c>
      <c r="J22" s="20" t="s">
        <v>106</v>
      </c>
    </row>
    <row r="25" spans="1:13">
      <c r="A25" t="s">
        <v>477</v>
      </c>
      <c r="D25" s="11">
        <f>+'Hours &amp; Miles by County'!D25</f>
        <v>0.78523744752734048</v>
      </c>
      <c r="E25" s="11">
        <f>+'Drop Box Allocation'!D10</f>
        <v>0.38699956231264759</v>
      </c>
      <c r="F25" s="11">
        <f>+'Container Count by County'!K22</f>
        <v>0.81</v>
      </c>
      <c r="G25" s="11">
        <f>+'Container Count by County'!G10</f>
        <v>1</v>
      </c>
      <c r="H25" s="11">
        <f>+E25</f>
        <v>0.38699956231264759</v>
      </c>
      <c r="I25" s="11">
        <f>+D25</f>
        <v>0.78523744752734048</v>
      </c>
      <c r="J25" s="11">
        <f>+'Cost Allocations'!E64</f>
        <v>0.74293226142437141</v>
      </c>
    </row>
    <row r="26" spans="1:13">
      <c r="A26" t="s">
        <v>476</v>
      </c>
      <c r="D26" s="11">
        <f>+'Hours &amp; Miles by County'!E25</f>
        <v>6.7195645252181857E-2</v>
      </c>
      <c r="E26" s="11">
        <f>+'Drop Box Allocation'!D11</f>
        <v>0.12294051557241764</v>
      </c>
      <c r="F26" s="11">
        <f>+'Container Count by County'!K24</f>
        <v>0.05</v>
      </c>
      <c r="G26" s="11">
        <f>+'Container Count by County'!G12</f>
        <v>0</v>
      </c>
      <c r="H26" s="11">
        <f>+E26</f>
        <v>0.12294051557241764</v>
      </c>
      <c r="I26" s="11">
        <f>+D26</f>
        <v>6.7195645252181857E-2</v>
      </c>
      <c r="J26" s="11">
        <f>+'Cost Allocations'!H64</f>
        <v>7.9349798597571491E-2</v>
      </c>
    </row>
    <row r="27" spans="1:13">
      <c r="A27" t="s">
        <v>475</v>
      </c>
      <c r="D27" s="11">
        <f>+'Hours &amp; Miles by County'!F25</f>
        <v>0.1475669072204778</v>
      </c>
      <c r="E27" s="11">
        <f>+'Drop Box Allocation'!D12</f>
        <v>0.49005992211493471</v>
      </c>
      <c r="F27" s="11">
        <f>+'Container Count by County'!K26</f>
        <v>0.14000000000000001</v>
      </c>
      <c r="G27" s="11">
        <f>+'Container Count by County'!G14</f>
        <v>0</v>
      </c>
      <c r="H27" s="11">
        <f>+E27</f>
        <v>0.49005992211493471</v>
      </c>
      <c r="I27" s="11">
        <f>+D27</f>
        <v>0.1475669072204778</v>
      </c>
      <c r="J27" s="11">
        <f>+'Cost Allocations'!K64</f>
        <v>0.17771793997805721</v>
      </c>
    </row>
    <row r="29" spans="1:13">
      <c r="D29" s="11">
        <f t="shared" ref="D29:J29" si="3">SUM(D25:D27)</f>
        <v>1</v>
      </c>
      <c r="E29" s="11">
        <f t="shared" si="3"/>
        <v>1</v>
      </c>
      <c r="F29" s="11">
        <f t="shared" si="3"/>
        <v>1</v>
      </c>
      <c r="G29" s="11">
        <f t="shared" si="3"/>
        <v>1</v>
      </c>
      <c r="H29" s="11">
        <f t="shared" si="3"/>
        <v>1</v>
      </c>
      <c r="I29" s="11">
        <f t="shared" si="3"/>
        <v>1</v>
      </c>
      <c r="J29" s="11">
        <f t="shared" si="3"/>
        <v>1.0000000000000002</v>
      </c>
    </row>
  </sheetData>
  <pageMargins left="0.36" right="0.75" top="0.49" bottom="0.51" header="0.5" footer="0.5"/>
  <pageSetup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workbookViewId="0">
      <selection activeCell="F4" sqref="F4"/>
    </sheetView>
  </sheetViews>
  <sheetFormatPr defaultRowHeight="12.75"/>
  <cols>
    <col min="3" max="3" width="10" customWidth="1"/>
    <col min="4" max="4" width="9.42578125" customWidth="1"/>
    <col min="5" max="6" width="10" customWidth="1"/>
  </cols>
  <sheetData>
    <row r="1" spans="1:7">
      <c r="A1" t="s">
        <v>0</v>
      </c>
    </row>
    <row r="3" spans="1:7">
      <c r="A3" t="s">
        <v>111</v>
      </c>
      <c r="F3" s="693" t="s">
        <v>1414</v>
      </c>
      <c r="G3" s="693" t="s">
        <v>702</v>
      </c>
    </row>
    <row r="5" spans="1:7">
      <c r="A5" s="692" t="s">
        <v>1386</v>
      </c>
    </row>
    <row r="8" spans="1:7" ht="13.5" thickBot="1">
      <c r="A8" t="s">
        <v>112</v>
      </c>
      <c r="C8" s="20" t="s">
        <v>2</v>
      </c>
      <c r="D8" s="20" t="s">
        <v>477</v>
      </c>
      <c r="E8" s="20" t="s">
        <v>476</v>
      </c>
      <c r="F8" s="20" t="s">
        <v>475</v>
      </c>
    </row>
    <row r="9" spans="1:7">
      <c r="E9" s="17"/>
    </row>
    <row r="10" spans="1:7">
      <c r="A10" t="str">
        <f>+'Monthly Data-Hours &amp; Miles'!$C$24</f>
        <v>January</v>
      </c>
      <c r="C10" s="17">
        <f t="shared" ref="C10:C21" si="0">+D10+E10+F10</f>
        <v>526.53</v>
      </c>
      <c r="D10" s="17">
        <f>+'Monthly Data-Hours &amp; Miles'!C$28</f>
        <v>427.28</v>
      </c>
      <c r="E10" s="17">
        <f>+'Monthly Data-Hours &amp; Miles'!C$29</f>
        <v>41.52</v>
      </c>
      <c r="F10" s="17">
        <f>+'Monthly Data-Hours &amp; Miles'!C$30</f>
        <v>57.73</v>
      </c>
    </row>
    <row r="11" spans="1:7">
      <c r="A11" t="str">
        <f>+'Monthly Data-Hours &amp; Miles'!$D$24</f>
        <v>February</v>
      </c>
      <c r="C11" s="17">
        <f t="shared" si="0"/>
        <v>442.18</v>
      </c>
      <c r="D11" s="17">
        <f>+'Monthly Data-Hours &amp; Miles'!D$28</f>
        <v>345.73</v>
      </c>
      <c r="E11" s="17">
        <f>+'Monthly Data-Hours &amp; Miles'!D$29</f>
        <v>39.06</v>
      </c>
      <c r="F11" s="17">
        <f>+'Monthly Data-Hours &amp; Miles'!D$30</f>
        <v>57.39</v>
      </c>
    </row>
    <row r="12" spans="1:7">
      <c r="A12" t="str">
        <f>+'Monthly Data-Hours &amp; Miles'!$E$24</f>
        <v>March</v>
      </c>
      <c r="C12" s="17">
        <f t="shared" si="0"/>
        <v>495.73</v>
      </c>
      <c r="D12" s="17">
        <f>+'Monthly Data-Hours &amp; Miles'!E$28</f>
        <v>373.58</v>
      </c>
      <c r="E12" s="17">
        <f>+'Monthly Data-Hours &amp; Miles'!E$29</f>
        <v>49.04</v>
      </c>
      <c r="F12" s="17">
        <f>+'Monthly Data-Hours &amp; Miles'!E$30</f>
        <v>73.11</v>
      </c>
    </row>
    <row r="13" spans="1:7">
      <c r="A13" t="str">
        <f>+'Monthly Data-Hours &amp; Miles'!$F$24</f>
        <v>April</v>
      </c>
      <c r="C13" s="17">
        <f t="shared" si="0"/>
        <v>576.95000000000005</v>
      </c>
      <c r="D13" s="17">
        <f>+'Monthly Data-Hours &amp; Miles'!F$28</f>
        <v>476.76</v>
      </c>
      <c r="E13" s="17">
        <f>+'Monthly Data-Hours &amp; Miles'!F$29</f>
        <v>40.61</v>
      </c>
      <c r="F13" s="17">
        <f>+'Monthly Data-Hours &amp; Miles'!F$30</f>
        <v>59.58</v>
      </c>
    </row>
    <row r="14" spans="1:7">
      <c r="A14" t="str">
        <f>+'Monthly Data-Hours &amp; Miles'!$G$24</f>
        <v>May</v>
      </c>
      <c r="C14" s="17">
        <f t="shared" si="0"/>
        <v>568.48</v>
      </c>
      <c r="D14" s="17">
        <f>+'Monthly Data-Hours &amp; Miles'!G$28</f>
        <v>456.5</v>
      </c>
      <c r="E14" s="17">
        <f>+'Monthly Data-Hours &amp; Miles'!G$29</f>
        <v>45.18</v>
      </c>
      <c r="F14" s="17">
        <f>+'Monthly Data-Hours &amp; Miles'!G$30</f>
        <v>66.8</v>
      </c>
    </row>
    <row r="15" spans="1:7">
      <c r="A15" t="str">
        <f>+'Monthly Data-Hours &amp; Miles'!$H$24</f>
        <v>June</v>
      </c>
      <c r="C15" s="17">
        <f t="shared" si="0"/>
        <v>675.05</v>
      </c>
      <c r="D15" s="17">
        <f>+'Monthly Data-Hours &amp; Miles'!H$28</f>
        <v>518.42999999999995</v>
      </c>
      <c r="E15" s="17">
        <f>+'Monthly Data-Hours &amp; Miles'!H$29</f>
        <v>50.3</v>
      </c>
      <c r="F15" s="17">
        <f>+'Monthly Data-Hours &amp; Miles'!H$30</f>
        <v>106.32</v>
      </c>
    </row>
    <row r="16" spans="1:7">
      <c r="A16" t="str">
        <f>+'Monthly Data-Hours &amp; Miles'!$I$24</f>
        <v>July</v>
      </c>
      <c r="C16" s="17">
        <f t="shared" si="0"/>
        <v>806.69999999999993</v>
      </c>
      <c r="D16" s="17">
        <f>+'Monthly Data-Hours &amp; Miles'!I$28</f>
        <v>644.54</v>
      </c>
      <c r="E16" s="17">
        <f>+'Monthly Data-Hours &amp; Miles'!I$29</f>
        <v>18.38</v>
      </c>
      <c r="F16" s="17">
        <f>+'Monthly Data-Hours &amp; Miles'!I$30</f>
        <v>143.78</v>
      </c>
    </row>
    <row r="17" spans="1:6">
      <c r="A17" t="str">
        <f>+'Monthly Data-Hours &amp; Miles'!$J$24</f>
        <v>August</v>
      </c>
      <c r="C17" s="17">
        <f t="shared" si="0"/>
        <v>789.12</v>
      </c>
      <c r="D17" s="17">
        <f>+'Monthly Data-Hours &amp; Miles'!J$28</f>
        <v>633.54999999999995</v>
      </c>
      <c r="E17" s="17">
        <f>+'Monthly Data-Hours &amp; Miles'!J$29</f>
        <v>41.11</v>
      </c>
      <c r="F17" s="17">
        <f>+'Monthly Data-Hours &amp; Miles'!J$30</f>
        <v>114.46</v>
      </c>
    </row>
    <row r="18" spans="1:6">
      <c r="A18" t="str">
        <f>+'Monthly Data-Hours &amp; Miles'!$K$24</f>
        <v>September</v>
      </c>
      <c r="C18" s="17">
        <f t="shared" si="0"/>
        <v>742.15000000000009</v>
      </c>
      <c r="D18" s="17">
        <f>+'Monthly Data-Hours &amp; Miles'!K$28</f>
        <v>558.6</v>
      </c>
      <c r="E18" s="17">
        <f>+'Monthly Data-Hours &amp; Miles'!K$29</f>
        <v>47.11</v>
      </c>
      <c r="F18" s="17">
        <f>+'Monthly Data-Hours &amp; Miles'!K$30</f>
        <v>136.44</v>
      </c>
    </row>
    <row r="19" spans="1:6">
      <c r="A19" t="str">
        <f>+'Monthly Data-Hours &amp; Miles'!$L$24</f>
        <v xml:space="preserve">October </v>
      </c>
      <c r="C19" s="17">
        <f t="shared" si="0"/>
        <v>726.63000000000011</v>
      </c>
      <c r="D19" s="17">
        <f>+'Monthly Data-Hours &amp; Miles'!L$28</f>
        <v>561.58000000000004</v>
      </c>
      <c r="E19" s="17">
        <f>+'Monthly Data-Hours &amp; Miles'!L$29</f>
        <v>48.86</v>
      </c>
      <c r="F19" s="17">
        <f>+'Monthly Data-Hours &amp; Miles'!L$30</f>
        <v>116.19</v>
      </c>
    </row>
    <row r="20" spans="1:6">
      <c r="A20" t="str">
        <f>+'Monthly Data-Hours &amp; Miles'!$M$24</f>
        <v>November</v>
      </c>
      <c r="C20" s="17">
        <f t="shared" si="0"/>
        <v>597.49</v>
      </c>
      <c r="D20" s="17">
        <f>+'Monthly Data-Hours &amp; Miles'!M$28</f>
        <v>453.75</v>
      </c>
      <c r="E20" s="17">
        <f>+'Monthly Data-Hours &amp; Miles'!M$29</f>
        <v>39.119999999999997</v>
      </c>
      <c r="F20" s="17">
        <f>+'Monthly Data-Hours &amp; Miles'!M$30</f>
        <v>104.62</v>
      </c>
    </row>
    <row r="21" spans="1:6">
      <c r="A21" t="str">
        <f>+'Monthly Data-Hours &amp; Miles'!$N$24</f>
        <v>December</v>
      </c>
      <c r="C21" s="19">
        <f t="shared" si="0"/>
        <v>559.28000000000009</v>
      </c>
      <c r="D21" s="19">
        <f>+'Monthly Data-Hours &amp; Miles'!N$28</f>
        <v>443.92</v>
      </c>
      <c r="E21" s="19">
        <f>+'Monthly Data-Hours &amp; Miles'!N$29</f>
        <v>44.1</v>
      </c>
      <c r="F21" s="19">
        <f>+'Monthly Data-Hours &amp; Miles'!N$30</f>
        <v>71.260000000000005</v>
      </c>
    </row>
    <row r="22" spans="1:6">
      <c r="C22" s="18"/>
    </row>
    <row r="23" spans="1:6" ht="13.5" thickBot="1">
      <c r="B23" t="s">
        <v>114</v>
      </c>
      <c r="C23" s="21">
        <f>SUM(C10:C21)</f>
        <v>7506.2899999999991</v>
      </c>
      <c r="D23" s="21">
        <f>SUM(D10:D21)</f>
        <v>5894.22</v>
      </c>
      <c r="E23" s="21">
        <f>SUM(E10:E21)</f>
        <v>504.3900000000001</v>
      </c>
      <c r="F23" s="21">
        <f>SUM(F10:F21)</f>
        <v>1107.68</v>
      </c>
    </row>
    <row r="24" spans="1:6" ht="13.5" thickTop="1"/>
    <row r="25" spans="1:6" ht="13.5" thickBot="1">
      <c r="B25" t="s">
        <v>107</v>
      </c>
      <c r="C25" s="14">
        <f>SUM(D25:F25)</f>
        <v>1</v>
      </c>
      <c r="D25" s="14">
        <f>+D23/C23</f>
        <v>0.78523744752734048</v>
      </c>
      <c r="E25" s="14">
        <f>+E23/C23</f>
        <v>6.7195645252181857E-2</v>
      </c>
      <c r="F25" s="14">
        <f>+F23/C23</f>
        <v>0.1475669072204778</v>
      </c>
    </row>
    <row r="26" spans="1:6" ht="13.5" thickTop="1"/>
    <row r="29" spans="1:6" ht="13.5" thickBot="1">
      <c r="A29" t="s">
        <v>115</v>
      </c>
      <c r="C29" s="20" t="s">
        <v>2</v>
      </c>
      <c r="D29" s="20" t="s">
        <v>477</v>
      </c>
      <c r="E29" s="20" t="s">
        <v>476</v>
      </c>
      <c r="F29" s="20" t="s">
        <v>475</v>
      </c>
    </row>
    <row r="30" spans="1:6">
      <c r="E30" s="17"/>
    </row>
    <row r="31" spans="1:6">
      <c r="A31" t="str">
        <f>+'Monthly Data-Hours &amp; Miles'!$C$24</f>
        <v>January</v>
      </c>
      <c r="C31" s="17">
        <f t="shared" ref="C31:C37" si="1">+D31+E31+F31</f>
        <v>683.27</v>
      </c>
      <c r="D31" s="17">
        <f>+'Monthly Data-Hours &amp; Miles'!$C$63</f>
        <v>533.78</v>
      </c>
      <c r="E31" s="17">
        <f>+'Monthly Data-Hours &amp; Miles'!$C$64</f>
        <v>70.95</v>
      </c>
      <c r="F31" s="17">
        <f>+'Monthly Data-Hours &amp; Miles'!$C$65</f>
        <v>78.540000000000006</v>
      </c>
    </row>
    <row r="32" spans="1:6">
      <c r="A32" t="str">
        <f>+'Monthly Data-Hours &amp; Miles'!$D$24</f>
        <v>February</v>
      </c>
      <c r="C32" s="17">
        <f t="shared" si="1"/>
        <v>594.07000000000005</v>
      </c>
      <c r="D32" s="17">
        <f>+'Monthly Data-Hours &amp; Miles'!$D$63</f>
        <v>442.98</v>
      </c>
      <c r="E32" s="17">
        <f>+'Monthly Data-Hours &amp; Miles'!$D$64</f>
        <v>71.87</v>
      </c>
      <c r="F32" s="17">
        <f>+'Monthly Data-Hours &amp; Miles'!$D$65</f>
        <v>79.22</v>
      </c>
    </row>
    <row r="33" spans="1:6">
      <c r="A33" t="str">
        <f>+'Monthly Data-Hours &amp; Miles'!$E$24</f>
        <v>March</v>
      </c>
      <c r="C33" s="17">
        <f t="shared" si="1"/>
        <v>636.6099999999999</v>
      </c>
      <c r="D33" s="17">
        <f>+'Monthly Data-Hours &amp; Miles'!$E$63</f>
        <v>466.58</v>
      </c>
      <c r="E33" s="17">
        <f>+'Monthly Data-Hours &amp; Miles'!$E$64</f>
        <v>77.5</v>
      </c>
      <c r="F33" s="17">
        <f>+'Monthly Data-Hours &amp; Miles'!$E$65</f>
        <v>92.53</v>
      </c>
    </row>
    <row r="34" spans="1:6">
      <c r="A34" t="str">
        <f>+'Monthly Data-Hours &amp; Miles'!$F$24</f>
        <v>April</v>
      </c>
      <c r="C34" s="17">
        <f t="shared" si="1"/>
        <v>742.26</v>
      </c>
      <c r="D34" s="17">
        <f>+'Monthly Data-Hours &amp; Miles'!$F$63</f>
        <v>583.76</v>
      </c>
      <c r="E34" s="17">
        <f>+'Monthly Data-Hours &amp; Miles'!$F$64</f>
        <v>73.05</v>
      </c>
      <c r="F34" s="17">
        <f>+'Monthly Data-Hours &amp; Miles'!$F$65</f>
        <v>85.45</v>
      </c>
    </row>
    <row r="35" spans="1:6">
      <c r="A35" t="str">
        <f>+'Monthly Data-Hours &amp; Miles'!$G$24</f>
        <v>May</v>
      </c>
      <c r="C35" s="17">
        <f t="shared" si="1"/>
        <v>730.24</v>
      </c>
      <c r="D35" s="17">
        <f>+'Monthly Data-Hours &amp; Miles'!$G$63</f>
        <v>551.5</v>
      </c>
      <c r="E35" s="17">
        <f>+'Monthly Data-Hours &amp; Miles'!$G$64</f>
        <v>82.28</v>
      </c>
      <c r="F35" s="17">
        <f>+'Monthly Data-Hours &amp; Miles'!$G$65</f>
        <v>96.46</v>
      </c>
    </row>
    <row r="36" spans="1:6">
      <c r="A36" t="str">
        <f>+'Monthly Data-Hours &amp; Miles'!$H$24</f>
        <v>June</v>
      </c>
      <c r="C36" s="17">
        <f t="shared" si="1"/>
        <v>855.08999999999992</v>
      </c>
      <c r="D36" s="17">
        <f>+'Monthly Data-Hours &amp; Miles'!$H$63</f>
        <v>619.42999999999995</v>
      </c>
      <c r="E36" s="17">
        <f>+'Monthly Data-Hours &amp; Miles'!$H$64</f>
        <v>88.34</v>
      </c>
      <c r="F36" s="17">
        <f>+'Monthly Data-Hours &amp; Miles'!$H$65</f>
        <v>147.32</v>
      </c>
    </row>
    <row r="37" spans="1:6">
      <c r="A37" t="str">
        <f>+'Monthly Data-Hours &amp; Miles'!$I$24</f>
        <v>July</v>
      </c>
      <c r="C37" s="17">
        <f t="shared" si="1"/>
        <v>985.40999999999985</v>
      </c>
      <c r="D37" s="17">
        <f>+'Monthly Data-Hours &amp; Miles'!$I$63</f>
        <v>748.04</v>
      </c>
      <c r="E37" s="17">
        <f>+'Monthly Data-Hours &amp; Miles'!$I$64</f>
        <v>52.43</v>
      </c>
      <c r="F37" s="17">
        <f>+'Monthly Data-Hours &amp; Miles'!$I$65</f>
        <v>184.94</v>
      </c>
    </row>
    <row r="38" spans="1:6">
      <c r="A38" t="str">
        <f>+'Monthly Data-Hours &amp; Miles'!$J$24</f>
        <v>August</v>
      </c>
      <c r="C38" s="17">
        <f t="shared" ref="C38:C42" si="2">+D38+E38+F38</f>
        <v>956.79</v>
      </c>
      <c r="D38" s="17">
        <f>+'Monthly Data-Hours &amp; Miles'!$J$63</f>
        <v>736.05</v>
      </c>
      <c r="E38" s="17">
        <f>+'Monthly Data-Hours &amp; Miles'!$J$64</f>
        <v>74.89</v>
      </c>
      <c r="F38" s="17">
        <f>+'Monthly Data-Hours &amp; Miles'!$J$65</f>
        <v>145.85</v>
      </c>
    </row>
    <row r="39" spans="1:6">
      <c r="A39" t="str">
        <f>+'Monthly Data-Hours &amp; Miles'!$K$24</f>
        <v>September</v>
      </c>
      <c r="C39" s="17">
        <f t="shared" si="2"/>
        <v>949.21</v>
      </c>
      <c r="D39" s="17">
        <f>+'Monthly Data-Hours &amp; Miles'!$K$63</f>
        <v>681.6</v>
      </c>
      <c r="E39" s="17">
        <f>+'Monthly Data-Hours &amp; Miles'!$K$64</f>
        <v>86.56</v>
      </c>
      <c r="F39" s="17">
        <f>+'Monthly Data-Hours &amp; Miles'!$K$65</f>
        <v>181.05</v>
      </c>
    </row>
    <row r="40" spans="1:6">
      <c r="A40" t="str">
        <f>+'Monthly Data-Hours &amp; Miles'!$L$24</f>
        <v xml:space="preserve">October </v>
      </c>
      <c r="C40" s="17">
        <f t="shared" si="2"/>
        <v>967.37999999999988</v>
      </c>
      <c r="D40" s="17">
        <f>+'Monthly Data-Hours &amp; Miles'!$L$63</f>
        <v>710.41</v>
      </c>
      <c r="E40" s="17">
        <f>+'Monthly Data-Hours &amp; Miles'!$L$64</f>
        <v>88.3</v>
      </c>
      <c r="F40" s="17">
        <f>+'Monthly Data-Hours &amp; Miles'!$L$65</f>
        <v>168.67</v>
      </c>
    </row>
    <row r="41" spans="1:6">
      <c r="A41" t="str">
        <f>+'Monthly Data-Hours &amp; Miles'!$M$24</f>
        <v>November</v>
      </c>
      <c r="C41" s="17">
        <f t="shared" si="2"/>
        <v>816.67000000000007</v>
      </c>
      <c r="D41" s="17">
        <f>+'Monthly Data-Hours &amp; Miles'!$M$63</f>
        <v>580.16999999999996</v>
      </c>
      <c r="E41" s="17">
        <f>+'Monthly Data-Hours &amp; Miles'!$M$64</f>
        <v>74.569999999999993</v>
      </c>
      <c r="F41" s="17">
        <f>+'Monthly Data-Hours &amp; Miles'!$M$65</f>
        <v>161.93</v>
      </c>
    </row>
    <row r="42" spans="1:6">
      <c r="A42" t="str">
        <f>+'Monthly Data-Hours &amp; Miles'!$N$24</f>
        <v>December</v>
      </c>
      <c r="C42" s="19">
        <f t="shared" si="2"/>
        <v>776.39</v>
      </c>
      <c r="D42" s="19">
        <f>+'Monthly Data-Hours &amp; Miles'!$N$63</f>
        <v>584.5</v>
      </c>
      <c r="E42" s="19">
        <f>+'Monthly Data-Hours &amp; Miles'!$N$64</f>
        <v>78.28</v>
      </c>
      <c r="F42" s="19">
        <f>+'Monthly Data-Hours &amp; Miles'!$N$65</f>
        <v>113.61</v>
      </c>
    </row>
    <row r="43" spans="1:6">
      <c r="C43" s="18"/>
    </row>
    <row r="44" spans="1:6" ht="13.5" thickBot="1">
      <c r="B44" t="s">
        <v>114</v>
      </c>
      <c r="C44" s="21">
        <f>SUM(C31:C42)</f>
        <v>9693.39</v>
      </c>
      <c r="D44" s="21">
        <f>SUM(D31:D42)</f>
        <v>7238.8</v>
      </c>
      <c r="E44" s="21">
        <f>SUM(E31:E42)</f>
        <v>919.01999999999975</v>
      </c>
      <c r="F44" s="21">
        <f>SUM(F31:F42)</f>
        <v>1535.5700000000002</v>
      </c>
    </row>
    <row r="45" spans="1:6" ht="13.5" thickTop="1"/>
    <row r="46" spans="1:6" ht="13.5" thickBot="1">
      <c r="B46" t="s">
        <v>107</v>
      </c>
      <c r="C46" s="14">
        <f>SUM(D46:F46)</f>
        <v>1</v>
      </c>
      <c r="D46" s="14">
        <f>+D44/C44</f>
        <v>0.74677692737009449</v>
      </c>
      <c r="E46" s="14">
        <f>+E44/C44</f>
        <v>9.4808936811579828E-2</v>
      </c>
      <c r="F46" s="14">
        <f>+F44/C44</f>
        <v>0.1584141358183257</v>
      </c>
    </row>
    <row r="47" spans="1:6" ht="13.5" thickTop="1"/>
    <row r="51" spans="1:6" ht="13.5" thickBot="1">
      <c r="A51" t="s">
        <v>116</v>
      </c>
      <c r="C51" s="20" t="s">
        <v>2</v>
      </c>
      <c r="D51" s="20" t="s">
        <v>477</v>
      </c>
      <c r="E51" s="20" t="s">
        <v>476</v>
      </c>
      <c r="F51" s="20" t="s">
        <v>475</v>
      </c>
    </row>
    <row r="52" spans="1:6">
      <c r="E52" s="17"/>
    </row>
    <row r="53" spans="1:6">
      <c r="A53" t="str">
        <f>+'Monthly Data-Hours &amp; Miles'!$C$24</f>
        <v>January</v>
      </c>
      <c r="C53" s="17">
        <f t="shared" ref="C53:C59" si="3">+D53+E53+F53</f>
        <v>5300</v>
      </c>
      <c r="D53" s="17">
        <f>+'Monthly Data-Hours &amp; Miles'!$C$45</f>
        <v>3888</v>
      </c>
      <c r="E53" s="17">
        <f>+'Monthly Data-Hours &amp; Miles'!$C$46</f>
        <v>618</v>
      </c>
      <c r="F53" s="17">
        <f>+'Monthly Data-Hours &amp; Miles'!$C$47</f>
        <v>794</v>
      </c>
    </row>
    <row r="54" spans="1:6">
      <c r="A54" t="str">
        <f>+'Monthly Data-Hours &amp; Miles'!$D$24</f>
        <v>February</v>
      </c>
      <c r="C54" s="17">
        <f t="shared" si="3"/>
        <v>4664</v>
      </c>
      <c r="D54" s="17">
        <f>+'Monthly Data-Hours &amp; Miles'!$D$45</f>
        <v>3228</v>
      </c>
      <c r="E54" s="17">
        <f>+'Monthly Data-Hours &amp; Miles'!$D$46</f>
        <v>594</v>
      </c>
      <c r="F54" s="17">
        <f>+'Monthly Data-Hours &amp; Miles'!$D$47</f>
        <v>842</v>
      </c>
    </row>
    <row r="55" spans="1:6">
      <c r="A55" t="str">
        <f>+'Monthly Data-Hours &amp; Miles'!$E$24</f>
        <v>March</v>
      </c>
      <c r="C55" s="17">
        <f t="shared" si="3"/>
        <v>5069</v>
      </c>
      <c r="D55" s="17">
        <f>+'Monthly Data-Hours &amp; Miles'!$E$45</f>
        <v>3322</v>
      </c>
      <c r="E55" s="17">
        <f>+'Monthly Data-Hours &amp; Miles'!$E$46</f>
        <v>723</v>
      </c>
      <c r="F55" s="17">
        <f>+'Monthly Data-Hours &amp; Miles'!$E$47</f>
        <v>1024</v>
      </c>
    </row>
    <row r="56" spans="1:6">
      <c r="A56" t="str">
        <f>+'Monthly Data-Hours &amp; Miles'!$F$24</f>
        <v>April</v>
      </c>
      <c r="C56" s="17">
        <f t="shared" si="3"/>
        <v>5777</v>
      </c>
      <c r="D56" s="17">
        <f>+'Monthly Data-Hours &amp; Miles'!$F$45</f>
        <v>4343</v>
      </c>
      <c r="E56" s="17">
        <f>+'Monthly Data-Hours &amp; Miles'!$F$46</f>
        <v>585</v>
      </c>
      <c r="F56" s="17">
        <f>+'Monthly Data-Hours &amp; Miles'!$F$47</f>
        <v>849</v>
      </c>
    </row>
    <row r="57" spans="1:6">
      <c r="A57" t="str">
        <f>+'Monthly Data-Hours &amp; Miles'!$G$24</f>
        <v>May</v>
      </c>
      <c r="C57" s="17">
        <f t="shared" si="3"/>
        <v>5690</v>
      </c>
      <c r="D57" s="17">
        <f>+'Monthly Data-Hours &amp; Miles'!$G$45</f>
        <v>4098</v>
      </c>
      <c r="E57" s="17">
        <f>+'Monthly Data-Hours &amp; Miles'!$G$46</f>
        <v>657</v>
      </c>
      <c r="F57" s="17">
        <f>+'Monthly Data-Hours &amp; Miles'!$G$47</f>
        <v>935</v>
      </c>
    </row>
    <row r="58" spans="1:6">
      <c r="A58" t="str">
        <f>+'Monthly Data-Hours &amp; Miles'!$H$24</f>
        <v>June</v>
      </c>
      <c r="C58" s="17">
        <f t="shared" si="3"/>
        <v>6827</v>
      </c>
      <c r="D58" s="17">
        <f>+'Monthly Data-Hours &amp; Miles'!$H$45</f>
        <v>4722</v>
      </c>
      <c r="E58" s="17">
        <f>+'Monthly Data-Hours &amp; Miles'!$H$46</f>
        <v>624</v>
      </c>
      <c r="F58" s="17">
        <f>+'Monthly Data-Hours &amp; Miles'!$H$47</f>
        <v>1481</v>
      </c>
    </row>
    <row r="59" spans="1:6">
      <c r="A59" t="str">
        <f>+'Monthly Data-Hours &amp; Miles'!$I$24</f>
        <v>July</v>
      </c>
      <c r="C59" s="17">
        <f t="shared" si="3"/>
        <v>7545</v>
      </c>
      <c r="D59" s="17">
        <f>+'Monthly Data-Hours &amp; Miles'!$I$45</f>
        <v>5416</v>
      </c>
      <c r="E59" s="17">
        <f>+'Monthly Data-Hours &amp; Miles'!$I$46</f>
        <v>506</v>
      </c>
      <c r="F59" s="17">
        <f>+'Monthly Data-Hours &amp; Miles'!$I$47</f>
        <v>1623</v>
      </c>
    </row>
    <row r="60" spans="1:6">
      <c r="A60" t="str">
        <f>+'Monthly Data-Hours &amp; Miles'!$J$24</f>
        <v>August</v>
      </c>
      <c r="C60" s="17">
        <f t="shared" ref="C60:C64" si="4">+D60+E60+F60</f>
        <v>7223</v>
      </c>
      <c r="D60" s="17">
        <f>+'Monthly Data-Hours &amp; Miles'!$J$45</f>
        <v>5103</v>
      </c>
      <c r="E60" s="17">
        <f>+'Monthly Data-Hours &amp; Miles'!$J$46</f>
        <v>459</v>
      </c>
      <c r="F60" s="17">
        <f>+'Monthly Data-Hours &amp; Miles'!$J$47</f>
        <v>1661</v>
      </c>
    </row>
    <row r="61" spans="1:6">
      <c r="A61" t="str">
        <f>+'Monthly Data-Hours &amp; Miles'!$K$24</f>
        <v>September</v>
      </c>
      <c r="C61" s="17">
        <f t="shared" si="4"/>
        <v>7405</v>
      </c>
      <c r="D61" s="17">
        <f>+'Monthly Data-Hours &amp; Miles'!$K$45</f>
        <v>4894</v>
      </c>
      <c r="E61" s="17">
        <f>+'Monthly Data-Hours &amp; Miles'!$K$46</f>
        <v>542</v>
      </c>
      <c r="F61" s="17">
        <f>+'Monthly Data-Hours &amp; Miles'!$K$47</f>
        <v>1969</v>
      </c>
    </row>
    <row r="62" spans="1:6">
      <c r="A62" t="str">
        <f>+'Monthly Data-Hours &amp; Miles'!$L$24</f>
        <v xml:space="preserve">October </v>
      </c>
      <c r="C62" s="17">
        <f t="shared" si="4"/>
        <v>6990</v>
      </c>
      <c r="D62" s="17">
        <f>+'Monthly Data-Hours &amp; Miles'!$L$45</f>
        <v>4676</v>
      </c>
      <c r="E62" s="17">
        <f>+'Monthly Data-Hours &amp; Miles'!$L$46</f>
        <v>549</v>
      </c>
      <c r="F62" s="17">
        <f>+'Monthly Data-Hours &amp; Miles'!$L$47</f>
        <v>1765</v>
      </c>
    </row>
    <row r="63" spans="1:6">
      <c r="A63" t="str">
        <f>+'Monthly Data-Hours &amp; Miles'!$M$24</f>
        <v>November</v>
      </c>
      <c r="C63" s="17">
        <f t="shared" si="4"/>
        <v>5961</v>
      </c>
      <c r="D63" s="17">
        <f>+'Monthly Data-Hours &amp; Miles'!$M$45</f>
        <v>3992</v>
      </c>
      <c r="E63" s="17">
        <f>+'Monthly Data-Hours &amp; Miles'!$M$46</f>
        <v>479</v>
      </c>
      <c r="F63" s="17">
        <f>+'Monthly Data-Hours &amp; Miles'!$M$47</f>
        <v>1490</v>
      </c>
    </row>
    <row r="64" spans="1:6">
      <c r="A64" t="str">
        <f>+'Monthly Data-Hours &amp; Miles'!$N$24</f>
        <v>December</v>
      </c>
      <c r="C64" s="17">
        <f t="shared" si="4"/>
        <v>5767</v>
      </c>
      <c r="D64" s="17">
        <f>+'Monthly Data-Hours &amp; Miles'!$N$45</f>
        <v>4038</v>
      </c>
      <c r="E64" s="17">
        <f>+'Monthly Data-Hours &amp; Miles'!$N$46</f>
        <v>555</v>
      </c>
      <c r="F64" s="17">
        <f>+'Monthly Data-Hours &amp; Miles'!$N$47</f>
        <v>1174</v>
      </c>
    </row>
    <row r="65" spans="2:6">
      <c r="C65" s="18"/>
    </row>
    <row r="66" spans="2:6" ht="13.5" thickBot="1">
      <c r="B66" t="s">
        <v>114</v>
      </c>
      <c r="C66" s="21">
        <f>SUM(C53:C64)</f>
        <v>74218</v>
      </c>
      <c r="D66" s="21">
        <f>SUM(D53:D64)</f>
        <v>51720</v>
      </c>
      <c r="E66" s="21">
        <f>SUM(E53:E64)</f>
        <v>6891</v>
      </c>
      <c r="F66" s="21">
        <f>SUM(F53:F64)</f>
        <v>15607</v>
      </c>
    </row>
    <row r="67" spans="2:6" ht="13.5" thickTop="1"/>
    <row r="68" spans="2:6" ht="13.5" thickBot="1">
      <c r="B68" t="s">
        <v>107</v>
      </c>
      <c r="C68" s="14">
        <f>SUM(D68:F68)</f>
        <v>1</v>
      </c>
      <c r="D68" s="14">
        <f>+D66/C66</f>
        <v>0.69686598938262956</v>
      </c>
      <c r="E68" s="14">
        <f>+E66/C66</f>
        <v>9.2848096149182144E-2</v>
      </c>
      <c r="F68" s="14">
        <f>+F66/C66</f>
        <v>0.21028591446818831</v>
      </c>
    </row>
    <row r="69" spans="2:6" ht="13.5" thickTop="1"/>
  </sheetData>
  <pageMargins left="0.2" right="0.3" top="0.52" bottom="0.49" header="0.5" footer="0.5"/>
  <pageSetup scale="83" orientation="portrait" horizontalDpi="4294967293" vertic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activeCell="D4" sqref="D4"/>
    </sheetView>
  </sheetViews>
  <sheetFormatPr defaultRowHeight="12.75"/>
  <cols>
    <col min="1" max="1" width="10.140625" bestFit="1" customWidth="1"/>
    <col min="11" max="11" width="10.28515625" bestFit="1" customWidth="1"/>
  </cols>
  <sheetData>
    <row r="1" spans="1:7">
      <c r="A1" t="s">
        <v>0</v>
      </c>
    </row>
    <row r="3" spans="1:7">
      <c r="A3" t="s">
        <v>498</v>
      </c>
      <c r="D3" s="693" t="s">
        <v>1414</v>
      </c>
      <c r="E3" s="693" t="s">
        <v>702</v>
      </c>
    </row>
    <row r="5" spans="1:7">
      <c r="A5" s="173">
        <v>44043</v>
      </c>
    </row>
    <row r="8" spans="1:7">
      <c r="C8" s="2" t="s">
        <v>295</v>
      </c>
      <c r="D8" s="2" t="s">
        <v>295</v>
      </c>
      <c r="E8" s="2" t="s">
        <v>296</v>
      </c>
      <c r="F8" s="2" t="s">
        <v>2</v>
      </c>
      <c r="G8" s="2" t="s">
        <v>107</v>
      </c>
    </row>
    <row r="10" spans="1:7">
      <c r="A10" t="s">
        <v>477</v>
      </c>
      <c r="C10" s="22">
        <f>+'Monthly Data-Container Count'!C$16</f>
        <v>764</v>
      </c>
      <c r="D10" s="22">
        <f>+'Monthly Data-Container Count'!D$16</f>
        <v>1282</v>
      </c>
      <c r="E10" s="22">
        <f>+'Monthly Data-Container Count'!E$16</f>
        <v>1091</v>
      </c>
      <c r="F10" s="22">
        <f>SUM(C10:E10)</f>
        <v>3137</v>
      </c>
      <c r="G10" s="10">
        <f>(+F10/F16)</f>
        <v>1</v>
      </c>
    </row>
    <row r="11" spans="1:7">
      <c r="G11" s="10"/>
    </row>
    <row r="12" spans="1:7">
      <c r="A12" t="s">
        <v>476</v>
      </c>
      <c r="C12" s="22">
        <f>+'Monthly Data-Container Count'!C$17</f>
        <v>0</v>
      </c>
      <c r="D12" s="22">
        <f>+'Monthly Data-Container Count'!D$17</f>
        <v>0</v>
      </c>
      <c r="E12" s="22">
        <f>+'Monthly Data-Container Count'!E$17</f>
        <v>0</v>
      </c>
      <c r="F12" s="22">
        <f>SUM(C12:E12)</f>
        <v>0</v>
      </c>
      <c r="G12" s="10">
        <f>+F12/F16</f>
        <v>0</v>
      </c>
    </row>
    <row r="13" spans="1:7">
      <c r="G13" s="10"/>
    </row>
    <row r="14" spans="1:7">
      <c r="A14" t="s">
        <v>475</v>
      </c>
      <c r="C14" s="23">
        <f>+'Monthly Data-Container Count'!C$18</f>
        <v>0</v>
      </c>
      <c r="D14" s="23">
        <f>+'Monthly Data-Container Count'!D$18</f>
        <v>0</v>
      </c>
      <c r="E14" s="23">
        <f>+'Monthly Data-Container Count'!E$18</f>
        <v>0</v>
      </c>
      <c r="F14" s="23">
        <f>SUM(C14:E14)</f>
        <v>0</v>
      </c>
      <c r="G14" s="42">
        <f>+F14/F16</f>
        <v>0</v>
      </c>
    </row>
    <row r="15" spans="1:7">
      <c r="G15" s="11"/>
    </row>
    <row r="16" spans="1:7" ht="13.5" thickBot="1">
      <c r="A16" t="s">
        <v>119</v>
      </c>
      <c r="C16" s="24">
        <f>SUM(C10:C14)</f>
        <v>764</v>
      </c>
      <c r="D16" s="24">
        <f>SUM(D10:D14)</f>
        <v>1282</v>
      </c>
      <c r="E16" s="24">
        <f>SUM(E10:E14)</f>
        <v>1091</v>
      </c>
      <c r="F16" s="24">
        <f>SUM(C16:E16)</f>
        <v>3137</v>
      </c>
      <c r="G16" s="14">
        <f>SUM(G10:G14)</f>
        <v>1</v>
      </c>
    </row>
    <row r="17" spans="1:11" ht="13.5" thickTop="1"/>
    <row r="20" spans="1:11">
      <c r="C20" s="2" t="s">
        <v>120</v>
      </c>
      <c r="D20" s="2" t="s">
        <v>122</v>
      </c>
      <c r="E20" s="2" t="s">
        <v>121</v>
      </c>
      <c r="F20" s="2" t="s">
        <v>123</v>
      </c>
      <c r="G20" s="2" t="s">
        <v>124</v>
      </c>
      <c r="H20" s="2" t="s">
        <v>125</v>
      </c>
      <c r="I20" s="2" t="s">
        <v>126</v>
      </c>
      <c r="J20" s="2" t="s">
        <v>2</v>
      </c>
      <c r="K20" s="2" t="s">
        <v>107</v>
      </c>
    </row>
    <row r="22" spans="1:11">
      <c r="A22" t="s">
        <v>477</v>
      </c>
      <c r="C22" s="22">
        <f>+'Monthly Data-Container Count'!M$16</f>
        <v>357</v>
      </c>
      <c r="D22" s="22">
        <f>+'Monthly Data-Container Count'!N$16</f>
        <v>73</v>
      </c>
      <c r="E22" s="22">
        <f>+'Monthly Data-Container Count'!O$16</f>
        <v>278</v>
      </c>
      <c r="F22" s="22">
        <f>+'Monthly Data-Container Count'!P$16</f>
        <v>6</v>
      </c>
      <c r="G22" s="22">
        <f>+'Monthly Data-Container Count'!Q$16</f>
        <v>40</v>
      </c>
      <c r="H22" s="22">
        <f>+'Monthly Data-Container Count'!R$16</f>
        <v>50</v>
      </c>
      <c r="I22" s="22">
        <f>+'Monthly Data-Container Count'!S$16</f>
        <v>0</v>
      </c>
      <c r="J22" s="22">
        <f>SUM(C22:I22)</f>
        <v>804</v>
      </c>
      <c r="K22" s="10">
        <f>ROUND(+J22/$J$28,2)</f>
        <v>0.81</v>
      </c>
    </row>
    <row r="23" spans="1:11">
      <c r="K23" s="10"/>
    </row>
    <row r="24" spans="1:11">
      <c r="A24" t="s">
        <v>476</v>
      </c>
      <c r="C24" s="22">
        <f>+'Monthly Data-Container Count'!M$17</f>
        <v>16</v>
      </c>
      <c r="D24" s="22">
        <f>+'Monthly Data-Container Count'!N$17</f>
        <v>0</v>
      </c>
      <c r="E24" s="22">
        <f>+'Monthly Data-Container Count'!O$17</f>
        <v>17</v>
      </c>
      <c r="F24" s="22">
        <f>+'Monthly Data-Container Count'!P$17</f>
        <v>1</v>
      </c>
      <c r="G24" s="22">
        <f>+'Monthly Data-Container Count'!Q$17</f>
        <v>8</v>
      </c>
      <c r="H24" s="22">
        <f>+'Monthly Data-Container Count'!R$17</f>
        <v>4</v>
      </c>
      <c r="I24" s="22">
        <f>+'Monthly Data-Container Count'!S$17</f>
        <v>0</v>
      </c>
      <c r="J24" s="22">
        <f>SUM(C24:I24)</f>
        <v>46</v>
      </c>
      <c r="K24" s="10">
        <f>ROUND(+J24/$J$28,2)</f>
        <v>0.05</v>
      </c>
    </row>
    <row r="25" spans="1:11">
      <c r="K25" s="10"/>
    </row>
    <row r="26" spans="1:11">
      <c r="A26" t="s">
        <v>475</v>
      </c>
      <c r="C26" s="23">
        <f>+'Monthly Data-Container Count'!M$18</f>
        <v>29</v>
      </c>
      <c r="D26" s="23">
        <f>+'Monthly Data-Container Count'!N$18</f>
        <v>0</v>
      </c>
      <c r="E26" s="23">
        <f>+'Monthly Data-Container Count'!O$18</f>
        <v>58</v>
      </c>
      <c r="F26" s="23">
        <f>+'Monthly Data-Container Count'!P$18</f>
        <v>0</v>
      </c>
      <c r="G26" s="23">
        <f>+'Monthly Data-Container Count'!Q$18</f>
        <v>12</v>
      </c>
      <c r="H26" s="23">
        <f>+'Monthly Data-Container Count'!R$18</f>
        <v>40</v>
      </c>
      <c r="I26" s="23">
        <f>+'Monthly Data-Container Count'!S$18</f>
        <v>0</v>
      </c>
      <c r="J26" s="23">
        <f>SUM(C26:I26)</f>
        <v>139</v>
      </c>
      <c r="K26" s="42">
        <f>ROUND(+J26/$J$28,2)</f>
        <v>0.14000000000000001</v>
      </c>
    </row>
    <row r="27" spans="1:11">
      <c r="K27" s="11"/>
    </row>
    <row r="28" spans="1:11" ht="13.5" thickBot="1">
      <c r="A28" t="s">
        <v>119</v>
      </c>
      <c r="C28" s="24">
        <f t="shared" ref="C28:I28" si="0">SUM(C22:C26)</f>
        <v>402</v>
      </c>
      <c r="D28" s="24">
        <f t="shared" si="0"/>
        <v>73</v>
      </c>
      <c r="E28" s="24">
        <f t="shared" si="0"/>
        <v>353</v>
      </c>
      <c r="F28" s="24">
        <f t="shared" si="0"/>
        <v>7</v>
      </c>
      <c r="G28" s="24">
        <f t="shared" si="0"/>
        <v>60</v>
      </c>
      <c r="H28" s="24">
        <f t="shared" si="0"/>
        <v>94</v>
      </c>
      <c r="I28" s="24">
        <f t="shared" si="0"/>
        <v>0</v>
      </c>
      <c r="J28" s="24">
        <f>SUM(C28:I28)</f>
        <v>989</v>
      </c>
      <c r="K28" s="14">
        <f>SUM(K22:K26)</f>
        <v>1</v>
      </c>
    </row>
    <row r="29" spans="1:11" ht="13.5" thickTop="1"/>
  </sheetData>
  <pageMargins left="0.22" right="0.3" top="0.52" bottom="1" header="0.5" footer="0.5"/>
  <pageSetup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F3" sqref="F3"/>
    </sheetView>
  </sheetViews>
  <sheetFormatPr defaultRowHeight="12.75"/>
  <cols>
    <col min="1" max="1" width="15.140625" customWidth="1"/>
    <col min="3" max="3" width="11.140625" customWidth="1"/>
    <col min="6" max="6" width="11.42578125" customWidth="1"/>
    <col min="8" max="8" width="11.28515625" customWidth="1"/>
    <col min="9" max="9" width="10.85546875" customWidth="1"/>
  </cols>
  <sheetData>
    <row r="1" spans="1:9">
      <c r="A1" t="s">
        <v>0</v>
      </c>
    </row>
    <row r="3" spans="1:9">
      <c r="A3" t="s">
        <v>506</v>
      </c>
      <c r="D3" s="693" t="s">
        <v>1414</v>
      </c>
      <c r="E3" s="693" t="s">
        <v>702</v>
      </c>
    </row>
    <row r="5" spans="1:9">
      <c r="A5" s="692" t="s">
        <v>1386</v>
      </c>
    </row>
    <row r="6" spans="1:9">
      <c r="A6" s="16"/>
    </row>
    <row r="7" spans="1:9">
      <c r="F7" t="s">
        <v>505</v>
      </c>
    </row>
    <row r="8" spans="1:9">
      <c r="A8" t="s">
        <v>504</v>
      </c>
      <c r="F8" t="s">
        <v>503</v>
      </c>
    </row>
    <row r="10" spans="1:9">
      <c r="A10" t="s">
        <v>477</v>
      </c>
      <c r="C10" s="6">
        <f>SUM('Service Counts'!J54:J69)</f>
        <v>94741.15</v>
      </c>
      <c r="D10" s="11">
        <f>+C10/C14</f>
        <v>0.38699956231264759</v>
      </c>
      <c r="F10" t="s">
        <v>477</v>
      </c>
      <c r="H10" s="6">
        <f>SUM('Service Counts'!J54:J69)+'Proforma AJEs'!$G$58</f>
        <v>94741.15</v>
      </c>
      <c r="I10" s="11">
        <f>+H10/H14</f>
        <v>0.38699956231264759</v>
      </c>
    </row>
    <row r="11" spans="1:9">
      <c r="A11" t="s">
        <v>476</v>
      </c>
      <c r="C11" s="6">
        <f>SUM('Service Counts'!S54:S69)</f>
        <v>30097</v>
      </c>
      <c r="D11" s="11">
        <f>+C11/C14</f>
        <v>0.12294051557241764</v>
      </c>
      <c r="F11" t="s">
        <v>476</v>
      </c>
      <c r="H11" s="6">
        <f>SUM('Service Counts'!S54:S69)+'Proforma AJEs'!$G$59</f>
        <v>30097</v>
      </c>
      <c r="I11" s="11">
        <f>+H11/H14</f>
        <v>0.12294051557241764</v>
      </c>
    </row>
    <row r="12" spans="1:9">
      <c r="A12" t="s">
        <v>475</v>
      </c>
      <c r="C12" s="43">
        <f>SUM('Service Counts'!AB54:AB69)</f>
        <v>119971.3</v>
      </c>
      <c r="D12" s="162">
        <f>+C12/C14</f>
        <v>0.49005992211493471</v>
      </c>
      <c r="F12" t="s">
        <v>475</v>
      </c>
      <c r="H12" s="43">
        <f>SUM('Service Counts'!AB54:AB69)+'Proforma AJEs'!$G$60</f>
        <v>119971.3</v>
      </c>
      <c r="I12" s="162">
        <f>+H12/H14</f>
        <v>0.49005992211493471</v>
      </c>
    </row>
    <row r="13" spans="1:9">
      <c r="D13" s="11"/>
      <c r="I13" s="11"/>
    </row>
    <row r="14" spans="1:9" ht="13.5" thickBot="1">
      <c r="C14" s="8">
        <f>SUM(C10:C12)</f>
        <v>244809.45</v>
      </c>
      <c r="D14" s="14">
        <f>SUM(D10:D12)</f>
        <v>1</v>
      </c>
      <c r="H14" s="8">
        <f>SUM(H10:H12)</f>
        <v>244809.45</v>
      </c>
      <c r="I14" s="14">
        <f>SUM(I10:I12)</f>
        <v>1</v>
      </c>
    </row>
    <row r="15" spans="1:9" ht="13.5" thickTop="1"/>
    <row r="17" spans="1:4">
      <c r="A17" t="s">
        <v>502</v>
      </c>
    </row>
    <row r="19" spans="1:4">
      <c r="A19" t="s">
        <v>501</v>
      </c>
    </row>
    <row r="20" spans="1:4">
      <c r="A20" t="s">
        <v>477</v>
      </c>
      <c r="C20" s="6">
        <f>SUM('Service Counts'!J90:J92)</f>
        <v>216271.96</v>
      </c>
      <c r="D20" s="11">
        <f>+C20/C24</f>
        <v>1</v>
      </c>
    </row>
    <row r="21" spans="1:4">
      <c r="A21" t="s">
        <v>476</v>
      </c>
      <c r="C21" s="6">
        <f>SUM('Service Counts'!S90:S92)</f>
        <v>0</v>
      </c>
      <c r="D21" s="11">
        <f>+C21/C24</f>
        <v>0</v>
      </c>
    </row>
    <row r="22" spans="1:4">
      <c r="A22" t="s">
        <v>475</v>
      </c>
      <c r="C22" s="43">
        <f>SUM('Service Counts'!AB90:AB92)</f>
        <v>0</v>
      </c>
      <c r="D22" s="162">
        <f>+C22/C24</f>
        <v>0</v>
      </c>
    </row>
    <row r="23" spans="1:4">
      <c r="D23" s="11"/>
    </row>
    <row r="24" spans="1:4" ht="13.5" thickBot="1">
      <c r="C24" s="8">
        <f>SUM(C20:C22)</f>
        <v>216271.96</v>
      </c>
      <c r="D24" s="14">
        <f>SUM(D20:D22)</f>
        <v>1</v>
      </c>
    </row>
    <row r="25" spans="1:4" ht="13.5" thickTop="1"/>
    <row r="26" spans="1:4">
      <c r="A26" t="s">
        <v>500</v>
      </c>
    </row>
    <row r="27" spans="1:4">
      <c r="A27" t="s">
        <v>477</v>
      </c>
      <c r="C27" s="6">
        <f>+'Service Counts'!J93</f>
        <v>0</v>
      </c>
      <c r="D27" s="11">
        <f>+C27/C31</f>
        <v>0</v>
      </c>
    </row>
    <row r="28" spans="1:4">
      <c r="A28" t="s">
        <v>476</v>
      </c>
      <c r="C28" s="6">
        <f>+'Service Counts'!S93</f>
        <v>18281.264999999999</v>
      </c>
      <c r="D28" s="11">
        <f>+C28/C31</f>
        <v>0.1659183537609196</v>
      </c>
    </row>
    <row r="29" spans="1:4">
      <c r="A29" t="s">
        <v>475</v>
      </c>
      <c r="C29" s="43">
        <f>+'Service Counts'!AB93</f>
        <v>91901.029999999984</v>
      </c>
      <c r="D29" s="162">
        <f>+C29/C31</f>
        <v>0.83408164623908043</v>
      </c>
    </row>
    <row r="30" spans="1:4">
      <c r="D30" s="11"/>
    </row>
    <row r="31" spans="1:4" ht="13.5" thickBot="1">
      <c r="C31" s="8">
        <f>SUM(C27:C29)</f>
        <v>110182.29499999998</v>
      </c>
      <c r="D31" s="14">
        <f>SUM(D27:D29)</f>
        <v>1</v>
      </c>
    </row>
    <row r="32" spans="1:4" ht="13.5" thickTop="1"/>
    <row r="34" spans="1:4">
      <c r="A34" t="s">
        <v>499</v>
      </c>
    </row>
    <row r="35" spans="1:4">
      <c r="A35" t="s">
        <v>477</v>
      </c>
      <c r="C35" s="6">
        <f>+C20+C27</f>
        <v>216271.96</v>
      </c>
      <c r="D35" s="11">
        <f>+C35/C39</f>
        <v>0.66248779633765231</v>
      </c>
    </row>
    <row r="36" spans="1:4">
      <c r="A36" t="s">
        <v>476</v>
      </c>
      <c r="C36" s="6">
        <f>+C21+C28</f>
        <v>18281.264999999999</v>
      </c>
      <c r="D36" s="11">
        <f>+C36/C39</f>
        <v>5.5999469205876951E-2</v>
      </c>
    </row>
    <row r="37" spans="1:4">
      <c r="A37" t="s">
        <v>475</v>
      </c>
      <c r="C37" s="43">
        <f>+C22+C29</f>
        <v>91901.029999999984</v>
      </c>
      <c r="D37" s="162">
        <f>+C37/C39</f>
        <v>0.28151273445647079</v>
      </c>
    </row>
    <row r="38" spans="1:4">
      <c r="D38" s="11"/>
    </row>
    <row r="39" spans="1:4" ht="13.5" thickBot="1">
      <c r="C39" s="8">
        <f>SUM(C35:C37)</f>
        <v>326454.25499999995</v>
      </c>
      <c r="D39" s="14">
        <f>SUM(D35:D37)</f>
        <v>1</v>
      </c>
    </row>
    <row r="40" spans="1:4" ht="13.5" thickTop="1"/>
  </sheetData>
  <pageMargins left="0.27" right="0.75" top="0.49" bottom="0.4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A1:AT113"/>
  <sheetViews>
    <sheetView showGridLines="0" showOutlineSymbols="0" zoomScale="110" zoomScaleNormal="110" workbookViewId="0">
      <selection activeCell="H5" sqref="H5"/>
    </sheetView>
  </sheetViews>
  <sheetFormatPr defaultColWidth="16.7109375" defaultRowHeight="15"/>
  <cols>
    <col min="1" max="1" width="7.28515625" style="461" customWidth="1"/>
    <col min="2" max="2" width="33.5703125" style="464" bestFit="1" customWidth="1"/>
    <col min="3" max="3" width="21.28515625" style="464" customWidth="1"/>
    <col min="4" max="4" width="21.28515625" style="464" hidden="1" customWidth="1"/>
    <col min="5" max="5" width="7.28515625" style="464" customWidth="1"/>
    <col min="6" max="6" width="5.7109375" style="461" customWidth="1"/>
    <col min="7" max="7" width="8.5703125" style="461" customWidth="1"/>
    <col min="8" max="8" width="15" style="461" customWidth="1"/>
    <col min="9" max="9" width="17.7109375" style="461" customWidth="1"/>
    <col min="10" max="10" width="13.28515625" style="461" customWidth="1"/>
    <col min="11" max="11" width="15.140625" style="461" bestFit="1" customWidth="1"/>
    <col min="12" max="13" width="18.42578125" style="461" customWidth="1"/>
    <col min="14" max="14" width="6.140625" style="461" customWidth="1"/>
    <col min="15" max="15" width="6.28515625" style="464" customWidth="1"/>
    <col min="16" max="16" width="40.42578125" style="464" customWidth="1"/>
    <col min="17" max="17" width="16.7109375" style="463"/>
    <col min="18" max="18" width="13.85546875" style="462" customWidth="1"/>
    <col min="19" max="19" width="16.7109375" style="461"/>
    <col min="20" max="20" width="13.42578125" style="461" customWidth="1"/>
    <col min="21" max="21" width="15.7109375" style="461" customWidth="1"/>
    <col min="22" max="22" width="16.7109375" style="461"/>
    <col min="23" max="24" width="17.7109375" style="461" customWidth="1"/>
    <col min="25" max="25" width="16" style="461" customWidth="1"/>
    <col min="26" max="26" width="16.7109375" style="461"/>
    <col min="27" max="27" width="15.85546875" style="461" customWidth="1"/>
    <col min="28" max="29" width="16.7109375" style="461"/>
    <col min="30" max="30" width="16.42578125" style="461" customWidth="1"/>
    <col min="31" max="31" width="17.28515625" style="461" customWidth="1"/>
    <col min="32" max="32" width="20.7109375" style="461" customWidth="1"/>
    <col min="33" max="33" width="18.140625" style="461" customWidth="1"/>
    <col min="34" max="34" width="16.42578125" style="461" customWidth="1"/>
    <col min="35" max="35" width="16.7109375" style="461"/>
    <col min="36" max="36" width="13.85546875" style="461" customWidth="1"/>
    <col min="37" max="37" width="16.42578125" style="461" customWidth="1"/>
    <col min="38" max="49" width="15.140625" style="461" customWidth="1"/>
    <col min="50" max="16384" width="16.7109375" style="461"/>
  </cols>
  <sheetData>
    <row r="1" spans="1:35" s="650" customFormat="1" ht="15.75" thickBot="1">
      <c r="A1" s="480"/>
      <c r="B1" s="653"/>
      <c r="C1" s="653"/>
      <c r="D1" s="653"/>
      <c r="E1" s="653"/>
      <c r="F1" s="653"/>
      <c r="G1" s="653"/>
      <c r="H1" s="653"/>
      <c r="I1" s="654"/>
      <c r="J1" s="654"/>
      <c r="K1" s="654"/>
      <c r="L1" s="654"/>
      <c r="M1" s="654"/>
      <c r="N1" s="654"/>
      <c r="O1" s="653"/>
      <c r="P1" s="653"/>
      <c r="Q1" s="652"/>
      <c r="R1" s="651"/>
    </row>
    <row r="2" spans="1:35" ht="19.5" thickBot="1">
      <c r="A2" s="480"/>
      <c r="B2" s="737" t="s">
        <v>1291</v>
      </c>
      <c r="C2" s="737"/>
      <c r="D2" s="480"/>
      <c r="E2" s="480"/>
      <c r="F2" s="647" t="s">
        <v>1289</v>
      </c>
      <c r="G2" s="648"/>
      <c r="H2" s="648"/>
      <c r="I2" s="649" t="s">
        <v>1290</v>
      </c>
      <c r="J2" s="648"/>
      <c r="K2" s="648"/>
      <c r="L2" s="648"/>
      <c r="M2" s="647" t="s">
        <v>1289</v>
      </c>
      <c r="O2" s="480"/>
      <c r="P2" s="480"/>
      <c r="R2" s="646" t="s">
        <v>1288</v>
      </c>
      <c r="S2" s="645"/>
      <c r="T2" s="644"/>
      <c r="AF2" s="734" t="s">
        <v>1287</v>
      </c>
      <c r="AG2" s="735"/>
      <c r="AH2" s="735"/>
      <c r="AI2" s="736"/>
    </row>
    <row r="3" spans="1:35" ht="15.75">
      <c r="A3" s="480"/>
      <c r="B3" s="480"/>
      <c r="C3" s="480"/>
      <c r="D3" s="480"/>
      <c r="E3" s="480"/>
      <c r="F3" s="643"/>
      <c r="G3" s="530"/>
      <c r="K3" s="642" t="s">
        <v>1286</v>
      </c>
      <c r="M3" s="642" t="s">
        <v>1285</v>
      </c>
      <c r="O3" s="480"/>
      <c r="P3" s="480"/>
      <c r="R3" s="461"/>
      <c r="T3" s="461" t="s">
        <v>1284</v>
      </c>
      <c r="V3" s="462" t="s">
        <v>1284</v>
      </c>
      <c r="W3" s="462" t="s">
        <v>1284</v>
      </c>
      <c r="X3" s="462" t="s">
        <v>1284</v>
      </c>
      <c r="Y3" s="462" t="s">
        <v>1283</v>
      </c>
      <c r="Z3" s="462" t="s">
        <v>1283</v>
      </c>
      <c r="AA3" s="462" t="s">
        <v>1283</v>
      </c>
      <c r="AB3" s="462" t="s">
        <v>1283</v>
      </c>
      <c r="AC3" s="462" t="s">
        <v>1283</v>
      </c>
      <c r="AD3" s="462" t="s">
        <v>1283</v>
      </c>
      <c r="AE3" s="462" t="s">
        <v>1257</v>
      </c>
      <c r="AF3" s="462" t="s">
        <v>152</v>
      </c>
      <c r="AG3" s="462" t="s">
        <v>1282</v>
      </c>
      <c r="AH3" s="462"/>
    </row>
    <row r="4" spans="1:35" ht="19.5" thickBot="1">
      <c r="A4" s="480"/>
      <c r="B4" s="641" t="s">
        <v>1281</v>
      </c>
      <c r="C4" s="640"/>
      <c r="D4" s="613"/>
      <c r="E4" s="480"/>
      <c r="F4" s="526"/>
      <c r="G4" s="530"/>
      <c r="H4" s="636" t="s">
        <v>1280</v>
      </c>
      <c r="I4" s="636" t="s">
        <v>1279</v>
      </c>
      <c r="J4" s="636" t="s">
        <v>1278</v>
      </c>
      <c r="K4" s="636" t="s">
        <v>1277</v>
      </c>
      <c r="L4" s="636" t="s">
        <v>1276</v>
      </c>
      <c r="M4" s="636" t="s">
        <v>1275</v>
      </c>
      <c r="O4" s="639"/>
      <c r="P4" s="480"/>
      <c r="R4" s="461"/>
      <c r="T4" s="462" t="s">
        <v>1272</v>
      </c>
      <c r="V4" s="462" t="s">
        <v>1274</v>
      </c>
      <c r="W4" s="462" t="s">
        <v>864</v>
      </c>
      <c r="X4" s="462" t="s">
        <v>1193</v>
      </c>
      <c r="Y4" s="462" t="s">
        <v>1273</v>
      </c>
      <c r="Z4" s="462" t="s">
        <v>1273</v>
      </c>
      <c r="AA4" s="462" t="s">
        <v>1273</v>
      </c>
      <c r="AB4" s="462" t="s">
        <v>864</v>
      </c>
      <c r="AC4" s="462" t="s">
        <v>1272</v>
      </c>
      <c r="AD4" s="462" t="s">
        <v>1272</v>
      </c>
      <c r="AE4" s="462" t="s">
        <v>1271</v>
      </c>
      <c r="AF4" s="462" t="s">
        <v>1270</v>
      </c>
      <c r="AG4" s="462" t="s">
        <v>1269</v>
      </c>
      <c r="AH4" s="462" t="s">
        <v>1268</v>
      </c>
      <c r="AI4" s="462" t="s">
        <v>114</v>
      </c>
    </row>
    <row r="5" spans="1:35" ht="15.75">
      <c r="A5" s="480"/>
      <c r="B5" s="616" t="s">
        <v>1252</v>
      </c>
      <c r="C5" s="638">
        <f>'Staff Pro Forma'!N21</f>
        <v>2437761.63</v>
      </c>
      <c r="D5" s="613"/>
      <c r="E5" s="480"/>
      <c r="F5" s="637" t="s">
        <v>1267</v>
      </c>
      <c r="G5" s="534"/>
      <c r="H5" s="534"/>
      <c r="I5" s="636" t="s">
        <v>1266</v>
      </c>
      <c r="J5" s="636" t="s">
        <v>152</v>
      </c>
      <c r="K5" s="635" t="s">
        <v>89</v>
      </c>
      <c r="L5" s="635" t="s">
        <v>1265</v>
      </c>
      <c r="M5" s="635" t="s">
        <v>152</v>
      </c>
      <c r="O5" s="607"/>
      <c r="P5" s="480"/>
      <c r="R5" s="634"/>
      <c r="T5" s="462" t="s">
        <v>1259</v>
      </c>
      <c r="U5" s="462" t="s">
        <v>1264</v>
      </c>
      <c r="V5" s="462" t="s">
        <v>1263</v>
      </c>
      <c r="W5" s="462" t="s">
        <v>1262</v>
      </c>
      <c r="X5" s="462" t="s">
        <v>136</v>
      </c>
      <c r="Y5" s="462" t="s">
        <v>1197</v>
      </c>
      <c r="Z5" s="462" t="s">
        <v>1261</v>
      </c>
      <c r="AA5" s="462" t="s">
        <v>1201</v>
      </c>
      <c r="AB5" s="462" t="s">
        <v>1260</v>
      </c>
      <c r="AC5" s="462" t="s">
        <v>1259</v>
      </c>
      <c r="AD5" s="462" t="s">
        <v>1190</v>
      </c>
      <c r="AE5" s="462" t="s">
        <v>1211</v>
      </c>
      <c r="AF5" s="462" t="s">
        <v>1258</v>
      </c>
      <c r="AG5" s="462" t="s">
        <v>1258</v>
      </c>
      <c r="AH5" s="462" t="s">
        <v>1211</v>
      </c>
      <c r="AI5" s="462" t="s">
        <v>1257</v>
      </c>
    </row>
    <row r="6" spans="1:35" ht="15.75">
      <c r="A6" s="480"/>
      <c r="B6" s="616" t="s">
        <v>1250</v>
      </c>
      <c r="C6" s="629">
        <f>'Staff Pro Forma'!N101</f>
        <v>2198377.0235976717</v>
      </c>
      <c r="D6" s="613"/>
      <c r="E6" s="480"/>
      <c r="F6" s="633" t="s">
        <v>1256</v>
      </c>
      <c r="G6" s="534"/>
      <c r="H6" s="534"/>
      <c r="I6" s="632"/>
      <c r="J6" s="630" t="s">
        <v>1255</v>
      </c>
      <c r="K6" s="631"/>
      <c r="L6" s="630" t="s">
        <v>1254</v>
      </c>
      <c r="M6" s="630" t="s">
        <v>1253</v>
      </c>
      <c r="O6" s="607"/>
      <c r="P6" s="480"/>
      <c r="R6" s="623">
        <v>1</v>
      </c>
      <c r="S6" s="622">
        <f>Revenue/Investment*100</f>
        <v>271.42140437143092</v>
      </c>
      <c r="T6" s="621">
        <f>EXP(y_inter1-(slope*LN(+S6)))</f>
        <v>6.6295514424645434</v>
      </c>
      <c r="U6" s="620">
        <f>(+S6*T6/100)/100</f>
        <v>0.1799402162866372</v>
      </c>
      <c r="V6" s="620">
        <f>regDebt_weighted</f>
        <v>3.5860000000000003E-2</v>
      </c>
      <c r="W6" s="620">
        <f>+U6-V6</f>
        <v>0.1440802162866372</v>
      </c>
      <c r="X6" s="620">
        <f>+((W6*(1-0.34))-Pfd_weighted)/Equity_percent</f>
        <v>0.25843878706157136</v>
      </c>
      <c r="Y6" s="620">
        <f>X6*equityP</f>
        <v>0.1550632722369428</v>
      </c>
      <c r="Z6" s="620">
        <f>+Y6/(1-taxrate)</f>
        <v>0.19628262308473771</v>
      </c>
      <c r="AA6" s="620">
        <f>debtP*Debt_Rate</f>
        <v>2.1000000000000001E-2</v>
      </c>
      <c r="AB6" s="620">
        <f>AA6+Z6</f>
        <v>0.2172826230847377</v>
      </c>
      <c r="AC6" s="620">
        <f>AB6/(S6/100)</f>
        <v>8.0053606526695978E-2</v>
      </c>
      <c r="AD6" s="620">
        <f>1-AC6</f>
        <v>0.91994639347330398</v>
      </c>
      <c r="AE6" s="617">
        <f>expenses/(AD6)</f>
        <v>2389679.4847986614</v>
      </c>
      <c r="AF6" s="619">
        <f>+AE6-Revenue</f>
        <v>-48082.145201338455</v>
      </c>
      <c r="AG6" s="618">
        <f ca="1">+AF6/$J$49</f>
        <v>21772.255645681791</v>
      </c>
      <c r="AH6" s="618">
        <f ca="1">+AG6*$J$47</f>
        <v>437.62233847820397</v>
      </c>
      <c r="AI6" s="617">
        <f ca="1">ROUND(+AH6+AE6,5)</f>
        <v>2299159.1102900002</v>
      </c>
    </row>
    <row r="7" spans="1:35" ht="15.75">
      <c r="A7" s="480"/>
      <c r="B7" s="616" t="s">
        <v>1084</v>
      </c>
      <c r="C7" s="655">
        <f>'Staff Pro Forma'!N107</f>
        <v>898146.42129844939</v>
      </c>
      <c r="D7" s="613"/>
      <c r="E7" s="480"/>
      <c r="F7" s="628">
        <v>1</v>
      </c>
      <c r="G7" s="534"/>
      <c r="H7" s="587" t="s">
        <v>1252</v>
      </c>
      <c r="I7" s="591">
        <f>IF(A65=TRUE,C5,0)</f>
        <v>2437761.63</v>
      </c>
      <c r="J7" s="591">
        <f ca="1">(+$I8/($R51))-I7</f>
        <v>12283.355134238955</v>
      </c>
      <c r="K7" s="591">
        <f ca="1">+I7+J7</f>
        <v>2291534.5611342387</v>
      </c>
      <c r="L7" s="591">
        <f ca="1">((+J7/J49*K35)-J7)</f>
        <v>276.08591449202322</v>
      </c>
      <c r="M7" s="591">
        <f ca="1">IFERROR(+K7+L7,0.00001)</f>
        <v>2291810.6470487309</v>
      </c>
      <c r="O7" s="607"/>
      <c r="P7" s="480"/>
      <c r="R7" s="570">
        <v>2</v>
      </c>
      <c r="S7" s="565">
        <f>Revenue/Investment*100</f>
        <v>271.42140437143092</v>
      </c>
      <c r="T7" s="566">
        <f>EXP(y_inter1-(slope*LN(+S7)))</f>
        <v>6.6295514424645434</v>
      </c>
      <c r="U7" s="563">
        <f>(+S7*T7/100)/100</f>
        <v>0.1799402162866372</v>
      </c>
      <c r="V7" s="563">
        <f>regDebt_weighted</f>
        <v>3.5860000000000003E-2</v>
      </c>
      <c r="W7" s="563">
        <f>+U7-V7</f>
        <v>0.1440802162866372</v>
      </c>
      <c r="X7" s="563">
        <f>+((W7*(1-0.34))-Pfd_weighted)/Equity_percent</f>
        <v>0.25843878706157136</v>
      </c>
      <c r="Y7" s="563">
        <f>X7*equityP</f>
        <v>0.1550632722369428</v>
      </c>
      <c r="Z7" s="563">
        <f>+Y7/(1-taxrate)</f>
        <v>0.19628262308473771</v>
      </c>
      <c r="AA7" s="563">
        <f>debtP*Debt_Rate</f>
        <v>2.1000000000000001E-2</v>
      </c>
      <c r="AB7" s="563">
        <f>AA7+Z7</f>
        <v>0.2172826230847377</v>
      </c>
      <c r="AC7" s="563">
        <f>AB7/(S7/100)</f>
        <v>8.0053606526695978E-2</v>
      </c>
      <c r="AD7" s="563">
        <f>1-AC7</f>
        <v>0.91994639347330398</v>
      </c>
      <c r="AE7" s="560">
        <f>expenses/(AD7)</f>
        <v>2389679.4847986614</v>
      </c>
      <c r="AF7" s="562">
        <f>+AE7-Revenue</f>
        <v>-48082.145201338455</v>
      </c>
      <c r="AG7" s="561">
        <f ca="1">+AF7/$J$49</f>
        <v>21772.255645681791</v>
      </c>
      <c r="AH7" s="561">
        <f ca="1">+AG7*$J$47</f>
        <v>437.62233847820397</v>
      </c>
      <c r="AI7" s="560">
        <f ca="1">ROUND(+AH7+AE7,5)</f>
        <v>2299159.1102900002</v>
      </c>
    </row>
    <row r="8" spans="1:35" ht="15.75">
      <c r="A8" s="480"/>
      <c r="B8" s="616" t="s">
        <v>1251</v>
      </c>
      <c r="C8" s="627">
        <v>0.4</v>
      </c>
      <c r="D8" s="613"/>
      <c r="E8" s="480"/>
      <c r="F8" s="527">
        <f t="shared" ref="F8:F49" si="0">+F7+1</f>
        <v>2</v>
      </c>
      <c r="G8" s="534"/>
      <c r="H8" s="587" t="s">
        <v>1250</v>
      </c>
      <c r="I8" s="591">
        <f>IF(A65=TRUE,C6,0)</f>
        <v>2198377.0235976717</v>
      </c>
      <c r="J8" s="530"/>
      <c r="K8" s="591">
        <f>+I8</f>
        <v>2198377.0235976717</v>
      </c>
      <c r="L8" s="591">
        <f ca="1">+L7</f>
        <v>276.08591449202322</v>
      </c>
      <c r="M8" s="591">
        <f ca="1">IFERROR(+K8+L8,0.00001)</f>
        <v>2095563.6272331942</v>
      </c>
      <c r="O8" s="607"/>
      <c r="P8" s="480"/>
      <c r="R8" s="536">
        <v>3</v>
      </c>
      <c r="S8" s="565">
        <f>Revenue/Investment*100</f>
        <v>271.42140437143092</v>
      </c>
      <c r="T8" s="566">
        <f>EXP(y_inter1-(slope*LN(+S8)))</f>
        <v>6.6295514424645434</v>
      </c>
      <c r="U8" s="563">
        <f>(+S8*T8/100)/100</f>
        <v>0.1799402162866372</v>
      </c>
      <c r="V8" s="563">
        <f>regDebt_weighted</f>
        <v>3.5860000000000003E-2</v>
      </c>
      <c r="W8" s="563">
        <f>+U8-V8</f>
        <v>0.1440802162866372</v>
      </c>
      <c r="X8" s="563">
        <f>+((W8*(1-0.34))-Pfd_weighted)/Equity_percent</f>
        <v>0.25843878706157136</v>
      </c>
      <c r="Y8" s="563">
        <f>X8*equityP</f>
        <v>0.1550632722369428</v>
      </c>
      <c r="Z8" s="563">
        <f>+Y8/(1-taxrate)</f>
        <v>0.19628262308473771</v>
      </c>
      <c r="AA8" s="563">
        <f>debtP*Debt_Rate</f>
        <v>2.1000000000000001E-2</v>
      </c>
      <c r="AB8" s="563">
        <f>AA8+Z8</f>
        <v>0.2172826230847377</v>
      </c>
      <c r="AC8" s="563">
        <f>AB8/(S8/100)</f>
        <v>8.0053606526695978E-2</v>
      </c>
      <c r="AD8" s="563">
        <f>1-AC8</f>
        <v>0.91994639347330398</v>
      </c>
      <c r="AE8" s="560">
        <f>expenses/(AD8)</f>
        <v>2389679.4847986614</v>
      </c>
      <c r="AF8" s="562">
        <f>+AE8-Revenue</f>
        <v>-48082.145201338455</v>
      </c>
      <c r="AG8" s="561">
        <f ca="1">+AF8/$J$49</f>
        <v>21772.255645681791</v>
      </c>
      <c r="AH8" s="561">
        <f ca="1">+AG8*$J$47</f>
        <v>437.62233847820397</v>
      </c>
      <c r="AI8" s="560">
        <f ca="1">ROUND(+AH8+AE8,5)</f>
        <v>2299159.1102900002</v>
      </c>
    </row>
    <row r="9" spans="1:35" ht="15.75">
      <c r="A9" s="480"/>
      <c r="B9" s="616" t="s">
        <v>1249</v>
      </c>
      <c r="C9" s="627">
        <v>5.2499999999999998E-2</v>
      </c>
      <c r="D9" s="613"/>
      <c r="E9" s="480"/>
      <c r="F9" s="527">
        <f t="shared" si="0"/>
        <v>3</v>
      </c>
      <c r="G9" s="534"/>
      <c r="H9" s="587" t="s">
        <v>1248</v>
      </c>
      <c r="I9" s="626">
        <f>+I7-I8</f>
        <v>239384.60640232824</v>
      </c>
      <c r="J9" s="530"/>
      <c r="K9" s="626">
        <f ca="1">+K7-K8</f>
        <v>196247.01981553645</v>
      </c>
      <c r="L9" s="534"/>
      <c r="M9" s="625">
        <f ca="1">+M7-M8</f>
        <v>196247.01981553668</v>
      </c>
      <c r="O9" s="607"/>
      <c r="P9" s="480"/>
      <c r="R9" s="542">
        <v>4</v>
      </c>
      <c r="S9" s="565">
        <f>Revenue/Investment*100</f>
        <v>271.42140437143092</v>
      </c>
      <c r="T9" s="566">
        <f>EXP(y_inter1-(slope*LN(+S9)))</f>
        <v>6.6295514424645434</v>
      </c>
      <c r="U9" s="563">
        <f>(+S9*T9/100)/100</f>
        <v>0.1799402162866372</v>
      </c>
      <c r="V9" s="563">
        <f>regDebt_weighted</f>
        <v>3.5860000000000003E-2</v>
      </c>
      <c r="W9" s="563">
        <f>+U9-V9</f>
        <v>0.1440802162866372</v>
      </c>
      <c r="X9" s="563">
        <f>+((W9*(1-0.34))-Pfd_weighted)/Equity_percent</f>
        <v>0.25843878706157136</v>
      </c>
      <c r="Y9" s="563">
        <f>X9*equityP</f>
        <v>0.1550632722369428</v>
      </c>
      <c r="Z9" s="563">
        <f>+Y9/(1-taxrate)</f>
        <v>0.19628262308473771</v>
      </c>
      <c r="AA9" s="563">
        <f>debtP*Debt_Rate</f>
        <v>2.1000000000000001E-2</v>
      </c>
      <c r="AB9" s="563">
        <f>AA9+Z9</f>
        <v>0.2172826230847377</v>
      </c>
      <c r="AC9" s="563">
        <f>AB9/(S9/100)</f>
        <v>8.0053606526695978E-2</v>
      </c>
      <c r="AD9" s="563">
        <f>1-AC9</f>
        <v>0.91994639347330398</v>
      </c>
      <c r="AE9" s="560">
        <f>expenses/(AD9)</f>
        <v>2389679.4847986614</v>
      </c>
      <c r="AF9" s="562">
        <f>+AE9-Revenue</f>
        <v>-48082.145201338455</v>
      </c>
      <c r="AG9" s="561">
        <f ca="1">+AF9/$J$49</f>
        <v>21772.255645681791</v>
      </c>
      <c r="AH9" s="561">
        <f ca="1">+AG9*$J$47</f>
        <v>437.62233847820397</v>
      </c>
      <c r="AI9" s="560">
        <f ca="1">ROUND(+AH9+AE9,5)</f>
        <v>2299159.1102900002</v>
      </c>
    </row>
    <row r="10" spans="1:35" ht="15.75">
      <c r="A10" s="480"/>
      <c r="B10" s="624" t="s">
        <v>1247</v>
      </c>
      <c r="C10" s="627">
        <v>0.21</v>
      </c>
      <c r="D10" s="613"/>
      <c r="E10" s="480"/>
      <c r="F10" s="527">
        <f t="shared" si="0"/>
        <v>4</v>
      </c>
      <c r="G10" s="534"/>
      <c r="H10" s="534"/>
      <c r="I10" s="530"/>
      <c r="J10" s="530"/>
      <c r="K10" s="591"/>
      <c r="L10" s="534"/>
      <c r="M10" s="534"/>
      <c r="N10" s="534"/>
      <c r="O10" s="607"/>
      <c r="P10" s="480"/>
      <c r="R10" s="462" t="s">
        <v>1246</v>
      </c>
    </row>
    <row r="11" spans="1:35" ht="15.75">
      <c r="A11" s="480"/>
      <c r="B11" s="616" t="s">
        <v>1245</v>
      </c>
      <c r="C11" s="614">
        <v>1.7500000000000002E-2</v>
      </c>
      <c r="D11" s="613"/>
      <c r="E11" s="480"/>
      <c r="F11" s="527">
        <f t="shared" si="0"/>
        <v>5</v>
      </c>
      <c r="G11" s="534"/>
      <c r="H11" s="587" t="s">
        <v>1244</v>
      </c>
      <c r="I11" s="591">
        <f>+K11</f>
        <v>18861.074847267439</v>
      </c>
      <c r="J11" s="530"/>
      <c r="K11" s="591">
        <f>+M27</f>
        <v>18861.074847267439</v>
      </c>
      <c r="L11" s="534"/>
      <c r="M11" s="591">
        <f>+K11</f>
        <v>18861.074847267439</v>
      </c>
      <c r="O11" s="607"/>
      <c r="P11" s="480"/>
      <c r="R11" s="623">
        <v>1</v>
      </c>
      <c r="S11" s="622">
        <f ca="1">IF((AI6/Investment*100)&gt;0,(AI6/Investment*100),0)</f>
        <v>232.66697345405674</v>
      </c>
      <c r="T11" s="621">
        <f ca="1">EXP(y_inter1-(slope*LN(S11)))</f>
        <v>7.3659380516026749</v>
      </c>
      <c r="U11" s="620">
        <f ca="1">(+S11*T11/100)/100</f>
        <v>0.1713810513116466</v>
      </c>
      <c r="V11" s="620">
        <f>regDebt_weighted</f>
        <v>3.5860000000000003E-2</v>
      </c>
      <c r="W11" s="620">
        <f ca="1">+U11-V11</f>
        <v>0.1355210513116466</v>
      </c>
      <c r="X11" s="620">
        <f ca="1">+((W11*(1-0.34))-Pfd_weighted)/Equity_percent</f>
        <v>0.24201713333048472</v>
      </c>
      <c r="Y11" s="620">
        <f ca="1">+X11*equityP</f>
        <v>0.14521027999829084</v>
      </c>
      <c r="Z11" s="620">
        <f ca="1">+Y11/(1-taxrate)</f>
        <v>0.18381048101049471</v>
      </c>
      <c r="AA11" s="620">
        <f>debtP*Debt_Rate</f>
        <v>2.1000000000000001E-2</v>
      </c>
      <c r="AB11" s="620">
        <f ca="1">+AA11+Z11</f>
        <v>0.2048104810104947</v>
      </c>
      <c r="AC11" s="620">
        <f ca="1">+AB11/(S11/100)</f>
        <v>8.8027311298196492E-2</v>
      </c>
      <c r="AD11" s="620">
        <f ca="1">1-AC11</f>
        <v>0.91197268870180348</v>
      </c>
      <c r="AE11" s="617">
        <f ca="1">expenses/(AD11)</f>
        <v>2297533.2126462604</v>
      </c>
      <c r="AF11" s="619">
        <f ca="1">+AE11-Revenue</f>
        <v>18282.006646260619</v>
      </c>
      <c r="AG11" s="618">
        <f ca="1">+AF11/$J$49</f>
        <v>20443.490412447969</v>
      </c>
      <c r="AH11" s="618">
        <f ca="1">+AG11*$J$47</f>
        <v>410.91415729020417</v>
      </c>
      <c r="AI11" s="617">
        <f ca="1">ROUND(+AH11+AE11,5)</f>
        <v>2297944.1268000002</v>
      </c>
    </row>
    <row r="12" spans="1:35" ht="15.75">
      <c r="A12" s="480"/>
      <c r="B12" s="616" t="s">
        <v>1243</v>
      </c>
      <c r="C12" s="614">
        <v>5.1000000000000004E-3</v>
      </c>
      <c r="D12" s="613"/>
      <c r="E12" s="480"/>
      <c r="F12" s="527">
        <f t="shared" si="0"/>
        <v>6</v>
      </c>
      <c r="G12" s="534"/>
      <c r="H12" s="587" t="s">
        <v>1242</v>
      </c>
      <c r="I12" s="591" t="e">
        <f ca="1">IF(I14&lt;0,0,+J38*I14)</f>
        <v>#REF!</v>
      </c>
      <c r="J12" s="591">
        <f ca="1">+K12-I12</f>
        <v>8527.9738767102863</v>
      </c>
      <c r="K12" s="591">
        <f ca="1">+(K9-K11)*taxrate</f>
        <v>36854.018155377467</v>
      </c>
      <c r="L12" s="534"/>
      <c r="M12" s="591">
        <f ca="1">+K12</f>
        <v>36854.018155377467</v>
      </c>
      <c r="O12" s="607"/>
      <c r="P12" s="480"/>
      <c r="R12" s="570">
        <v>2</v>
      </c>
      <c r="S12" s="565">
        <f ca="1">IF((AI7/Investment*100)&gt;0,(AI7/Investment*100),0)</f>
        <v>232.66697345405674</v>
      </c>
      <c r="T12" s="569">
        <f ca="1">EXP(y_inter2-(slope*LN(+S12)))</f>
        <v>7.2611368533037801</v>
      </c>
      <c r="U12" s="563">
        <f ca="1">(+S12*T12/100)/100</f>
        <v>0.16894267354939038</v>
      </c>
      <c r="V12" s="563">
        <f>regDebt_weighted</f>
        <v>3.5860000000000003E-2</v>
      </c>
      <c r="W12" s="563">
        <f ca="1">+U12-V12</f>
        <v>0.13308267354939038</v>
      </c>
      <c r="X12" s="563">
        <f ca="1">+((W12*(1-0.34))-Pfd_weighted)/Equity_percent</f>
        <v>0.23733885041452804</v>
      </c>
      <c r="Y12" s="563">
        <f ca="1">+X12*equityP</f>
        <v>0.14240331024871683</v>
      </c>
      <c r="Z12" s="563">
        <f ca="1">+Y12/(1-taxrate)</f>
        <v>0.18025735474521118</v>
      </c>
      <c r="AA12" s="563">
        <f>debtP*Debt_Rate</f>
        <v>2.1000000000000001E-2</v>
      </c>
      <c r="AB12" s="563">
        <f ca="1">+AA12+Z12</f>
        <v>0.20125735474521117</v>
      </c>
      <c r="AC12" s="563">
        <f ca="1">+AB12/(S12/100)</f>
        <v>8.650018167918111E-2</v>
      </c>
      <c r="AD12" s="563">
        <f ca="1">1-AC12</f>
        <v>0.91349981832081895</v>
      </c>
      <c r="AE12" s="560">
        <f ca="1">expenses/(AD12)</f>
        <v>2293692.3459604261</v>
      </c>
      <c r="AF12" s="562">
        <f ca="1">+AE12-Revenue</f>
        <v>14441.139960426372</v>
      </c>
      <c r="AG12" s="561">
        <f ca="1">+AF12/$J$49</f>
        <v>16148.517612872722</v>
      </c>
      <c r="AH12" s="561">
        <f ca="1">+AG12*$J$47</f>
        <v>324.58520401874171</v>
      </c>
      <c r="AI12" s="560">
        <f ca="1">ROUND(+AH12+AE12,5)</f>
        <v>2294016.9311600002</v>
      </c>
    </row>
    <row r="13" spans="1:35" ht="15.75">
      <c r="A13" s="480"/>
      <c r="B13" s="616" t="s">
        <v>1241</v>
      </c>
      <c r="C13" s="614">
        <v>0</v>
      </c>
      <c r="D13" s="613"/>
      <c r="E13" s="480"/>
      <c r="F13" s="527">
        <f t="shared" si="0"/>
        <v>7</v>
      </c>
      <c r="G13" s="534"/>
      <c r="H13" s="534"/>
      <c r="I13" s="530"/>
      <c r="J13" s="530"/>
      <c r="K13" s="591"/>
      <c r="L13" s="534"/>
      <c r="M13" s="534"/>
      <c r="O13" s="607"/>
      <c r="P13" s="480"/>
      <c r="R13" s="536">
        <v>3</v>
      </c>
      <c r="S13" s="565">
        <f ca="1">IF((AI8/Investment*100)&gt;0,(AI8/Investment*100),0)</f>
        <v>232.66697345405674</v>
      </c>
      <c r="T13" s="566">
        <f ca="1">EXP(y_inter3-(slope*LN(S13)))</f>
        <v>7.1905409686909376</v>
      </c>
      <c r="U13" s="563">
        <f ca="1">(+S13*T13/100)/100</f>
        <v>0.16730014046827218</v>
      </c>
      <c r="V13" s="563">
        <f>regDebt_weighted</f>
        <v>3.5860000000000003E-2</v>
      </c>
      <c r="W13" s="563">
        <f ca="1">+U13-V13</f>
        <v>0.13144014046827218</v>
      </c>
      <c r="X13" s="563">
        <f ca="1">+((W13*(1-0.34))-Pfd_weighted)/Equity_percent</f>
        <v>0.23418747880540591</v>
      </c>
      <c r="Y13" s="563">
        <f ca="1">+X13*equityP</f>
        <v>0.14051248728324353</v>
      </c>
      <c r="Z13" s="563">
        <f ca="1">+Y13/(1-taxrate)</f>
        <v>0.17786390795347282</v>
      </c>
      <c r="AA13" s="563">
        <f>debtP*Debt_Rate</f>
        <v>2.1000000000000001E-2</v>
      </c>
      <c r="AB13" s="563">
        <f ca="1">+AA13+Z13</f>
        <v>0.19886390795347281</v>
      </c>
      <c r="AC13" s="563">
        <f ca="1">+AB13/(S13/100)</f>
        <v>8.5471480976109057E-2</v>
      </c>
      <c r="AD13" s="563">
        <f ca="1">1-AC13</f>
        <v>0.91452851902389098</v>
      </c>
      <c r="AE13" s="560">
        <f ca="1">expenses/(AD13)</f>
        <v>2291112.3029329665</v>
      </c>
      <c r="AF13" s="562">
        <f ca="1">+AE13-Revenue</f>
        <v>11861.096932966728</v>
      </c>
      <c r="AG13" s="561">
        <f ca="1">+AF13/$J$49</f>
        <v>13263.43579903568</v>
      </c>
      <c r="AH13" s="561">
        <f ca="1">+AG13*$J$47</f>
        <v>266.59505956061719</v>
      </c>
      <c r="AI13" s="560">
        <f ca="1">ROUND(+AH13+AE13,5)</f>
        <v>2291378.89799</v>
      </c>
    </row>
    <row r="14" spans="1:35" ht="16.5" thickBot="1">
      <c r="A14" s="480"/>
      <c r="B14" s="615" t="s">
        <v>1240</v>
      </c>
      <c r="C14" s="614">
        <v>0</v>
      </c>
      <c r="D14" s="613"/>
      <c r="E14" s="480"/>
      <c r="F14" s="527">
        <f t="shared" si="0"/>
        <v>8</v>
      </c>
      <c r="G14" s="534"/>
      <c r="H14" s="534" t="s">
        <v>1239</v>
      </c>
      <c r="I14" s="612" t="e">
        <f ca="1">+I9-SUM(I11:I13)</f>
        <v>#REF!</v>
      </c>
      <c r="J14" s="530"/>
      <c r="K14" s="612">
        <f ca="1">+K9-SUM(K11:K13)</f>
        <v>138641.30639403907</v>
      </c>
      <c r="L14" s="534"/>
      <c r="M14" s="612">
        <f ca="1">+M9-SUM(M11:M13)</f>
        <v>138641.3063940393</v>
      </c>
      <c r="O14" s="607"/>
      <c r="P14" s="480"/>
      <c r="R14" s="542">
        <v>4</v>
      </c>
      <c r="S14" s="565">
        <f ca="1">IF((AI9/Investment*100)&gt;0,(AI9/Investment*100),0)</f>
        <v>232.66697345405674</v>
      </c>
      <c r="T14" s="564">
        <f ca="1">EXP(y_inter4-(slope*LN(S14)))</f>
        <v>7.1453829576828802</v>
      </c>
      <c r="U14" s="563">
        <f ca="1">(+S14*T14/100)/100</f>
        <v>0.16624946269342722</v>
      </c>
      <c r="V14" s="563">
        <f>regDebt_weighted</f>
        <v>3.5860000000000003E-2</v>
      </c>
      <c r="W14" s="563">
        <f ca="1">+U14-V14</f>
        <v>0.13038946269342722</v>
      </c>
      <c r="X14" s="563">
        <f ca="1">+((W14*(1-0.34))-Pfd_weighted)/Equity_percent</f>
        <v>0.23217164353971501</v>
      </c>
      <c r="Y14" s="563">
        <f ca="1">+X14*equityP</f>
        <v>0.13930298612382899</v>
      </c>
      <c r="Z14" s="563">
        <f ca="1">+Y14/(1-taxrate)</f>
        <v>0.17633289382763162</v>
      </c>
      <c r="AA14" s="563">
        <f>debtP*Debt_Rate</f>
        <v>2.1000000000000001E-2</v>
      </c>
      <c r="AB14" s="563">
        <f ca="1">+AA14+Z14</f>
        <v>0.19733289382763161</v>
      </c>
      <c r="AC14" s="563">
        <f ca="1">+AB14/(S14/100)</f>
        <v>8.4813452849850937E-2</v>
      </c>
      <c r="AD14" s="563">
        <f ca="1">1-AC14</f>
        <v>0.91518654715014902</v>
      </c>
      <c r="AE14" s="560">
        <f ca="1">expenses/(AD14)</f>
        <v>2289464.9706590818</v>
      </c>
      <c r="AF14" s="562">
        <f ca="1">+AE14-Revenue</f>
        <v>10213.764659082051</v>
      </c>
      <c r="AG14" s="561">
        <f ca="1">+AF14/$J$49</f>
        <v>11421.33923934726</v>
      </c>
      <c r="AH14" s="561">
        <f ca="1">+AG14*$J$47</f>
        <v>229.56891871087993</v>
      </c>
      <c r="AI14" s="560">
        <f ca="1">ROUND(+AH14+AE14,5)</f>
        <v>2289694.5395800001</v>
      </c>
    </row>
    <row r="15" spans="1:35" ht="16.5" thickTop="1">
      <c r="A15" s="480"/>
      <c r="B15" s="741"/>
      <c r="C15" s="741"/>
      <c r="D15" s="480"/>
      <c r="E15" s="480"/>
      <c r="F15" s="527">
        <f t="shared" si="0"/>
        <v>9</v>
      </c>
      <c r="G15" s="530"/>
      <c r="H15" s="530"/>
      <c r="I15" s="530"/>
      <c r="J15" s="530"/>
      <c r="K15" s="611"/>
      <c r="L15" s="530"/>
      <c r="M15" s="530"/>
      <c r="O15" s="607"/>
      <c r="P15" s="480"/>
      <c r="R15" s="462" t="s">
        <v>1238</v>
      </c>
    </row>
    <row r="16" spans="1:35" ht="15.75">
      <c r="A16" s="480"/>
      <c r="B16" s="610" t="s">
        <v>1237</v>
      </c>
      <c r="C16" s="739"/>
      <c r="D16" s="739"/>
      <c r="E16" s="480"/>
      <c r="F16" s="527">
        <f t="shared" si="0"/>
        <v>10</v>
      </c>
      <c r="G16" s="530"/>
      <c r="H16" s="587" t="s">
        <v>1236</v>
      </c>
      <c r="I16" s="589">
        <f>+I8/I7</f>
        <v>0.9018014708836285</v>
      </c>
      <c r="J16" s="609"/>
      <c r="K16" s="589">
        <f ca="1">+K8/K7</f>
        <v>0.91435999999999984</v>
      </c>
      <c r="L16" s="608"/>
      <c r="M16" s="589">
        <f ca="1">+M8/M7</f>
        <v>0.91437031673264413</v>
      </c>
      <c r="O16" s="607"/>
      <c r="P16" s="480"/>
      <c r="R16" s="578">
        <v>1</v>
      </c>
      <c r="S16" s="577">
        <f ca="1">AI11/Investment*100</f>
        <v>232.54402131466381</v>
      </c>
      <c r="T16" s="576">
        <f ca="1">EXP(y_inter1-(slope*LN(+S16)))</f>
        <v>7.3686004263504934</v>
      </c>
      <c r="U16" s="575">
        <f ca="1">(+S16*T16/100)/100</f>
        <v>0.171352397460449</v>
      </c>
      <c r="V16" s="575">
        <f>regDebt_weighted</f>
        <v>3.5860000000000003E-2</v>
      </c>
      <c r="W16" s="575">
        <f ca="1">+U16-V16</f>
        <v>0.135492397460449</v>
      </c>
      <c r="X16" s="575">
        <f ca="1">+((W16*(1-0.34))-Pfd_weighted)/Equity_percent</f>
        <v>0.24196215791830328</v>
      </c>
      <c r="Y16" s="575">
        <f ca="1">+X16*equityP</f>
        <v>0.14517729475098196</v>
      </c>
      <c r="Z16" s="575">
        <f ca="1">+Y16/(1-taxrate)</f>
        <v>0.18376872753288853</v>
      </c>
      <c r="AA16" s="575">
        <f>debtP*Debt_Rate</f>
        <v>2.1000000000000001E-2</v>
      </c>
      <c r="AB16" s="575">
        <f ca="1">+AA16+Z16</f>
        <v>0.20476872753288852</v>
      </c>
      <c r="AC16" s="575">
        <f ca="1">+AB16/(S16/100)</f>
        <v>8.8055898567182891E-2</v>
      </c>
      <c r="AD16" s="575">
        <f ca="1">1-AC16</f>
        <v>0.91194410143281712</v>
      </c>
      <c r="AE16" s="572">
        <f ca="1">expenses/(AD16)</f>
        <v>2297605.2348237727</v>
      </c>
      <c r="AF16" s="574">
        <f ca="1">+AE16-Revenue</f>
        <v>18354.028823772911</v>
      </c>
      <c r="AG16" s="573">
        <f ca="1">+AF16/$J$49</f>
        <v>20524.027780360881</v>
      </c>
      <c r="AH16" s="573">
        <f ca="1">+AG16*$J$47</f>
        <v>412.53295838525372</v>
      </c>
      <c r="AI16" s="572">
        <f ca="1">ROUND(+AH16+AE16,5)</f>
        <v>2298017.7677799999</v>
      </c>
    </row>
    <row r="17" spans="1:35" ht="15.75">
      <c r="A17" s="480"/>
      <c r="B17" s="738"/>
      <c r="C17" s="739"/>
      <c r="D17" s="480" t="s">
        <v>1235</v>
      </c>
      <c r="E17" s="480"/>
      <c r="F17" s="527">
        <f t="shared" si="0"/>
        <v>11</v>
      </c>
      <c r="G17" s="530"/>
      <c r="H17" s="530"/>
      <c r="I17" s="530"/>
      <c r="K17" s="530"/>
      <c r="L17" s="587"/>
      <c r="M17" s="587"/>
      <c r="N17" s="589"/>
      <c r="O17" s="480"/>
      <c r="P17" s="480"/>
      <c r="R17" s="570">
        <v>2</v>
      </c>
      <c r="S17" s="565">
        <f ca="1">AI12/Investment*100</f>
        <v>232.14660265858583</v>
      </c>
      <c r="T17" s="569">
        <f ca="1">EXP(y_inter2-(slope*LN(+S17)))</f>
        <v>7.2722605177224349</v>
      </c>
      <c r="U17" s="563">
        <f ca="1">(+S17*T17/100)/100</f>
        <v>0.16882305728374317</v>
      </c>
      <c r="V17" s="563">
        <f>regDebt_weighted</f>
        <v>3.5860000000000003E-2</v>
      </c>
      <c r="W17" s="563">
        <f ca="1">+U17-V17</f>
        <v>0.13296305728374316</v>
      </c>
      <c r="X17" s="563">
        <f ca="1">+((W17*(1-0.34))-Pfd_weighted)/Equity_percent</f>
        <v>0.23710935409090259</v>
      </c>
      <c r="Y17" s="563">
        <f ca="1">+X17*equityP</f>
        <v>0.14226561245454156</v>
      </c>
      <c r="Z17" s="563">
        <f ca="1">+Y17/(1-taxrate)</f>
        <v>0.180083053739926</v>
      </c>
      <c r="AA17" s="563">
        <f>debtP*Debt_Rate</f>
        <v>2.1000000000000001E-2</v>
      </c>
      <c r="AB17" s="563">
        <f ca="1">+AA17+Z17</f>
        <v>0.20108305373992599</v>
      </c>
      <c r="AC17" s="563">
        <f ca="1">+AB17/(S17/100)</f>
        <v>8.6618994823566511E-2</v>
      </c>
      <c r="AD17" s="563">
        <f ca="1">1-AC17</f>
        <v>0.9133810051764335</v>
      </c>
      <c r="AE17" s="560">
        <f ca="1">expenses/(AD17)</f>
        <v>2293990.710824959</v>
      </c>
      <c r="AF17" s="562">
        <f ca="1">+AE17-Revenue</f>
        <v>14739.504824959207</v>
      </c>
      <c r="AG17" s="561">
        <f ca="1">+AF17/$J$49</f>
        <v>16482.158189944494</v>
      </c>
      <c r="AH17" s="561">
        <f ca="1">+AG17*$J$47</f>
        <v>331.29137961788433</v>
      </c>
      <c r="AI17" s="560">
        <f ca="1">ROUND(+AH17+AE17,5)</f>
        <v>2294322.0022</v>
      </c>
    </row>
    <row r="18" spans="1:35" ht="15.75">
      <c r="A18" s="480"/>
      <c r="B18" s="740" t="s">
        <v>1234</v>
      </c>
      <c r="C18" s="740"/>
      <c r="D18" s="480"/>
      <c r="E18" s="480"/>
      <c r="F18" s="527">
        <f t="shared" si="0"/>
        <v>12</v>
      </c>
      <c r="G18" s="530"/>
      <c r="H18" s="606" t="s">
        <v>144</v>
      </c>
      <c r="I18" s="485"/>
      <c r="J18" s="485"/>
      <c r="K18" s="485"/>
      <c r="L18" s="485"/>
      <c r="M18" s="484"/>
      <c r="O18" s="480"/>
      <c r="P18" s="480"/>
      <c r="R18" s="536">
        <v>3</v>
      </c>
      <c r="S18" s="565">
        <f ca="1">AI13/Investment*100</f>
        <v>231.87964279887527</v>
      </c>
      <c r="T18" s="566">
        <f ca="1">EXP(y_inter3-(slope*LN(S18)))</f>
        <v>7.2072237969317561</v>
      </c>
      <c r="U18" s="563">
        <f ca="1">(+S18*T18/100)/100</f>
        <v>0.16712084796040891</v>
      </c>
      <c r="V18" s="563">
        <f>regDebt_weighted</f>
        <v>3.5860000000000003E-2</v>
      </c>
      <c r="W18" s="563">
        <f ca="1">+U18-V18</f>
        <v>0.13126084796040891</v>
      </c>
      <c r="X18" s="563">
        <f ca="1">+((W18*(1-0.34))-Pfd_weighted)/Equity_percent</f>
        <v>0.23384348736590077</v>
      </c>
      <c r="Y18" s="563">
        <f ca="1">+X18*equityP</f>
        <v>0.14030609241954045</v>
      </c>
      <c r="Z18" s="563">
        <f ca="1">+Y18/(1-taxrate)</f>
        <v>0.17760264863232969</v>
      </c>
      <c r="AA18" s="563">
        <f>debtP*Debt_Rate</f>
        <v>2.1000000000000001E-2</v>
      </c>
      <c r="AB18" s="563">
        <f ca="1">+AA18+Z18</f>
        <v>0.19860264863232968</v>
      </c>
      <c r="AC18" s="563">
        <f ca="1">+AB18/(S18/100)</f>
        <v>8.5649023016906689E-2</v>
      </c>
      <c r="AD18" s="563">
        <f ca="1">1-AC18</f>
        <v>0.91435097698309331</v>
      </c>
      <c r="AE18" s="560">
        <f ca="1">expenses/(AD18)</f>
        <v>2291557.1745021986</v>
      </c>
      <c r="AF18" s="562">
        <f ca="1">+AE18-Revenue</f>
        <v>12305.968502198812</v>
      </c>
      <c r="AG18" s="561">
        <f ca="1">+AF18/$J$49</f>
        <v>13760.904585495562</v>
      </c>
      <c r="AH18" s="561">
        <f ca="1">+AG18*$J$47</f>
        <v>276.5941821684608</v>
      </c>
      <c r="AI18" s="560">
        <f ca="1">ROUND(+AH18+AE18,5)</f>
        <v>2291833.7686800002</v>
      </c>
    </row>
    <row r="19" spans="1:35" ht="15.75">
      <c r="A19" s="480"/>
      <c r="B19" s="480"/>
      <c r="C19" s="480"/>
      <c r="D19" s="480"/>
      <c r="E19" s="480"/>
      <c r="F19" s="527">
        <f t="shared" si="0"/>
        <v>13</v>
      </c>
      <c r="G19" s="530"/>
      <c r="H19" s="526"/>
      <c r="I19" s="604" t="s">
        <v>1233</v>
      </c>
      <c r="J19" s="531">
        <f>+Revenue</f>
        <v>2437761.63</v>
      </c>
      <c r="K19" s="605"/>
      <c r="L19" s="604" t="s">
        <v>1232</v>
      </c>
      <c r="M19" s="603">
        <f ca="1">+J7</f>
        <v>12283.355134238955</v>
      </c>
      <c r="O19" s="480"/>
      <c r="P19" s="480"/>
      <c r="R19" s="542">
        <v>4</v>
      </c>
      <c r="S19" s="565">
        <f ca="1">AI14/Investment*100</f>
        <v>231.7091915361886</v>
      </c>
      <c r="T19" s="564">
        <f ca="1">EXP(y_inter4-(slope*LN(S19)))</f>
        <v>7.1655625269266512</v>
      </c>
      <c r="U19" s="563">
        <f ca="1">(+S19*T19/100)/100</f>
        <v>0.16603267000161828</v>
      </c>
      <c r="V19" s="563">
        <f>regDebt_weighted</f>
        <v>3.5860000000000003E-2</v>
      </c>
      <c r="W19" s="563">
        <f ca="1">+U19-V19</f>
        <v>0.13017267000161828</v>
      </c>
      <c r="X19" s="563">
        <f ca="1">+((W19*(1-0.34))-Pfd_weighted)/Equity_percent</f>
        <v>0.23175570407287224</v>
      </c>
      <c r="Y19" s="563">
        <f ca="1">+X19*equityP</f>
        <v>0.13905342244372335</v>
      </c>
      <c r="Z19" s="563">
        <f ca="1">+Y19/(1-taxrate)</f>
        <v>0.17601699043509283</v>
      </c>
      <c r="AA19" s="563">
        <f>debtP*Debt_Rate</f>
        <v>2.1000000000000001E-2</v>
      </c>
      <c r="AB19" s="563">
        <f ca="1">+AA19+Z19</f>
        <v>0.19701699043509283</v>
      </c>
      <c r="AC19" s="563">
        <f ca="1">+AB19/(S19/100)</f>
        <v>8.5027697489645115E-2</v>
      </c>
      <c r="AD19" s="563">
        <f ca="1">1-AC19</f>
        <v>0.91497230251035488</v>
      </c>
      <c r="AE19" s="560">
        <f ca="1">expenses/(AD19)</f>
        <v>2290001.0585784805</v>
      </c>
      <c r="AF19" s="562">
        <f ca="1">+AE19-Revenue</f>
        <v>10749.852578480728</v>
      </c>
      <c r="AG19" s="561">
        <f ca="1">+AF19/$J$49</f>
        <v>12020.808895633469</v>
      </c>
      <c r="AH19" s="561">
        <f ca="1">+AG19*$J$47</f>
        <v>241.61825880223273</v>
      </c>
      <c r="AI19" s="560">
        <f ca="1">ROUND(+AH19+AE19,5)</f>
        <v>2290242.6768399999</v>
      </c>
    </row>
    <row r="20" spans="1:35" ht="15.75">
      <c r="A20" s="480"/>
      <c r="B20" s="602"/>
      <c r="C20" s="480"/>
      <c r="D20" s="480"/>
      <c r="E20" s="480"/>
      <c r="F20" s="527">
        <f t="shared" si="0"/>
        <v>14</v>
      </c>
      <c r="G20" s="530"/>
      <c r="H20" s="526"/>
      <c r="I20" s="604" t="s">
        <v>1228</v>
      </c>
      <c r="J20" s="531">
        <f ca="1">+J21-J19</f>
        <v>12559.441048731096</v>
      </c>
      <c r="K20" s="605"/>
      <c r="L20" s="604" t="s">
        <v>1231</v>
      </c>
      <c r="M20" s="603">
        <f ca="1">+L8</f>
        <v>276.08591449202322</v>
      </c>
      <c r="O20" s="480"/>
      <c r="P20" s="480"/>
      <c r="R20" s="462" t="s">
        <v>1230</v>
      </c>
    </row>
    <row r="21" spans="1:35" ht="16.5" thickBot="1">
      <c r="A21" s="480"/>
      <c r="B21" s="602" t="s">
        <v>1229</v>
      </c>
      <c r="C21" s="480"/>
      <c r="D21" s="480"/>
      <c r="E21" s="480"/>
      <c r="F21" s="527">
        <f t="shared" si="0"/>
        <v>15</v>
      </c>
      <c r="G21" s="530"/>
      <c r="H21" s="526"/>
      <c r="I21" s="600" t="s">
        <v>144</v>
      </c>
      <c r="J21" s="601">
        <f ca="1">+M7</f>
        <v>2291810.6470487309</v>
      </c>
      <c r="K21" s="475"/>
      <c r="L21" s="600" t="s">
        <v>1228</v>
      </c>
      <c r="M21" s="599">
        <f ca="1">+M19+M20</f>
        <v>12559.441048730978</v>
      </c>
      <c r="N21" s="598"/>
      <c r="O21" s="480"/>
      <c r="P21" s="480"/>
      <c r="R21" s="578">
        <v>1</v>
      </c>
      <c r="S21" s="577">
        <f ca="1">AI16/Investment*100</f>
        <v>232.55147352789342</v>
      </c>
      <c r="T21" s="576">
        <f ca="1">EXP(y_inter1-(slope*LN(+S21)))</f>
        <v>7.3684389905288725</v>
      </c>
      <c r="U21" s="575">
        <f ca="1">(+S21*T21/100)/100</f>
        <v>0.17135413448478728</v>
      </c>
      <c r="V21" s="575">
        <f>regDebt_weighted</f>
        <v>3.5860000000000003E-2</v>
      </c>
      <c r="W21" s="575">
        <f ca="1">+U21-V21</f>
        <v>0.13549413448478728</v>
      </c>
      <c r="X21" s="575">
        <f ca="1">+((W21*(1-0.34))-Pfd_weighted)/Equity_percent</f>
        <v>0.24196549058127789</v>
      </c>
      <c r="Y21" s="575">
        <f ca="1">+X21*equityP</f>
        <v>0.14517929434876672</v>
      </c>
      <c r="Z21" s="575">
        <f ca="1">+Y21/(1-taxrate)</f>
        <v>0.18377125866932495</v>
      </c>
      <c r="AA21" s="575">
        <f>debtP*Debt_Rate</f>
        <v>2.1000000000000001E-2</v>
      </c>
      <c r="AB21" s="575">
        <f ca="1">+AA21+Z21</f>
        <v>0.20477125866932494</v>
      </c>
      <c r="AC21" s="575">
        <f ca="1">+AB21/(S21/100)</f>
        <v>8.8054165197436862E-2</v>
      </c>
      <c r="AD21" s="575">
        <f ca="1">1-AC21</f>
        <v>0.91194583480256308</v>
      </c>
      <c r="AE21" s="572">
        <f ca="1">expenses/(AD21)</f>
        <v>2297600.8676790912</v>
      </c>
      <c r="AF21" s="574">
        <f ca="1">+AE21-Revenue</f>
        <v>18349.661679091398</v>
      </c>
      <c r="AG21" s="573">
        <f ca="1">+AF21/$J$49</f>
        <v>20519.144307657156</v>
      </c>
      <c r="AH21" s="573">
        <f ca="1">+AG21*$J$47</f>
        <v>412.43480058390884</v>
      </c>
      <c r="AI21" s="572">
        <f ca="1">ROUND(+AH21+AE21,5)</f>
        <v>2298013.3024800001</v>
      </c>
    </row>
    <row r="22" spans="1:35" ht="16.5" thickTop="1">
      <c r="A22" s="480"/>
      <c r="B22" s="480" t="s">
        <v>1227</v>
      </c>
      <c r="C22" s="480"/>
      <c r="D22" s="480"/>
      <c r="E22" s="480"/>
      <c r="F22" s="527">
        <f t="shared" si="0"/>
        <v>16</v>
      </c>
      <c r="G22" s="530"/>
      <c r="H22" s="472"/>
      <c r="I22" s="540"/>
      <c r="J22" s="540"/>
      <c r="K22" s="540"/>
      <c r="L22" s="540"/>
      <c r="M22" s="539"/>
      <c r="O22" s="480"/>
      <c r="P22" s="480"/>
      <c r="R22" s="570">
        <v>2</v>
      </c>
      <c r="S22" s="565">
        <f ca="1">AI17/Investment*100</f>
        <v>232.17747479581533</v>
      </c>
      <c r="T22" s="569">
        <f ca="1">EXP(y_inter2-(slope*LN(+S22)))</f>
        <v>7.2715994108098423</v>
      </c>
      <c r="U22" s="563">
        <f ca="1">(+S22*T22/100)/100</f>
        <v>0.16883015889285677</v>
      </c>
      <c r="V22" s="563">
        <f>regDebt_weighted</f>
        <v>3.5860000000000003E-2</v>
      </c>
      <c r="W22" s="563">
        <f ca="1">+U22-V22</f>
        <v>0.13297015889285677</v>
      </c>
      <c r="X22" s="563">
        <f ca="1">+((W22*(1-0.34))-Pfd_weighted)/Equity_percent</f>
        <v>0.23712297927117867</v>
      </c>
      <c r="Y22" s="563">
        <f ca="1">+X22*equityP</f>
        <v>0.1422737875627072</v>
      </c>
      <c r="Z22" s="563">
        <f ca="1">+Y22/(1-taxrate)</f>
        <v>0.18009340197811036</v>
      </c>
      <c r="AA22" s="563">
        <f>debtP*Debt_Rate</f>
        <v>2.1000000000000001E-2</v>
      </c>
      <c r="AB22" s="563">
        <f ca="1">+AA22+Z22</f>
        <v>0.20109340197811035</v>
      </c>
      <c r="AC22" s="563">
        <f ca="1">+AB22/(S22/100)</f>
        <v>8.6611934320914921E-2</v>
      </c>
      <c r="AD22" s="563">
        <f ca="1">1-AC22</f>
        <v>0.91338806567908504</v>
      </c>
      <c r="AE22" s="560">
        <f ca="1">expenses/(AD22)</f>
        <v>2293972.9782443563</v>
      </c>
      <c r="AF22" s="562">
        <f ca="1">+AE22-Revenue</f>
        <v>14721.772244356573</v>
      </c>
      <c r="AG22" s="561">
        <f ca="1">+AF22/$J$49</f>
        <v>16462.329084280533</v>
      </c>
      <c r="AH22" s="561">
        <f ca="1">+AG22*$J$47</f>
        <v>330.89281459403873</v>
      </c>
      <c r="AI22" s="560">
        <f ca="1">ROUND(+AH22+AE22,5)</f>
        <v>2294303.8710599998</v>
      </c>
    </row>
    <row r="23" spans="1:35" ht="15.75">
      <c r="A23" s="480"/>
      <c r="B23" s="480" t="s">
        <v>1226</v>
      </c>
      <c r="C23" s="480"/>
      <c r="D23" s="480"/>
      <c r="E23" s="480"/>
      <c r="F23" s="527">
        <f t="shared" si="0"/>
        <v>17</v>
      </c>
      <c r="H23" s="530"/>
      <c r="I23" s="530"/>
      <c r="J23" s="530"/>
      <c r="K23" s="530"/>
      <c r="L23" s="530"/>
      <c r="M23" s="530"/>
      <c r="N23" s="530"/>
      <c r="O23" s="480"/>
      <c r="P23" s="480"/>
      <c r="R23" s="536">
        <v>3</v>
      </c>
      <c r="S23" s="565">
        <f ca="1">AI18/Investment*100</f>
        <v>231.92567414410999</v>
      </c>
      <c r="T23" s="566">
        <f ca="1">EXP(y_inter3-(slope*LN(S23)))</f>
        <v>7.2062458101058375</v>
      </c>
      <c r="U23" s="563">
        <f ca="1">(+S23*T23/100)/100</f>
        <v>0.16713134175569644</v>
      </c>
      <c r="V23" s="563">
        <f>regDebt_weighted</f>
        <v>3.5860000000000003E-2</v>
      </c>
      <c r="W23" s="563">
        <f ca="1">+U23-V23</f>
        <v>0.13127134175569644</v>
      </c>
      <c r="X23" s="563">
        <f ca="1">+((W23*(1-0.34))-Pfd_weighted)/Equity_percent</f>
        <v>0.23386362081034781</v>
      </c>
      <c r="Y23" s="563">
        <f ca="1">+X23*equityP</f>
        <v>0.14031817248620868</v>
      </c>
      <c r="Z23" s="563">
        <f ca="1">+Y23/(1-taxrate)</f>
        <v>0.17761793985596033</v>
      </c>
      <c r="AA23" s="563">
        <f>debtP*Debt_Rate</f>
        <v>2.1000000000000001E-2</v>
      </c>
      <c r="AB23" s="563">
        <f ca="1">+AA23+Z23</f>
        <v>0.19861793985596032</v>
      </c>
      <c r="AC23" s="563">
        <f ca="1">+AB23/(S23/100)</f>
        <v>8.5638617021997543E-2</v>
      </c>
      <c r="AD23" s="563">
        <f ca="1">1-AC23</f>
        <v>0.9143613829780024</v>
      </c>
      <c r="AE23" s="560">
        <f ca="1">expenses/(AD23)</f>
        <v>2291531.0951721487</v>
      </c>
      <c r="AF23" s="562">
        <f ca="1">+AE23-Revenue</f>
        <v>12279.889172148891</v>
      </c>
      <c r="AG23" s="561">
        <f ca="1">+AF23/$J$49</f>
        <v>13731.741893229084</v>
      </c>
      <c r="AH23" s="561">
        <f ca="1">+AG23*$J$47</f>
        <v>276.00801205390457</v>
      </c>
      <c r="AI23" s="560">
        <f ca="1">ROUND(+AH23+AE23,5)</f>
        <v>2291807.1031800001</v>
      </c>
    </row>
    <row r="24" spans="1:35" ht="15.75">
      <c r="A24" s="480"/>
      <c r="B24" s="480" t="s">
        <v>1225</v>
      </c>
      <c r="C24" s="480"/>
      <c r="D24" s="480"/>
      <c r="E24" s="480"/>
      <c r="F24" s="527">
        <f t="shared" si="0"/>
        <v>18</v>
      </c>
      <c r="H24" s="523"/>
      <c r="J24" s="597" t="s">
        <v>1224</v>
      </c>
      <c r="K24" s="596" t="s">
        <v>1223</v>
      </c>
      <c r="L24" s="596"/>
      <c r="M24" s="596"/>
      <c r="N24" s="596"/>
      <c r="O24" s="480"/>
      <c r="P24" s="480"/>
      <c r="R24" s="542">
        <v>4</v>
      </c>
      <c r="S24" s="565">
        <f ca="1">AI19/Investment*100</f>
        <v>231.76466113668326</v>
      </c>
      <c r="T24" s="564">
        <f ca="1">EXP(y_inter4-(slope*LN(S24)))</f>
        <v>7.1643900047218363</v>
      </c>
      <c r="U24" s="563">
        <f ca="1">(+S24*T24/100)/100</f>
        <v>0.1660452421695397</v>
      </c>
      <c r="V24" s="563">
        <f>regDebt_weighted</f>
        <v>3.5860000000000003E-2</v>
      </c>
      <c r="W24" s="563">
        <f ca="1">+U24-V24</f>
        <v>0.13018524216953969</v>
      </c>
      <c r="X24" s="563">
        <f ca="1">+((W24*(1-0.34))-Pfd_weighted)/Equity_percent</f>
        <v>0.23177982509272149</v>
      </c>
      <c r="Y24" s="563">
        <f ca="1">+X24*equityP</f>
        <v>0.13906789505563288</v>
      </c>
      <c r="Z24" s="563">
        <f ca="1">+Y24/(1-taxrate)</f>
        <v>0.17603531019700364</v>
      </c>
      <c r="AA24" s="563">
        <f>debtP*Debt_Rate</f>
        <v>2.1000000000000001E-2</v>
      </c>
      <c r="AB24" s="563">
        <f ca="1">+AA24+Z24</f>
        <v>0.19703531019700363</v>
      </c>
      <c r="AC24" s="563">
        <f ca="1">+AB24/(S24/100)</f>
        <v>8.5015251777665113E-2</v>
      </c>
      <c r="AD24" s="563">
        <f ca="1">1-AC24</f>
        <v>0.91498474822233489</v>
      </c>
      <c r="AE24" s="560">
        <f ca="1">expenses/(AD24)</f>
        <v>2289969.9097602465</v>
      </c>
      <c r="AF24" s="562">
        <f ca="1">+AE24-Revenue</f>
        <v>10718.703760246746</v>
      </c>
      <c r="AG24" s="561">
        <f ca="1">+AF24/$J$49</f>
        <v>11985.977349006953</v>
      </c>
      <c r="AH24" s="561">
        <f ca="1">+AG24*$J$47</f>
        <v>240.91814471503974</v>
      </c>
      <c r="AI24" s="560">
        <f ca="1">ROUND(+AH24+AE24,5)</f>
        <v>2290210.8278999999</v>
      </c>
    </row>
    <row r="25" spans="1:35" ht="15.75">
      <c r="A25" s="480"/>
      <c r="B25" s="480" t="s">
        <v>1222</v>
      </c>
      <c r="C25" s="480"/>
      <c r="D25" s="480"/>
      <c r="E25" s="480"/>
      <c r="F25" s="527">
        <f t="shared" si="0"/>
        <v>19</v>
      </c>
      <c r="H25" s="594" t="s">
        <v>1221</v>
      </c>
      <c r="I25" s="595" t="s">
        <v>455</v>
      </c>
      <c r="J25" s="593" t="s">
        <v>108</v>
      </c>
      <c r="K25" s="594" t="s">
        <v>1220</v>
      </c>
      <c r="L25" s="593" t="s">
        <v>1204</v>
      </c>
      <c r="M25" s="593" t="s">
        <v>108</v>
      </c>
      <c r="O25" s="480"/>
      <c r="P25" s="480"/>
      <c r="R25" s="462" t="s">
        <v>1219</v>
      </c>
      <c r="W25" s="468"/>
      <c r="X25" s="466"/>
      <c r="Y25" s="465"/>
      <c r="Z25" s="465"/>
      <c r="AA25" s="466"/>
      <c r="AC25" s="466"/>
      <c r="AD25" s="466"/>
      <c r="AE25" s="465"/>
      <c r="AF25" s="468"/>
    </row>
    <row r="26" spans="1:35" ht="15.75">
      <c r="A26" s="480"/>
      <c r="B26" s="480"/>
      <c r="C26" s="480"/>
      <c r="D26" s="480"/>
      <c r="E26" s="480"/>
      <c r="F26" s="527">
        <f t="shared" si="0"/>
        <v>20</v>
      </c>
      <c r="H26" s="587" t="s">
        <v>1197</v>
      </c>
      <c r="I26" s="588">
        <f>1-I27</f>
        <v>0.6</v>
      </c>
      <c r="J26" s="592">
        <f>+I26*J28</f>
        <v>538887.85277906957</v>
      </c>
      <c r="K26" s="589">
        <f ca="1">+K34</f>
        <v>0.23383370185247845</v>
      </c>
      <c r="L26" s="588">
        <f ca="1">+K26*I26</f>
        <v>0.14030022111148707</v>
      </c>
      <c r="M26" s="591">
        <f ca="1">+J26*K26</f>
        <v>138641.3063940393</v>
      </c>
      <c r="O26" s="480"/>
      <c r="P26" s="480"/>
      <c r="R26" s="578">
        <v>1</v>
      </c>
      <c r="S26" s="577">
        <f ca="1">AI21/Investment*100</f>
        <v>232.55102165493176</v>
      </c>
      <c r="T26" s="576">
        <f ca="1">EXP(y_inter1-(slope*LN(+S26)))</f>
        <v>7.3684487791154281</v>
      </c>
      <c r="U26" s="575">
        <f ca="1">(+S26*T26/100)/100</f>
        <v>0.17135402915953271</v>
      </c>
      <c r="V26" s="575">
        <f>regDebt_weighted</f>
        <v>3.5860000000000003E-2</v>
      </c>
      <c r="W26" s="575">
        <f ca="1">+U26-V26</f>
        <v>0.13549402915953271</v>
      </c>
      <c r="X26" s="575">
        <f ca="1">+((W26*(1-0.34))-Pfd_weighted)/Equity_percent</f>
        <v>0.24196528850375462</v>
      </c>
      <c r="Y26" s="575">
        <f ca="1">+X26*equityP</f>
        <v>0.14517917310225276</v>
      </c>
      <c r="Z26" s="575">
        <f ca="1">+Y26/(1-taxrate)</f>
        <v>0.18377110519272499</v>
      </c>
      <c r="AA26" s="575">
        <f>debtP*Debt_Rate</f>
        <v>2.1000000000000001E-2</v>
      </c>
      <c r="AB26" s="575">
        <f ca="1">+AA26+Z26</f>
        <v>0.20477110519272498</v>
      </c>
      <c r="AC26" s="575">
        <f ca="1">+AB26/(S26/100)</f>
        <v>8.8054270299690318E-2</v>
      </c>
      <c r="AD26" s="575">
        <f ca="1">1-AC26</f>
        <v>0.91194572970030974</v>
      </c>
      <c r="AE26" s="572">
        <f ca="1">expenses/(AD26)</f>
        <v>2297601.1324788714</v>
      </c>
      <c r="AF26" s="574">
        <f ca="1">+AE26-Revenue</f>
        <v>18349.92647887161</v>
      </c>
      <c r="AG26" s="573">
        <f ca="1">+AF26/$J$49</f>
        <v>20519.440414746095</v>
      </c>
      <c r="AH26" s="573">
        <f ca="1">+AG26*$J$47</f>
        <v>412.44075233639654</v>
      </c>
      <c r="AI26" s="572">
        <f ca="1">ROUND(+AH26+AE26,5)</f>
        <v>2298013.5732300002</v>
      </c>
    </row>
    <row r="27" spans="1:35" ht="15.75">
      <c r="A27" s="480"/>
      <c r="B27" s="480"/>
      <c r="C27" s="480"/>
      <c r="D27" s="480"/>
      <c r="E27" s="480"/>
      <c r="F27" s="527">
        <f t="shared" si="0"/>
        <v>21</v>
      </c>
      <c r="H27" s="587" t="s">
        <v>1201</v>
      </c>
      <c r="I27" s="588">
        <f>IF(A65=TRUE,C8,0)</f>
        <v>0.4</v>
      </c>
      <c r="J27" s="590">
        <f>+I27*J28</f>
        <v>359258.56851937977</v>
      </c>
      <c r="K27" s="589">
        <f>IF(A65=TRUE,C9,0)</f>
        <v>5.2499999999999998E-2</v>
      </c>
      <c r="L27" s="588">
        <f>+K27*I27</f>
        <v>2.1000000000000001E-2</v>
      </c>
      <c r="M27" s="531">
        <f>+K27*J27</f>
        <v>18861.074847267439</v>
      </c>
      <c r="O27" s="480"/>
      <c r="P27" s="480"/>
      <c r="R27" s="570">
        <v>2</v>
      </c>
      <c r="S27" s="565">
        <f ca="1">AI22/Investment*100</f>
        <v>232.17563998697145</v>
      </c>
      <c r="T27" s="569">
        <f ca="1">EXP(y_inter2-(slope*LN(+S27)))</f>
        <v>7.2716386979213512</v>
      </c>
      <c r="U27" s="563">
        <f ca="1">(+S27*T27/100)/100</f>
        <v>0.16882973684439176</v>
      </c>
      <c r="V27" s="563">
        <f>regDebt_weighted</f>
        <v>3.5860000000000003E-2</v>
      </c>
      <c r="W27" s="563">
        <f ca="1">+U27-V27</f>
        <v>0.13296973684439176</v>
      </c>
      <c r="X27" s="563">
        <f ca="1">+((W27*(1-0.34))-Pfd_weighted)/Equity_percent</f>
        <v>0.23712216952703069</v>
      </c>
      <c r="Y27" s="563">
        <f ca="1">+X27*equityP</f>
        <v>0.14227330171621841</v>
      </c>
      <c r="Z27" s="563">
        <f ca="1">+Y27/(1-taxrate)</f>
        <v>0.18009278698255493</v>
      </c>
      <c r="AA27" s="563">
        <f>debtP*Debt_Rate</f>
        <v>2.1000000000000001E-2</v>
      </c>
      <c r="AB27" s="563">
        <f ca="1">+AA27+Z27</f>
        <v>0.20109278698255492</v>
      </c>
      <c r="AC27" s="563">
        <f ca="1">+AB27/(S27/100)</f>
        <v>8.6612353903208483E-2</v>
      </c>
      <c r="AD27" s="563">
        <f ca="1">1-AC27</f>
        <v>0.91338764609679157</v>
      </c>
      <c r="AE27" s="560">
        <f ca="1">expenses/(AD27)</f>
        <v>2293974.0320252427</v>
      </c>
      <c r="AF27" s="562">
        <f ca="1">+AE27-Revenue</f>
        <v>14722.826025242917</v>
      </c>
      <c r="AG27" s="561">
        <f ca="1">+AF27/$J$49</f>
        <v>16463.507453803293</v>
      </c>
      <c r="AH27" s="561">
        <f ca="1">+AG27*$J$47</f>
        <v>330.91649982144617</v>
      </c>
      <c r="AI27" s="560">
        <f ca="1">ROUND(+AH27+AE27,5)</f>
        <v>2294304.9485300002</v>
      </c>
    </row>
    <row r="28" spans="1:35" ht="16.5" thickBot="1">
      <c r="A28" s="480"/>
      <c r="B28" s="480"/>
      <c r="C28" s="480"/>
      <c r="D28" s="480"/>
      <c r="E28" s="480"/>
      <c r="F28" s="527">
        <f t="shared" si="0"/>
        <v>22</v>
      </c>
      <c r="H28" s="587" t="s">
        <v>2</v>
      </c>
      <c r="I28" s="586">
        <f>SUM(I26:I27)</f>
        <v>1</v>
      </c>
      <c r="J28" s="537">
        <f>IF(A65=TRUE,C7,0)</f>
        <v>898146.42129844939</v>
      </c>
      <c r="K28" s="585"/>
      <c r="L28" s="584">
        <f ca="1">SUM(L26:L27)</f>
        <v>0.16130022111148706</v>
      </c>
      <c r="M28" s="537">
        <f ca="1">SUM(M26:M27)</f>
        <v>159393.00166015924</v>
      </c>
      <c r="O28" s="480"/>
      <c r="P28" s="480"/>
      <c r="R28" s="536">
        <v>3</v>
      </c>
      <c r="S28" s="565">
        <f ca="1">AI23/Investment*100</f>
        <v>231.92297568746429</v>
      </c>
      <c r="T28" s="566">
        <f ca="1">EXP(y_inter3-(slope*LN(S28)))</f>
        <v>7.2063031327831482</v>
      </c>
      <c r="U28" s="563">
        <f ca="1">(+S28*T28/100)/100</f>
        <v>0.16713072662609638</v>
      </c>
      <c r="V28" s="563">
        <f>regDebt_weighted</f>
        <v>3.5860000000000003E-2</v>
      </c>
      <c r="W28" s="563">
        <f ca="1">+U28-V28</f>
        <v>0.13127072662609637</v>
      </c>
      <c r="X28" s="563">
        <f ca="1">+((W28*(1-0.34))-Pfd_weighted)/Equity_percent</f>
        <v>0.23386244061983602</v>
      </c>
      <c r="Y28" s="563">
        <f ca="1">+X28*equityP</f>
        <v>0.1403174643719016</v>
      </c>
      <c r="Z28" s="563">
        <f ca="1">+Y28/(1-taxrate)</f>
        <v>0.17761704350873619</v>
      </c>
      <c r="AA28" s="563">
        <f>debtP*Debt_Rate</f>
        <v>2.1000000000000001E-2</v>
      </c>
      <c r="AB28" s="563">
        <f ca="1">+AA28+Z28</f>
        <v>0.19861704350873619</v>
      </c>
      <c r="AC28" s="563">
        <f ca="1">+AB28/(S28/100)</f>
        <v>8.5639226954551215E-2</v>
      </c>
      <c r="AD28" s="563">
        <f ca="1">1-AC28</f>
        <v>0.91436077304544883</v>
      </c>
      <c r="AE28" s="560">
        <f ca="1">expenses/(AD28)</f>
        <v>2291532.6237585158</v>
      </c>
      <c r="AF28" s="562">
        <f ca="1">+AE28-Revenue</f>
        <v>12281.417758516036</v>
      </c>
      <c r="AG28" s="561">
        <f ca="1">+AF28/$J$49</f>
        <v>13733.451204539706</v>
      </c>
      <c r="AH28" s="561">
        <f ca="1">+AG28*$J$47</f>
        <v>276.04236921124811</v>
      </c>
      <c r="AI28" s="560">
        <f ca="1">ROUND(+AH28+AE28,5)</f>
        <v>2291808.6661299998</v>
      </c>
    </row>
    <row r="29" spans="1:35" ht="16.5" thickTop="1">
      <c r="A29" s="480"/>
      <c r="B29" s="480"/>
      <c r="C29" s="480"/>
      <c r="D29" s="480"/>
      <c r="E29" s="480"/>
      <c r="F29" s="527">
        <f t="shared" si="0"/>
        <v>23</v>
      </c>
      <c r="G29" s="530"/>
      <c r="H29" s="530"/>
      <c r="I29" s="530"/>
      <c r="J29" s="530"/>
      <c r="K29" s="530"/>
      <c r="L29" s="530"/>
      <c r="M29" s="530"/>
      <c r="N29" s="530"/>
      <c r="O29" s="480"/>
      <c r="P29" s="480"/>
      <c r="R29" s="542">
        <v>4</v>
      </c>
      <c r="S29" s="565">
        <f ca="1">AI24/Investment*100</f>
        <v>231.7614381337844</v>
      </c>
      <c r="T29" s="564">
        <f ca="1">EXP(y_inter4-(slope*LN(S29)))</f>
        <v>7.1644581199641966</v>
      </c>
      <c r="U29" s="563">
        <f ca="1">(+S29*T29/100)/100</f>
        <v>0.16604451173321713</v>
      </c>
      <c r="V29" s="563">
        <f>regDebt_weighted</f>
        <v>3.5860000000000003E-2</v>
      </c>
      <c r="W29" s="563">
        <f ca="1">+U29-V29</f>
        <v>0.13018451173321713</v>
      </c>
      <c r="X29" s="563">
        <f ca="1">+((W29*(1-0.34))-Pfd_weighted)/Equity_percent</f>
        <v>0.23177842367419563</v>
      </c>
      <c r="Y29" s="563">
        <f ca="1">+X29*equityP</f>
        <v>0.13906705420451737</v>
      </c>
      <c r="Z29" s="563">
        <f ca="1">+Y29/(1-taxrate)</f>
        <v>0.17603424582850299</v>
      </c>
      <c r="AA29" s="563">
        <f>debtP*Debt_Rate</f>
        <v>2.1000000000000001E-2</v>
      </c>
      <c r="AB29" s="563">
        <f ca="1">+AA29+Z29</f>
        <v>0.19703424582850299</v>
      </c>
      <c r="AC29" s="563">
        <f ca="1">+AB29/(S29/100)</f>
        <v>8.501597479506702E-2</v>
      </c>
      <c r="AD29" s="563">
        <f ca="1">1-AC29</f>
        <v>0.91498402520493294</v>
      </c>
      <c r="AE29" s="560">
        <f ca="1">expenses/(AD29)</f>
        <v>2289971.7192870243</v>
      </c>
      <c r="AF29" s="562">
        <f ca="1">+AE29-Revenue</f>
        <v>10720.513287024572</v>
      </c>
      <c r="AG29" s="561">
        <f ca="1">+AF29/$J$49</f>
        <v>11988.000816345597</v>
      </c>
      <c r="AH29" s="561">
        <f ca="1">+AG29*$J$47</f>
        <v>240.95881640854648</v>
      </c>
      <c r="AI29" s="560">
        <f ca="1">ROUND(+AH29+AE29,5)</f>
        <v>2290212.6781000001</v>
      </c>
    </row>
    <row r="30" spans="1:35" ht="15.75">
      <c r="A30" s="480"/>
      <c r="B30" s="480"/>
      <c r="C30" s="480"/>
      <c r="D30" s="480"/>
      <c r="E30" s="480"/>
      <c r="F30" s="527">
        <f t="shared" si="0"/>
        <v>24</v>
      </c>
      <c r="G30" s="530"/>
      <c r="H30" s="530"/>
      <c r="I30" s="530"/>
      <c r="J30" s="583" t="s">
        <v>1218</v>
      </c>
      <c r="K30" s="583" t="s">
        <v>1217</v>
      </c>
      <c r="L30" s="530"/>
      <c r="M30" s="530"/>
      <c r="N30" s="530"/>
      <c r="O30" s="480"/>
      <c r="P30" s="480"/>
      <c r="R30" s="462" t="s">
        <v>1216</v>
      </c>
      <c r="W30" s="468"/>
      <c r="X30" s="466"/>
      <c r="Y30" s="465"/>
      <c r="Z30" s="465"/>
      <c r="AA30" s="466"/>
      <c r="AC30" s="466"/>
      <c r="AD30" s="466"/>
      <c r="AE30" s="465"/>
      <c r="AF30" s="468"/>
      <c r="AH30" s="465"/>
    </row>
    <row r="31" spans="1:35" ht="15.75">
      <c r="A31" s="480"/>
      <c r="B31" s="480"/>
      <c r="C31" s="480"/>
      <c r="D31" s="480"/>
      <c r="E31" s="480"/>
      <c r="F31" s="527">
        <f t="shared" si="0"/>
        <v>25</v>
      </c>
      <c r="G31" s="530"/>
      <c r="H31" s="559" t="s">
        <v>1195</v>
      </c>
      <c r="I31" s="582"/>
      <c r="J31" s="581" t="s">
        <v>1215</v>
      </c>
      <c r="K31" s="581" t="s">
        <v>1215</v>
      </c>
      <c r="L31" s="530"/>
      <c r="M31" s="530"/>
      <c r="N31" s="530"/>
      <c r="O31" s="480"/>
      <c r="P31" s="480"/>
      <c r="R31" s="578">
        <v>1</v>
      </c>
      <c r="S31" s="577">
        <f ca="1">AI26/Investment*100</f>
        <v>232.55104905389808</v>
      </c>
      <c r="T31" s="576">
        <f ca="1">EXP(y_inter1-(slope*LN(+S31)))</f>
        <v>7.3684481855911663</v>
      </c>
      <c r="U31" s="575">
        <f ca="1">(+S31*T31/100)/100</f>
        <v>0.17135403554585177</v>
      </c>
      <c r="V31" s="575">
        <f>regDebt_weighted</f>
        <v>3.5860000000000003E-2</v>
      </c>
      <c r="W31" s="575">
        <f ca="1">+U31-V31</f>
        <v>0.13549403554585177</v>
      </c>
      <c r="X31" s="575">
        <f ca="1">+((W31*(1-0.34))-Pfd_weighted)/Equity_percent</f>
        <v>0.24196530075657602</v>
      </c>
      <c r="Y31" s="575">
        <f ca="1">+X31*equityP</f>
        <v>0.14517918045394559</v>
      </c>
      <c r="Z31" s="575">
        <f ca="1">+Y31/(1-taxrate)</f>
        <v>0.18377111449866529</v>
      </c>
      <c r="AA31" s="575">
        <f>debtP*Debt_Rate</f>
        <v>2.1000000000000001E-2</v>
      </c>
      <c r="AB31" s="575">
        <f ca="1">+AA31+Z31</f>
        <v>0.20477111449866528</v>
      </c>
      <c r="AC31" s="575">
        <f ca="1">+AB31/(S31/100)</f>
        <v>8.8054263926887602E-2</v>
      </c>
      <c r="AD31" s="575">
        <f ca="1">1-AC31</f>
        <v>0.91194573607311236</v>
      </c>
      <c r="AE31" s="572">
        <f ca="1">expenses/(AD31)</f>
        <v>2297601.1164229177</v>
      </c>
      <c r="AF31" s="574">
        <f ca="1">+AE31-Revenue</f>
        <v>18349.910422917921</v>
      </c>
      <c r="AG31" s="573">
        <f ca="1">+AF31/$J$49</f>
        <v>20519.422460495141</v>
      </c>
      <c r="AH31" s="573">
        <f ca="1">+AG31*$J$47</f>
        <v>412.44039145595235</v>
      </c>
      <c r="AI31" s="572">
        <f ca="1">ROUND(+AH31+AE31,5)</f>
        <v>2298013.55681</v>
      </c>
    </row>
    <row r="32" spans="1:35" ht="15.75">
      <c r="A32" s="480"/>
      <c r="B32" s="480"/>
      <c r="C32" s="480"/>
      <c r="D32" s="480"/>
      <c r="E32" s="480"/>
      <c r="F32" s="527">
        <f t="shared" si="0"/>
        <v>26</v>
      </c>
      <c r="G32" s="530"/>
      <c r="H32" s="534"/>
      <c r="I32" s="534"/>
      <c r="J32" s="534"/>
      <c r="K32" s="534"/>
      <c r="L32" s="530"/>
      <c r="M32" s="530"/>
      <c r="N32" s="530"/>
      <c r="O32" s="480"/>
      <c r="P32" s="480"/>
      <c r="R32" s="570">
        <v>2</v>
      </c>
      <c r="S32" s="565">
        <f ca="1">AI27/Investment*100</f>
        <v>232.17574902321988</v>
      </c>
      <c r="T32" s="569">
        <f ca="1">EXP(y_inter2-(slope*LN(+S32)))</f>
        <v>7.2716363632116234</v>
      </c>
      <c r="U32" s="563">
        <f ca="1">(+S32*T32/100)/100</f>
        <v>0.16882976192531413</v>
      </c>
      <c r="V32" s="563">
        <f>regDebt_weighted</f>
        <v>3.5860000000000003E-2</v>
      </c>
      <c r="W32" s="563">
        <f ca="1">+U32-V32</f>
        <v>0.13296976192531412</v>
      </c>
      <c r="X32" s="563">
        <f ca="1">+((W32*(1-0.34))-Pfd_weighted)/Equity_percent</f>
        <v>0.23712221764740499</v>
      </c>
      <c r="Y32" s="563">
        <f ca="1">+X32*equityP</f>
        <v>0.14227333058844299</v>
      </c>
      <c r="Z32" s="563">
        <f ca="1">+Y32/(1-taxrate)</f>
        <v>0.18009282352967468</v>
      </c>
      <c r="AA32" s="563">
        <f>debtP*Debt_Rate</f>
        <v>2.1000000000000001E-2</v>
      </c>
      <c r="AB32" s="563">
        <f ca="1">+AA32+Z32</f>
        <v>0.20109282352967467</v>
      </c>
      <c r="AC32" s="563">
        <f ca="1">+AB32/(S32/100)</f>
        <v>8.661232896876038E-2</v>
      </c>
      <c r="AD32" s="563">
        <f ca="1">1-AC32</f>
        <v>0.91338767103123963</v>
      </c>
      <c r="AE32" s="560">
        <f ca="1">expenses/(AD32)</f>
        <v>2293973.9694023519</v>
      </c>
      <c r="AF32" s="562">
        <f ca="1">+AE32-Revenue</f>
        <v>14722.76340235211</v>
      </c>
      <c r="AG32" s="561">
        <f ca="1">+AF32/$J$49</f>
        <v>16463.437427000841</v>
      </c>
      <c r="AH32" s="561">
        <f ca="1">+AG32*$J$47</f>
        <v>330.9150922827169</v>
      </c>
      <c r="AI32" s="560">
        <f ca="1">ROUND(+AH32+AE32,5)</f>
        <v>2294304.8844900001</v>
      </c>
    </row>
    <row r="33" spans="1:46" ht="15.75">
      <c r="A33" s="480"/>
      <c r="B33" s="480"/>
      <c r="C33" s="480"/>
      <c r="D33" s="480"/>
      <c r="E33" s="480"/>
      <c r="F33" s="527">
        <f t="shared" si="0"/>
        <v>27</v>
      </c>
      <c r="G33" s="530"/>
      <c r="H33" s="534" t="s">
        <v>1192</v>
      </c>
      <c r="I33" s="534"/>
      <c r="J33" s="568">
        <f ca="1">+K9/J28</f>
        <v>0.19859521659681875</v>
      </c>
      <c r="K33" s="568">
        <f ca="1">+(M14+M11)/J28</f>
        <v>0.16130022111148706</v>
      </c>
      <c r="L33" s="530"/>
      <c r="M33" s="530"/>
      <c r="N33" s="530"/>
      <c r="O33" s="480"/>
      <c r="P33" s="480"/>
      <c r="R33" s="536">
        <v>3</v>
      </c>
      <c r="S33" s="565">
        <f ca="1">AI28/Investment*100</f>
        <v>231.92313385261451</v>
      </c>
      <c r="T33" s="566">
        <f ca="1">EXP(y_inter3-(slope*LN(S33)))</f>
        <v>7.2062997728872302</v>
      </c>
      <c r="U33" s="563">
        <f ca="1">(+S33*T33/100)/100</f>
        <v>0.16713076268093907</v>
      </c>
      <c r="V33" s="563">
        <f>regDebt_weighted</f>
        <v>3.5860000000000003E-2</v>
      </c>
      <c r="W33" s="563">
        <f ca="1">+U33-V33</f>
        <v>0.13127076268093907</v>
      </c>
      <c r="X33" s="563">
        <f ca="1">+((W33*(1-0.34))-Pfd_weighted)/Equity_percent</f>
        <v>0.23386250979482492</v>
      </c>
      <c r="Y33" s="563">
        <f ca="1">+X33*equityP</f>
        <v>0.14031750587689495</v>
      </c>
      <c r="Z33" s="563">
        <f ca="1">+Y33/(1-taxrate)</f>
        <v>0.17761709604670248</v>
      </c>
      <c r="AA33" s="563">
        <f>debtP*Debt_Rate</f>
        <v>2.1000000000000001E-2</v>
      </c>
      <c r="AB33" s="563">
        <f ca="1">+AA33+Z33</f>
        <v>0.19861709604670247</v>
      </c>
      <c r="AC33" s="563">
        <f ca="1">+AB33/(S33/100)</f>
        <v>8.563919120415224E-2</v>
      </c>
      <c r="AD33" s="563">
        <f ca="1">1-AC33</f>
        <v>0.9143608087958478</v>
      </c>
      <c r="AE33" s="560">
        <f ca="1">expenses/(AD33)</f>
        <v>2291532.5341623686</v>
      </c>
      <c r="AF33" s="562">
        <f ca="1">+AE33-Revenue</f>
        <v>12281.328162368853</v>
      </c>
      <c r="AG33" s="561">
        <f ca="1">+AF33/$J$49</f>
        <v>13733.351015429649</v>
      </c>
      <c r="AH33" s="561">
        <f ca="1">+AG33*$J$47</f>
        <v>276.04035541013593</v>
      </c>
      <c r="AI33" s="560">
        <f ca="1">ROUND(+AH33+AE33,5)</f>
        <v>2291808.5745199998</v>
      </c>
    </row>
    <row r="34" spans="1:46" ht="15.75">
      <c r="A34" s="480"/>
      <c r="B34" s="480"/>
      <c r="C34" s="480"/>
      <c r="D34" s="480"/>
      <c r="E34" s="480"/>
      <c r="F34" s="527">
        <f t="shared" si="0"/>
        <v>28</v>
      </c>
      <c r="G34" s="530"/>
      <c r="H34" s="534" t="s">
        <v>1191</v>
      </c>
      <c r="I34" s="534"/>
      <c r="J34" s="568">
        <f ca="1">+(M9-M11)/J26</f>
        <v>0.29599202766136495</v>
      </c>
      <c r="K34" s="568">
        <f ca="1">+M14/J26</f>
        <v>0.23383370185247845</v>
      </c>
      <c r="L34" s="530"/>
      <c r="M34" s="530"/>
      <c r="N34" s="530"/>
      <c r="O34" s="580"/>
      <c r="P34" s="480"/>
      <c r="R34" s="542">
        <v>4</v>
      </c>
      <c r="S34" s="565">
        <f ca="1">AI29/Investment*100</f>
        <v>231.76162536764409</v>
      </c>
      <c r="T34" s="564">
        <f ca="1">EXP(y_inter4-(slope*LN(S34)))</f>
        <v>7.1644541629027962</v>
      </c>
      <c r="U34" s="563">
        <f ca="1">(+S34*T34/100)/100</f>
        <v>0.16604455416663361</v>
      </c>
      <c r="V34" s="563">
        <f>regDebt_weighted</f>
        <v>3.5860000000000003E-2</v>
      </c>
      <c r="W34" s="563">
        <f ca="1">+U34-V34</f>
        <v>0.1301845541666336</v>
      </c>
      <c r="X34" s="563">
        <f ca="1">+((W34*(1-0.34))-Pfd_weighted)/Equity_percent</f>
        <v>0.23177850508714584</v>
      </c>
      <c r="Y34" s="563">
        <f ca="1">+X34*equityP</f>
        <v>0.13906710305228751</v>
      </c>
      <c r="Z34" s="563">
        <f ca="1">+Y34/(1-taxrate)</f>
        <v>0.17603430766112341</v>
      </c>
      <c r="AA34" s="563">
        <f>debtP*Debt_Rate</f>
        <v>2.1000000000000001E-2</v>
      </c>
      <c r="AB34" s="563">
        <f ca="1">+AA34+Z34</f>
        <v>0.1970343076611234</v>
      </c>
      <c r="AC34" s="563">
        <f ca="1">+AB34/(S34/100)</f>
        <v>8.5015932792397081E-2</v>
      </c>
      <c r="AD34" s="563">
        <f ca="1">1-AC34</f>
        <v>0.91498406720760295</v>
      </c>
      <c r="AE34" s="560">
        <f ca="1">expenses/(AD34)</f>
        <v>2289971.6141650556</v>
      </c>
      <c r="AF34" s="562">
        <f ca="1">+AE34-Revenue</f>
        <v>10720.408165055793</v>
      </c>
      <c r="AG34" s="561">
        <f ca="1">+AF34/$J$49</f>
        <v>11987.883265794255</v>
      </c>
      <c r="AH34" s="561">
        <f ca="1">+AG34*$J$47</f>
        <v>240.95645364246451</v>
      </c>
      <c r="AI34" s="560">
        <f ca="1">ROUND(+AH34+AE34,5)</f>
        <v>2290212.5706199999</v>
      </c>
    </row>
    <row r="35" spans="1:46" ht="15.75">
      <c r="A35" s="480"/>
      <c r="B35" s="480"/>
      <c r="C35" s="480"/>
      <c r="D35" s="480"/>
      <c r="E35" s="480"/>
      <c r="F35" s="527">
        <f t="shared" si="0"/>
        <v>29</v>
      </c>
      <c r="G35" s="530"/>
      <c r="H35" s="579" t="s">
        <v>1190</v>
      </c>
      <c r="I35" s="534"/>
      <c r="J35" s="568">
        <f ca="1">+K8/K7</f>
        <v>0.91435999999999984</v>
      </c>
      <c r="K35" s="568">
        <f ca="1">+M8/M7</f>
        <v>0.91437031673264413</v>
      </c>
      <c r="L35" s="530"/>
      <c r="M35" s="530"/>
      <c r="N35" s="530"/>
      <c r="O35" s="480"/>
      <c r="P35" s="480"/>
      <c r="R35" s="462" t="s">
        <v>1214</v>
      </c>
      <c r="X35" s="466"/>
      <c r="Y35" s="467"/>
      <c r="Z35" s="465"/>
      <c r="AA35" s="466"/>
      <c r="AC35" s="466"/>
      <c r="AD35" s="466"/>
      <c r="AE35" s="465"/>
      <c r="AF35" s="468"/>
      <c r="AH35" s="465"/>
    </row>
    <row r="36" spans="1:46" ht="15.75">
      <c r="A36" s="480"/>
      <c r="B36" s="480"/>
      <c r="C36" s="480"/>
      <c r="D36" s="480"/>
      <c r="E36" s="480"/>
      <c r="F36" s="527">
        <f t="shared" si="0"/>
        <v>30</v>
      </c>
      <c r="G36" s="530"/>
      <c r="H36" s="534" t="s">
        <v>1189</v>
      </c>
      <c r="I36" s="534"/>
      <c r="J36" s="568">
        <f ca="1">+K9/K7</f>
        <v>8.5640000000000105E-2</v>
      </c>
      <c r="K36" s="568">
        <f ca="1">+J36</f>
        <v>8.5640000000000105E-2</v>
      </c>
      <c r="L36" s="530"/>
      <c r="M36" s="530"/>
      <c r="N36" s="530"/>
      <c r="O36" s="480"/>
      <c r="P36" s="480"/>
      <c r="R36" s="578">
        <v>1</v>
      </c>
      <c r="S36" s="577">
        <f ca="1">AI31/Investment*100</f>
        <v>232.55104739225069</v>
      </c>
      <c r="T36" s="576">
        <f ca="1">EXP(y_inter1-(slope*LN(+S36)))</f>
        <v>7.3684482215862479</v>
      </c>
      <c r="U36" s="575">
        <f ca="1">(+S36*T36/100)/100</f>
        <v>0.17135403515854489</v>
      </c>
      <c r="V36" s="575">
        <f>regDebt_weighted</f>
        <v>3.5860000000000003E-2</v>
      </c>
      <c r="W36" s="575">
        <f ca="1">+U36-V36</f>
        <v>0.13549403515854488</v>
      </c>
      <c r="X36" s="575">
        <f ca="1">+((W36*(1-0.34))-Pfd_weighted)/Equity_percent</f>
        <v>0.24196530001348726</v>
      </c>
      <c r="Y36" s="575">
        <f ca="1">+X36*equityP</f>
        <v>0.14517918000809235</v>
      </c>
      <c r="Z36" s="575">
        <f ca="1">+Y36/(1-taxrate)</f>
        <v>0.1837711139342941</v>
      </c>
      <c r="AA36" s="575">
        <f>debtP*Debt_Rate</f>
        <v>2.1000000000000001E-2</v>
      </c>
      <c r="AB36" s="575">
        <f ca="1">+AA36+Z36</f>
        <v>0.20477111393429409</v>
      </c>
      <c r="AC36" s="575">
        <f ca="1">+AB36/(S36/100)</f>
        <v>8.8054264313374875E-2</v>
      </c>
      <c r="AD36" s="575">
        <f ca="1">1-AC36</f>
        <v>0.91194573568662518</v>
      </c>
      <c r="AE36" s="572">
        <f ca="1">expenses/(AD36)</f>
        <v>2297601.1173966522</v>
      </c>
      <c r="AF36" s="574">
        <f ca="1">+AE36-Revenue</f>
        <v>18349.91139665246</v>
      </c>
      <c r="AG36" s="573">
        <f ca="1">+AF36/$J$49</f>
        <v>20519.423549354426</v>
      </c>
      <c r="AH36" s="573">
        <f ca="1">+AG36*$J$47</f>
        <v>412.44041334202393</v>
      </c>
      <c r="AI36" s="572">
        <f ca="1">ROUND(+AH36+AE36,5)</f>
        <v>2298013.5578100001</v>
      </c>
    </row>
    <row r="37" spans="1:46" ht="15.75">
      <c r="A37" s="480"/>
      <c r="B37" s="480"/>
      <c r="C37" s="480"/>
      <c r="D37" s="480"/>
      <c r="E37" s="480"/>
      <c r="F37" s="527">
        <f t="shared" si="0"/>
        <v>31</v>
      </c>
      <c r="G37" s="530"/>
      <c r="H37" s="534" t="s">
        <v>1188</v>
      </c>
      <c r="I37" s="533"/>
      <c r="J37" s="571">
        <f ca="1">+S39/100</f>
        <v>2.3176161449103869</v>
      </c>
      <c r="K37" s="571">
        <f ca="1">+J37</f>
        <v>2.3176161449103869</v>
      </c>
      <c r="L37" s="530"/>
      <c r="M37" s="530"/>
      <c r="N37" s="530"/>
      <c r="O37" s="480"/>
      <c r="P37" s="480"/>
      <c r="R37" s="570">
        <v>2</v>
      </c>
      <c r="S37" s="565">
        <f ca="1">AI32/Investment*100</f>
        <v>232.17574254259267</v>
      </c>
      <c r="T37" s="569">
        <f ca="1">EXP(y_inter2-(slope*LN(+S37)))</f>
        <v>7.2716365019762845</v>
      </c>
      <c r="U37" s="563">
        <f ca="1">(+S37*T37/100)/100</f>
        <v>0.1688297604346165</v>
      </c>
      <c r="V37" s="563">
        <f>regDebt_weighted</f>
        <v>3.5860000000000003E-2</v>
      </c>
      <c r="W37" s="563">
        <f ca="1">+U37-V37</f>
        <v>0.1329697604346165</v>
      </c>
      <c r="X37" s="563">
        <f ca="1">+((W37*(1-0.34))-Pfd_weighted)/Equity_percent</f>
        <v>0.2371222147873456</v>
      </c>
      <c r="Y37" s="563">
        <f ca="1">+X37*equityP</f>
        <v>0.14227332887240735</v>
      </c>
      <c r="Z37" s="563">
        <f ca="1">+Y37/(1-taxrate)</f>
        <v>0.18009282135747764</v>
      </c>
      <c r="AA37" s="563">
        <f>debtP*Debt_Rate</f>
        <v>2.1000000000000001E-2</v>
      </c>
      <c r="AB37" s="563">
        <f ca="1">+AA37+Z37</f>
        <v>0.20109282135747764</v>
      </c>
      <c r="AC37" s="563">
        <f ca="1">+AB37/(S37/100)</f>
        <v>8.6612330450752034E-2</v>
      </c>
      <c r="AD37" s="563">
        <f ca="1">1-AC37</f>
        <v>0.91338766954924799</v>
      </c>
      <c r="AE37" s="560">
        <f ca="1">expenses/(AD37)</f>
        <v>2293973.9731243751</v>
      </c>
      <c r="AF37" s="562">
        <f ca="1">+AE37-Revenue</f>
        <v>14722.767124375328</v>
      </c>
      <c r="AG37" s="561">
        <f ca="1">+AF37/$J$49</f>
        <v>16463.441589079295</v>
      </c>
      <c r="AH37" s="561">
        <f ca="1">+AG37*$J$47</f>
        <v>330.91517594049384</v>
      </c>
      <c r="AI37" s="560">
        <f ca="1">ROUND(+AH37+AE37,5)</f>
        <v>2294304.8883000002</v>
      </c>
    </row>
    <row r="38" spans="1:46" ht="15.75">
      <c r="A38" s="480"/>
      <c r="B38" s="480"/>
      <c r="C38" s="480"/>
      <c r="D38" s="480"/>
      <c r="E38" s="480"/>
      <c r="F38" s="527">
        <f t="shared" si="0"/>
        <v>32</v>
      </c>
      <c r="G38" s="530"/>
      <c r="H38" s="534" t="s">
        <v>179</v>
      </c>
      <c r="I38" s="530"/>
      <c r="J38" s="568">
        <f>+C10</f>
        <v>0.21</v>
      </c>
      <c r="K38" s="568">
        <f>+J38</f>
        <v>0.21</v>
      </c>
      <c r="L38" s="530"/>
      <c r="M38" s="530"/>
      <c r="N38" s="530"/>
      <c r="O38" s="480"/>
      <c r="P38" s="480"/>
      <c r="Q38" s="567"/>
      <c r="R38" s="536">
        <v>3</v>
      </c>
      <c r="S38" s="565">
        <f ca="1">AI33/Investment*100</f>
        <v>231.92312458199845</v>
      </c>
      <c r="T38" s="566">
        <f ca="1">EXP(y_inter3-(slope*LN(S38)))</f>
        <v>7.2062999698224486</v>
      </c>
      <c r="U38" s="563">
        <f ca="1">(+S38*T38/100)/100</f>
        <v>0.16713076056763834</v>
      </c>
      <c r="V38" s="563">
        <f>regDebt_weighted</f>
        <v>3.5860000000000003E-2</v>
      </c>
      <c r="W38" s="563">
        <f ca="1">+U38-V38</f>
        <v>0.13127076056763834</v>
      </c>
      <c r="X38" s="563">
        <f ca="1">+((W38*(1-0.34))-Pfd_weighted)/Equity_percent</f>
        <v>0.23386250574023634</v>
      </c>
      <c r="Y38" s="563">
        <f ca="1">+X38*equityP</f>
        <v>0.14031750344414179</v>
      </c>
      <c r="Z38" s="563">
        <f ca="1">+Y38/(1-taxrate)</f>
        <v>0.17761709296726808</v>
      </c>
      <c r="AA38" s="563">
        <f>debtP*Debt_Rate</f>
        <v>2.1000000000000001E-2</v>
      </c>
      <c r="AB38" s="563">
        <f ca="1">+AA38+Z38</f>
        <v>0.19861709296726807</v>
      </c>
      <c r="AC38" s="563">
        <f ca="1">+AB38/(S38/100)</f>
        <v>8.5639193299607883E-2</v>
      </c>
      <c r="AD38" s="563">
        <f ca="1">1-AC38</f>
        <v>0.9143608067003921</v>
      </c>
      <c r="AE38" s="560">
        <f ca="1">expenses/(AD38)</f>
        <v>2291532.5394139118</v>
      </c>
      <c r="AF38" s="562">
        <f ca="1">+AE38-Revenue</f>
        <v>12281.333413911983</v>
      </c>
      <c r="AG38" s="561">
        <f ca="1">+AF38/$J$49</f>
        <v>13733.356887863334</v>
      </c>
      <c r="AH38" s="561">
        <f ca="1">+AG38*$J$47</f>
        <v>276.040473446053</v>
      </c>
      <c r="AI38" s="560">
        <f ca="1">ROUND(+AH38+AE38,5)</f>
        <v>2291808.5798900002</v>
      </c>
    </row>
    <row r="39" spans="1:46" ht="15.75">
      <c r="A39" s="480"/>
      <c r="B39" s="480"/>
      <c r="C39" s="480"/>
      <c r="D39" s="480"/>
      <c r="E39" s="480"/>
      <c r="F39" s="527">
        <f t="shared" si="0"/>
        <v>33</v>
      </c>
      <c r="G39" s="530"/>
      <c r="H39" s="530"/>
      <c r="I39" s="530"/>
      <c r="J39" s="530"/>
      <c r="K39" s="530"/>
      <c r="L39" s="530"/>
      <c r="M39" s="530"/>
      <c r="N39" s="530"/>
      <c r="O39" s="480"/>
      <c r="P39" s="480"/>
      <c r="R39" s="542">
        <v>4</v>
      </c>
      <c r="S39" s="565">
        <f ca="1">AI34/Investment*100</f>
        <v>231.7616144910387</v>
      </c>
      <c r="T39" s="564">
        <f ca="1">EXP(y_inter4-(slope*LN(S39)))</f>
        <v>7.1644543927723738</v>
      </c>
      <c r="U39" s="563">
        <f ca="1">(+S39*T39/100)/100</f>
        <v>0.16604455170163399</v>
      </c>
      <c r="V39" s="563">
        <f>regDebt_weighted</f>
        <v>3.5860000000000003E-2</v>
      </c>
      <c r="W39" s="563">
        <f ca="1">+U39-V39</f>
        <v>0.13018455170163398</v>
      </c>
      <c r="X39" s="563">
        <f ca="1">+((W39*(1-0.34))-Pfd_weighted)/Equity_percent</f>
        <v>0.2317785003577861</v>
      </c>
      <c r="Y39" s="563">
        <f ca="1">+X39*equityP</f>
        <v>0.13906710021467167</v>
      </c>
      <c r="Z39" s="563">
        <f ca="1">+Y39/(1-taxrate)</f>
        <v>0.17603430406920464</v>
      </c>
      <c r="AA39" s="563">
        <f>debtP*Debt_Rate</f>
        <v>2.1000000000000001E-2</v>
      </c>
      <c r="AB39" s="563">
        <f ca="1">+AA39+Z39</f>
        <v>0.19703430406920464</v>
      </c>
      <c r="AC39" s="563">
        <f ca="1">+AB39/(S39/100)</f>
        <v>8.501593523237351E-2</v>
      </c>
      <c r="AD39" s="563">
        <f ca="1">1-AC39</f>
        <v>0.9149840647676265</v>
      </c>
      <c r="AE39" s="560">
        <f ca="1">expenses/(AD39)</f>
        <v>2289971.6202716939</v>
      </c>
      <c r="AF39" s="562">
        <f ca="1">+AE39-Revenue</f>
        <v>10720.414271694142</v>
      </c>
      <c r="AG39" s="561">
        <f ca="1">+AF39/$J$49</f>
        <v>11987.890094421165</v>
      </c>
      <c r="AH39" s="561">
        <f ca="1">+AG39*$J$47</f>
        <v>240.95659089786542</v>
      </c>
      <c r="AI39" s="560">
        <f ca="1">ROUND(+AH39+AE39,5)</f>
        <v>2290212.5768599999</v>
      </c>
    </row>
    <row r="40" spans="1:46" ht="15.75">
      <c r="A40" s="480"/>
      <c r="B40" s="480"/>
      <c r="C40" s="480"/>
      <c r="D40" s="480"/>
      <c r="E40" s="480"/>
      <c r="F40" s="527">
        <f t="shared" si="0"/>
        <v>34</v>
      </c>
      <c r="G40" s="533"/>
      <c r="H40" s="530"/>
      <c r="I40" s="530"/>
      <c r="J40" s="530"/>
      <c r="K40" s="530"/>
      <c r="L40" s="530"/>
      <c r="M40" s="530"/>
      <c r="N40" s="530"/>
      <c r="O40" s="480"/>
      <c r="P40" s="480"/>
      <c r="X40" s="466"/>
      <c r="Y40" s="467"/>
      <c r="Z40" s="465"/>
      <c r="AA40" s="466"/>
      <c r="AC40" s="466"/>
      <c r="AD40" s="466"/>
      <c r="AE40" s="465"/>
      <c r="AF40" s="468"/>
      <c r="AH40" s="465"/>
    </row>
    <row r="41" spans="1:46" ht="15.75">
      <c r="A41" s="480"/>
      <c r="B41" s="480"/>
      <c r="C41" s="480"/>
      <c r="D41" s="480"/>
      <c r="E41" s="480"/>
      <c r="F41" s="527">
        <f t="shared" si="0"/>
        <v>35</v>
      </c>
      <c r="G41" s="530"/>
      <c r="H41" s="559" t="s">
        <v>1213</v>
      </c>
      <c r="I41" s="558"/>
      <c r="J41" s="530"/>
      <c r="K41" s="530"/>
      <c r="L41" s="530"/>
      <c r="M41" s="530"/>
      <c r="N41" s="530"/>
      <c r="O41" s="480"/>
      <c r="P41" s="480"/>
      <c r="R41" s="557" t="s">
        <v>1212</v>
      </c>
      <c r="S41" s="556"/>
      <c r="T41" s="485"/>
      <c r="U41" s="485"/>
      <c r="V41" s="484"/>
      <c r="X41" s="555"/>
      <c r="Y41" s="467"/>
      <c r="Z41" s="465"/>
      <c r="AA41" s="466"/>
      <c r="AC41" s="466"/>
      <c r="AD41" s="466"/>
      <c r="AE41" s="465"/>
      <c r="AF41" s="468"/>
      <c r="AH41" s="465"/>
    </row>
    <row r="42" spans="1:46" ht="15.75">
      <c r="A42" s="480"/>
      <c r="B42" s="480"/>
      <c r="C42" s="480"/>
      <c r="D42" s="480"/>
      <c r="E42" s="480"/>
      <c r="F42" s="527">
        <f t="shared" si="0"/>
        <v>36</v>
      </c>
      <c r="G42" s="530"/>
      <c r="H42" s="530"/>
      <c r="I42" s="530"/>
      <c r="J42" s="554" t="s">
        <v>453</v>
      </c>
      <c r="K42" s="553" t="s">
        <v>1211</v>
      </c>
      <c r="L42" s="530"/>
      <c r="M42" s="530"/>
      <c r="N42" s="530"/>
      <c r="O42" s="480"/>
      <c r="P42" s="480"/>
      <c r="R42" s="552" t="s">
        <v>1210</v>
      </c>
      <c r="S42" s="551"/>
      <c r="T42" s="475"/>
      <c r="U42" s="475"/>
      <c r="V42" s="519"/>
      <c r="X42" s="466"/>
      <c r="Y42" s="467"/>
      <c r="Z42" s="465"/>
      <c r="AA42" s="466"/>
      <c r="AC42" s="466"/>
      <c r="AD42" s="466"/>
      <c r="AE42" s="465"/>
      <c r="AH42" s="465"/>
    </row>
    <row r="43" spans="1:46" ht="15.75">
      <c r="A43" s="480"/>
      <c r="B43" s="480"/>
      <c r="C43" s="480"/>
      <c r="D43" s="480"/>
      <c r="E43" s="480"/>
      <c r="F43" s="527">
        <f t="shared" si="0"/>
        <v>37</v>
      </c>
      <c r="G43" s="530"/>
      <c r="H43" s="534" t="s">
        <v>175</v>
      </c>
      <c r="I43" s="545"/>
      <c r="J43" s="544">
        <f>IF($A$65=TRUE,C11,0)</f>
        <v>1.7500000000000002E-2</v>
      </c>
      <c r="K43" s="543">
        <f ca="1">+J43*($J$7/$J$49)</f>
        <v>206.03426454628573</v>
      </c>
      <c r="L43" s="530"/>
      <c r="M43" s="530"/>
      <c r="N43" s="530"/>
      <c r="O43" s="480"/>
      <c r="P43" s="480"/>
      <c r="R43" s="536">
        <v>0</v>
      </c>
      <c r="S43" s="549">
        <v>1</v>
      </c>
      <c r="T43" s="475"/>
      <c r="U43" s="550" t="s">
        <v>1189</v>
      </c>
      <c r="V43" s="476">
        <f ca="1">VLOOKUP(R49,R36:AE39,12)</f>
        <v>8.5639193299607883E-2</v>
      </c>
      <c r="AA43" s="466"/>
      <c r="AC43" s="466"/>
      <c r="AH43" s="465"/>
      <c r="AL43" s="466"/>
      <c r="AM43" s="466"/>
      <c r="AN43" s="466"/>
      <c r="AO43" s="466"/>
      <c r="AP43" s="466"/>
      <c r="AQ43" s="466"/>
      <c r="AR43" s="466"/>
      <c r="AS43" s="466"/>
      <c r="AT43" s="466"/>
    </row>
    <row r="44" spans="1:46" ht="15.75">
      <c r="A44" s="480"/>
      <c r="B44" s="480"/>
      <c r="C44" s="480"/>
      <c r="D44" s="480"/>
      <c r="E44" s="480"/>
      <c r="F44" s="527">
        <f t="shared" si="0"/>
        <v>38</v>
      </c>
      <c r="G44" s="530"/>
      <c r="H44" s="534" t="s">
        <v>177</v>
      </c>
      <c r="I44" s="545"/>
      <c r="J44" s="544">
        <f>IF($A$65=TRUE,C12,0)</f>
        <v>5.1000000000000004E-3</v>
      </c>
      <c r="K44" s="543">
        <f ca="1">+J44*($J$7/$J$49)</f>
        <v>70.051649945737154</v>
      </c>
      <c r="L44" s="530"/>
      <c r="M44" s="530"/>
      <c r="N44" s="530"/>
      <c r="O44" s="480"/>
      <c r="P44" s="480"/>
      <c r="R44" s="536">
        <v>50</v>
      </c>
      <c r="S44" s="549">
        <v>2</v>
      </c>
      <c r="T44" s="475"/>
      <c r="U44" s="550" t="s">
        <v>1190</v>
      </c>
      <c r="V44" s="476">
        <f ca="1">ROUND(1-V43,5)</f>
        <v>0.91435999999999995</v>
      </c>
      <c r="Y44" s="546"/>
      <c r="Z44" s="462"/>
      <c r="AA44" s="462"/>
      <c r="AC44" s="466"/>
      <c r="AF44" s="468"/>
      <c r="AH44" s="465"/>
      <c r="AL44" s="466"/>
      <c r="AM44" s="466"/>
      <c r="AN44" s="466"/>
      <c r="AO44" s="466"/>
      <c r="AP44" s="466"/>
      <c r="AQ44" s="466"/>
      <c r="AR44" s="466"/>
      <c r="AS44" s="466"/>
      <c r="AT44" s="466"/>
    </row>
    <row r="45" spans="1:46" ht="15.75">
      <c r="A45" s="480"/>
      <c r="B45" s="480"/>
      <c r="C45" s="480"/>
      <c r="D45" s="480"/>
      <c r="E45" s="480"/>
      <c r="F45" s="527">
        <f t="shared" si="0"/>
        <v>39</v>
      </c>
      <c r="G45" s="530"/>
      <c r="H45" s="534" t="s">
        <v>178</v>
      </c>
      <c r="I45" s="545"/>
      <c r="J45" s="544">
        <f>IF($A$65=TRUE,C13,0)</f>
        <v>0</v>
      </c>
      <c r="K45" s="543">
        <f ca="1">+J45*($J$7/$J$49)</f>
        <v>0</v>
      </c>
      <c r="L45" s="530"/>
      <c r="M45" s="530"/>
      <c r="N45" s="530"/>
      <c r="O45" s="480"/>
      <c r="P45" s="480"/>
      <c r="R45" s="536">
        <v>125</v>
      </c>
      <c r="S45" s="549">
        <v>3</v>
      </c>
      <c r="T45" s="475"/>
      <c r="U45" s="520" t="s">
        <v>1209</v>
      </c>
      <c r="V45" s="548">
        <f ca="1">+M7/Revenue-1</f>
        <v>5.5103364717628001E-3</v>
      </c>
      <c r="W45" s="547"/>
      <c r="X45" s="466"/>
      <c r="Y45" s="546"/>
      <c r="Z45" s="465"/>
      <c r="AA45" s="466"/>
      <c r="AC45" s="466"/>
      <c r="AD45" s="466"/>
      <c r="AE45" s="465"/>
      <c r="AF45" s="468"/>
      <c r="AH45" s="465"/>
      <c r="AL45" s="466"/>
      <c r="AM45" s="466"/>
      <c r="AN45" s="466"/>
      <c r="AO45" s="466"/>
      <c r="AP45" s="466"/>
      <c r="AQ45" s="466"/>
      <c r="AR45" s="466"/>
      <c r="AS45" s="466"/>
      <c r="AT45" s="466"/>
    </row>
    <row r="46" spans="1:46" ht="15.75">
      <c r="A46" s="480"/>
      <c r="B46" s="480"/>
      <c r="C46" s="480"/>
      <c r="D46" s="480"/>
      <c r="E46" s="480"/>
      <c r="F46" s="527">
        <f t="shared" si="0"/>
        <v>40</v>
      </c>
      <c r="G46" s="530"/>
      <c r="H46" s="534" t="s">
        <v>180</v>
      </c>
      <c r="I46" s="545"/>
      <c r="J46" s="544">
        <f>IF($A$65=TRUE,C14,0)</f>
        <v>0</v>
      </c>
      <c r="K46" s="543">
        <f ca="1">+J46*($J$7/$J$49)</f>
        <v>0</v>
      </c>
      <c r="L46" s="530"/>
      <c r="M46" s="530"/>
      <c r="N46" s="530"/>
      <c r="O46" s="480"/>
      <c r="P46" s="480"/>
      <c r="R46" s="542">
        <v>401</v>
      </c>
      <c r="S46" s="541">
        <v>4</v>
      </c>
      <c r="T46" s="540"/>
      <c r="U46" s="540"/>
      <c r="V46" s="539"/>
      <c r="X46" s="466"/>
      <c r="Y46" s="467"/>
      <c r="Z46" s="465"/>
      <c r="AA46" s="466"/>
      <c r="AC46" s="466"/>
      <c r="AD46" s="466"/>
      <c r="AE46" s="465"/>
      <c r="AF46" s="468"/>
      <c r="AH46" s="465"/>
      <c r="AL46" s="466"/>
      <c r="AM46" s="466"/>
      <c r="AN46" s="466"/>
      <c r="AO46" s="466"/>
      <c r="AP46" s="466"/>
      <c r="AQ46" s="466"/>
      <c r="AR46" s="466"/>
      <c r="AS46" s="466"/>
      <c r="AT46" s="466"/>
    </row>
    <row r="47" spans="1:46" ht="16.5" thickBot="1">
      <c r="A47" s="480"/>
      <c r="B47" s="480"/>
      <c r="C47" s="480"/>
      <c r="D47" s="480"/>
      <c r="E47" s="480"/>
      <c r="F47" s="527">
        <f t="shared" si="0"/>
        <v>41</v>
      </c>
      <c r="G47" s="530"/>
      <c r="H47" s="534" t="s">
        <v>182</v>
      </c>
      <c r="I47" s="533"/>
      <c r="J47" s="538">
        <f>SUM(J43:J46)</f>
        <v>2.2600000000000002E-2</v>
      </c>
      <c r="K47" s="537">
        <f ca="1">+K43+K44+K45+K46</f>
        <v>276.08591449202288</v>
      </c>
      <c r="L47" s="530"/>
      <c r="M47" s="530"/>
      <c r="N47" s="530"/>
      <c r="O47" s="480"/>
      <c r="P47" s="480"/>
      <c r="R47" s="536"/>
      <c r="S47" s="535"/>
      <c r="T47" s="475"/>
      <c r="U47" s="475"/>
      <c r="V47" s="475"/>
      <c r="X47" s="466"/>
      <c r="Y47" s="467"/>
      <c r="Z47" s="465"/>
      <c r="AA47" s="466"/>
      <c r="AC47" s="466"/>
      <c r="AD47" s="466"/>
      <c r="AE47" s="465"/>
      <c r="AF47" s="468"/>
      <c r="AH47" s="465"/>
      <c r="AL47" s="466"/>
      <c r="AM47" s="466"/>
      <c r="AN47" s="466"/>
      <c r="AO47" s="466"/>
      <c r="AP47" s="466"/>
      <c r="AQ47" s="466"/>
      <c r="AR47" s="466"/>
      <c r="AS47" s="466"/>
      <c r="AT47" s="466"/>
    </row>
    <row r="48" spans="1:46" ht="16.5" thickTop="1">
      <c r="A48" s="480"/>
      <c r="B48" s="480"/>
      <c r="C48" s="480"/>
      <c r="D48" s="480"/>
      <c r="E48" s="480"/>
      <c r="F48" s="527">
        <f t="shared" si="0"/>
        <v>42</v>
      </c>
      <c r="G48" s="530"/>
      <c r="H48" s="534"/>
      <c r="I48" s="533"/>
      <c r="J48" s="532"/>
      <c r="K48" s="531"/>
      <c r="L48" s="530"/>
      <c r="M48" s="530"/>
      <c r="N48" s="530"/>
      <c r="O48" s="480"/>
      <c r="P48" s="480"/>
      <c r="R48" s="529">
        <f ca="1">VLOOKUP(R49,R36:S39,2)</f>
        <v>231.92312458199845</v>
      </c>
      <c r="S48" s="528" t="s">
        <v>1208</v>
      </c>
      <c r="T48" s="484"/>
      <c r="V48" s="485"/>
      <c r="X48" s="461" t="s">
        <v>147</v>
      </c>
      <c r="AC48" s="466"/>
      <c r="AF48" s="468"/>
      <c r="AH48" s="465"/>
    </row>
    <row r="49" spans="1:46" ht="15.75">
      <c r="A49" s="480"/>
      <c r="B49" s="480"/>
      <c r="C49" s="480"/>
      <c r="D49" s="480"/>
      <c r="E49" s="480"/>
      <c r="F49" s="527">
        <f t="shared" si="0"/>
        <v>43</v>
      </c>
      <c r="G49" s="526"/>
      <c r="H49" s="525" t="s">
        <v>183</v>
      </c>
      <c r="I49" s="523"/>
      <c r="J49" s="524">
        <f ca="1">((K35)-J47)</f>
        <v>0.89427031673264412</v>
      </c>
      <c r="K49" s="523"/>
      <c r="L49" s="523"/>
      <c r="M49" s="523"/>
      <c r="N49" s="523"/>
      <c r="O49" s="480"/>
      <c r="P49" s="480"/>
      <c r="R49" s="521">
        <f ca="1">VLOOKUP(S36,R43:S46,2)</f>
        <v>3</v>
      </c>
      <c r="S49" s="522" t="s">
        <v>1207</v>
      </c>
      <c r="T49" s="519"/>
      <c r="X49" s="461" t="s">
        <v>150</v>
      </c>
      <c r="AA49" s="462"/>
      <c r="AC49" s="466"/>
      <c r="AH49" s="465"/>
    </row>
    <row r="50" spans="1:46">
      <c r="A50" s="480"/>
      <c r="B50" s="480"/>
      <c r="C50" s="480"/>
      <c r="D50" s="480"/>
      <c r="E50" s="480"/>
      <c r="F50" s="480"/>
      <c r="G50" s="480"/>
      <c r="H50" s="480"/>
      <c r="I50" s="480"/>
      <c r="J50" s="480"/>
      <c r="K50" s="518"/>
      <c r="L50" s="480"/>
      <c r="M50" s="480"/>
      <c r="N50" s="517"/>
      <c r="O50" s="480"/>
      <c r="P50" s="480"/>
      <c r="R50" s="521"/>
      <c r="S50" s="520"/>
      <c r="T50" s="519"/>
      <c r="X50" s="461" t="s">
        <v>156</v>
      </c>
      <c r="AA50" s="466"/>
      <c r="AC50" s="466"/>
      <c r="AD50" s="466"/>
      <c r="AE50" s="465"/>
      <c r="AH50" s="465"/>
    </row>
    <row r="51" spans="1:46">
      <c r="A51" s="480"/>
      <c r="B51" s="480"/>
      <c r="C51" s="480"/>
      <c r="D51" s="480"/>
      <c r="E51" s="480"/>
      <c r="F51" s="480"/>
      <c r="G51" s="480"/>
      <c r="H51" s="480"/>
      <c r="I51" s="480"/>
      <c r="J51" s="480"/>
      <c r="K51" s="518"/>
      <c r="L51" s="480"/>
      <c r="M51" s="480"/>
      <c r="N51" s="517"/>
      <c r="O51" s="480"/>
      <c r="P51" s="480"/>
      <c r="R51" s="516">
        <f ca="1">+V44</f>
        <v>0.91435999999999995</v>
      </c>
      <c r="S51" s="515" t="s">
        <v>1190</v>
      </c>
      <c r="T51" s="514"/>
      <c r="X51" s="461" t="s">
        <v>159</v>
      </c>
      <c r="AA51" s="466"/>
      <c r="AC51" s="466"/>
      <c r="AD51" s="466"/>
      <c r="AE51" s="465"/>
      <c r="AF51" s="466"/>
      <c r="AH51" s="465"/>
      <c r="AL51" s="466"/>
      <c r="AM51" s="466"/>
      <c r="AN51" s="466"/>
      <c r="AO51" s="466"/>
      <c r="AP51" s="466"/>
      <c r="AQ51" s="466"/>
      <c r="AR51" s="466"/>
      <c r="AS51" s="466"/>
      <c r="AT51" s="466"/>
    </row>
    <row r="52" spans="1:46">
      <c r="A52" s="480"/>
      <c r="B52" s="480"/>
      <c r="C52" s="480"/>
      <c r="D52" s="480"/>
      <c r="E52" s="480"/>
      <c r="F52" s="480"/>
      <c r="G52" s="480"/>
      <c r="H52" s="480"/>
      <c r="I52" s="480"/>
      <c r="J52" s="480"/>
      <c r="K52" s="480"/>
      <c r="L52" s="480"/>
      <c r="M52" s="480"/>
      <c r="N52" s="480"/>
      <c r="O52" s="480"/>
      <c r="P52" s="480"/>
      <c r="Z52" s="465"/>
      <c r="AA52" s="466"/>
      <c r="AC52" s="466"/>
      <c r="AD52" s="466"/>
      <c r="AE52" s="465"/>
      <c r="AF52" s="468"/>
      <c r="AH52" s="465"/>
      <c r="AL52" s="466"/>
      <c r="AM52" s="466"/>
      <c r="AN52" s="466"/>
      <c r="AO52" s="466"/>
      <c r="AP52" s="466"/>
      <c r="AQ52" s="466"/>
      <c r="AR52" s="466"/>
      <c r="AS52" s="466"/>
      <c r="AT52" s="466"/>
    </row>
    <row r="53" spans="1:46">
      <c r="A53" s="480"/>
      <c r="B53" s="480"/>
      <c r="C53" s="480"/>
      <c r="D53" s="480"/>
      <c r="E53" s="480"/>
      <c r="F53" s="480"/>
      <c r="G53" s="480"/>
      <c r="H53" s="480"/>
      <c r="I53" s="480"/>
      <c r="J53" s="483"/>
      <c r="K53" s="483"/>
      <c r="L53" s="483"/>
      <c r="M53" s="483"/>
      <c r="N53" s="480"/>
      <c r="O53" s="480"/>
      <c r="P53" s="480"/>
      <c r="R53" s="461"/>
      <c r="Z53" s="465"/>
      <c r="AA53" s="466"/>
      <c r="AC53" s="466"/>
      <c r="AD53" s="466"/>
      <c r="AE53" s="465"/>
      <c r="AF53" s="468"/>
      <c r="AH53" s="465"/>
      <c r="AL53" s="466"/>
      <c r="AM53" s="466"/>
      <c r="AN53" s="466"/>
      <c r="AO53" s="466"/>
      <c r="AP53" s="466"/>
      <c r="AQ53" s="466"/>
      <c r="AR53" s="466"/>
      <c r="AS53" s="466"/>
      <c r="AT53" s="466"/>
    </row>
    <row r="54" spans="1:46" ht="15.75">
      <c r="A54" s="480"/>
      <c r="B54" s="480"/>
      <c r="C54" s="480"/>
      <c r="D54" s="480"/>
      <c r="E54" s="480"/>
      <c r="F54" s="480"/>
      <c r="G54" s="480"/>
      <c r="H54" s="480"/>
      <c r="I54" s="480"/>
      <c r="J54" s="480"/>
      <c r="K54" s="483"/>
      <c r="L54" s="483"/>
      <c r="M54" s="483"/>
      <c r="N54" s="480"/>
      <c r="O54" s="480"/>
      <c r="P54" s="480"/>
      <c r="R54" s="461"/>
      <c r="S54" s="461" t="s">
        <v>1206</v>
      </c>
      <c r="T54" s="466"/>
      <c r="U54" s="513"/>
      <c r="W54" s="512" t="s">
        <v>1205</v>
      </c>
      <c r="X54" s="511"/>
      <c r="Y54" s="511"/>
      <c r="Z54" s="511"/>
      <c r="AC54" s="466"/>
      <c r="AF54" s="468"/>
      <c r="AH54" s="465"/>
      <c r="AL54" s="466"/>
      <c r="AM54" s="466"/>
      <c r="AN54" s="466"/>
      <c r="AO54" s="466"/>
      <c r="AP54" s="466"/>
      <c r="AQ54" s="466"/>
      <c r="AR54" s="466"/>
      <c r="AS54" s="466"/>
      <c r="AT54" s="466"/>
    </row>
    <row r="55" spans="1:46">
      <c r="A55" s="480"/>
      <c r="B55" s="480"/>
      <c r="C55" s="480"/>
      <c r="D55" s="480"/>
      <c r="E55" s="480"/>
      <c r="F55" s="480"/>
      <c r="G55" s="480"/>
      <c r="H55" s="480"/>
      <c r="I55" s="480"/>
      <c r="J55" s="480"/>
      <c r="K55" s="480"/>
      <c r="L55" s="496"/>
      <c r="M55" s="496"/>
      <c r="N55" s="480"/>
      <c r="O55" s="480"/>
      <c r="P55" s="480"/>
      <c r="R55" s="487"/>
      <c r="S55" s="510" t="s">
        <v>455</v>
      </c>
      <c r="T55" s="510" t="s">
        <v>586</v>
      </c>
      <c r="U55" s="509" t="s">
        <v>1204</v>
      </c>
      <c r="W55" s="508" t="s">
        <v>1203</v>
      </c>
      <c r="X55" s="507">
        <v>5.7225999999999999</v>
      </c>
      <c r="Y55" s="506" t="s">
        <v>1202</v>
      </c>
      <c r="Z55" s="505">
        <v>5.6985000000000001</v>
      </c>
      <c r="AA55" s="462"/>
      <c r="AC55" s="466"/>
      <c r="AH55" s="465"/>
    </row>
    <row r="56" spans="1:46">
      <c r="A56" s="480"/>
      <c r="B56" s="480"/>
      <c r="C56" s="480"/>
      <c r="D56" s="480"/>
      <c r="E56" s="480"/>
      <c r="F56" s="480"/>
      <c r="G56" s="480"/>
      <c r="H56" s="480"/>
      <c r="I56" s="480"/>
      <c r="J56" s="496"/>
      <c r="K56" s="480"/>
      <c r="L56" s="496"/>
      <c r="M56" s="496"/>
      <c r="N56" s="480"/>
      <c r="O56" s="480"/>
      <c r="P56" s="480"/>
      <c r="R56" s="463" t="s">
        <v>1201</v>
      </c>
      <c r="S56" s="500">
        <v>0.56200000000000006</v>
      </c>
      <c r="T56" s="500">
        <v>6.3799999999999996E-2</v>
      </c>
      <c r="U56" s="476">
        <f>ROUND(+S56*T56,5)</f>
        <v>3.5860000000000003E-2</v>
      </c>
      <c r="W56" s="504" t="s">
        <v>1200</v>
      </c>
      <c r="X56" s="503">
        <v>5.7082699999999997</v>
      </c>
      <c r="Y56" s="502" t="s">
        <v>1199</v>
      </c>
      <c r="Z56" s="501">
        <v>5.6921999999999997</v>
      </c>
      <c r="AA56" s="466"/>
      <c r="AC56" s="466"/>
      <c r="AD56" s="466"/>
      <c r="AE56" s="465"/>
      <c r="AH56" s="465"/>
    </row>
    <row r="57" spans="1:46">
      <c r="A57" s="480"/>
      <c r="B57" s="480"/>
      <c r="C57" s="480"/>
      <c r="D57" s="480"/>
      <c r="E57" s="483"/>
      <c r="F57" s="480"/>
      <c r="G57" s="480"/>
      <c r="H57" s="480"/>
      <c r="I57" s="480"/>
      <c r="J57" s="496"/>
      <c r="K57" s="480"/>
      <c r="L57" s="496"/>
      <c r="M57" s="496"/>
      <c r="N57" s="480"/>
      <c r="O57" s="480"/>
      <c r="P57" s="480"/>
      <c r="R57" s="463" t="s">
        <v>1198</v>
      </c>
      <c r="S57" s="500">
        <v>9.4E-2</v>
      </c>
      <c r="T57" s="500">
        <v>6.59E-2</v>
      </c>
      <c r="U57" s="476">
        <f>ROUND(+S57*T57,5)</f>
        <v>6.1900000000000002E-3</v>
      </c>
      <c r="W57" s="463"/>
      <c r="X57" s="475"/>
      <c r="Y57" s="499"/>
      <c r="Z57" s="498"/>
      <c r="AA57" s="466"/>
      <c r="AC57" s="466"/>
      <c r="AD57" s="466"/>
      <c r="AE57" s="465"/>
      <c r="AF57" s="468"/>
      <c r="AH57" s="465"/>
      <c r="AL57" s="466"/>
    </row>
    <row r="58" spans="1:46" ht="15.75">
      <c r="A58" s="480"/>
      <c r="B58" s="480"/>
      <c r="C58" s="480"/>
      <c r="D58" s="480"/>
      <c r="E58" s="483"/>
      <c r="F58" s="483"/>
      <c r="G58" s="483"/>
      <c r="H58" s="497"/>
      <c r="I58" s="483"/>
      <c r="J58" s="496"/>
      <c r="K58" s="480"/>
      <c r="L58" s="480"/>
      <c r="M58" s="480"/>
      <c r="N58" s="480"/>
      <c r="O58" s="480"/>
      <c r="P58" s="480"/>
      <c r="R58" s="463" t="s">
        <v>1197</v>
      </c>
      <c r="S58" s="491">
        <v>0.34399999999999997</v>
      </c>
      <c r="T58" s="474"/>
      <c r="U58" s="495"/>
      <c r="W58" s="472"/>
      <c r="X58" s="494" t="s">
        <v>1196</v>
      </c>
      <c r="Y58" s="493">
        <v>0.68367</v>
      </c>
      <c r="Z58" s="492"/>
      <c r="AA58" s="466"/>
      <c r="AC58" s="466"/>
      <c r="AD58" s="466"/>
      <c r="AE58" s="465"/>
      <c r="AF58" s="468"/>
      <c r="AH58" s="465"/>
    </row>
    <row r="59" spans="1:46" ht="15.75">
      <c r="A59" s="480"/>
      <c r="B59" s="480"/>
      <c r="C59" s="480"/>
      <c r="D59" s="480"/>
      <c r="E59" s="480"/>
      <c r="F59" s="480"/>
      <c r="G59" s="480"/>
      <c r="H59" s="480"/>
      <c r="I59" s="480"/>
      <c r="J59" s="480"/>
      <c r="K59" s="480"/>
      <c r="L59" s="480"/>
      <c r="M59" s="480"/>
      <c r="N59" s="480"/>
      <c r="O59" s="480"/>
      <c r="P59" s="480"/>
      <c r="R59" s="472"/>
      <c r="S59" s="491">
        <f>SUM(S56:S58)</f>
        <v>1</v>
      </c>
      <c r="T59" s="490"/>
      <c r="U59" s="489"/>
      <c r="X59" s="466"/>
      <c r="Y59" s="467"/>
      <c r="Z59" s="465"/>
      <c r="AA59" s="466"/>
      <c r="AC59" s="466"/>
      <c r="AD59" s="466"/>
      <c r="AE59" s="465"/>
      <c r="AF59" s="468"/>
      <c r="AH59" s="465"/>
    </row>
    <row r="60" spans="1:46">
      <c r="A60" s="480"/>
      <c r="B60" s="480"/>
      <c r="C60" s="480"/>
      <c r="D60" s="480"/>
      <c r="E60" s="480"/>
      <c r="F60" s="480"/>
      <c r="G60" s="480"/>
      <c r="H60" s="480"/>
      <c r="I60" s="480"/>
      <c r="J60" s="480"/>
      <c r="K60" s="480"/>
      <c r="L60" s="480"/>
      <c r="M60" s="480"/>
      <c r="N60" s="480"/>
      <c r="O60" s="480"/>
      <c r="P60" s="480"/>
      <c r="X60" s="488"/>
      <c r="AC60" s="466"/>
      <c r="AF60" s="468"/>
      <c r="AH60" s="465"/>
      <c r="AL60" s="468"/>
      <c r="AM60" s="468"/>
      <c r="AN60" s="468"/>
      <c r="AO60" s="468"/>
      <c r="AP60" s="468"/>
      <c r="AQ60" s="468"/>
      <c r="AR60" s="468"/>
      <c r="AS60" s="468"/>
      <c r="AT60" s="468"/>
    </row>
    <row r="61" spans="1:46">
      <c r="A61" s="480"/>
      <c r="B61" s="480"/>
      <c r="C61" s="480"/>
      <c r="D61" s="480"/>
      <c r="E61" s="483"/>
      <c r="F61" s="480"/>
      <c r="G61" s="480"/>
      <c r="H61" s="480"/>
      <c r="I61" s="480"/>
      <c r="J61" s="480"/>
      <c r="K61" s="480"/>
      <c r="L61" s="480"/>
      <c r="M61" s="480"/>
      <c r="N61" s="480"/>
      <c r="O61" s="480"/>
      <c r="P61" s="480"/>
      <c r="W61" s="487" t="s">
        <v>1195</v>
      </c>
      <c r="X61" s="486"/>
      <c r="Y61" s="485" t="s">
        <v>1194</v>
      </c>
      <c r="Z61" s="484" t="s">
        <v>1193</v>
      </c>
      <c r="AC61" s="466"/>
      <c r="AH61" s="465"/>
      <c r="AL61" s="468"/>
      <c r="AM61" s="468"/>
      <c r="AN61" s="468"/>
      <c r="AO61" s="468"/>
      <c r="AP61" s="468"/>
      <c r="AQ61" s="468"/>
      <c r="AR61" s="468"/>
      <c r="AS61" s="468"/>
      <c r="AT61" s="468"/>
    </row>
    <row r="62" spans="1:46">
      <c r="A62" s="480"/>
      <c r="B62" s="480"/>
      <c r="C62" s="480"/>
      <c r="D62" s="480"/>
      <c r="E62" s="480"/>
      <c r="F62" s="483"/>
      <c r="G62" s="483"/>
      <c r="H62" s="483"/>
      <c r="I62" s="483"/>
      <c r="J62" s="483"/>
      <c r="K62" s="483"/>
      <c r="L62" s="483"/>
      <c r="M62" s="483"/>
      <c r="N62" s="483"/>
      <c r="O62" s="480"/>
      <c r="P62" s="480"/>
      <c r="W62" s="482"/>
      <c r="X62" s="479"/>
      <c r="Y62" s="479"/>
      <c r="Z62" s="481"/>
      <c r="AC62" s="466"/>
      <c r="AD62" s="466"/>
      <c r="AE62" s="465"/>
      <c r="AH62" s="465"/>
      <c r="AL62" s="468"/>
      <c r="AM62" s="468"/>
      <c r="AN62" s="468"/>
      <c r="AO62" s="468"/>
      <c r="AP62" s="468"/>
      <c r="AQ62" s="468"/>
      <c r="AR62" s="468"/>
      <c r="AS62" s="468"/>
      <c r="AT62" s="468"/>
    </row>
    <row r="63" spans="1:46">
      <c r="A63" s="480"/>
      <c r="B63" s="480"/>
      <c r="C63" s="480"/>
      <c r="D63" s="480"/>
      <c r="E63" s="480"/>
      <c r="F63" s="480"/>
      <c r="G63" s="480"/>
      <c r="H63" s="480"/>
      <c r="I63" s="480"/>
      <c r="J63" s="480"/>
      <c r="K63" s="480"/>
      <c r="L63" s="480"/>
      <c r="M63" s="480"/>
      <c r="N63" s="480"/>
      <c r="O63" s="480"/>
      <c r="P63" s="480"/>
      <c r="W63" s="463" t="s">
        <v>1192</v>
      </c>
      <c r="X63" s="479"/>
      <c r="Y63" s="476">
        <f t="shared" ref="Y63:Z68" ca="1" si="1">+J33</f>
        <v>0.19859521659681875</v>
      </c>
      <c r="Z63" s="476">
        <f t="shared" ca="1" si="1"/>
        <v>0.16130022111148706</v>
      </c>
      <c r="AC63" s="466"/>
      <c r="AD63" s="466"/>
      <c r="AE63" s="465"/>
      <c r="AF63" s="468"/>
      <c r="AH63" s="465"/>
      <c r="AL63" s="468"/>
      <c r="AM63" s="468"/>
      <c r="AN63" s="468"/>
      <c r="AO63" s="468"/>
      <c r="AP63" s="468"/>
      <c r="AQ63" s="468"/>
      <c r="AR63" s="468"/>
      <c r="AS63" s="468"/>
      <c r="AT63" s="468"/>
    </row>
    <row r="64" spans="1:46">
      <c r="A64" s="480"/>
      <c r="B64" s="480"/>
      <c r="C64" s="480"/>
      <c r="D64" s="480"/>
      <c r="E64" s="480"/>
      <c r="F64" s="480"/>
      <c r="G64" s="480"/>
      <c r="H64" s="480"/>
      <c r="I64" s="480"/>
      <c r="J64" s="480"/>
      <c r="K64" s="480"/>
      <c r="L64" s="480"/>
      <c r="M64" s="480"/>
      <c r="N64" s="480"/>
      <c r="O64" s="480"/>
      <c r="P64" s="480"/>
      <c r="W64" s="463" t="s">
        <v>1191</v>
      </c>
      <c r="X64" s="479"/>
      <c r="Y64" s="476">
        <f t="shared" ca="1" si="1"/>
        <v>0.29599202766136495</v>
      </c>
      <c r="Z64" s="476">
        <f t="shared" ca="1" si="1"/>
        <v>0.23383370185247845</v>
      </c>
      <c r="AC64" s="466"/>
      <c r="AD64" s="466"/>
      <c r="AE64" s="465"/>
      <c r="AF64" s="468"/>
      <c r="AH64" s="465"/>
    </row>
    <row r="65" spans="1:38">
      <c r="A65" s="461" t="b">
        <v>1</v>
      </c>
      <c r="F65" s="480"/>
      <c r="G65" s="480"/>
      <c r="H65" s="480"/>
      <c r="I65" s="480"/>
      <c r="J65" s="480"/>
      <c r="K65" s="480"/>
      <c r="L65" s="480"/>
      <c r="M65" s="480"/>
      <c r="N65" s="480"/>
      <c r="W65" s="463" t="s">
        <v>1190</v>
      </c>
      <c r="X65" s="479"/>
      <c r="Y65" s="476">
        <f t="shared" ca="1" si="1"/>
        <v>0.91435999999999984</v>
      </c>
      <c r="Z65" s="476">
        <f t="shared" ca="1" si="1"/>
        <v>0.91437031673264413</v>
      </c>
      <c r="AC65" s="466"/>
      <c r="AD65" s="466"/>
      <c r="AE65" s="465"/>
      <c r="AF65" s="468"/>
      <c r="AH65" s="465"/>
    </row>
    <row r="66" spans="1:38">
      <c r="H66" s="468"/>
      <c r="I66" s="468"/>
      <c r="J66" s="468"/>
      <c r="K66" s="468"/>
      <c r="L66" s="468"/>
      <c r="M66" s="468"/>
      <c r="N66" s="468"/>
      <c r="O66" s="468"/>
      <c r="W66" s="463" t="s">
        <v>1189</v>
      </c>
      <c r="X66" s="479"/>
      <c r="Y66" s="476">
        <f t="shared" ca="1" si="1"/>
        <v>8.5640000000000105E-2</v>
      </c>
      <c r="Z66" s="476">
        <f t="shared" ca="1" si="1"/>
        <v>8.5640000000000105E-2</v>
      </c>
      <c r="AC66" s="466"/>
      <c r="AF66" s="468"/>
      <c r="AH66" s="465"/>
      <c r="AL66" s="468"/>
    </row>
    <row r="67" spans="1:38">
      <c r="H67" s="468"/>
      <c r="I67" s="468"/>
      <c r="J67" s="468"/>
      <c r="K67" s="468"/>
      <c r="L67" s="468"/>
      <c r="M67" s="468"/>
      <c r="N67" s="468"/>
      <c r="O67" s="468"/>
      <c r="W67" s="463" t="s">
        <v>1188</v>
      </c>
      <c r="X67" s="478"/>
      <c r="Y67" s="476">
        <f t="shared" ca="1" si="1"/>
        <v>2.3176161449103869</v>
      </c>
      <c r="Z67" s="476">
        <f t="shared" ca="1" si="1"/>
        <v>2.3176161449103869</v>
      </c>
      <c r="AC67" s="466"/>
      <c r="AH67" s="465"/>
    </row>
    <row r="68" spans="1:38">
      <c r="O68" s="468"/>
      <c r="W68" s="463" t="s">
        <v>179</v>
      </c>
      <c r="X68" s="477"/>
      <c r="Y68" s="476">
        <f t="shared" si="1"/>
        <v>0.21</v>
      </c>
      <c r="Z68" s="476">
        <f t="shared" si="1"/>
        <v>0.21</v>
      </c>
      <c r="AC68" s="466"/>
      <c r="AD68" s="466"/>
      <c r="AE68" s="465"/>
      <c r="AH68" s="465"/>
    </row>
    <row r="69" spans="1:38" ht="15.75">
      <c r="O69" s="468"/>
      <c r="W69" s="463"/>
      <c r="X69" s="475"/>
      <c r="Y69" s="474"/>
      <c r="Z69" s="473"/>
      <c r="AC69" s="466"/>
      <c r="AD69" s="466"/>
      <c r="AE69" s="465"/>
      <c r="AF69" s="468"/>
      <c r="AH69" s="465"/>
    </row>
    <row r="70" spans="1:38">
      <c r="O70" s="468"/>
      <c r="W70" s="472"/>
      <c r="X70" s="471"/>
      <c r="Y70" s="470"/>
      <c r="Z70" s="469"/>
      <c r="AA70" s="466"/>
      <c r="AC70" s="466"/>
      <c r="AD70" s="466"/>
      <c r="AE70" s="465"/>
      <c r="AF70" s="468"/>
      <c r="AH70" s="465"/>
    </row>
    <row r="71" spans="1:38">
      <c r="X71" s="466"/>
      <c r="Y71" s="467"/>
      <c r="Z71" s="465"/>
      <c r="AA71" s="466"/>
      <c r="AC71" s="466"/>
      <c r="AD71" s="466"/>
      <c r="AE71" s="465"/>
      <c r="AF71" s="468"/>
      <c r="AH71" s="465"/>
    </row>
    <row r="72" spans="1:38">
      <c r="AC72" s="466"/>
      <c r="AF72" s="468"/>
      <c r="AH72" s="465"/>
    </row>
    <row r="73" spans="1:38">
      <c r="Y73" s="462"/>
      <c r="Z73" s="462"/>
      <c r="AA73" s="462"/>
      <c r="AC73" s="466"/>
      <c r="AH73" s="465"/>
    </row>
    <row r="74" spans="1:38">
      <c r="X74" s="466"/>
      <c r="Y74" s="467"/>
      <c r="Z74" s="465"/>
      <c r="AA74" s="466"/>
      <c r="AC74" s="466"/>
      <c r="AD74" s="466"/>
      <c r="AE74" s="465"/>
      <c r="AH74" s="465"/>
    </row>
    <row r="75" spans="1:38">
      <c r="X75" s="466"/>
      <c r="Y75" s="467"/>
      <c r="Z75" s="465"/>
      <c r="AA75" s="466"/>
      <c r="AC75" s="466"/>
      <c r="AD75" s="466"/>
      <c r="AE75" s="465"/>
      <c r="AF75" s="468"/>
      <c r="AH75" s="465"/>
    </row>
    <row r="76" spans="1:38">
      <c r="X76" s="466"/>
      <c r="Y76" s="467"/>
      <c r="Z76" s="465"/>
      <c r="AA76" s="466"/>
      <c r="AC76" s="466"/>
      <c r="AD76" s="466"/>
      <c r="AE76" s="465"/>
      <c r="AF76" s="468"/>
      <c r="AH76" s="465"/>
    </row>
    <row r="77" spans="1:38">
      <c r="X77" s="466"/>
      <c r="Y77" s="467"/>
      <c r="Z77" s="465"/>
      <c r="AA77" s="466"/>
      <c r="AC77" s="466"/>
      <c r="AD77" s="466"/>
      <c r="AE77" s="465"/>
      <c r="AF77" s="468"/>
      <c r="AH77" s="465"/>
    </row>
    <row r="78" spans="1:38">
      <c r="AC78" s="466"/>
      <c r="AF78" s="468"/>
      <c r="AH78" s="465"/>
    </row>
    <row r="80" spans="1:38">
      <c r="X80" s="466"/>
      <c r="Y80" s="467"/>
      <c r="Z80" s="465"/>
      <c r="AA80" s="466"/>
      <c r="AD80" s="466"/>
      <c r="AE80" s="465"/>
    </row>
    <row r="81" spans="24:32">
      <c r="X81" s="466"/>
      <c r="Y81" s="467"/>
      <c r="Z81" s="465"/>
      <c r="AA81" s="466"/>
      <c r="AD81" s="466"/>
      <c r="AE81" s="465"/>
      <c r="AF81" s="468"/>
    </row>
    <row r="82" spans="24:32">
      <c r="X82" s="466"/>
      <c r="Y82" s="467"/>
      <c r="Z82" s="465"/>
      <c r="AA82" s="466"/>
      <c r="AD82" s="466"/>
      <c r="AE82" s="465"/>
      <c r="AF82" s="468"/>
    </row>
    <row r="83" spans="24:32">
      <c r="X83" s="466"/>
      <c r="Y83" s="467"/>
      <c r="Z83" s="465"/>
      <c r="AA83" s="466"/>
      <c r="AD83" s="466"/>
      <c r="AE83" s="465"/>
      <c r="AF83" s="468"/>
    </row>
    <row r="84" spans="24:32">
      <c r="AF84" s="468"/>
    </row>
    <row r="86" spans="24:32">
      <c r="X86" s="466"/>
      <c r="Y86" s="467"/>
      <c r="Z86" s="465"/>
      <c r="AA86" s="466"/>
      <c r="AD86" s="466"/>
      <c r="AE86" s="465"/>
    </row>
    <row r="87" spans="24:32">
      <c r="X87" s="466"/>
      <c r="Y87" s="467"/>
      <c r="Z87" s="465"/>
      <c r="AA87" s="466"/>
      <c r="AD87" s="466"/>
      <c r="AE87" s="465"/>
      <c r="AF87" s="468"/>
    </row>
    <row r="88" spans="24:32">
      <c r="X88" s="466"/>
      <c r="Y88" s="467"/>
      <c r="Z88" s="465"/>
      <c r="AA88" s="466"/>
      <c r="AD88" s="466"/>
      <c r="AE88" s="465"/>
      <c r="AF88" s="468"/>
    </row>
    <row r="89" spans="24:32">
      <c r="X89" s="466"/>
      <c r="Y89" s="467"/>
      <c r="Z89" s="465"/>
      <c r="AA89" s="466"/>
      <c r="AD89" s="466"/>
      <c r="AE89" s="465"/>
      <c r="AF89" s="468"/>
    </row>
    <row r="90" spans="24:32">
      <c r="AF90" s="468"/>
    </row>
    <row r="92" spans="24:32">
      <c r="X92" s="466"/>
      <c r="Y92" s="467"/>
      <c r="Z92" s="465"/>
      <c r="AA92" s="466"/>
      <c r="AD92" s="466"/>
      <c r="AE92" s="465"/>
    </row>
    <row r="93" spans="24:32">
      <c r="X93" s="466"/>
      <c r="Y93" s="467"/>
      <c r="Z93" s="465"/>
      <c r="AA93" s="466"/>
      <c r="AD93" s="466"/>
      <c r="AE93" s="465"/>
      <c r="AF93" s="468"/>
    </row>
    <row r="94" spans="24:32">
      <c r="X94" s="466"/>
      <c r="Y94" s="467"/>
      <c r="Z94" s="465"/>
      <c r="AA94" s="466"/>
      <c r="AD94" s="466"/>
      <c r="AE94" s="465"/>
      <c r="AF94" s="468"/>
    </row>
    <row r="95" spans="24:32">
      <c r="X95" s="466"/>
      <c r="Y95" s="467"/>
      <c r="Z95" s="465"/>
      <c r="AA95" s="466"/>
      <c r="AD95" s="466"/>
      <c r="AE95" s="465"/>
      <c r="AF95" s="468"/>
    </row>
    <row r="96" spans="24:32">
      <c r="AF96" s="468"/>
    </row>
    <row r="98" spans="24:32">
      <c r="X98" s="466"/>
      <c r="Y98" s="467"/>
      <c r="Z98" s="465"/>
      <c r="AA98" s="466"/>
      <c r="AD98" s="466"/>
      <c r="AE98" s="465"/>
    </row>
    <row r="99" spans="24:32">
      <c r="X99" s="466"/>
      <c r="Y99" s="467"/>
      <c r="Z99" s="465"/>
      <c r="AA99" s="466"/>
      <c r="AD99" s="466"/>
      <c r="AE99" s="465"/>
      <c r="AF99" s="468"/>
    </row>
    <row r="100" spans="24:32">
      <c r="X100" s="466"/>
      <c r="Y100" s="467"/>
      <c r="Z100" s="465"/>
      <c r="AA100" s="466"/>
      <c r="AD100" s="466"/>
      <c r="AE100" s="465"/>
      <c r="AF100" s="468"/>
    </row>
    <row r="101" spans="24:32">
      <c r="X101" s="466"/>
      <c r="Y101" s="467"/>
      <c r="Z101" s="465"/>
      <c r="AA101" s="466"/>
      <c r="AD101" s="466"/>
      <c r="AE101" s="465"/>
      <c r="AF101" s="468"/>
    </row>
    <row r="102" spans="24:32">
      <c r="AF102" s="468"/>
    </row>
    <row r="104" spans="24:32">
      <c r="X104" s="466"/>
      <c r="Y104" s="467"/>
      <c r="Z104" s="465"/>
      <c r="AA104" s="466"/>
      <c r="AD104" s="466"/>
      <c r="AE104" s="465"/>
    </row>
    <row r="105" spans="24:32">
      <c r="X105" s="466"/>
      <c r="Y105" s="467"/>
      <c r="Z105" s="465"/>
      <c r="AA105" s="466"/>
      <c r="AD105" s="466"/>
      <c r="AE105" s="465"/>
      <c r="AF105" s="468"/>
    </row>
    <row r="106" spans="24:32">
      <c r="X106" s="466"/>
      <c r="Y106" s="467"/>
      <c r="Z106" s="465"/>
      <c r="AA106" s="466"/>
      <c r="AD106" s="466"/>
      <c r="AE106" s="465"/>
      <c r="AF106" s="468"/>
    </row>
    <row r="107" spans="24:32">
      <c r="X107" s="466"/>
      <c r="Y107" s="467"/>
      <c r="Z107" s="465"/>
      <c r="AA107" s="466"/>
      <c r="AD107" s="466"/>
      <c r="AE107" s="465"/>
      <c r="AF107" s="468"/>
    </row>
    <row r="108" spans="24:32">
      <c r="AF108" s="468"/>
    </row>
    <row r="110" spans="24:32">
      <c r="X110" s="466"/>
      <c r="Y110" s="467"/>
      <c r="Z110" s="465"/>
      <c r="AA110" s="466"/>
      <c r="AD110" s="466"/>
      <c r="AE110" s="465"/>
    </row>
    <row r="111" spans="24:32">
      <c r="X111" s="466"/>
      <c r="Y111" s="467"/>
      <c r="Z111" s="465"/>
      <c r="AA111" s="466"/>
      <c r="AD111" s="466"/>
      <c r="AE111" s="465"/>
    </row>
    <row r="112" spans="24:32">
      <c r="X112" s="466"/>
      <c r="Y112" s="467"/>
      <c r="Z112" s="465"/>
      <c r="AA112" s="466"/>
      <c r="AD112" s="466"/>
      <c r="AE112" s="465"/>
    </row>
    <row r="113" spans="24:31">
      <c r="X113" s="466"/>
      <c r="Y113" s="467"/>
      <c r="Z113" s="465"/>
      <c r="AA113" s="466"/>
      <c r="AD113" s="466"/>
      <c r="AE113" s="465"/>
    </row>
  </sheetData>
  <mergeCells count="6">
    <mergeCell ref="AF2:AI2"/>
    <mergeCell ref="B2:C2"/>
    <mergeCell ref="B17:C17"/>
    <mergeCell ref="B18:C18"/>
    <mergeCell ref="B15:C15"/>
    <mergeCell ref="C16:D16"/>
  </mergeCells>
  <pageMargins left="0.25" right="0.25" top="0.3" bottom="0.44" header="0.23" footer="0.21"/>
  <pageSetup scale="99" orientation="portrait" r:id="rId1"/>
  <headerFooter alignWithMargins="0"/>
  <drawing r:id="rId2"/>
  <legacyDrawing r:id="rId3"/>
  <controls>
    <mc:AlternateContent xmlns:mc="http://schemas.openxmlformats.org/markup-compatibility/2006">
      <mc:Choice Requires="x14">
        <control shapeId="22529" r:id="rId4" name="CheckBox1">
          <controlPr defaultSize="0" autoFill="0" autoLine="0" linkedCell="A65" r:id="rId5">
            <anchor moveWithCells="1">
              <from>
                <xdr:col>2</xdr:col>
                <xdr:colOff>95250</xdr:colOff>
                <xdr:row>14</xdr:row>
                <xdr:rowOff>171450</xdr:rowOff>
              </from>
              <to>
                <xdr:col>2</xdr:col>
                <xdr:colOff>352425</xdr:colOff>
                <xdr:row>16</xdr:row>
                <xdr:rowOff>9525</xdr:rowOff>
              </to>
            </anchor>
          </controlPr>
        </control>
      </mc:Choice>
      <mc:Fallback>
        <control shapeId="22529" r:id="rId4" name="CheckBox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opLeftCell="A25" workbookViewId="0">
      <selection activeCell="D4" sqref="D4"/>
    </sheetView>
  </sheetViews>
  <sheetFormatPr defaultRowHeight="12.75"/>
  <cols>
    <col min="11" max="11" width="9.7109375" customWidth="1"/>
    <col min="12" max="12" width="10.7109375" customWidth="1"/>
    <col min="13" max="13" width="9.85546875" customWidth="1"/>
    <col min="14" max="14" width="10.5703125" customWidth="1"/>
    <col min="15" max="15" width="10" customWidth="1"/>
    <col min="16" max="16" width="9.85546875" customWidth="1"/>
    <col min="17" max="17" width="11" customWidth="1"/>
    <col min="19" max="19" width="10.7109375" bestFit="1" customWidth="1"/>
  </cols>
  <sheetData>
    <row r="1" spans="1:17">
      <c r="A1" t="s">
        <v>0</v>
      </c>
    </row>
    <row r="3" spans="1:17">
      <c r="A3" t="s">
        <v>525</v>
      </c>
      <c r="D3" s="693" t="s">
        <v>1414</v>
      </c>
      <c r="E3" s="693" t="s">
        <v>702</v>
      </c>
    </row>
    <row r="5" spans="1:17">
      <c r="A5" s="692" t="s">
        <v>1386</v>
      </c>
    </row>
    <row r="9" spans="1:17">
      <c r="A9" s="127" t="s">
        <v>524</v>
      </c>
    </row>
    <row r="11" spans="1:17">
      <c r="A11" s="127" t="s">
        <v>523</v>
      </c>
      <c r="J11" s="127" t="s">
        <v>522</v>
      </c>
    </row>
    <row r="12" spans="1:17">
      <c r="A12" s="127"/>
      <c r="J12" s="127"/>
    </row>
    <row r="13" spans="1:17" ht="13.5" thickBot="1">
      <c r="C13" s="4" t="s">
        <v>477</v>
      </c>
      <c r="D13" s="4" t="s">
        <v>475</v>
      </c>
      <c r="E13" s="4" t="s">
        <v>476</v>
      </c>
      <c r="F13" s="4" t="s">
        <v>110</v>
      </c>
      <c r="G13" s="4" t="s">
        <v>113</v>
      </c>
      <c r="H13" s="4" t="s">
        <v>2</v>
      </c>
      <c r="L13" s="4" t="s">
        <v>477</v>
      </c>
      <c r="M13" s="4" t="s">
        <v>475</v>
      </c>
      <c r="N13" s="4" t="s">
        <v>476</v>
      </c>
      <c r="O13" s="4" t="s">
        <v>110</v>
      </c>
      <c r="P13" s="4" t="s">
        <v>113</v>
      </c>
      <c r="Q13" s="4" t="s">
        <v>2</v>
      </c>
    </row>
    <row r="14" spans="1:17" ht="13.5" thickTop="1">
      <c r="C14" s="93"/>
      <c r="D14" s="93"/>
      <c r="E14" s="93"/>
      <c r="F14" s="93"/>
      <c r="G14" s="93"/>
      <c r="H14" s="93"/>
      <c r="L14" s="93"/>
      <c r="M14" s="93"/>
      <c r="N14" s="93"/>
      <c r="O14" s="93"/>
      <c r="P14" s="93"/>
      <c r="Q14" s="93"/>
    </row>
    <row r="15" spans="1:17">
      <c r="A15" t="s">
        <v>519</v>
      </c>
      <c r="C15" s="177">
        <f>+'Monthly Data-Disposal Fees'!C12</f>
        <v>0</v>
      </c>
      <c r="D15" s="177">
        <f>+'Monthly Data-Disposal Fees'!D12</f>
        <v>72</v>
      </c>
      <c r="E15" s="177">
        <f>+'Monthly Data-Disposal Fees'!E12</f>
        <v>55</v>
      </c>
      <c r="F15" s="177">
        <f>+'Monthly Data-Disposal Fees'!F12</f>
        <v>68</v>
      </c>
      <c r="G15" s="177">
        <f>+'Monthly Data-Disposal Fees'!G12</f>
        <v>181</v>
      </c>
      <c r="H15" s="177">
        <f t="shared" ref="H15:H26" si="0">SUM(C15:G15)</f>
        <v>376</v>
      </c>
      <c r="J15" t="s">
        <v>519</v>
      </c>
      <c r="L15" s="87">
        <f>+'Monthly Data-Disposal Fees'!L12</f>
        <v>0</v>
      </c>
      <c r="M15" s="87">
        <f>+'Monthly Data-Disposal Fees'!M12</f>
        <v>2250.44</v>
      </c>
      <c r="N15" s="87">
        <f>+'Monthly Data-Disposal Fees'!N12</f>
        <v>1649.34</v>
      </c>
      <c r="O15" s="87">
        <f>+'Monthly Data-Disposal Fees'!O12</f>
        <v>2147.37</v>
      </c>
      <c r="P15" s="87">
        <f>+'Monthly Data-Disposal Fees'!P12</f>
        <v>5749.95</v>
      </c>
      <c r="Q15" s="6">
        <f t="shared" ref="Q15:Q26" si="1">SUM(L15:P15)</f>
        <v>11797.099999999999</v>
      </c>
    </row>
    <row r="16" spans="1:17">
      <c r="A16" t="s">
        <v>518</v>
      </c>
      <c r="C16" s="177">
        <f>+'Monthly Data-Disposal Fees'!C13</f>
        <v>0</v>
      </c>
      <c r="D16" s="177">
        <f>+'Monthly Data-Disposal Fees'!D13</f>
        <v>87</v>
      </c>
      <c r="E16" s="177">
        <f>+'Monthly Data-Disposal Fees'!E13</f>
        <v>46</v>
      </c>
      <c r="F16" s="177">
        <f>+'Monthly Data-Disposal Fees'!F13</f>
        <v>70</v>
      </c>
      <c r="G16" s="177">
        <f>+'Monthly Data-Disposal Fees'!G13</f>
        <v>181</v>
      </c>
      <c r="H16" s="177">
        <f t="shared" si="0"/>
        <v>384</v>
      </c>
      <c r="J16" t="s">
        <v>518</v>
      </c>
      <c r="L16" s="87">
        <f>+'Monthly Data-Disposal Fees'!L13</f>
        <v>0</v>
      </c>
      <c r="M16" s="87">
        <f>+'Monthly Data-Disposal Fees'!M13</f>
        <v>2756.2</v>
      </c>
      <c r="N16" s="87">
        <f>+'Monthly Data-Disposal Fees'!N13</f>
        <v>1469.75</v>
      </c>
      <c r="O16" s="87">
        <f>+'Monthly Data-Disposal Fees'!O13</f>
        <v>2298.54</v>
      </c>
      <c r="P16" s="87">
        <f>+'Monthly Data-Disposal Fees'!P13</f>
        <v>6067.24</v>
      </c>
      <c r="Q16" s="6">
        <f t="shared" si="1"/>
        <v>12591.73</v>
      </c>
    </row>
    <row r="17" spans="1:19">
      <c r="A17" t="s">
        <v>517</v>
      </c>
      <c r="C17" s="177">
        <f>+'Monthly Data-Disposal Fees'!C14</f>
        <v>0</v>
      </c>
      <c r="D17" s="177">
        <f>+'Monthly Data-Disposal Fees'!D14</f>
        <v>135</v>
      </c>
      <c r="E17" s="177">
        <f>+'Monthly Data-Disposal Fees'!E14</f>
        <v>73</v>
      </c>
      <c r="F17" s="177">
        <f>+'Monthly Data-Disposal Fees'!F14</f>
        <v>89</v>
      </c>
      <c r="G17" s="177">
        <f>+'Monthly Data-Disposal Fees'!G14</f>
        <v>231</v>
      </c>
      <c r="H17" s="177">
        <f t="shared" si="0"/>
        <v>528</v>
      </c>
      <c r="J17" t="s">
        <v>517</v>
      </c>
      <c r="L17" s="87">
        <f>+'Monthly Data-Disposal Fees'!L14</f>
        <v>0</v>
      </c>
      <c r="M17" s="87">
        <f>+'Monthly Data-Disposal Fees'!M14</f>
        <v>3795.35</v>
      </c>
      <c r="N17" s="87">
        <f>+'Monthly Data-Disposal Fees'!N14</f>
        <v>2210.0300000000002</v>
      </c>
      <c r="O17" s="87">
        <f>+'Monthly Data-Disposal Fees'!O14</f>
        <v>2688.75</v>
      </c>
      <c r="P17" s="87">
        <f>+'Monthly Data-Disposal Fees'!P14</f>
        <v>7778.63</v>
      </c>
      <c r="Q17" s="6">
        <f t="shared" si="1"/>
        <v>16472.760000000002</v>
      </c>
    </row>
    <row r="18" spans="1:19">
      <c r="A18" t="s">
        <v>516</v>
      </c>
      <c r="C18" s="177">
        <f>+'Monthly Data-Disposal Fees'!C15</f>
        <v>0</v>
      </c>
      <c r="D18" s="177">
        <f>+'Monthly Data-Disposal Fees'!D15</f>
        <v>134</v>
      </c>
      <c r="E18" s="177">
        <f>+'Monthly Data-Disposal Fees'!E15</f>
        <v>66</v>
      </c>
      <c r="F18" s="177">
        <f>+'Monthly Data-Disposal Fees'!F15</f>
        <v>74</v>
      </c>
      <c r="G18" s="177">
        <f>+'Monthly Data-Disposal Fees'!G15</f>
        <v>205</v>
      </c>
      <c r="H18" s="177">
        <f t="shared" si="0"/>
        <v>479</v>
      </c>
      <c r="J18" t="s">
        <v>516</v>
      </c>
      <c r="L18" s="87">
        <f>+'Monthly Data-Disposal Fees'!L15</f>
        <v>0</v>
      </c>
      <c r="M18" s="87">
        <f>+'Monthly Data-Disposal Fees'!M15</f>
        <v>4154.76</v>
      </c>
      <c r="N18" s="87">
        <f>+'Monthly Data-Disposal Fees'!N15</f>
        <v>2064.61</v>
      </c>
      <c r="O18" s="87">
        <f>+'Monthly Data-Disposal Fees'!O15</f>
        <v>2406.29</v>
      </c>
      <c r="P18" s="87">
        <f>+'Monthly Data-Disposal Fees'!P15</f>
        <v>6904.55</v>
      </c>
      <c r="Q18" s="6">
        <f t="shared" si="1"/>
        <v>15530.21</v>
      </c>
    </row>
    <row r="19" spans="1:19">
      <c r="A19" t="s">
        <v>515</v>
      </c>
      <c r="C19" s="177">
        <f>+'Monthly Data-Disposal Fees'!C16</f>
        <v>0</v>
      </c>
      <c r="D19" s="177">
        <f>+'Monthly Data-Disposal Fees'!D16</f>
        <v>159</v>
      </c>
      <c r="E19" s="177">
        <f>+'Monthly Data-Disposal Fees'!E16</f>
        <v>76</v>
      </c>
      <c r="F19" s="177">
        <f>+'Monthly Data-Disposal Fees'!F16</f>
        <v>83</v>
      </c>
      <c r="G19" s="177">
        <f>+'Monthly Data-Disposal Fees'!G16</f>
        <v>228</v>
      </c>
      <c r="H19" s="177">
        <f t="shared" si="0"/>
        <v>546</v>
      </c>
      <c r="J19" t="s">
        <v>515</v>
      </c>
      <c r="L19" s="87">
        <f>+'Monthly Data-Disposal Fees'!L16</f>
        <v>0</v>
      </c>
      <c r="M19" s="87">
        <f>+'Monthly Data-Disposal Fees'!M16</f>
        <v>5030.16</v>
      </c>
      <c r="N19" s="87">
        <f>+'Monthly Data-Disposal Fees'!N16</f>
        <v>2464.9</v>
      </c>
      <c r="O19" s="87">
        <f>+'Monthly Data-Disposal Fees'!O16</f>
        <v>2808.39</v>
      </c>
      <c r="P19" s="87">
        <f>+'Monthly Data-Disposal Fees'!P16</f>
        <v>7795.64</v>
      </c>
      <c r="Q19" s="6">
        <f t="shared" si="1"/>
        <v>18099.09</v>
      </c>
    </row>
    <row r="20" spans="1:19">
      <c r="A20" t="s">
        <v>514</v>
      </c>
      <c r="C20" s="177">
        <f>+'Monthly Data-Disposal Fees'!C17</f>
        <v>0</v>
      </c>
      <c r="D20" s="177">
        <f>+'Monthly Data-Disposal Fees'!D17</f>
        <v>290</v>
      </c>
      <c r="E20" s="177">
        <f>+'Monthly Data-Disposal Fees'!E17</f>
        <v>103</v>
      </c>
      <c r="F20" s="177">
        <f>+'Monthly Data-Disposal Fees'!F17</f>
        <v>102</v>
      </c>
      <c r="G20" s="177">
        <f>+'Monthly Data-Disposal Fees'!G17</f>
        <v>256</v>
      </c>
      <c r="H20" s="177">
        <f t="shared" si="0"/>
        <v>751</v>
      </c>
      <c r="J20" t="s">
        <v>514</v>
      </c>
      <c r="L20" s="87">
        <f>+'Monthly Data-Disposal Fees'!L17</f>
        <v>0</v>
      </c>
      <c r="M20" s="87">
        <f>+'Monthly Data-Disposal Fees'!M17</f>
        <v>8758.6</v>
      </c>
      <c r="N20" s="87">
        <f>+'Monthly Data-Disposal Fees'!N17</f>
        <v>3131.58</v>
      </c>
      <c r="O20" s="87">
        <f>+'Monthly Data-Disposal Fees'!O17</f>
        <v>3491.16</v>
      </c>
      <c r="P20" s="87">
        <f>+'Monthly Data-Disposal Fees'!P17</f>
        <v>8951.27</v>
      </c>
      <c r="Q20" s="6">
        <f t="shared" si="1"/>
        <v>24332.61</v>
      </c>
    </row>
    <row r="21" spans="1:19">
      <c r="A21" t="s">
        <v>513</v>
      </c>
      <c r="C21" s="177">
        <f>+'Monthly Data-Disposal Fees'!C18</f>
        <v>0</v>
      </c>
      <c r="D21" s="177">
        <f>+'Monthly Data-Disposal Fees'!D18</f>
        <v>324</v>
      </c>
      <c r="E21" s="177">
        <f>+'Monthly Data-Disposal Fees'!E18</f>
        <v>91</v>
      </c>
      <c r="F21" s="177">
        <f>+'Monthly Data-Disposal Fees'!F18</f>
        <v>88</v>
      </c>
      <c r="G21" s="177">
        <f>+'Monthly Data-Disposal Fees'!G18</f>
        <v>220</v>
      </c>
      <c r="H21" s="177">
        <f t="shared" si="0"/>
        <v>723</v>
      </c>
      <c r="J21" t="s">
        <v>513</v>
      </c>
      <c r="L21" s="87">
        <f>+'Monthly Data-Disposal Fees'!L18</f>
        <v>0</v>
      </c>
      <c r="M21" s="87">
        <f>+'Monthly Data-Disposal Fees'!M18</f>
        <v>10292.76</v>
      </c>
      <c r="N21" s="87">
        <f>+'Monthly Data-Disposal Fees'!N18</f>
        <v>2890.77</v>
      </c>
      <c r="O21" s="87">
        <f>+'Monthly Data-Disposal Fees'!O18</f>
        <v>2910.81</v>
      </c>
      <c r="P21" s="87">
        <f>+'Monthly Data-Disposal Fees'!P18</f>
        <v>7528.41</v>
      </c>
      <c r="Q21" s="6">
        <f t="shared" si="1"/>
        <v>23622.75</v>
      </c>
    </row>
    <row r="22" spans="1:19">
      <c r="A22" t="s">
        <v>512</v>
      </c>
      <c r="C22" s="177">
        <f>+'Monthly Data-Disposal Fees'!C19</f>
        <v>0</v>
      </c>
      <c r="D22" s="177">
        <f>+'Monthly Data-Disposal Fees'!D19</f>
        <v>317</v>
      </c>
      <c r="E22" s="177">
        <f>+'Monthly Data-Disposal Fees'!E19</f>
        <v>78</v>
      </c>
      <c r="F22" s="177">
        <f>+'Monthly Data-Disposal Fees'!F19</f>
        <v>81</v>
      </c>
      <c r="G22" s="177">
        <f>+'Monthly Data-Disposal Fees'!G19</f>
        <v>222</v>
      </c>
      <c r="H22" s="177">
        <f t="shared" si="0"/>
        <v>698</v>
      </c>
      <c r="J22" t="s">
        <v>512</v>
      </c>
      <c r="L22" s="87">
        <f>+'Monthly Data-Disposal Fees'!L19</f>
        <v>0</v>
      </c>
      <c r="M22" s="87">
        <f>+'Monthly Data-Disposal Fees'!M19</f>
        <v>10787.96</v>
      </c>
      <c r="N22" s="87">
        <f>+'Monthly Data-Disposal Fees'!N19</f>
        <v>2771.57</v>
      </c>
      <c r="O22" s="87">
        <f>+'Monthly Data-Disposal Fees'!O19</f>
        <v>2794.77</v>
      </c>
      <c r="P22" s="87">
        <f>+'Monthly Data-Disposal Fees'!P19</f>
        <v>7785.98</v>
      </c>
      <c r="Q22" s="6">
        <f t="shared" si="1"/>
        <v>24140.28</v>
      </c>
    </row>
    <row r="23" spans="1:19">
      <c r="A23" t="s">
        <v>511</v>
      </c>
      <c r="C23" s="177">
        <f>+'Monthly Data-Disposal Fees'!C20</f>
        <v>0</v>
      </c>
      <c r="D23" s="177">
        <f>+'Monthly Data-Disposal Fees'!D20</f>
        <v>291</v>
      </c>
      <c r="E23" s="177">
        <f>+'Monthly Data-Disposal Fees'!E20</f>
        <v>97</v>
      </c>
      <c r="F23" s="177">
        <f>+'Monthly Data-Disposal Fees'!F20</f>
        <v>88</v>
      </c>
      <c r="G23" s="177">
        <f>+'Monthly Data-Disposal Fees'!G20</f>
        <v>290</v>
      </c>
      <c r="H23" s="177">
        <f t="shared" si="0"/>
        <v>766</v>
      </c>
      <c r="J23" t="s">
        <v>511</v>
      </c>
      <c r="L23" s="87">
        <f>+'Monthly Data-Disposal Fees'!L20</f>
        <v>0</v>
      </c>
      <c r="M23" s="87">
        <f>+'Monthly Data-Disposal Fees'!M20</f>
        <v>10570.84</v>
      </c>
      <c r="N23" s="87">
        <f>+'Monthly Data-Disposal Fees'!N20</f>
        <v>3640.69</v>
      </c>
      <c r="O23" s="87">
        <f>+'Monthly Data-Disposal Fees'!O20</f>
        <v>3055.93</v>
      </c>
      <c r="P23" s="87">
        <f>+'Monthly Data-Disposal Fees'!P20</f>
        <v>10198.379999999999</v>
      </c>
      <c r="Q23" s="6">
        <f t="shared" si="1"/>
        <v>27465.839999999997</v>
      </c>
    </row>
    <row r="24" spans="1:19">
      <c r="A24" t="s">
        <v>510</v>
      </c>
      <c r="C24" s="177">
        <f>+'Monthly Data-Disposal Fees'!C21</f>
        <v>0</v>
      </c>
      <c r="D24" s="177">
        <f>+'Monthly Data-Disposal Fees'!D21</f>
        <v>301</v>
      </c>
      <c r="E24" s="177">
        <f>+'Monthly Data-Disposal Fees'!E21</f>
        <v>88</v>
      </c>
      <c r="F24" s="177">
        <f>+'Monthly Data-Disposal Fees'!F21</f>
        <v>104</v>
      </c>
      <c r="G24" s="177">
        <f>+'Monthly Data-Disposal Fees'!G21</f>
        <v>205</v>
      </c>
      <c r="H24" s="177">
        <f t="shared" si="0"/>
        <v>698</v>
      </c>
      <c r="J24" t="s">
        <v>510</v>
      </c>
      <c r="L24" s="87">
        <f>+'Monthly Data-Disposal Fees'!L21</f>
        <v>0</v>
      </c>
      <c r="M24" s="87">
        <f>+'Monthly Data-Disposal Fees'!M21</f>
        <v>10611.18</v>
      </c>
      <c r="N24" s="87">
        <f>+'Monthly Data-Disposal Fees'!N21</f>
        <v>3181.58</v>
      </c>
      <c r="O24" s="87">
        <f>+'Monthly Data-Disposal Fees'!O21</f>
        <v>3685.26</v>
      </c>
      <c r="P24" s="87">
        <f>+'Monthly Data-Disposal Fees'!P21</f>
        <v>7261.68</v>
      </c>
      <c r="Q24" s="6">
        <f t="shared" si="1"/>
        <v>24739.7</v>
      </c>
    </row>
    <row r="25" spans="1:19">
      <c r="A25" t="s">
        <v>509</v>
      </c>
      <c r="C25" s="177">
        <f>+'Monthly Data-Disposal Fees'!C22</f>
        <v>0</v>
      </c>
      <c r="D25" s="177">
        <f>+'Monthly Data-Disposal Fees'!D22</f>
        <v>224</v>
      </c>
      <c r="E25" s="177">
        <f>+'Monthly Data-Disposal Fees'!E22</f>
        <v>76</v>
      </c>
      <c r="F25" s="177">
        <f>+'Monthly Data-Disposal Fees'!F22</f>
        <v>74</v>
      </c>
      <c r="G25" s="177">
        <f>+'Monthly Data-Disposal Fees'!G22</f>
        <v>203</v>
      </c>
      <c r="H25" s="177">
        <f t="shared" si="0"/>
        <v>577</v>
      </c>
      <c r="J25" t="s">
        <v>509</v>
      </c>
      <c r="L25" s="87">
        <f>+'Monthly Data-Disposal Fees'!L22</f>
        <v>0</v>
      </c>
      <c r="M25" s="87">
        <f>+'Monthly Data-Disposal Fees'!M22</f>
        <v>8042.5</v>
      </c>
      <c r="N25" s="87">
        <f>+'Monthly Data-Disposal Fees'!N22</f>
        <v>2710.55</v>
      </c>
      <c r="O25" s="87">
        <f>+'Monthly Data-Disposal Fees'!O22</f>
        <v>2561.69</v>
      </c>
      <c r="P25" s="87">
        <f>+'Monthly Data-Disposal Fees'!P22</f>
        <v>7194.72</v>
      </c>
      <c r="Q25" s="6">
        <f t="shared" si="1"/>
        <v>20509.46</v>
      </c>
    </row>
    <row r="26" spans="1:19" ht="13.5" thickBot="1">
      <c r="A26" t="s">
        <v>508</v>
      </c>
      <c r="C26" s="176">
        <f>+'Monthly Data-Disposal Fees'!C23</f>
        <v>3</v>
      </c>
      <c r="D26" s="176">
        <f>+'Monthly Data-Disposal Fees'!D23</f>
        <v>95</v>
      </c>
      <c r="E26" s="176">
        <f>+'Monthly Data-Disposal Fees'!E23</f>
        <v>72</v>
      </c>
      <c r="F26" s="176">
        <f>+'Monthly Data-Disposal Fees'!F23</f>
        <v>90</v>
      </c>
      <c r="G26" s="176">
        <f>+'Monthly Data-Disposal Fees'!G23</f>
        <v>219</v>
      </c>
      <c r="H26" s="176">
        <f t="shared" si="0"/>
        <v>479</v>
      </c>
      <c r="J26" t="s">
        <v>508</v>
      </c>
      <c r="L26" s="174">
        <f>+'Monthly Data-Disposal Fees'!L23</f>
        <v>82.67</v>
      </c>
      <c r="M26" s="174">
        <f>+'Monthly Data-Disposal Fees'!M23</f>
        <v>3179.31</v>
      </c>
      <c r="N26" s="174">
        <f>+'Monthly Data-Disposal Fees'!N23</f>
        <v>2486.11</v>
      </c>
      <c r="O26" s="174">
        <f>+'Monthly Data-Disposal Fees'!O23</f>
        <v>3037.67</v>
      </c>
      <c r="P26" s="174">
        <f>+'Monthly Data-Disposal Fees'!P23</f>
        <v>7488.14</v>
      </c>
      <c r="Q26" s="7">
        <f t="shared" si="1"/>
        <v>16273.900000000001</v>
      </c>
    </row>
    <row r="27" spans="1:19">
      <c r="C27" s="122"/>
      <c r="D27" s="122"/>
      <c r="E27" s="122"/>
      <c r="F27" s="122"/>
      <c r="G27" s="122"/>
      <c r="H27" s="122"/>
      <c r="L27" s="6"/>
      <c r="M27" s="6"/>
      <c r="N27" s="6"/>
      <c r="O27" s="6"/>
      <c r="P27" s="6"/>
      <c r="Q27" s="6"/>
      <c r="S27" t="s">
        <v>1182</v>
      </c>
    </row>
    <row r="28" spans="1:19" ht="13.5" thickBot="1">
      <c r="B28" t="s">
        <v>2</v>
      </c>
      <c r="C28" s="166">
        <f t="shared" ref="C28:H28" si="2">SUM(C15:C26)</f>
        <v>3</v>
      </c>
      <c r="D28" s="166">
        <f t="shared" si="2"/>
        <v>2429</v>
      </c>
      <c r="E28" s="166">
        <f t="shared" si="2"/>
        <v>921</v>
      </c>
      <c r="F28" s="166">
        <f t="shared" si="2"/>
        <v>1011</v>
      </c>
      <c r="G28" s="166">
        <f t="shared" si="2"/>
        <v>2641</v>
      </c>
      <c r="H28" s="166">
        <f t="shared" si="2"/>
        <v>7005</v>
      </c>
      <c r="K28" t="s">
        <v>2</v>
      </c>
      <c r="L28" s="8">
        <f t="shared" ref="L28:Q28" si="3">SUM(L15:L26)</f>
        <v>82.67</v>
      </c>
      <c r="M28" s="8">
        <f t="shared" si="3"/>
        <v>80230.06</v>
      </c>
      <c r="N28" s="8">
        <f t="shared" si="3"/>
        <v>30671.48</v>
      </c>
      <c r="O28" s="8">
        <f t="shared" si="3"/>
        <v>33886.630000000005</v>
      </c>
      <c r="P28" s="8">
        <f t="shared" si="3"/>
        <v>90704.590000000011</v>
      </c>
      <c r="Q28" s="8">
        <f t="shared" si="3"/>
        <v>235575.43</v>
      </c>
      <c r="S28" s="6">
        <f>L28+M28+N28</f>
        <v>110984.20999999999</v>
      </c>
    </row>
    <row r="29" spans="1:19" ht="13.5" thickTop="1">
      <c r="S29">
        <v>19248</v>
      </c>
    </row>
    <row r="30" spans="1:19" ht="13.5" thickBot="1">
      <c r="C30" s="14">
        <f>+C28/H28</f>
        <v>4.2826552462526765E-4</v>
      </c>
      <c r="D30" s="14">
        <f>+D28/H28</f>
        <v>0.34675231977159171</v>
      </c>
      <c r="E30" s="14">
        <f>+E28/H28</f>
        <v>0.13147751605995717</v>
      </c>
      <c r="F30" s="14">
        <f>+F28/H28</f>
        <v>0.14432548179871521</v>
      </c>
      <c r="G30" s="14">
        <f>+G28/H28</f>
        <v>0.37701641684511061</v>
      </c>
      <c r="H30" s="14">
        <f>SUM(C30:G30)</f>
        <v>1</v>
      </c>
      <c r="L30" s="14">
        <f>+L28/Q28</f>
        <v>3.509279384526646E-4</v>
      </c>
      <c r="M30" s="14">
        <f>+M28/Q28</f>
        <v>0.34057057648159655</v>
      </c>
      <c r="N30" s="14">
        <f>+N28/Q28</f>
        <v>0.13019812804756423</v>
      </c>
      <c r="O30" s="14">
        <f>+O28/Q28</f>
        <v>0.14384619822194533</v>
      </c>
      <c r="P30" s="14">
        <f>+P28/Q28</f>
        <v>0.38503416931044132</v>
      </c>
      <c r="Q30" s="14">
        <f>SUM(L30:P30)</f>
        <v>1</v>
      </c>
    </row>
    <row r="31" spans="1:19" ht="13.5" thickTop="1"/>
    <row r="32" spans="1:19" ht="13.5" thickBot="1">
      <c r="K32" t="s">
        <v>507</v>
      </c>
      <c r="L32" s="14">
        <f>+L28/SUM(L28:N28)</f>
        <v>7.4488073573709273E-4</v>
      </c>
      <c r="M32" s="14">
        <f>+M28/SUM(L28:N28)</f>
        <v>0.72289616694122527</v>
      </c>
      <c r="N32" s="14">
        <f>1-L32-M32</f>
        <v>0.27635895232303764</v>
      </c>
    </row>
    <row r="33" spans="1:17" ht="13.5" thickTop="1"/>
    <row r="34" spans="1:17">
      <c r="A34" s="127" t="s">
        <v>521</v>
      </c>
      <c r="J34" s="127" t="s">
        <v>520</v>
      </c>
    </row>
    <row r="35" spans="1:17">
      <c r="A35" s="127"/>
      <c r="J35" s="127"/>
    </row>
    <row r="36" spans="1:17" ht="13.5" thickBot="1">
      <c r="C36" s="4" t="s">
        <v>477</v>
      </c>
      <c r="D36" s="4" t="s">
        <v>475</v>
      </c>
      <c r="E36" s="4" t="s">
        <v>476</v>
      </c>
      <c r="F36" s="4" t="s">
        <v>110</v>
      </c>
      <c r="G36" s="4" t="s">
        <v>113</v>
      </c>
      <c r="H36" s="4" t="s">
        <v>2</v>
      </c>
      <c r="L36" s="4" t="s">
        <v>477</v>
      </c>
      <c r="M36" s="4" t="s">
        <v>475</v>
      </c>
      <c r="N36" s="4" t="s">
        <v>476</v>
      </c>
      <c r="O36" s="4" t="s">
        <v>110</v>
      </c>
      <c r="P36" s="4" t="s">
        <v>113</v>
      </c>
      <c r="Q36" s="4" t="s">
        <v>2</v>
      </c>
    </row>
    <row r="37" spans="1:17" ht="13.5" thickTop="1">
      <c r="C37" s="93"/>
      <c r="D37" s="93"/>
      <c r="E37" s="93"/>
      <c r="F37" s="93"/>
      <c r="G37" s="93"/>
      <c r="H37" s="93"/>
      <c r="L37" s="93"/>
      <c r="M37" s="93"/>
      <c r="N37" s="93"/>
      <c r="O37" s="93"/>
      <c r="P37" s="93"/>
      <c r="Q37" s="93"/>
    </row>
    <row r="38" spans="1:17">
      <c r="A38" t="s">
        <v>519</v>
      </c>
      <c r="C38" s="177">
        <f>+'Monthly Data-Disposal Fees'!C35</f>
        <v>677</v>
      </c>
      <c r="D38" s="177">
        <f>+'Monthly Data-Disposal Fees'!D35</f>
        <v>6</v>
      </c>
      <c r="E38" s="177">
        <f>+'Monthly Data-Disposal Fees'!E35</f>
        <v>0</v>
      </c>
      <c r="F38" s="177">
        <f>+'Monthly Data-Disposal Fees'!F35</f>
        <v>0</v>
      </c>
      <c r="G38" s="177">
        <f>+'Monthly Data-Disposal Fees'!G35</f>
        <v>0</v>
      </c>
      <c r="H38" s="122">
        <f t="shared" ref="H38:H49" si="4">SUM(C38:G38)</f>
        <v>683</v>
      </c>
      <c r="J38" t="s">
        <v>519</v>
      </c>
      <c r="L38" s="87">
        <f>+'Monthly Data-Disposal Fees'!L35</f>
        <v>24351.69</v>
      </c>
      <c r="M38" s="87">
        <f>+'Monthly Data-Disposal Fees'!M35</f>
        <v>215.82</v>
      </c>
      <c r="N38" s="87">
        <f>+'Monthly Data-Disposal Fees'!N35</f>
        <v>0</v>
      </c>
      <c r="O38" s="87">
        <f>+'Monthly Data-Disposal Fees'!O35</f>
        <v>0</v>
      </c>
      <c r="P38" s="87">
        <f>+'Monthly Data-Disposal Fees'!P35</f>
        <v>0</v>
      </c>
      <c r="Q38" s="6">
        <f t="shared" ref="Q38:Q49" si="5">SUM(L38:P38)</f>
        <v>24567.51</v>
      </c>
    </row>
    <row r="39" spans="1:17">
      <c r="A39" t="s">
        <v>518</v>
      </c>
      <c r="C39" s="177">
        <f>+'Monthly Data-Disposal Fees'!C36</f>
        <v>577</v>
      </c>
      <c r="D39" s="177">
        <f>+'Monthly Data-Disposal Fees'!D36</f>
        <v>3</v>
      </c>
      <c r="E39" s="177">
        <f>+'Monthly Data-Disposal Fees'!E36</f>
        <v>0</v>
      </c>
      <c r="F39" s="177">
        <f>+'Monthly Data-Disposal Fees'!F36</f>
        <v>0</v>
      </c>
      <c r="G39" s="177">
        <f>+'Monthly Data-Disposal Fees'!G36</f>
        <v>0</v>
      </c>
      <c r="H39" s="122">
        <f t="shared" si="4"/>
        <v>580</v>
      </c>
      <c r="J39" t="s">
        <v>518</v>
      </c>
      <c r="L39" s="87">
        <f>+'Monthly Data-Disposal Fees'!L36</f>
        <v>20754.689999999999</v>
      </c>
      <c r="M39" s="87">
        <f>+'Monthly Data-Disposal Fees'!M36</f>
        <v>107.91</v>
      </c>
      <c r="N39" s="87">
        <f>+'Monthly Data-Disposal Fees'!N36</f>
        <v>0</v>
      </c>
      <c r="O39" s="87">
        <f>+'Monthly Data-Disposal Fees'!O36</f>
        <v>0</v>
      </c>
      <c r="P39" s="87">
        <f>+'Monthly Data-Disposal Fees'!P36</f>
        <v>0</v>
      </c>
      <c r="Q39" s="6">
        <f t="shared" si="5"/>
        <v>20862.599999999999</v>
      </c>
    </row>
    <row r="40" spans="1:17">
      <c r="A40" t="s">
        <v>517</v>
      </c>
      <c r="C40" s="177">
        <f>+'Monthly Data-Disposal Fees'!C37</f>
        <v>681</v>
      </c>
      <c r="D40" s="177">
        <f>+'Monthly Data-Disposal Fees'!D37</f>
        <v>5</v>
      </c>
      <c r="E40" s="177">
        <f>+'Monthly Data-Disposal Fees'!E37</f>
        <v>0</v>
      </c>
      <c r="F40" s="177">
        <f>+'Monthly Data-Disposal Fees'!F37</f>
        <v>0</v>
      </c>
      <c r="G40" s="177">
        <f>+'Monthly Data-Disposal Fees'!G37</f>
        <v>0</v>
      </c>
      <c r="H40" s="122">
        <f t="shared" si="4"/>
        <v>686</v>
      </c>
      <c r="J40" t="s">
        <v>517</v>
      </c>
      <c r="L40" s="87">
        <f>+'Monthly Data-Disposal Fees'!L37</f>
        <v>25033.56</v>
      </c>
      <c r="M40" s="87">
        <f>+'Monthly Data-Disposal Fees'!M37</f>
        <v>183.8</v>
      </c>
      <c r="N40" s="87">
        <f>+'Monthly Data-Disposal Fees'!N37</f>
        <v>0</v>
      </c>
      <c r="O40" s="87">
        <f>+'Monthly Data-Disposal Fees'!O37</f>
        <v>0</v>
      </c>
      <c r="P40" s="87">
        <f>+'Monthly Data-Disposal Fees'!P37</f>
        <v>0</v>
      </c>
      <c r="Q40" s="6">
        <f t="shared" si="5"/>
        <v>25217.360000000001</v>
      </c>
    </row>
    <row r="41" spans="1:17">
      <c r="A41" t="s">
        <v>516</v>
      </c>
      <c r="C41" s="177">
        <f>+'Monthly Data-Disposal Fees'!C38</f>
        <v>923</v>
      </c>
      <c r="D41" s="177">
        <f>+'Monthly Data-Disposal Fees'!D38</f>
        <v>5</v>
      </c>
      <c r="E41" s="177">
        <f>+'Monthly Data-Disposal Fees'!E38</f>
        <v>0</v>
      </c>
      <c r="F41" s="177">
        <f>+'Monthly Data-Disposal Fees'!F38</f>
        <v>0</v>
      </c>
      <c r="G41" s="177">
        <f>+'Monthly Data-Disposal Fees'!G38</f>
        <v>0</v>
      </c>
      <c r="H41" s="122">
        <f t="shared" si="4"/>
        <v>928</v>
      </c>
      <c r="J41" t="s">
        <v>516</v>
      </c>
      <c r="L41" s="87">
        <f>+'Monthly Data-Disposal Fees'!L38</f>
        <v>33929.480000000003</v>
      </c>
      <c r="M41" s="87">
        <f>+'Monthly Data-Disposal Fees'!M38</f>
        <v>183.8</v>
      </c>
      <c r="N41" s="87">
        <f>+'Monthly Data-Disposal Fees'!N38</f>
        <v>0</v>
      </c>
      <c r="O41" s="87">
        <f>+'Monthly Data-Disposal Fees'!O38</f>
        <v>0</v>
      </c>
      <c r="P41" s="87">
        <f>+'Monthly Data-Disposal Fees'!P38</f>
        <v>0</v>
      </c>
      <c r="Q41" s="6">
        <f t="shared" si="5"/>
        <v>34113.280000000006</v>
      </c>
    </row>
    <row r="42" spans="1:17">
      <c r="A42" t="s">
        <v>515</v>
      </c>
      <c r="C42" s="177">
        <f>+'Monthly Data-Disposal Fees'!C39</f>
        <v>937</v>
      </c>
      <c r="D42" s="177">
        <f>+'Monthly Data-Disposal Fees'!D39</f>
        <v>4</v>
      </c>
      <c r="E42" s="177">
        <f>+'Monthly Data-Disposal Fees'!E39</f>
        <v>0</v>
      </c>
      <c r="F42" s="177">
        <f>+'Monthly Data-Disposal Fees'!F39</f>
        <v>0</v>
      </c>
      <c r="G42" s="177">
        <f>+'Monthly Data-Disposal Fees'!G39</f>
        <v>0</v>
      </c>
      <c r="H42" s="122">
        <f t="shared" si="4"/>
        <v>941</v>
      </c>
      <c r="J42" t="s">
        <v>515</v>
      </c>
      <c r="L42" s="87">
        <f>+'Monthly Data-Disposal Fees'!L39</f>
        <v>34444.120000000003</v>
      </c>
      <c r="M42" s="87">
        <f>+'Monthly Data-Disposal Fees'!M39</f>
        <v>147.04</v>
      </c>
      <c r="N42" s="87">
        <f>+'Monthly Data-Disposal Fees'!N39</f>
        <v>0</v>
      </c>
      <c r="O42" s="87">
        <f>+'Monthly Data-Disposal Fees'!O39</f>
        <v>0</v>
      </c>
      <c r="P42" s="87">
        <f>+'Monthly Data-Disposal Fees'!P39</f>
        <v>0</v>
      </c>
      <c r="Q42" s="6">
        <f t="shared" si="5"/>
        <v>34591.160000000003</v>
      </c>
    </row>
    <row r="43" spans="1:17">
      <c r="A43" t="s">
        <v>514</v>
      </c>
      <c r="C43" s="177">
        <f>+'Monthly Data-Disposal Fees'!C40</f>
        <v>1089</v>
      </c>
      <c r="D43" s="177">
        <f>+'Monthly Data-Disposal Fees'!D40</f>
        <v>24</v>
      </c>
      <c r="E43" s="177">
        <f>+'Monthly Data-Disposal Fees'!E40</f>
        <v>0</v>
      </c>
      <c r="F43" s="177">
        <f>+'Monthly Data-Disposal Fees'!F40</f>
        <v>0</v>
      </c>
      <c r="G43" s="177">
        <f>+'Monthly Data-Disposal Fees'!G40</f>
        <v>0</v>
      </c>
      <c r="H43" s="122">
        <f t="shared" si="4"/>
        <v>1113</v>
      </c>
      <c r="J43" t="s">
        <v>514</v>
      </c>
      <c r="L43" s="87">
        <f>+'Monthly Data-Disposal Fees'!L40</f>
        <v>40031.64</v>
      </c>
      <c r="M43" s="87">
        <f>+'Monthly Data-Disposal Fees'!M40</f>
        <v>882.24</v>
      </c>
      <c r="N43" s="87">
        <f>+'Monthly Data-Disposal Fees'!N40</f>
        <v>0</v>
      </c>
      <c r="O43" s="87">
        <f>+'Monthly Data-Disposal Fees'!O40</f>
        <v>0</v>
      </c>
      <c r="P43" s="87">
        <f>+'Monthly Data-Disposal Fees'!P40</f>
        <v>0</v>
      </c>
      <c r="Q43" s="6">
        <f t="shared" si="5"/>
        <v>40913.879999999997</v>
      </c>
    </row>
    <row r="44" spans="1:17">
      <c r="A44" t="s">
        <v>513</v>
      </c>
      <c r="C44" s="177">
        <f>+'Monthly Data-Disposal Fees'!C41</f>
        <v>1459</v>
      </c>
      <c r="D44" s="177">
        <f>+'Monthly Data-Disposal Fees'!D41</f>
        <v>30</v>
      </c>
      <c r="E44" s="177">
        <f>+'Monthly Data-Disposal Fees'!E41</f>
        <v>0</v>
      </c>
      <c r="F44" s="177">
        <f>+'Monthly Data-Disposal Fees'!F41</f>
        <v>0</v>
      </c>
      <c r="G44" s="177">
        <f>+'Monthly Data-Disposal Fees'!G41</f>
        <v>0</v>
      </c>
      <c r="H44" s="122">
        <f t="shared" si="4"/>
        <v>1489</v>
      </c>
      <c r="J44" t="s">
        <v>513</v>
      </c>
      <c r="L44" s="87">
        <f>+'Monthly Data-Disposal Fees'!L41</f>
        <v>53632.84</v>
      </c>
      <c r="M44" s="87">
        <f>+'Monthly Data-Disposal Fees'!M41</f>
        <v>1102.8</v>
      </c>
      <c r="N44" s="87">
        <f>+'Monthly Data-Disposal Fees'!N41</f>
        <v>0</v>
      </c>
      <c r="O44" s="87">
        <f>+'Monthly Data-Disposal Fees'!O41</f>
        <v>0</v>
      </c>
      <c r="P44" s="87">
        <f>+'Monthly Data-Disposal Fees'!P41</f>
        <v>0</v>
      </c>
      <c r="Q44" s="6">
        <f t="shared" si="5"/>
        <v>54735.64</v>
      </c>
    </row>
    <row r="45" spans="1:17">
      <c r="A45" t="s">
        <v>512</v>
      </c>
      <c r="C45" s="177">
        <f>+'Monthly Data-Disposal Fees'!C42</f>
        <v>1338</v>
      </c>
      <c r="D45" s="177">
        <f>+'Monthly Data-Disposal Fees'!D42</f>
        <v>17</v>
      </c>
      <c r="E45" s="177">
        <f>+'Monthly Data-Disposal Fees'!E42</f>
        <v>0</v>
      </c>
      <c r="F45" s="177">
        <f>+'Monthly Data-Disposal Fees'!F42</f>
        <v>0</v>
      </c>
      <c r="G45" s="177">
        <f>+'Monthly Data-Disposal Fees'!G42</f>
        <v>0</v>
      </c>
      <c r="H45" s="122">
        <f t="shared" si="4"/>
        <v>1355</v>
      </c>
      <c r="J45" t="s">
        <v>512</v>
      </c>
      <c r="L45" s="87">
        <f>+'Monthly Data-Disposal Fees'!L42</f>
        <v>49184.88</v>
      </c>
      <c r="M45" s="87">
        <f>+'Monthly Data-Disposal Fees'!M42</f>
        <v>624.91999999999996</v>
      </c>
      <c r="N45" s="87">
        <f>+'Monthly Data-Disposal Fees'!N42</f>
        <v>0</v>
      </c>
      <c r="O45" s="87">
        <f>+'Monthly Data-Disposal Fees'!O42</f>
        <v>0</v>
      </c>
      <c r="P45" s="87">
        <f>+'Monthly Data-Disposal Fees'!P42</f>
        <v>0</v>
      </c>
      <c r="Q45" s="6">
        <f t="shared" si="5"/>
        <v>49809.799999999996</v>
      </c>
    </row>
    <row r="46" spans="1:17">
      <c r="A46" t="s">
        <v>511</v>
      </c>
      <c r="C46" s="177">
        <f>+'Monthly Data-Disposal Fees'!C43</f>
        <v>1119</v>
      </c>
      <c r="D46" s="177">
        <f>+'Monthly Data-Disposal Fees'!D43</f>
        <v>61</v>
      </c>
      <c r="E46" s="177">
        <f>+'Monthly Data-Disposal Fees'!E43</f>
        <v>0</v>
      </c>
      <c r="F46" s="177">
        <f>+'Monthly Data-Disposal Fees'!F43</f>
        <v>20</v>
      </c>
      <c r="G46" s="177">
        <f>+'Monthly Data-Disposal Fees'!G43</f>
        <v>0</v>
      </c>
      <c r="H46" s="122">
        <f t="shared" si="4"/>
        <v>1200</v>
      </c>
      <c r="J46" t="s">
        <v>511</v>
      </c>
      <c r="L46" s="87">
        <f>+'Monthly Data-Disposal Fees'!L43</f>
        <v>41134.44</v>
      </c>
      <c r="M46" s="87">
        <f>+'Monthly Data-Disposal Fees'!M43</f>
        <v>2242.36</v>
      </c>
      <c r="N46" s="87">
        <f>+'Monthly Data-Disposal Fees'!N43</f>
        <v>0</v>
      </c>
      <c r="O46" s="87">
        <f>+'Monthly Data-Disposal Fees'!O43</f>
        <v>735.2</v>
      </c>
      <c r="P46" s="87">
        <f>+'Monthly Data-Disposal Fees'!P43</f>
        <v>0</v>
      </c>
      <c r="Q46" s="6">
        <f t="shared" si="5"/>
        <v>44112</v>
      </c>
    </row>
    <row r="47" spans="1:17">
      <c r="A47" t="s">
        <v>510</v>
      </c>
      <c r="C47" s="177">
        <f>+'Monthly Data-Disposal Fees'!C44</f>
        <v>1034</v>
      </c>
      <c r="D47" s="177">
        <f>+'Monthly Data-Disposal Fees'!D44</f>
        <v>0</v>
      </c>
      <c r="E47" s="177">
        <f>+'Monthly Data-Disposal Fees'!E44</f>
        <v>0</v>
      </c>
      <c r="F47" s="177">
        <f>+'Monthly Data-Disposal Fees'!F44</f>
        <v>0</v>
      </c>
      <c r="G47" s="177">
        <f>+'Monthly Data-Disposal Fees'!G44</f>
        <v>0</v>
      </c>
      <c r="H47" s="122">
        <f t="shared" si="4"/>
        <v>1034</v>
      </c>
      <c r="J47" t="s">
        <v>510</v>
      </c>
      <c r="L47" s="87">
        <f>+'Monthly Data-Disposal Fees'!L44</f>
        <v>38009.839999999997</v>
      </c>
      <c r="M47" s="87">
        <f>+'Monthly Data-Disposal Fees'!M44</f>
        <v>0</v>
      </c>
      <c r="N47" s="87">
        <f>+'Monthly Data-Disposal Fees'!N44</f>
        <v>0</v>
      </c>
      <c r="O47" s="87">
        <f>+'Monthly Data-Disposal Fees'!O44</f>
        <v>0</v>
      </c>
      <c r="P47" s="87">
        <f>+'Monthly Data-Disposal Fees'!P44</f>
        <v>0</v>
      </c>
      <c r="Q47" s="6">
        <f t="shared" si="5"/>
        <v>38009.839999999997</v>
      </c>
    </row>
    <row r="48" spans="1:17">
      <c r="A48" t="s">
        <v>509</v>
      </c>
      <c r="C48" s="177">
        <f>+'Monthly Data-Disposal Fees'!C45</f>
        <v>799</v>
      </c>
      <c r="D48" s="177">
        <f>+'Monthly Data-Disposal Fees'!D45</f>
        <v>2</v>
      </c>
      <c r="E48" s="177">
        <f>+'Monthly Data-Disposal Fees'!E45</f>
        <v>0</v>
      </c>
      <c r="F48" s="177">
        <f>+'Monthly Data-Disposal Fees'!F45</f>
        <v>7</v>
      </c>
      <c r="G48" s="177">
        <f>+'Monthly Data-Disposal Fees'!G45</f>
        <v>0</v>
      </c>
      <c r="H48" s="122">
        <f t="shared" si="4"/>
        <v>808</v>
      </c>
      <c r="J48" t="s">
        <v>509</v>
      </c>
      <c r="L48" s="87">
        <f>+'Monthly Data-Disposal Fees'!L45</f>
        <v>29371.24</v>
      </c>
      <c r="M48" s="87">
        <f>+'Monthly Data-Disposal Fees'!M45</f>
        <v>73.52</v>
      </c>
      <c r="N48" s="87">
        <f>+'Monthly Data-Disposal Fees'!N45</f>
        <v>0</v>
      </c>
      <c r="O48" s="87">
        <f>+'Monthly Data-Disposal Fees'!O45</f>
        <v>257.32</v>
      </c>
      <c r="P48" s="87">
        <f>+'Monthly Data-Disposal Fees'!P45</f>
        <v>0</v>
      </c>
      <c r="Q48" s="6">
        <f t="shared" si="5"/>
        <v>29702.080000000002</v>
      </c>
    </row>
    <row r="49" spans="1:19" ht="13.5" thickBot="1">
      <c r="A49" t="s">
        <v>508</v>
      </c>
      <c r="C49" s="176">
        <f>+'Monthly Data-Disposal Fees'!C46</f>
        <v>798</v>
      </c>
      <c r="D49" s="176">
        <f>+'Monthly Data-Disposal Fees'!D46</f>
        <v>4</v>
      </c>
      <c r="E49" s="176">
        <f>+'Monthly Data-Disposal Fees'!E46</f>
        <v>0</v>
      </c>
      <c r="F49" s="176">
        <f>+'Monthly Data-Disposal Fees'!F46</f>
        <v>0</v>
      </c>
      <c r="G49" s="176">
        <f>+'Monthly Data-Disposal Fees'!G46</f>
        <v>0</v>
      </c>
      <c r="H49" s="175">
        <f t="shared" si="4"/>
        <v>802</v>
      </c>
      <c r="J49" t="s">
        <v>508</v>
      </c>
      <c r="L49" s="174">
        <f>+'Monthly Data-Disposal Fees'!L46</f>
        <v>29334.48</v>
      </c>
      <c r="M49" s="174">
        <f>+'Monthly Data-Disposal Fees'!M46</f>
        <v>147.04</v>
      </c>
      <c r="N49" s="174">
        <f>+'Monthly Data-Disposal Fees'!N46</f>
        <v>0</v>
      </c>
      <c r="O49" s="174">
        <f>+'Monthly Data-Disposal Fees'!O46</f>
        <v>0</v>
      </c>
      <c r="P49" s="174">
        <f>+'Monthly Data-Disposal Fees'!P46</f>
        <v>0</v>
      </c>
      <c r="Q49" s="7">
        <f t="shared" si="5"/>
        <v>29481.52</v>
      </c>
    </row>
    <row r="50" spans="1:19">
      <c r="C50" s="122"/>
      <c r="D50" s="122"/>
      <c r="E50" s="122"/>
      <c r="F50" s="122"/>
      <c r="G50" s="122"/>
      <c r="H50" s="122"/>
      <c r="L50" s="6"/>
      <c r="M50" s="6"/>
      <c r="N50" s="6"/>
      <c r="O50" s="6"/>
      <c r="P50" s="6"/>
      <c r="Q50" s="6"/>
    </row>
    <row r="51" spans="1:19" ht="13.5" thickBot="1">
      <c r="B51" t="s">
        <v>2</v>
      </c>
      <c r="C51" s="166">
        <f t="shared" ref="C51:H51" si="6">SUM(C38:C49)</f>
        <v>11431</v>
      </c>
      <c r="D51" s="166">
        <f t="shared" si="6"/>
        <v>161</v>
      </c>
      <c r="E51" s="166">
        <f t="shared" si="6"/>
        <v>0</v>
      </c>
      <c r="F51" s="166">
        <f t="shared" si="6"/>
        <v>27</v>
      </c>
      <c r="G51" s="166">
        <f t="shared" si="6"/>
        <v>0</v>
      </c>
      <c r="H51" s="166">
        <f t="shared" si="6"/>
        <v>11619</v>
      </c>
      <c r="K51" t="s">
        <v>2</v>
      </c>
      <c r="L51" s="8">
        <f t="shared" ref="L51:Q51" si="7">SUM(L38:L49)</f>
        <v>419212.89999999991</v>
      </c>
      <c r="M51" s="8">
        <f t="shared" si="7"/>
        <v>5911.2500000000009</v>
      </c>
      <c r="N51" s="8">
        <f t="shared" si="7"/>
        <v>0</v>
      </c>
      <c r="O51" s="8">
        <f t="shared" si="7"/>
        <v>992.52</v>
      </c>
      <c r="P51" s="8">
        <f t="shared" si="7"/>
        <v>0</v>
      </c>
      <c r="Q51" s="8">
        <f t="shared" si="7"/>
        <v>426116.67</v>
      </c>
      <c r="S51" s="6">
        <f>L51+M51+N51</f>
        <v>425124.14999999991</v>
      </c>
    </row>
    <row r="52" spans="1:19" ht="13.5" thickTop="1"/>
    <row r="53" spans="1:19" ht="13.5" thickBot="1">
      <c r="C53" s="14">
        <f>+C51/H51</f>
        <v>0.98381960581805661</v>
      </c>
      <c r="D53" s="14">
        <f>+D51/H51</f>
        <v>1.3856614166451502E-2</v>
      </c>
      <c r="E53" s="14">
        <f>+E51/H51</f>
        <v>0</v>
      </c>
      <c r="F53" s="14">
        <f>+F51/H51</f>
        <v>2.3237800154918666E-3</v>
      </c>
      <c r="G53" s="14">
        <f>+G51/H51</f>
        <v>0</v>
      </c>
      <c r="H53" s="14">
        <f>SUM(C53:G53)</f>
        <v>0.99999999999999989</v>
      </c>
      <c r="L53" s="14">
        <f>+L51/Q51</f>
        <v>0.98379840431964305</v>
      </c>
      <c r="M53" s="14">
        <f>+M51/Q51</f>
        <v>1.3872374436794508E-2</v>
      </c>
      <c r="N53" s="14">
        <f>+N51/Q51</f>
        <v>0</v>
      </c>
      <c r="O53" s="14">
        <f>+O51/Q51</f>
        <v>2.3292212435622383E-3</v>
      </c>
      <c r="P53" s="14">
        <f>+P51/Q51</f>
        <v>0</v>
      </c>
      <c r="Q53" s="14">
        <f>SUM(L53:P53)</f>
        <v>0.99999999999999978</v>
      </c>
    </row>
    <row r="54" spans="1:19" ht="13.5" thickTop="1"/>
    <row r="55" spans="1:19" ht="13.5" thickBot="1">
      <c r="K55" t="s">
        <v>507</v>
      </c>
      <c r="L55" s="14">
        <f>+L51/SUM(L51:N51)</f>
        <v>0.98609523829685986</v>
      </c>
      <c r="M55" s="14">
        <f>+M51/SUM(L51:N51)</f>
        <v>1.3904761703140135E-2</v>
      </c>
      <c r="N55" s="14">
        <f>1-L55-M55</f>
        <v>0</v>
      </c>
      <c r="S55" s="6">
        <f>S28+S51</f>
        <v>536108.35999999987</v>
      </c>
    </row>
    <row r="56" spans="1:19" ht="13.5" thickTop="1"/>
  </sheetData>
  <pageMargins left="0.25" right="0.25" top="0.25" bottom="0.25" header="0.5" footer="0.5"/>
  <pageSetup scale="71"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4"/>
  <sheetViews>
    <sheetView zoomScaleNormal="100" workbookViewId="0">
      <pane xSplit="1" ySplit="8" topLeftCell="B84" activePane="bottomRight" state="frozen"/>
      <selection pane="topRight" activeCell="B1" sqref="B1"/>
      <selection pane="bottomLeft" activeCell="A9" sqref="A9"/>
      <selection pane="bottomRight" activeCell="D3" sqref="D3"/>
    </sheetView>
  </sheetViews>
  <sheetFormatPr defaultRowHeight="12.75"/>
  <cols>
    <col min="1" max="1" width="18.85546875" customWidth="1"/>
    <col min="2" max="2" width="7.140625" customWidth="1"/>
    <col min="3" max="3" width="10" customWidth="1"/>
    <col min="4" max="4" width="9.140625" customWidth="1"/>
    <col min="5" max="5" width="11.5703125" customWidth="1"/>
    <col min="6" max="6" width="9.42578125" customWidth="1"/>
    <col min="7" max="7" width="8.85546875" customWidth="1"/>
    <col min="8" max="8" width="13.85546875" customWidth="1"/>
    <col min="9" max="9" width="9.42578125" customWidth="1"/>
    <col min="10" max="10" width="13.5703125" customWidth="1"/>
    <col min="11" max="11" width="7.42578125" customWidth="1"/>
    <col min="12" max="12" width="10" customWidth="1"/>
    <col min="13" max="13" width="9.7109375" customWidth="1"/>
    <col min="14" max="14" width="11.5703125" customWidth="1"/>
    <col min="15" max="16" width="8.5703125" customWidth="1"/>
    <col min="17" max="17" width="11.42578125" customWidth="1"/>
    <col min="18" max="18" width="9.42578125" customWidth="1"/>
    <col min="19" max="19" width="12.28515625" customWidth="1"/>
    <col min="20" max="20" width="8.140625" customWidth="1"/>
    <col min="21" max="21" width="6.85546875" customWidth="1"/>
    <col min="22" max="22" width="8.5703125" customWidth="1"/>
    <col min="23" max="23" width="11.5703125" customWidth="1"/>
    <col min="24" max="24" width="8.5703125" customWidth="1"/>
    <col min="25" max="25" width="8.42578125" customWidth="1"/>
    <col min="26" max="26" width="11.42578125" customWidth="1"/>
    <col min="27" max="27" width="9.42578125" customWidth="1"/>
    <col min="28" max="28" width="12.28515625" customWidth="1"/>
    <col min="29" max="29" width="12" customWidth="1"/>
    <col min="31" max="31" width="13.140625" customWidth="1"/>
    <col min="32" max="32" width="14.140625" customWidth="1"/>
  </cols>
  <sheetData>
    <row r="1" spans="1:34">
      <c r="A1" t="s">
        <v>0</v>
      </c>
    </row>
    <row r="2" spans="1:34">
      <c r="A2" t="s">
        <v>543</v>
      </c>
      <c r="D2" s="693" t="s">
        <v>1414</v>
      </c>
      <c r="E2" s="693" t="s">
        <v>702</v>
      </c>
      <c r="G2" t="s">
        <v>542</v>
      </c>
    </row>
    <row r="3" spans="1:34">
      <c r="A3" s="703" t="s">
        <v>1387</v>
      </c>
      <c r="G3" t="s">
        <v>541</v>
      </c>
    </row>
    <row r="5" spans="1:34" ht="13.5" thickBot="1">
      <c r="C5" s="137" t="s">
        <v>461</v>
      </c>
      <c r="D5" s="5"/>
      <c r="E5" s="5"/>
      <c r="F5" s="137" t="s">
        <v>461</v>
      </c>
      <c r="G5" s="5"/>
      <c r="H5" s="5"/>
      <c r="I5" s="137" t="s">
        <v>540</v>
      </c>
      <c r="J5" s="5"/>
      <c r="L5" s="137" t="s">
        <v>468</v>
      </c>
      <c r="M5" s="5"/>
      <c r="N5" s="5"/>
      <c r="O5" s="137" t="s">
        <v>468</v>
      </c>
      <c r="P5" s="5"/>
      <c r="Q5" s="5"/>
      <c r="R5" s="137" t="s">
        <v>539</v>
      </c>
      <c r="S5" s="5"/>
      <c r="U5" s="137" t="s">
        <v>538</v>
      </c>
      <c r="V5" s="5"/>
      <c r="W5" s="5"/>
      <c r="X5" s="137" t="s">
        <v>538</v>
      </c>
      <c r="Y5" s="5"/>
      <c r="Z5" s="5"/>
      <c r="AA5" s="137" t="s">
        <v>537</v>
      </c>
      <c r="AB5" s="5"/>
    </row>
    <row r="6" spans="1:34" ht="13.5" thickBot="1">
      <c r="C6" s="704" t="s">
        <v>1400</v>
      </c>
      <c r="D6" s="5"/>
      <c r="E6" s="5"/>
      <c r="F6" s="704" t="s">
        <v>1401</v>
      </c>
      <c r="G6" s="5"/>
      <c r="H6" s="5"/>
      <c r="I6" s="137" t="s">
        <v>536</v>
      </c>
      <c r="J6" s="5"/>
      <c r="L6" s="704" t="s">
        <v>1400</v>
      </c>
      <c r="M6" s="5"/>
      <c r="N6" s="5"/>
      <c r="O6" s="704" t="s">
        <v>1401</v>
      </c>
      <c r="P6" s="5"/>
      <c r="Q6" s="5"/>
      <c r="R6" s="137" t="s">
        <v>536</v>
      </c>
      <c r="S6" s="5"/>
      <c r="T6" s="18"/>
      <c r="U6" s="704" t="s">
        <v>1402</v>
      </c>
      <c r="V6" s="5"/>
      <c r="W6" s="5"/>
      <c r="X6" s="704" t="s">
        <v>1401</v>
      </c>
      <c r="Y6" s="5"/>
      <c r="Z6" s="5"/>
      <c r="AA6" s="137" t="s">
        <v>536</v>
      </c>
      <c r="AB6" s="5"/>
      <c r="AC6" s="18"/>
      <c r="AD6" s="2" t="s">
        <v>2</v>
      </c>
    </row>
    <row r="7" spans="1:34">
      <c r="C7" s="2"/>
      <c r="D7" s="2"/>
      <c r="E7" s="2"/>
      <c r="F7" s="2"/>
      <c r="G7" s="2"/>
      <c r="H7" s="2"/>
      <c r="I7" s="194" t="s">
        <v>535</v>
      </c>
      <c r="J7" s="193"/>
      <c r="L7" s="2"/>
      <c r="M7" s="2"/>
      <c r="N7" s="2"/>
      <c r="O7" s="2"/>
      <c r="P7" s="2"/>
      <c r="Q7" s="2"/>
      <c r="R7" s="194" t="s">
        <v>535</v>
      </c>
      <c r="S7" s="193"/>
      <c r="T7" s="18"/>
      <c r="U7" s="2"/>
      <c r="V7" s="2"/>
      <c r="W7" s="2"/>
      <c r="X7" s="2"/>
      <c r="Y7" s="2"/>
      <c r="Z7" s="2"/>
      <c r="AA7" s="194" t="s">
        <v>535</v>
      </c>
      <c r="AB7" s="193"/>
      <c r="AC7" s="93"/>
      <c r="AD7" s="93" t="s">
        <v>105</v>
      </c>
    </row>
    <row r="8" spans="1:34" ht="13.5" thickBot="1">
      <c r="A8" s="5" t="s">
        <v>454</v>
      </c>
      <c r="B8" s="5"/>
      <c r="C8" s="20" t="s">
        <v>199</v>
      </c>
      <c r="D8" s="20" t="s">
        <v>100</v>
      </c>
      <c r="E8" s="20" t="s">
        <v>2</v>
      </c>
      <c r="F8" s="20" t="s">
        <v>199</v>
      </c>
      <c r="G8" s="20" t="s">
        <v>100</v>
      </c>
      <c r="H8" s="20" t="s">
        <v>2</v>
      </c>
      <c r="I8" s="130" t="s">
        <v>199</v>
      </c>
      <c r="J8" s="129" t="s">
        <v>2</v>
      </c>
      <c r="L8" s="20" t="s">
        <v>199</v>
      </c>
      <c r="M8" s="20" t="s">
        <v>100</v>
      </c>
      <c r="N8" s="20" t="s">
        <v>2</v>
      </c>
      <c r="O8" s="20" t="s">
        <v>199</v>
      </c>
      <c r="P8" s="20" t="s">
        <v>100</v>
      </c>
      <c r="Q8" s="20" t="s">
        <v>2</v>
      </c>
      <c r="R8" s="130" t="s">
        <v>199</v>
      </c>
      <c r="S8" s="129" t="s">
        <v>2</v>
      </c>
      <c r="T8" s="18"/>
      <c r="U8" s="20" t="s">
        <v>199</v>
      </c>
      <c r="V8" s="20" t="s">
        <v>100</v>
      </c>
      <c r="W8" s="20" t="s">
        <v>2</v>
      </c>
      <c r="X8" s="20" t="s">
        <v>199</v>
      </c>
      <c r="Y8" s="20" t="s">
        <v>100</v>
      </c>
      <c r="Z8" s="20" t="s">
        <v>2</v>
      </c>
      <c r="AA8" s="130" t="s">
        <v>199</v>
      </c>
      <c r="AB8" s="129" t="s">
        <v>2</v>
      </c>
      <c r="AC8" s="93"/>
      <c r="AD8" s="192" t="s">
        <v>199</v>
      </c>
      <c r="AE8" s="192" t="s">
        <v>2</v>
      </c>
    </row>
    <row r="9" spans="1:34">
      <c r="A9" t="s">
        <v>451</v>
      </c>
      <c r="I9" s="136"/>
      <c r="J9" s="134"/>
      <c r="R9" s="136"/>
      <c r="S9" s="134"/>
      <c r="T9" s="18"/>
      <c r="AA9" s="136"/>
      <c r="AB9" s="134"/>
      <c r="AC9" s="18"/>
    </row>
    <row r="10" spans="1:34">
      <c r="A10" t="s">
        <v>450</v>
      </c>
      <c r="C10" s="122">
        <f>+'Service Count Data'!$X$52</f>
        <v>0</v>
      </c>
      <c r="D10" s="711">
        <v>14.72</v>
      </c>
      <c r="E10" s="56">
        <f t="shared" ref="E10:E34" si="0">+C10*D10</f>
        <v>0</v>
      </c>
      <c r="F10" s="122">
        <f>+'Service Count Data'!$AD$52</f>
        <v>24</v>
      </c>
      <c r="G10" s="711">
        <v>16.149999999999999</v>
      </c>
      <c r="H10" s="56">
        <f t="shared" ref="H10:H34" si="1">+F10*G10</f>
        <v>387.59999999999997</v>
      </c>
      <c r="I10" s="187">
        <f>+C10+F10</f>
        <v>24</v>
      </c>
      <c r="J10" s="179">
        <f>+E10+H10</f>
        <v>387.59999999999997</v>
      </c>
      <c r="L10" s="122">
        <f>+'Service Count Data'!$X$53</f>
        <v>0</v>
      </c>
      <c r="M10" s="712">
        <v>13.65</v>
      </c>
      <c r="N10" s="56">
        <f t="shared" ref="N10:N34" si="2">+L10*M10</f>
        <v>0</v>
      </c>
      <c r="O10" s="122">
        <f>+'Service Count Data'!$AD$53</f>
        <v>0</v>
      </c>
      <c r="P10" s="712">
        <v>13.65</v>
      </c>
      <c r="Q10" s="56">
        <f t="shared" ref="Q10:Q34" si="3">+O10*P10</f>
        <v>0</v>
      </c>
      <c r="R10" s="187">
        <f t="shared" ref="R10:R34" si="4">+L10+O10</f>
        <v>0</v>
      </c>
      <c r="S10" s="179">
        <f t="shared" ref="S10:S34" si="5">+N10+Q10</f>
        <v>0</v>
      </c>
      <c r="U10" s="122">
        <f>+'Service Count Data'!$X$54</f>
        <v>0</v>
      </c>
      <c r="V10" s="712">
        <v>13.65</v>
      </c>
      <c r="W10" s="56">
        <f t="shared" ref="W10:W34" si="6">+U10*V10</f>
        <v>0</v>
      </c>
      <c r="X10" s="122">
        <f>+'Service Count Data'!$AD$54</f>
        <v>0</v>
      </c>
      <c r="Y10" s="712">
        <v>13.65</v>
      </c>
      <c r="Z10" s="56">
        <f t="shared" ref="Z10:Z34" si="7">+X10*Y10</f>
        <v>0</v>
      </c>
      <c r="AA10" s="187">
        <f t="shared" ref="AA10:AA34" si="8">+U10+X10</f>
        <v>0</v>
      </c>
      <c r="AB10" s="179">
        <f t="shared" ref="AB10:AB34" si="9">+W10+Z10</f>
        <v>0</v>
      </c>
      <c r="AC10" s="56">
        <f t="shared" ref="AC10:AC42" si="10">+R10+AA10</f>
        <v>0</v>
      </c>
      <c r="AD10" s="122">
        <f t="shared" ref="AD10:AD34" si="11">+I10+R10+AA10</f>
        <v>24</v>
      </c>
      <c r="AE10" s="56">
        <f t="shared" ref="AE10:AE34" si="12">+J10+S10+AB10</f>
        <v>387.59999999999997</v>
      </c>
      <c r="AH10" s="122">
        <f t="shared" ref="AH10:AH22" si="13">+R10+AA10</f>
        <v>0</v>
      </c>
    </row>
    <row r="11" spans="1:34">
      <c r="A11" t="s">
        <v>449</v>
      </c>
      <c r="C11" s="122">
        <f>+'Service Count Data'!$X$55</f>
        <v>0</v>
      </c>
      <c r="D11" s="711">
        <v>8.69</v>
      </c>
      <c r="E11" s="56">
        <f t="shared" si="0"/>
        <v>0</v>
      </c>
      <c r="F11" s="122">
        <f>+'Service Count Data'!$AD$55</f>
        <v>29</v>
      </c>
      <c r="G11" s="711">
        <v>9.5</v>
      </c>
      <c r="H11" s="56">
        <f t="shared" si="1"/>
        <v>275.5</v>
      </c>
      <c r="I11" s="187">
        <f t="shared" ref="I11:I34" si="14">+C11+F11</f>
        <v>29</v>
      </c>
      <c r="J11" s="186">
        <f t="shared" ref="J11:J34" si="15">+E11+H11</f>
        <v>275.5</v>
      </c>
      <c r="L11" s="122">
        <f>+'Service Count Data'!$X$56</f>
        <v>0</v>
      </c>
      <c r="M11" s="712">
        <v>8.75</v>
      </c>
      <c r="N11" s="56">
        <f t="shared" si="2"/>
        <v>0</v>
      </c>
      <c r="O11" s="122">
        <f>+'Service Count Data'!$AD$56</f>
        <v>0</v>
      </c>
      <c r="P11" s="712">
        <v>8.75</v>
      </c>
      <c r="Q11" s="56">
        <f t="shared" si="3"/>
        <v>0</v>
      </c>
      <c r="R11" s="187">
        <f t="shared" si="4"/>
        <v>0</v>
      </c>
      <c r="S11" s="186">
        <f t="shared" si="5"/>
        <v>0</v>
      </c>
      <c r="U11" s="122">
        <f>+'Service Count Data'!$X$57</f>
        <v>0</v>
      </c>
      <c r="V11" s="712">
        <v>8.75</v>
      </c>
      <c r="W11" s="56">
        <f t="shared" si="6"/>
        <v>0</v>
      </c>
      <c r="X11" s="122">
        <f>+'Service Count Data'!$AD$57</f>
        <v>11</v>
      </c>
      <c r="Y11" s="712">
        <v>8.75</v>
      </c>
      <c r="Z11" s="56">
        <f t="shared" si="7"/>
        <v>96.25</v>
      </c>
      <c r="AA11" s="187">
        <f t="shared" si="8"/>
        <v>11</v>
      </c>
      <c r="AB11" s="186">
        <f t="shared" si="9"/>
        <v>96.25</v>
      </c>
      <c r="AC11" s="122">
        <f t="shared" si="10"/>
        <v>11</v>
      </c>
      <c r="AD11" s="122">
        <f t="shared" si="11"/>
        <v>40</v>
      </c>
      <c r="AE11" s="6">
        <f t="shared" si="12"/>
        <v>371.75</v>
      </c>
      <c r="AH11" s="122">
        <f t="shared" si="13"/>
        <v>11</v>
      </c>
    </row>
    <row r="12" spans="1:34">
      <c r="A12" t="s">
        <v>448</v>
      </c>
      <c r="C12" s="122">
        <f>+'Service Count Data'!$X$58</f>
        <v>0</v>
      </c>
      <c r="D12" s="711">
        <v>12.69</v>
      </c>
      <c r="E12" s="6">
        <f t="shared" si="0"/>
        <v>0</v>
      </c>
      <c r="F12" s="122">
        <f>+'Service Count Data'!$AD$58</f>
        <v>14</v>
      </c>
      <c r="G12" s="711">
        <v>13.85</v>
      </c>
      <c r="H12" s="6">
        <f t="shared" si="1"/>
        <v>193.9</v>
      </c>
      <c r="I12" s="187">
        <f t="shared" si="14"/>
        <v>14</v>
      </c>
      <c r="J12" s="186">
        <f t="shared" si="15"/>
        <v>193.9</v>
      </c>
      <c r="L12" s="122">
        <f>+'Service Count Data'!$X$59</f>
        <v>0</v>
      </c>
      <c r="M12" s="712">
        <v>12.6</v>
      </c>
      <c r="N12" s="6">
        <f t="shared" si="2"/>
        <v>0</v>
      </c>
      <c r="O12" s="122">
        <f>+'Service Count Data'!$AD$59</f>
        <v>0</v>
      </c>
      <c r="P12" s="712">
        <v>12.6</v>
      </c>
      <c r="Q12" s="6">
        <f t="shared" si="3"/>
        <v>0</v>
      </c>
      <c r="R12" s="187">
        <f t="shared" si="4"/>
        <v>0</v>
      </c>
      <c r="S12" s="186">
        <f t="shared" si="5"/>
        <v>0</v>
      </c>
      <c r="U12" s="122">
        <f>+'Service Count Data'!$X$60</f>
        <v>0</v>
      </c>
      <c r="V12" s="712">
        <v>12.6</v>
      </c>
      <c r="W12" s="6">
        <f t="shared" si="6"/>
        <v>0</v>
      </c>
      <c r="X12" s="122">
        <f>+'Service Count Data'!$AD$60</f>
        <v>0</v>
      </c>
      <c r="Y12" s="712">
        <v>12.6</v>
      </c>
      <c r="Z12" s="6">
        <f t="shared" si="7"/>
        <v>0</v>
      </c>
      <c r="AA12" s="187">
        <f t="shared" si="8"/>
        <v>0</v>
      </c>
      <c r="AB12" s="186">
        <f t="shared" si="9"/>
        <v>0</v>
      </c>
      <c r="AC12" s="122">
        <f t="shared" si="10"/>
        <v>0</v>
      </c>
      <c r="AD12" s="122">
        <f t="shared" si="11"/>
        <v>14</v>
      </c>
      <c r="AE12" s="6">
        <f t="shared" si="12"/>
        <v>193.9</v>
      </c>
      <c r="AH12" s="122">
        <f t="shared" si="13"/>
        <v>0</v>
      </c>
    </row>
    <row r="13" spans="1:34">
      <c r="A13" t="s">
        <v>447</v>
      </c>
      <c r="C13" s="122">
        <f>+'Service Count Data'!$X$61</f>
        <v>0</v>
      </c>
      <c r="D13" s="711">
        <v>16.690000000000001</v>
      </c>
      <c r="E13" s="6">
        <f t="shared" si="0"/>
        <v>0</v>
      </c>
      <c r="F13" s="122">
        <f>+'Service Count Data'!$AD$61</f>
        <v>7</v>
      </c>
      <c r="G13" s="711">
        <v>18.2</v>
      </c>
      <c r="H13" s="6">
        <f t="shared" si="1"/>
        <v>127.39999999999999</v>
      </c>
      <c r="I13" s="187">
        <f t="shared" si="14"/>
        <v>7</v>
      </c>
      <c r="J13" s="186">
        <f t="shared" si="15"/>
        <v>127.39999999999999</v>
      </c>
      <c r="L13" s="122">
        <f>+'Service Count Data'!$X$62</f>
        <v>0</v>
      </c>
      <c r="M13" s="712">
        <v>16.45</v>
      </c>
      <c r="N13" s="6">
        <f t="shared" si="2"/>
        <v>0</v>
      </c>
      <c r="O13" s="122">
        <f>+'Service Count Data'!$AD$62</f>
        <v>0</v>
      </c>
      <c r="P13" s="712">
        <v>16.45</v>
      </c>
      <c r="Q13" s="6">
        <f t="shared" si="3"/>
        <v>0</v>
      </c>
      <c r="R13" s="187">
        <f t="shared" si="4"/>
        <v>0</v>
      </c>
      <c r="S13" s="186">
        <f t="shared" si="5"/>
        <v>0</v>
      </c>
      <c r="U13" s="122">
        <f>+'Service Count Data'!$X$63</f>
        <v>0</v>
      </c>
      <c r="V13" s="712">
        <v>16.45</v>
      </c>
      <c r="W13" s="6">
        <f t="shared" si="6"/>
        <v>0</v>
      </c>
      <c r="X13" s="122">
        <f>+'Service Count Data'!$AD$63</f>
        <v>0</v>
      </c>
      <c r="Y13" s="712">
        <v>16.45</v>
      </c>
      <c r="Z13" s="6">
        <f t="shared" si="7"/>
        <v>0</v>
      </c>
      <c r="AA13" s="187">
        <f t="shared" si="8"/>
        <v>0</v>
      </c>
      <c r="AB13" s="186">
        <f t="shared" si="9"/>
        <v>0</v>
      </c>
      <c r="AC13" s="122">
        <f t="shared" si="10"/>
        <v>0</v>
      </c>
      <c r="AD13" s="122">
        <f t="shared" si="11"/>
        <v>7</v>
      </c>
      <c r="AE13" s="6">
        <f t="shared" si="12"/>
        <v>127.39999999999999</v>
      </c>
      <c r="AH13" s="122">
        <f t="shared" si="13"/>
        <v>0</v>
      </c>
    </row>
    <row r="14" spans="1:34">
      <c r="A14" t="s">
        <v>446</v>
      </c>
      <c r="C14" s="122">
        <f>+'Service Count Data'!$X$10</f>
        <v>0</v>
      </c>
      <c r="D14" s="711">
        <v>18.100000000000001</v>
      </c>
      <c r="E14" s="6">
        <f t="shared" si="0"/>
        <v>0</v>
      </c>
      <c r="F14" s="122">
        <f>+'Service Count Data'!$AD$10</f>
        <v>494.1</v>
      </c>
      <c r="G14" s="711">
        <v>19.850000000000001</v>
      </c>
      <c r="H14" s="6">
        <f t="shared" si="1"/>
        <v>9807.885000000002</v>
      </c>
      <c r="I14" s="187">
        <f t="shared" si="14"/>
        <v>494.1</v>
      </c>
      <c r="J14" s="186">
        <f t="shared" si="15"/>
        <v>9807.885000000002</v>
      </c>
      <c r="L14" s="122">
        <f>+'Service Count Data'!$X$11</f>
        <v>0</v>
      </c>
      <c r="M14" s="712">
        <v>16.350000000000001</v>
      </c>
      <c r="N14" s="6">
        <f t="shared" si="2"/>
        <v>0</v>
      </c>
      <c r="O14" s="122">
        <f>+'Service Count Data'!$AD$11</f>
        <v>581.4</v>
      </c>
      <c r="P14" s="712">
        <v>16.350000000000001</v>
      </c>
      <c r="Q14" s="6">
        <f t="shared" si="3"/>
        <v>9505.8900000000012</v>
      </c>
      <c r="R14" s="187">
        <f t="shared" si="4"/>
        <v>581.4</v>
      </c>
      <c r="S14" s="186">
        <f t="shared" si="5"/>
        <v>9505.8900000000012</v>
      </c>
      <c r="U14" s="122">
        <f>+'Service Count Data'!$X$12</f>
        <v>0</v>
      </c>
      <c r="V14" s="712">
        <v>16.350000000000001</v>
      </c>
      <c r="W14" s="6">
        <f t="shared" si="6"/>
        <v>0</v>
      </c>
      <c r="X14" s="122">
        <f>+'Service Count Data'!$AD$12</f>
        <v>494.86385681293302</v>
      </c>
      <c r="Y14" s="712">
        <v>16.350000000000001</v>
      </c>
      <c r="Z14" s="6">
        <f t="shared" si="7"/>
        <v>8091.0240588914558</v>
      </c>
      <c r="AA14" s="187">
        <f t="shared" si="8"/>
        <v>494.86385681293302</v>
      </c>
      <c r="AB14" s="186">
        <f t="shared" si="9"/>
        <v>8091.0240588914558</v>
      </c>
      <c r="AC14" s="122">
        <f t="shared" si="10"/>
        <v>1076.263856812933</v>
      </c>
      <c r="AD14" s="122">
        <f t="shared" si="11"/>
        <v>1570.3638568129331</v>
      </c>
      <c r="AE14" s="6">
        <f t="shared" si="12"/>
        <v>27404.799058891458</v>
      </c>
      <c r="AH14" s="122">
        <f t="shared" si="13"/>
        <v>1076.263856812933</v>
      </c>
    </row>
    <row r="15" spans="1:34">
      <c r="A15" t="s">
        <v>445</v>
      </c>
      <c r="C15" s="122">
        <f>+'Service Count Data'!$X$13</f>
        <v>0</v>
      </c>
      <c r="D15" s="711">
        <v>22.25</v>
      </c>
      <c r="E15" s="6">
        <f t="shared" si="0"/>
        <v>0</v>
      </c>
      <c r="F15" s="122">
        <f>+'Service Count Data'!$AD$13</f>
        <v>312.7</v>
      </c>
      <c r="G15" s="711">
        <v>24.4</v>
      </c>
      <c r="H15" s="6">
        <f t="shared" si="1"/>
        <v>7629.8799999999992</v>
      </c>
      <c r="I15" s="187">
        <f t="shared" si="14"/>
        <v>312.7</v>
      </c>
      <c r="J15" s="186">
        <f t="shared" si="15"/>
        <v>7629.8799999999992</v>
      </c>
      <c r="L15" s="122">
        <f>+'Service Count Data'!$X$14</f>
        <v>0</v>
      </c>
      <c r="M15" s="712">
        <v>20.55</v>
      </c>
      <c r="N15" s="6">
        <f t="shared" si="2"/>
        <v>0</v>
      </c>
      <c r="O15" s="122">
        <f>+'Service Count Data'!$AD$14</f>
        <v>852.8</v>
      </c>
      <c r="P15" s="712">
        <v>20.55</v>
      </c>
      <c r="Q15" s="6">
        <f t="shared" si="3"/>
        <v>17525.04</v>
      </c>
      <c r="R15" s="187">
        <f t="shared" si="4"/>
        <v>852.8</v>
      </c>
      <c r="S15" s="186">
        <f t="shared" si="5"/>
        <v>17525.04</v>
      </c>
      <c r="U15" s="122">
        <f>+'Service Count Data'!$X$15</f>
        <v>0</v>
      </c>
      <c r="V15" s="712">
        <v>20.55</v>
      </c>
      <c r="W15" s="6">
        <f t="shared" si="6"/>
        <v>0</v>
      </c>
      <c r="X15" s="122">
        <f>+'Service Count Data'!$AD$15</f>
        <v>767.89711316397222</v>
      </c>
      <c r="Y15" s="712">
        <v>20.55</v>
      </c>
      <c r="Z15" s="6">
        <f t="shared" si="7"/>
        <v>15780.28567551963</v>
      </c>
      <c r="AA15" s="187">
        <f t="shared" si="8"/>
        <v>767.89711316397222</v>
      </c>
      <c r="AB15" s="186">
        <f t="shared" si="9"/>
        <v>15780.28567551963</v>
      </c>
      <c r="AC15" s="122">
        <f t="shared" si="10"/>
        <v>1620.6971131639721</v>
      </c>
      <c r="AD15" s="122">
        <f t="shared" si="11"/>
        <v>1933.3971131639723</v>
      </c>
      <c r="AE15" s="6">
        <f t="shared" si="12"/>
        <v>40935.205675519624</v>
      </c>
      <c r="AH15" s="122">
        <f t="shared" si="13"/>
        <v>1620.6971131639721</v>
      </c>
    </row>
    <row r="16" spans="1:34">
      <c r="A16" t="s">
        <v>444</v>
      </c>
      <c r="C16" s="122">
        <f>+'Service Count Data'!$X$16</f>
        <v>0</v>
      </c>
      <c r="D16" s="711">
        <v>27.94</v>
      </c>
      <c r="E16" s="6">
        <f t="shared" si="0"/>
        <v>0</v>
      </c>
      <c r="F16" s="122">
        <f>+'Service Count Data'!$AD$16</f>
        <v>41.95</v>
      </c>
      <c r="G16" s="711">
        <v>30.6</v>
      </c>
      <c r="H16" s="6">
        <f t="shared" si="1"/>
        <v>1283.67</v>
      </c>
      <c r="I16" s="187">
        <f t="shared" si="14"/>
        <v>41.95</v>
      </c>
      <c r="J16" s="186">
        <f t="shared" si="15"/>
        <v>1283.67</v>
      </c>
      <c r="L16" s="122">
        <f>+'Service Count Data'!$X$17</f>
        <v>0</v>
      </c>
      <c r="M16" s="712">
        <v>24.25</v>
      </c>
      <c r="N16" s="6">
        <f t="shared" si="2"/>
        <v>0</v>
      </c>
      <c r="O16" s="122">
        <f>+'Service Count Data'!$AD$17</f>
        <v>272.85000000000002</v>
      </c>
      <c r="P16" s="712">
        <v>24.25</v>
      </c>
      <c r="Q16" s="6">
        <f t="shared" si="3"/>
        <v>6616.6125000000002</v>
      </c>
      <c r="R16" s="187">
        <f t="shared" si="4"/>
        <v>272.85000000000002</v>
      </c>
      <c r="S16" s="186">
        <f t="shared" si="5"/>
        <v>6616.6125000000002</v>
      </c>
      <c r="U16" s="122">
        <f>+'Service Count Data'!$X$18</f>
        <v>0</v>
      </c>
      <c r="V16" s="712">
        <v>24.25</v>
      </c>
      <c r="W16" s="6">
        <f t="shared" si="6"/>
        <v>0</v>
      </c>
      <c r="X16" s="122">
        <f>+'Service Count Data'!$AD$18</f>
        <v>74.7</v>
      </c>
      <c r="Y16" s="712">
        <v>24.25</v>
      </c>
      <c r="Z16" s="6">
        <f t="shared" si="7"/>
        <v>1811.4750000000001</v>
      </c>
      <c r="AA16" s="187">
        <f t="shared" si="8"/>
        <v>74.7</v>
      </c>
      <c r="AB16" s="186">
        <f t="shared" si="9"/>
        <v>1811.4750000000001</v>
      </c>
      <c r="AC16" s="122">
        <f t="shared" si="10"/>
        <v>347.55</v>
      </c>
      <c r="AD16" s="122">
        <f t="shared" si="11"/>
        <v>389.5</v>
      </c>
      <c r="AE16" s="6">
        <f t="shared" si="12"/>
        <v>9711.7574999999997</v>
      </c>
      <c r="AH16" s="122">
        <f t="shared" si="13"/>
        <v>347.55</v>
      </c>
    </row>
    <row r="17" spans="1:34">
      <c r="A17" t="s">
        <v>443</v>
      </c>
      <c r="C17" s="122">
        <f>+'Service Count Data'!$X$19</f>
        <v>0</v>
      </c>
      <c r="D17" s="711">
        <v>33.979999999999997</v>
      </c>
      <c r="E17" s="6">
        <f t="shared" si="0"/>
        <v>0</v>
      </c>
      <c r="F17" s="122">
        <f>+'Service Count Data'!$AD$19</f>
        <v>16.649999999999999</v>
      </c>
      <c r="G17" s="711">
        <v>37.25</v>
      </c>
      <c r="H17" s="6">
        <f t="shared" si="1"/>
        <v>620.21249999999998</v>
      </c>
      <c r="I17" s="187">
        <f t="shared" si="14"/>
        <v>16.649999999999999</v>
      </c>
      <c r="J17" s="186">
        <f t="shared" si="15"/>
        <v>620.21249999999998</v>
      </c>
      <c r="L17" s="122">
        <f>+'Service Count Data'!$X$20</f>
        <v>0</v>
      </c>
      <c r="M17" s="712">
        <v>27.75</v>
      </c>
      <c r="N17" s="6">
        <f t="shared" si="2"/>
        <v>0</v>
      </c>
      <c r="O17" s="122">
        <f>+'Service Count Data'!$AD$20</f>
        <v>95.5</v>
      </c>
      <c r="P17" s="712">
        <v>27.75</v>
      </c>
      <c r="Q17" s="6">
        <f t="shared" si="3"/>
        <v>2650.125</v>
      </c>
      <c r="R17" s="187">
        <f t="shared" si="4"/>
        <v>95.5</v>
      </c>
      <c r="S17" s="186">
        <f t="shared" si="5"/>
        <v>2650.125</v>
      </c>
      <c r="U17" s="122">
        <f>+'Service Count Data'!$X$21</f>
        <v>0</v>
      </c>
      <c r="V17" s="712">
        <v>27.75</v>
      </c>
      <c r="W17" s="6">
        <f t="shared" si="6"/>
        <v>0</v>
      </c>
      <c r="X17" s="122">
        <f>+'Service Count Data'!$AD$21</f>
        <v>71.813856812933025</v>
      </c>
      <c r="Y17" s="712">
        <v>27.75</v>
      </c>
      <c r="Z17" s="6">
        <f t="shared" si="7"/>
        <v>1992.8345265588914</v>
      </c>
      <c r="AA17" s="187">
        <f t="shared" si="8"/>
        <v>71.813856812933025</v>
      </c>
      <c r="AB17" s="186">
        <f t="shared" si="9"/>
        <v>1992.8345265588914</v>
      </c>
      <c r="AC17" s="122">
        <f t="shared" si="10"/>
        <v>167.31385681293301</v>
      </c>
      <c r="AD17" s="122">
        <f t="shared" si="11"/>
        <v>183.96385681293305</v>
      </c>
      <c r="AE17" s="6">
        <f t="shared" si="12"/>
        <v>5263.172026558892</v>
      </c>
      <c r="AH17" s="122">
        <f t="shared" si="13"/>
        <v>167.31385681293301</v>
      </c>
    </row>
    <row r="18" spans="1:34">
      <c r="A18" t="s">
        <v>442</v>
      </c>
      <c r="C18" s="122">
        <f>+'Service Count Data'!$X$22</f>
        <v>0</v>
      </c>
      <c r="D18" s="711">
        <v>38.71</v>
      </c>
      <c r="E18" s="6">
        <f t="shared" si="0"/>
        <v>0</v>
      </c>
      <c r="F18" s="122">
        <f>+'Service Count Data'!$AD$22</f>
        <v>0</v>
      </c>
      <c r="G18" s="711">
        <v>42.45</v>
      </c>
      <c r="H18" s="6">
        <f t="shared" si="1"/>
        <v>0</v>
      </c>
      <c r="I18" s="187">
        <f t="shared" si="14"/>
        <v>0</v>
      </c>
      <c r="J18" s="186">
        <f t="shared" si="15"/>
        <v>0</v>
      </c>
      <c r="L18" s="122">
        <f>+'Service Count Data'!$X$23</f>
        <v>0</v>
      </c>
      <c r="M18" s="712">
        <v>33.25</v>
      </c>
      <c r="N18" s="6">
        <f t="shared" si="2"/>
        <v>0</v>
      </c>
      <c r="O18" s="122">
        <f>+'Service Count Data'!$AD$23</f>
        <v>30.65</v>
      </c>
      <c r="P18" s="712">
        <v>33.25</v>
      </c>
      <c r="Q18" s="6">
        <f t="shared" si="3"/>
        <v>1019.1125</v>
      </c>
      <c r="R18" s="187">
        <f t="shared" si="4"/>
        <v>30.65</v>
      </c>
      <c r="S18" s="186">
        <f t="shared" si="5"/>
        <v>1019.1125</v>
      </c>
      <c r="U18" s="122">
        <f>+'Service Count Data'!$X$24</f>
        <v>0</v>
      </c>
      <c r="V18" s="712">
        <v>33.25</v>
      </c>
      <c r="W18" s="6">
        <f t="shared" si="6"/>
        <v>0</v>
      </c>
      <c r="X18" s="122">
        <f>+'Service Count Data'!$AD$24</f>
        <v>6.0046189376443415</v>
      </c>
      <c r="Y18" s="712">
        <v>33.25</v>
      </c>
      <c r="Z18" s="6">
        <f t="shared" si="7"/>
        <v>199.65357967667435</v>
      </c>
      <c r="AA18" s="187">
        <f t="shared" si="8"/>
        <v>6.0046189376443415</v>
      </c>
      <c r="AB18" s="186">
        <f t="shared" si="9"/>
        <v>199.65357967667435</v>
      </c>
      <c r="AC18" s="122">
        <f t="shared" si="10"/>
        <v>36.654618937644344</v>
      </c>
      <c r="AD18" s="122">
        <f t="shared" si="11"/>
        <v>36.654618937644344</v>
      </c>
      <c r="AE18" s="6">
        <f t="shared" si="12"/>
        <v>1218.7660796766743</v>
      </c>
      <c r="AH18" s="122">
        <f t="shared" si="13"/>
        <v>36.654618937644344</v>
      </c>
    </row>
    <row r="19" spans="1:34">
      <c r="A19" t="s">
        <v>441</v>
      </c>
      <c r="C19" s="122">
        <f>+'Service Count Data'!$X$25</f>
        <v>0</v>
      </c>
      <c r="D19" s="711">
        <v>44.69</v>
      </c>
      <c r="E19" s="6">
        <f t="shared" si="0"/>
        <v>0</v>
      </c>
      <c r="F19" s="122">
        <f>+'Service Count Data'!$AD$25</f>
        <v>24</v>
      </c>
      <c r="G19" s="711">
        <v>49</v>
      </c>
      <c r="H19" s="6">
        <f t="shared" si="1"/>
        <v>1176</v>
      </c>
      <c r="I19" s="187">
        <f t="shared" si="14"/>
        <v>24</v>
      </c>
      <c r="J19" s="186">
        <f t="shared" si="15"/>
        <v>1176</v>
      </c>
      <c r="L19" s="122">
        <f>+'Service Count Data'!$X$26</f>
        <v>0</v>
      </c>
      <c r="M19" s="712">
        <v>36.85</v>
      </c>
      <c r="N19" s="6">
        <f t="shared" si="2"/>
        <v>0</v>
      </c>
      <c r="O19" s="122">
        <f>+'Service Count Data'!$AD$26</f>
        <v>30.5</v>
      </c>
      <c r="P19" s="712">
        <v>36.85</v>
      </c>
      <c r="Q19" s="6">
        <f t="shared" si="3"/>
        <v>1123.925</v>
      </c>
      <c r="R19" s="187">
        <f t="shared" si="4"/>
        <v>30.5</v>
      </c>
      <c r="S19" s="186">
        <f t="shared" si="5"/>
        <v>1123.925</v>
      </c>
      <c r="U19" s="122">
        <f>+'Service Count Data'!$X$27</f>
        <v>0</v>
      </c>
      <c r="V19" s="712">
        <v>36.85</v>
      </c>
      <c r="W19" s="6">
        <f t="shared" si="6"/>
        <v>0</v>
      </c>
      <c r="X19" s="122">
        <f>+'Service Count Data'!$AD$27</f>
        <v>0</v>
      </c>
      <c r="Y19" s="712">
        <v>36.85</v>
      </c>
      <c r="Z19" s="6">
        <f t="shared" si="7"/>
        <v>0</v>
      </c>
      <c r="AA19" s="187">
        <f t="shared" si="8"/>
        <v>0</v>
      </c>
      <c r="AB19" s="186">
        <f t="shared" si="9"/>
        <v>0</v>
      </c>
      <c r="AC19" s="122">
        <f t="shared" si="10"/>
        <v>30.5</v>
      </c>
      <c r="AD19" s="122">
        <f t="shared" si="11"/>
        <v>54.5</v>
      </c>
      <c r="AE19" s="6">
        <f t="shared" si="12"/>
        <v>2299.9250000000002</v>
      </c>
      <c r="AH19" s="122">
        <f t="shared" si="13"/>
        <v>30.5</v>
      </c>
    </row>
    <row r="20" spans="1:34">
      <c r="A20" s="83" t="s">
        <v>440</v>
      </c>
      <c r="C20" s="122">
        <f>+'Service Count Data'!$X$28</f>
        <v>0</v>
      </c>
      <c r="D20" s="711">
        <v>12</v>
      </c>
      <c r="E20" s="6">
        <f t="shared" si="0"/>
        <v>0</v>
      </c>
      <c r="F20" s="122">
        <f>+'Service Count Data'!$AD$28</f>
        <v>52.6</v>
      </c>
      <c r="G20" s="711">
        <v>13.15</v>
      </c>
      <c r="H20" s="6">
        <f t="shared" si="1"/>
        <v>691.69</v>
      </c>
      <c r="I20" s="187">
        <f t="shared" si="14"/>
        <v>52.6</v>
      </c>
      <c r="J20" s="186">
        <f t="shared" si="15"/>
        <v>691.69</v>
      </c>
      <c r="L20" s="122">
        <f>+'Service Count Data'!$X$29</f>
        <v>0</v>
      </c>
      <c r="M20" s="712">
        <v>0</v>
      </c>
      <c r="N20" s="6">
        <f t="shared" si="2"/>
        <v>0</v>
      </c>
      <c r="O20" s="122">
        <f>+'Service Count Data'!$AD$29</f>
        <v>0</v>
      </c>
      <c r="P20" s="712">
        <v>0</v>
      </c>
      <c r="Q20" s="6">
        <f t="shared" si="3"/>
        <v>0</v>
      </c>
      <c r="R20" s="187">
        <f t="shared" si="4"/>
        <v>0</v>
      </c>
      <c r="S20" s="186">
        <f t="shared" si="5"/>
        <v>0</v>
      </c>
      <c r="U20" s="122">
        <f>+'Service Count Data'!$X$30</f>
        <v>0</v>
      </c>
      <c r="V20" s="712">
        <v>0</v>
      </c>
      <c r="W20" s="6">
        <f t="shared" si="6"/>
        <v>0</v>
      </c>
      <c r="X20" s="122">
        <f>+'Service Count Data'!$AD$30</f>
        <v>0</v>
      </c>
      <c r="Y20" s="712">
        <v>0</v>
      </c>
      <c r="Z20" s="6">
        <f t="shared" si="7"/>
        <v>0</v>
      </c>
      <c r="AA20" s="187">
        <f t="shared" si="8"/>
        <v>0</v>
      </c>
      <c r="AB20" s="186">
        <f t="shared" si="9"/>
        <v>0</v>
      </c>
      <c r="AC20" s="122">
        <f t="shared" si="10"/>
        <v>0</v>
      </c>
      <c r="AD20" s="122">
        <f t="shared" si="11"/>
        <v>52.6</v>
      </c>
      <c r="AE20" s="6">
        <f t="shared" si="12"/>
        <v>691.69</v>
      </c>
      <c r="AH20" s="122">
        <f t="shared" si="13"/>
        <v>0</v>
      </c>
    </row>
    <row r="21" spans="1:34">
      <c r="A21" s="83" t="s">
        <v>439</v>
      </c>
      <c r="C21" s="122">
        <f>+'Service Count Data'!$X$31</f>
        <v>0</v>
      </c>
      <c r="D21" s="711">
        <v>18.100000000000001</v>
      </c>
      <c r="E21" s="6">
        <f t="shared" si="0"/>
        <v>0</v>
      </c>
      <c r="F21" s="122">
        <f>+'Service Count Data'!$AD$31</f>
        <v>6154.9</v>
      </c>
      <c r="G21" s="711">
        <v>19.850000000000001</v>
      </c>
      <c r="H21" s="6">
        <f t="shared" si="1"/>
        <v>122174.765</v>
      </c>
      <c r="I21" s="187">
        <f t="shared" si="14"/>
        <v>6154.9</v>
      </c>
      <c r="J21" s="186">
        <f t="shared" si="15"/>
        <v>122174.765</v>
      </c>
      <c r="L21" s="122">
        <f>+'Service Count Data'!$X$32</f>
        <v>0</v>
      </c>
      <c r="M21" s="712">
        <v>0</v>
      </c>
      <c r="N21" s="6">
        <f t="shared" si="2"/>
        <v>0</v>
      </c>
      <c r="O21" s="122">
        <f>+'Service Count Data'!$AD$32</f>
        <v>0</v>
      </c>
      <c r="P21" s="712">
        <v>0</v>
      </c>
      <c r="Q21" s="6">
        <f t="shared" si="3"/>
        <v>0</v>
      </c>
      <c r="R21" s="187">
        <f t="shared" si="4"/>
        <v>0</v>
      </c>
      <c r="S21" s="186">
        <f t="shared" si="5"/>
        <v>0</v>
      </c>
      <c r="U21" s="122">
        <f>+'Service Count Data'!$X$33</f>
        <v>0</v>
      </c>
      <c r="V21" s="712">
        <v>0</v>
      </c>
      <c r="W21" s="6">
        <f t="shared" si="6"/>
        <v>0</v>
      </c>
      <c r="X21" s="122">
        <f>+'Service Count Data'!$AD$33</f>
        <v>0</v>
      </c>
      <c r="Y21" s="712">
        <v>0</v>
      </c>
      <c r="Z21" s="6">
        <f t="shared" si="7"/>
        <v>0</v>
      </c>
      <c r="AA21" s="187">
        <f t="shared" si="8"/>
        <v>0</v>
      </c>
      <c r="AB21" s="186">
        <f t="shared" si="9"/>
        <v>0</v>
      </c>
      <c r="AC21" s="122">
        <f t="shared" si="10"/>
        <v>0</v>
      </c>
      <c r="AD21" s="122">
        <f t="shared" si="11"/>
        <v>6154.9</v>
      </c>
      <c r="AE21" s="6">
        <f t="shared" si="12"/>
        <v>122174.765</v>
      </c>
      <c r="AH21" s="122">
        <f t="shared" si="13"/>
        <v>0</v>
      </c>
    </row>
    <row r="22" spans="1:34">
      <c r="A22" s="83" t="s">
        <v>438</v>
      </c>
      <c r="C22" s="122">
        <f>+'Service Count Data'!$X$34</f>
        <v>0</v>
      </c>
      <c r="D22" s="711">
        <v>30.95</v>
      </c>
      <c r="E22" s="6">
        <f t="shared" si="0"/>
        <v>0</v>
      </c>
      <c r="F22" s="122">
        <f>+'Service Count Data'!$AD$34</f>
        <v>0</v>
      </c>
      <c r="G22" s="711">
        <v>39.700000000000003</v>
      </c>
      <c r="H22" s="6">
        <f t="shared" si="1"/>
        <v>0</v>
      </c>
      <c r="I22" s="187">
        <f t="shared" si="14"/>
        <v>0</v>
      </c>
      <c r="J22" s="186">
        <f t="shared" si="15"/>
        <v>0</v>
      </c>
      <c r="L22" s="122">
        <f>+'Service Count Data'!$X$35</f>
        <v>0</v>
      </c>
      <c r="M22" s="712">
        <v>0</v>
      </c>
      <c r="N22" s="6">
        <f t="shared" si="2"/>
        <v>0</v>
      </c>
      <c r="O22" s="122">
        <f>+'Service Count Data'!$AD$35</f>
        <v>0</v>
      </c>
      <c r="P22" s="712">
        <v>0</v>
      </c>
      <c r="Q22" s="6">
        <f t="shared" si="3"/>
        <v>0</v>
      </c>
      <c r="R22" s="187">
        <f t="shared" si="4"/>
        <v>0</v>
      </c>
      <c r="S22" s="186">
        <f t="shared" si="5"/>
        <v>0</v>
      </c>
      <c r="U22" s="122">
        <f>+'Service Count Data'!$X$36</f>
        <v>0</v>
      </c>
      <c r="V22" s="712">
        <v>0</v>
      </c>
      <c r="W22" s="6">
        <f t="shared" si="6"/>
        <v>0</v>
      </c>
      <c r="X22" s="122">
        <f>+'Service Count Data'!$AD$36</f>
        <v>0</v>
      </c>
      <c r="Y22" s="712">
        <v>0</v>
      </c>
      <c r="Z22" s="6">
        <f t="shared" si="7"/>
        <v>0</v>
      </c>
      <c r="AA22" s="187">
        <f t="shared" si="8"/>
        <v>0</v>
      </c>
      <c r="AB22" s="186">
        <f t="shared" si="9"/>
        <v>0</v>
      </c>
      <c r="AC22" s="122">
        <f t="shared" si="10"/>
        <v>0</v>
      </c>
      <c r="AD22" s="122">
        <f t="shared" si="11"/>
        <v>0</v>
      </c>
      <c r="AE22" s="6">
        <f t="shared" si="12"/>
        <v>0</v>
      </c>
      <c r="AH22" s="122">
        <f t="shared" si="13"/>
        <v>0</v>
      </c>
    </row>
    <row r="23" spans="1:34">
      <c r="A23" t="s">
        <v>437</v>
      </c>
      <c r="C23" s="122">
        <f>+'Service Count Data'!$X$37</f>
        <v>0</v>
      </c>
      <c r="D23" s="711">
        <v>13</v>
      </c>
      <c r="E23" s="6">
        <f t="shared" si="0"/>
        <v>0</v>
      </c>
      <c r="F23" s="122">
        <f>+'Service Count Data'!$AD$37</f>
        <v>55.8</v>
      </c>
      <c r="G23" s="711">
        <v>14.25</v>
      </c>
      <c r="H23" s="6">
        <f t="shared" si="1"/>
        <v>795.15</v>
      </c>
      <c r="I23" s="187">
        <f t="shared" si="14"/>
        <v>55.8</v>
      </c>
      <c r="J23" s="186">
        <f t="shared" si="15"/>
        <v>795.15</v>
      </c>
      <c r="L23" s="122">
        <f>+'Service Count Data'!$X$38</f>
        <v>0</v>
      </c>
      <c r="M23" s="712">
        <v>0</v>
      </c>
      <c r="N23" s="6">
        <f t="shared" si="2"/>
        <v>0</v>
      </c>
      <c r="O23" s="122">
        <f>+'Service Count Data'!$AD$38</f>
        <v>0</v>
      </c>
      <c r="P23" s="712">
        <v>0</v>
      </c>
      <c r="Q23" s="6">
        <f t="shared" si="3"/>
        <v>0</v>
      </c>
      <c r="R23" s="187">
        <f t="shared" si="4"/>
        <v>0</v>
      </c>
      <c r="S23" s="186">
        <f t="shared" si="5"/>
        <v>0</v>
      </c>
      <c r="U23" s="122">
        <f>+'Service Count Data'!$X$39</f>
        <v>0</v>
      </c>
      <c r="V23" s="712">
        <v>0</v>
      </c>
      <c r="W23" s="6">
        <f t="shared" si="6"/>
        <v>0</v>
      </c>
      <c r="X23" s="122">
        <f>+'Service Count Data'!$AD$39</f>
        <v>0</v>
      </c>
      <c r="Y23" s="712">
        <v>0</v>
      </c>
      <c r="Z23" s="6">
        <f t="shared" si="7"/>
        <v>0</v>
      </c>
      <c r="AA23" s="187">
        <f t="shared" si="8"/>
        <v>0</v>
      </c>
      <c r="AB23" s="186">
        <f t="shared" si="9"/>
        <v>0</v>
      </c>
      <c r="AC23" s="122">
        <f t="shared" si="10"/>
        <v>0</v>
      </c>
      <c r="AD23" s="122">
        <f t="shared" si="11"/>
        <v>55.8</v>
      </c>
      <c r="AE23" s="6">
        <f t="shared" si="12"/>
        <v>795.15</v>
      </c>
      <c r="AH23" s="122">
        <f t="shared" ref="AH23:AH34" si="16">+R23+AA23</f>
        <v>0</v>
      </c>
    </row>
    <row r="24" spans="1:34">
      <c r="A24" t="s">
        <v>436</v>
      </c>
      <c r="C24" s="122">
        <f>+'Service Count Data'!$X$40</f>
        <v>0</v>
      </c>
      <c r="D24" s="711">
        <v>22.25</v>
      </c>
      <c r="E24" s="6">
        <f t="shared" si="0"/>
        <v>0</v>
      </c>
      <c r="F24" s="122">
        <f>+'Service Count Data'!$AD$40</f>
        <v>10263.200000000001</v>
      </c>
      <c r="G24" s="711">
        <v>24.4</v>
      </c>
      <c r="H24" s="6">
        <f t="shared" si="1"/>
        <v>250422.08000000002</v>
      </c>
      <c r="I24" s="187">
        <f t="shared" si="14"/>
        <v>10263.200000000001</v>
      </c>
      <c r="J24" s="186">
        <f t="shared" si="15"/>
        <v>250422.08000000002</v>
      </c>
      <c r="L24" s="122">
        <f>+'Service Count Data'!$X$41</f>
        <v>0</v>
      </c>
      <c r="M24" s="712">
        <v>0</v>
      </c>
      <c r="N24" s="6">
        <f t="shared" si="2"/>
        <v>0</v>
      </c>
      <c r="O24" s="122">
        <f>+'Service Count Data'!$AD$41</f>
        <v>0</v>
      </c>
      <c r="P24" s="712">
        <v>0</v>
      </c>
      <c r="Q24" s="6">
        <f t="shared" si="3"/>
        <v>0</v>
      </c>
      <c r="R24" s="187">
        <f t="shared" si="4"/>
        <v>0</v>
      </c>
      <c r="S24" s="186">
        <f t="shared" si="5"/>
        <v>0</v>
      </c>
      <c r="U24" s="122">
        <f>+'Service Count Data'!$X$42</f>
        <v>0</v>
      </c>
      <c r="V24" s="712">
        <v>0</v>
      </c>
      <c r="W24" s="6">
        <f t="shared" si="6"/>
        <v>0</v>
      </c>
      <c r="X24" s="122">
        <f>+'Service Count Data'!$AD$42</f>
        <v>0</v>
      </c>
      <c r="Y24" s="712">
        <v>0</v>
      </c>
      <c r="Z24" s="6">
        <f t="shared" si="7"/>
        <v>0</v>
      </c>
      <c r="AA24" s="187">
        <f t="shared" si="8"/>
        <v>0</v>
      </c>
      <c r="AB24" s="186">
        <f t="shared" si="9"/>
        <v>0</v>
      </c>
      <c r="AC24" s="122">
        <f t="shared" si="10"/>
        <v>0</v>
      </c>
      <c r="AD24" s="122">
        <f t="shared" si="11"/>
        <v>10263.200000000001</v>
      </c>
      <c r="AE24" s="6">
        <f t="shared" si="12"/>
        <v>250422.08000000002</v>
      </c>
      <c r="AH24" s="122">
        <f t="shared" si="16"/>
        <v>0</v>
      </c>
    </row>
    <row r="25" spans="1:34">
      <c r="A25" t="s">
        <v>435</v>
      </c>
      <c r="C25" s="122">
        <f>+'Service Count Data'!$X$43</f>
        <v>0</v>
      </c>
      <c r="D25" s="711">
        <v>36.049999999999997</v>
      </c>
      <c r="E25" s="6">
        <f t="shared" si="0"/>
        <v>0</v>
      </c>
      <c r="F25" s="122">
        <f>+'Service Count Data'!$AD$43</f>
        <v>265.60000000000002</v>
      </c>
      <c r="G25" s="711">
        <v>48.8</v>
      </c>
      <c r="H25" s="6">
        <f t="shared" si="1"/>
        <v>12961.28</v>
      </c>
      <c r="I25" s="187">
        <f t="shared" si="14"/>
        <v>265.60000000000002</v>
      </c>
      <c r="J25" s="186">
        <f t="shared" si="15"/>
        <v>12961.28</v>
      </c>
      <c r="L25" s="122">
        <f>+'Service Count Data'!$X$44</f>
        <v>0</v>
      </c>
      <c r="M25" s="712">
        <v>0</v>
      </c>
      <c r="N25" s="6">
        <f t="shared" si="2"/>
        <v>0</v>
      </c>
      <c r="O25" s="122">
        <f>+'Service Count Data'!$AD$44</f>
        <v>0</v>
      </c>
      <c r="P25" s="712">
        <v>0</v>
      </c>
      <c r="Q25" s="6">
        <f t="shared" si="3"/>
        <v>0</v>
      </c>
      <c r="R25" s="187">
        <f t="shared" si="4"/>
        <v>0</v>
      </c>
      <c r="S25" s="186">
        <f t="shared" si="5"/>
        <v>0</v>
      </c>
      <c r="U25" s="122">
        <f>+'Service Count Data'!$X$45</f>
        <v>0</v>
      </c>
      <c r="V25" s="712">
        <v>0</v>
      </c>
      <c r="W25" s="6">
        <f t="shared" si="6"/>
        <v>0</v>
      </c>
      <c r="X25" s="122">
        <f>+'Service Count Data'!$AD$45</f>
        <v>0</v>
      </c>
      <c r="Y25" s="712">
        <v>0</v>
      </c>
      <c r="Z25" s="6">
        <f t="shared" si="7"/>
        <v>0</v>
      </c>
      <c r="AA25" s="187">
        <f t="shared" si="8"/>
        <v>0</v>
      </c>
      <c r="AB25" s="186">
        <f t="shared" si="9"/>
        <v>0</v>
      </c>
      <c r="AC25" s="122">
        <f t="shared" si="10"/>
        <v>0</v>
      </c>
      <c r="AD25" s="122">
        <f t="shared" si="11"/>
        <v>265.60000000000002</v>
      </c>
      <c r="AE25" s="6">
        <f t="shared" si="12"/>
        <v>12961.28</v>
      </c>
      <c r="AH25" s="122">
        <f t="shared" si="16"/>
        <v>0</v>
      </c>
    </row>
    <row r="26" spans="1:34">
      <c r="A26" t="s">
        <v>434</v>
      </c>
      <c r="C26" s="122">
        <f>+'Service Count Data'!$X$46</f>
        <v>0</v>
      </c>
      <c r="D26" s="711">
        <v>27.94</v>
      </c>
      <c r="E26" s="6">
        <f t="shared" si="0"/>
        <v>0</v>
      </c>
      <c r="F26" s="122">
        <f>+'Service Count Data'!$AD$46</f>
        <v>8302.4</v>
      </c>
      <c r="G26" s="711">
        <v>30.6</v>
      </c>
      <c r="H26" s="6">
        <f t="shared" si="1"/>
        <v>254053.44</v>
      </c>
      <c r="I26" s="187">
        <f t="shared" si="14"/>
        <v>8302.4</v>
      </c>
      <c r="J26" s="186">
        <f t="shared" si="15"/>
        <v>254053.44</v>
      </c>
      <c r="L26" s="122">
        <f>+'Service Count Data'!$X$47</f>
        <v>0</v>
      </c>
      <c r="M26" s="712">
        <v>0</v>
      </c>
      <c r="N26" s="6">
        <f t="shared" si="2"/>
        <v>0</v>
      </c>
      <c r="O26" s="122">
        <f>+'Service Count Data'!$AD$47</f>
        <v>0</v>
      </c>
      <c r="P26" s="712">
        <v>0</v>
      </c>
      <c r="Q26" s="6">
        <f t="shared" si="3"/>
        <v>0</v>
      </c>
      <c r="R26" s="187">
        <f t="shared" si="4"/>
        <v>0</v>
      </c>
      <c r="S26" s="186">
        <f t="shared" si="5"/>
        <v>0</v>
      </c>
      <c r="U26" s="122">
        <f>+'Service Count Data'!$X$48</f>
        <v>0</v>
      </c>
      <c r="V26" s="712">
        <v>0</v>
      </c>
      <c r="W26" s="6">
        <f t="shared" si="6"/>
        <v>0</v>
      </c>
      <c r="X26" s="122">
        <f>+'Service Count Data'!$AD$48</f>
        <v>0</v>
      </c>
      <c r="Y26" s="712">
        <v>0</v>
      </c>
      <c r="Z26" s="6">
        <f t="shared" si="7"/>
        <v>0</v>
      </c>
      <c r="AA26" s="187">
        <f t="shared" si="8"/>
        <v>0</v>
      </c>
      <c r="AB26" s="186">
        <f t="shared" si="9"/>
        <v>0</v>
      </c>
      <c r="AC26" s="122">
        <f t="shared" si="10"/>
        <v>0</v>
      </c>
      <c r="AD26" s="122">
        <f t="shared" si="11"/>
        <v>8302.4</v>
      </c>
      <c r="AE26" s="6">
        <f t="shared" si="12"/>
        <v>254053.44</v>
      </c>
      <c r="AH26" s="122">
        <f t="shared" si="16"/>
        <v>0</v>
      </c>
    </row>
    <row r="27" spans="1:34">
      <c r="A27" t="s">
        <v>433</v>
      </c>
      <c r="C27" s="122">
        <f>+'Service Count Data'!$X$49</f>
        <v>0</v>
      </c>
      <c r="D27" s="711">
        <v>49.05</v>
      </c>
      <c r="E27" s="6">
        <f t="shared" si="0"/>
        <v>0</v>
      </c>
      <c r="F27" s="122">
        <f>+'Service Count Data'!$AD$49</f>
        <v>702.85</v>
      </c>
      <c r="G27" s="711">
        <v>61.2</v>
      </c>
      <c r="H27" s="6">
        <f t="shared" si="1"/>
        <v>43014.420000000006</v>
      </c>
      <c r="I27" s="187">
        <f t="shared" si="14"/>
        <v>702.85</v>
      </c>
      <c r="J27" s="186">
        <f t="shared" si="15"/>
        <v>43014.420000000006</v>
      </c>
      <c r="L27" s="122">
        <f>+'Service Count Data'!$X$50</f>
        <v>0</v>
      </c>
      <c r="M27" s="712">
        <v>0</v>
      </c>
      <c r="N27" s="6">
        <f t="shared" si="2"/>
        <v>0</v>
      </c>
      <c r="O27" s="122">
        <f>+'Service Count Data'!$AD$50</f>
        <v>0</v>
      </c>
      <c r="P27" s="712">
        <v>0</v>
      </c>
      <c r="Q27" s="6">
        <f t="shared" si="3"/>
        <v>0</v>
      </c>
      <c r="R27" s="187">
        <f t="shared" si="4"/>
        <v>0</v>
      </c>
      <c r="S27" s="186">
        <f t="shared" si="5"/>
        <v>0</v>
      </c>
      <c r="U27" s="122">
        <f>+'Service Count Data'!$X$51</f>
        <v>0</v>
      </c>
      <c r="V27" s="712">
        <v>0</v>
      </c>
      <c r="W27" s="6">
        <f t="shared" si="6"/>
        <v>0</v>
      </c>
      <c r="X27" s="122">
        <f>+'Service Count Data'!$AD$51</f>
        <v>0</v>
      </c>
      <c r="Y27" s="712">
        <v>0</v>
      </c>
      <c r="Z27" s="6">
        <f t="shared" si="7"/>
        <v>0</v>
      </c>
      <c r="AA27" s="187">
        <f t="shared" si="8"/>
        <v>0</v>
      </c>
      <c r="AB27" s="186">
        <f t="shared" si="9"/>
        <v>0</v>
      </c>
      <c r="AC27" s="122">
        <f t="shared" si="10"/>
        <v>0</v>
      </c>
      <c r="AD27" s="122">
        <f t="shared" si="11"/>
        <v>702.85</v>
      </c>
      <c r="AE27" s="6">
        <f t="shared" si="12"/>
        <v>43014.420000000006</v>
      </c>
      <c r="AH27" s="122">
        <f t="shared" si="16"/>
        <v>0</v>
      </c>
    </row>
    <row r="28" spans="1:34">
      <c r="A28" s="83" t="s">
        <v>1318</v>
      </c>
      <c r="C28" s="122">
        <f>+'Service Count Data'!$X$196</f>
        <v>0</v>
      </c>
      <c r="D28" s="711">
        <v>15</v>
      </c>
      <c r="E28" s="6">
        <f t="shared" ref="E28" si="17">+C28*D28</f>
        <v>0</v>
      </c>
      <c r="F28" s="122">
        <f>+'Service Count Data'!$AD$196</f>
        <v>605</v>
      </c>
      <c r="G28" s="711">
        <v>15</v>
      </c>
      <c r="H28" s="6">
        <f t="shared" ref="H28" si="18">+F28*G28</f>
        <v>9075</v>
      </c>
      <c r="I28" s="187">
        <f t="shared" ref="I28" si="19">+C28+F28</f>
        <v>605</v>
      </c>
      <c r="J28" s="186">
        <f t="shared" ref="J28" si="20">+E28+H28</f>
        <v>9075</v>
      </c>
      <c r="L28" s="122">
        <f>+'Service Count Data'!$X$197</f>
        <v>0</v>
      </c>
      <c r="M28" s="712">
        <v>0</v>
      </c>
      <c r="N28" s="6">
        <f t="shared" ref="N28" si="21">+L28*M28</f>
        <v>0</v>
      </c>
      <c r="O28" s="122">
        <f>+'Service Count Data'!$AD$197</f>
        <v>0</v>
      </c>
      <c r="P28" s="712">
        <v>0</v>
      </c>
      <c r="Q28" s="6">
        <f t="shared" ref="Q28" si="22">+O28*P28</f>
        <v>0</v>
      </c>
      <c r="R28" s="187">
        <f t="shared" ref="R28" si="23">+L28+O28</f>
        <v>0</v>
      </c>
      <c r="S28" s="186">
        <f t="shared" ref="S28" si="24">+N28+Q28</f>
        <v>0</v>
      </c>
      <c r="U28" s="122">
        <f>+'Service Count Data'!$X$198</f>
        <v>0</v>
      </c>
      <c r="V28" s="712">
        <v>0</v>
      </c>
      <c r="W28" s="6">
        <f t="shared" ref="W28" si="25">+U28*V28</f>
        <v>0</v>
      </c>
      <c r="X28" s="122">
        <f>+'Service Count Data'!$AD$198</f>
        <v>0</v>
      </c>
      <c r="Y28" s="712">
        <v>0</v>
      </c>
      <c r="Z28" s="6">
        <f t="shared" ref="Z28" si="26">+X28*Y28</f>
        <v>0</v>
      </c>
      <c r="AA28" s="187">
        <f t="shared" ref="AA28" si="27">+U28+X28</f>
        <v>0</v>
      </c>
      <c r="AB28" s="186">
        <f t="shared" ref="AB28" si="28">+W28+Z28</f>
        <v>0</v>
      </c>
      <c r="AC28" s="122">
        <f t="shared" ref="AC28" si="29">+R28+AA28</f>
        <v>0</v>
      </c>
      <c r="AD28" s="122">
        <f t="shared" ref="AD28" si="30">+I28+R28+AA28</f>
        <v>605</v>
      </c>
      <c r="AE28" s="6">
        <f t="shared" ref="AE28" si="31">+J28+S28+AB28</f>
        <v>9075</v>
      </c>
      <c r="AH28" s="122">
        <f t="shared" ref="AH28" si="32">+R28+AA28</f>
        <v>0</v>
      </c>
    </row>
    <row r="29" spans="1:34">
      <c r="A29" t="s">
        <v>432</v>
      </c>
      <c r="C29" s="122">
        <f>+'Service Count Data'!$X$85</f>
        <v>0</v>
      </c>
      <c r="D29" s="711">
        <v>4</v>
      </c>
      <c r="E29" s="6">
        <f t="shared" si="0"/>
        <v>0</v>
      </c>
      <c r="F29" s="122">
        <f>+'Service Count Data'!$AD$85</f>
        <v>3446.5</v>
      </c>
      <c r="G29" s="711">
        <v>4.3499999999999996</v>
      </c>
      <c r="H29" s="6">
        <f t="shared" si="1"/>
        <v>14992.275</v>
      </c>
      <c r="I29" s="187">
        <f t="shared" si="14"/>
        <v>3446.5</v>
      </c>
      <c r="J29" s="186">
        <f t="shared" si="15"/>
        <v>14992.275</v>
      </c>
      <c r="L29" s="122">
        <f>+'Service Count Data'!$X$86</f>
        <v>0</v>
      </c>
      <c r="M29" s="712">
        <v>3.95</v>
      </c>
      <c r="N29" s="6">
        <f t="shared" si="2"/>
        <v>0</v>
      </c>
      <c r="O29" s="122">
        <f>+'Service Count Data'!$AD$86</f>
        <v>332</v>
      </c>
      <c r="P29" s="712">
        <v>3.95</v>
      </c>
      <c r="Q29" s="6">
        <f t="shared" si="3"/>
        <v>1311.4</v>
      </c>
      <c r="R29" s="187">
        <f t="shared" si="4"/>
        <v>332</v>
      </c>
      <c r="S29" s="186">
        <f t="shared" si="5"/>
        <v>1311.4</v>
      </c>
      <c r="U29" s="122">
        <f>+'Service Count Data'!$X$87</f>
        <v>0</v>
      </c>
      <c r="V29" s="712">
        <v>3.95</v>
      </c>
      <c r="W29" s="6">
        <f t="shared" si="6"/>
        <v>0</v>
      </c>
      <c r="X29" s="122">
        <f>+'Service Count Data'!$AD$87</f>
        <v>290</v>
      </c>
      <c r="Y29" s="712">
        <v>3.95</v>
      </c>
      <c r="Z29" s="6">
        <f t="shared" si="7"/>
        <v>1145.5</v>
      </c>
      <c r="AA29" s="187">
        <f t="shared" si="8"/>
        <v>290</v>
      </c>
      <c r="AB29" s="186">
        <f t="shared" si="9"/>
        <v>1145.5</v>
      </c>
      <c r="AC29" s="122">
        <f t="shared" si="10"/>
        <v>622</v>
      </c>
      <c r="AD29" s="122">
        <f t="shared" si="11"/>
        <v>4068.5</v>
      </c>
      <c r="AE29" s="6">
        <f t="shared" si="12"/>
        <v>17449.174999999999</v>
      </c>
      <c r="AH29" s="122">
        <f t="shared" si="16"/>
        <v>622</v>
      </c>
    </row>
    <row r="30" spans="1:34">
      <c r="A30" t="s">
        <v>431</v>
      </c>
      <c r="C30" s="122">
        <f>+'Service Count Data'!$X$94</f>
        <v>0</v>
      </c>
      <c r="D30" s="711">
        <v>2.95</v>
      </c>
      <c r="E30" s="6">
        <f t="shared" si="0"/>
        <v>0</v>
      </c>
      <c r="F30" s="122">
        <f>+'Service Count Data'!$AD$94</f>
        <v>0</v>
      </c>
      <c r="G30" s="711">
        <v>3.25</v>
      </c>
      <c r="H30" s="6">
        <f t="shared" si="1"/>
        <v>0</v>
      </c>
      <c r="I30" s="187">
        <f t="shared" si="14"/>
        <v>0</v>
      </c>
      <c r="J30" s="186">
        <f t="shared" si="15"/>
        <v>0</v>
      </c>
      <c r="L30" s="122">
        <f>+'Service Count Data'!$X$95</f>
        <v>0</v>
      </c>
      <c r="M30" s="712">
        <v>2.95</v>
      </c>
      <c r="N30" s="6">
        <f t="shared" si="2"/>
        <v>0</v>
      </c>
      <c r="O30" s="122">
        <f>+'Service Count Data'!$AD$95</f>
        <v>0</v>
      </c>
      <c r="P30" s="712">
        <v>2.95</v>
      </c>
      <c r="Q30" s="6">
        <f t="shared" si="3"/>
        <v>0</v>
      </c>
      <c r="R30" s="187">
        <f t="shared" si="4"/>
        <v>0</v>
      </c>
      <c r="S30" s="186">
        <f t="shared" si="5"/>
        <v>0</v>
      </c>
      <c r="U30" s="122">
        <f>+'Service Count Data'!$X$96</f>
        <v>0</v>
      </c>
      <c r="V30" s="712">
        <v>2.95</v>
      </c>
      <c r="W30" s="6">
        <f t="shared" si="6"/>
        <v>0</v>
      </c>
      <c r="X30" s="122">
        <f>+'Service Count Data'!$AD$96</f>
        <v>0</v>
      </c>
      <c r="Y30" s="712">
        <v>2.95</v>
      </c>
      <c r="Z30" s="6">
        <f t="shared" si="7"/>
        <v>0</v>
      </c>
      <c r="AA30" s="187">
        <f t="shared" si="8"/>
        <v>0</v>
      </c>
      <c r="AB30" s="186">
        <f t="shared" si="9"/>
        <v>0</v>
      </c>
      <c r="AC30" s="122">
        <f t="shared" si="10"/>
        <v>0</v>
      </c>
      <c r="AD30" s="122">
        <f t="shared" si="11"/>
        <v>0</v>
      </c>
      <c r="AE30" s="6">
        <f t="shared" si="12"/>
        <v>0</v>
      </c>
      <c r="AH30" s="122">
        <f t="shared" si="16"/>
        <v>0</v>
      </c>
    </row>
    <row r="31" spans="1:34">
      <c r="A31" t="s">
        <v>534</v>
      </c>
      <c r="C31" s="122">
        <f>+'Service Count Data'!$Y$94</f>
        <v>0</v>
      </c>
      <c r="D31" s="711">
        <v>1.8</v>
      </c>
      <c r="E31" s="6">
        <f t="shared" si="0"/>
        <v>0</v>
      </c>
      <c r="F31" s="122">
        <f>+'Service Count Data'!$AE$94</f>
        <v>0</v>
      </c>
      <c r="G31" s="711">
        <v>1.95</v>
      </c>
      <c r="H31" s="6">
        <f t="shared" si="1"/>
        <v>0</v>
      </c>
      <c r="I31" s="187">
        <f t="shared" si="14"/>
        <v>0</v>
      </c>
      <c r="J31" s="186">
        <f t="shared" si="15"/>
        <v>0</v>
      </c>
      <c r="L31" s="122">
        <f>+'Service Count Data'!$Y$95</f>
        <v>0</v>
      </c>
      <c r="M31" s="712">
        <v>1.65</v>
      </c>
      <c r="N31" s="6">
        <f t="shared" si="2"/>
        <v>0</v>
      </c>
      <c r="O31" s="122">
        <f>+'Service Count Data'!$AE$95</f>
        <v>0</v>
      </c>
      <c r="P31" s="712">
        <v>1.65</v>
      </c>
      <c r="Q31" s="6">
        <f t="shared" si="3"/>
        <v>0</v>
      </c>
      <c r="R31" s="187">
        <f t="shared" si="4"/>
        <v>0</v>
      </c>
      <c r="S31" s="186">
        <f t="shared" si="5"/>
        <v>0</v>
      </c>
      <c r="U31" s="122">
        <f>+'Service Count Data'!$Y$96</f>
        <v>0</v>
      </c>
      <c r="V31" s="712">
        <v>1.65</v>
      </c>
      <c r="W31" s="6">
        <f t="shared" si="6"/>
        <v>0</v>
      </c>
      <c r="X31" s="122">
        <f>+'Service Count Data'!$Y$96</f>
        <v>0</v>
      </c>
      <c r="Y31" s="712">
        <v>1.65</v>
      </c>
      <c r="Z31" s="6">
        <f t="shared" si="7"/>
        <v>0</v>
      </c>
      <c r="AA31" s="187">
        <f t="shared" si="8"/>
        <v>0</v>
      </c>
      <c r="AB31" s="186">
        <f t="shared" si="9"/>
        <v>0</v>
      </c>
      <c r="AC31" s="122">
        <f t="shared" si="10"/>
        <v>0</v>
      </c>
      <c r="AD31" s="122">
        <f t="shared" si="11"/>
        <v>0</v>
      </c>
      <c r="AE31" s="6">
        <f t="shared" si="12"/>
        <v>0</v>
      </c>
      <c r="AH31" s="122">
        <f t="shared" si="16"/>
        <v>0</v>
      </c>
    </row>
    <row r="32" spans="1:34">
      <c r="A32" t="s">
        <v>429</v>
      </c>
      <c r="C32" s="122">
        <f>+'Service Count Data'!$X$154</f>
        <v>0</v>
      </c>
      <c r="D32" s="711">
        <v>12.75</v>
      </c>
      <c r="E32" s="6">
        <f t="shared" si="0"/>
        <v>0</v>
      </c>
      <c r="F32" s="122">
        <f>+'Service Count Data'!$AD$154</f>
        <v>116.1</v>
      </c>
      <c r="G32" s="711">
        <v>13.9</v>
      </c>
      <c r="H32" s="6">
        <f t="shared" si="1"/>
        <v>1613.79</v>
      </c>
      <c r="I32" s="187">
        <f t="shared" si="14"/>
        <v>116.1</v>
      </c>
      <c r="J32" s="186">
        <f t="shared" si="15"/>
        <v>1613.79</v>
      </c>
      <c r="L32" s="122">
        <f>+'Service Count Data'!$X$155</f>
        <v>0</v>
      </c>
      <c r="M32" s="712">
        <v>10.55</v>
      </c>
      <c r="N32" s="6">
        <f t="shared" si="2"/>
        <v>0</v>
      </c>
      <c r="O32" s="122">
        <f>+'Service Count Data'!$AD$155</f>
        <v>21</v>
      </c>
      <c r="P32" s="712">
        <v>10.55</v>
      </c>
      <c r="Q32" s="6">
        <f t="shared" si="3"/>
        <v>221.55</v>
      </c>
      <c r="R32" s="187">
        <f t="shared" si="4"/>
        <v>21</v>
      </c>
      <c r="S32" s="186">
        <f t="shared" si="5"/>
        <v>221.55</v>
      </c>
      <c r="U32" s="122">
        <f>+'Service Count Data'!$X$156</f>
        <v>0</v>
      </c>
      <c r="V32" s="712">
        <v>10.55</v>
      </c>
      <c r="W32" s="6">
        <f t="shared" si="6"/>
        <v>0</v>
      </c>
      <c r="X32" s="122">
        <f>+'Service Count Data'!$AD$156</f>
        <v>0</v>
      </c>
      <c r="Y32" s="712">
        <v>10.55</v>
      </c>
      <c r="Z32" s="6">
        <f t="shared" si="7"/>
        <v>0</v>
      </c>
      <c r="AA32" s="187">
        <f t="shared" si="8"/>
        <v>0</v>
      </c>
      <c r="AB32" s="186">
        <f t="shared" si="9"/>
        <v>0</v>
      </c>
      <c r="AC32" s="122">
        <f t="shared" si="10"/>
        <v>21</v>
      </c>
      <c r="AD32" s="122">
        <f t="shared" si="11"/>
        <v>137.1</v>
      </c>
      <c r="AE32" s="6">
        <f t="shared" si="12"/>
        <v>1835.34</v>
      </c>
      <c r="AH32" s="122">
        <f t="shared" si="16"/>
        <v>21</v>
      </c>
    </row>
    <row r="33" spans="1:34">
      <c r="A33" t="s">
        <v>428</v>
      </c>
      <c r="C33" s="122">
        <f>+'Service Count Data'!$X$175</f>
        <v>0</v>
      </c>
      <c r="D33" s="711">
        <v>21.2</v>
      </c>
      <c r="E33" s="6">
        <f t="shared" si="0"/>
        <v>0</v>
      </c>
      <c r="F33" s="122">
        <f>+'Service Count Data'!$AD$175</f>
        <v>1110.75</v>
      </c>
      <c r="G33" s="711">
        <v>22.4</v>
      </c>
      <c r="H33" s="6">
        <f t="shared" si="1"/>
        <v>24880.799999999999</v>
      </c>
      <c r="I33" s="187">
        <f t="shared" si="14"/>
        <v>1110.75</v>
      </c>
      <c r="J33" s="186">
        <f t="shared" si="15"/>
        <v>24880.799999999999</v>
      </c>
      <c r="L33" s="122">
        <f>+'Service Count Data'!$X$176</f>
        <v>0</v>
      </c>
      <c r="M33" s="712">
        <v>19.600000000000001</v>
      </c>
      <c r="N33" s="6">
        <f t="shared" si="2"/>
        <v>0</v>
      </c>
      <c r="O33" s="122">
        <f>+'Service Count Data'!$AD$176</f>
        <v>135.75</v>
      </c>
      <c r="P33" s="712">
        <v>19.600000000000001</v>
      </c>
      <c r="Q33" s="6">
        <f t="shared" si="3"/>
        <v>2660.7000000000003</v>
      </c>
      <c r="R33" s="187">
        <f t="shared" si="4"/>
        <v>135.75</v>
      </c>
      <c r="S33" s="186">
        <f t="shared" si="5"/>
        <v>2660.7000000000003</v>
      </c>
      <c r="U33" s="122">
        <f>+'Service Count Data'!$X$177</f>
        <v>0</v>
      </c>
      <c r="V33" s="712">
        <v>19.600000000000001</v>
      </c>
      <c r="W33" s="6">
        <f t="shared" si="6"/>
        <v>0</v>
      </c>
      <c r="X33" s="122">
        <f>+'Service Count Data'!$AD$177</f>
        <v>1568.75</v>
      </c>
      <c r="Y33" s="712">
        <v>19.600000000000001</v>
      </c>
      <c r="Z33" s="6">
        <f t="shared" si="7"/>
        <v>30747.500000000004</v>
      </c>
      <c r="AA33" s="187">
        <f t="shared" si="8"/>
        <v>1568.75</v>
      </c>
      <c r="AB33" s="186">
        <f t="shared" si="9"/>
        <v>30747.500000000004</v>
      </c>
      <c r="AC33" s="122">
        <f t="shared" si="10"/>
        <v>1704.5</v>
      </c>
      <c r="AD33" s="122">
        <f t="shared" si="11"/>
        <v>2815.25</v>
      </c>
      <c r="AE33" s="6">
        <f t="shared" si="12"/>
        <v>58289</v>
      </c>
      <c r="AH33" s="122">
        <f t="shared" si="16"/>
        <v>1704.5</v>
      </c>
    </row>
    <row r="34" spans="1:34">
      <c r="A34" t="s">
        <v>427</v>
      </c>
      <c r="C34" s="122">
        <f>+'Service Count Data'!$X$157</f>
        <v>0</v>
      </c>
      <c r="D34" s="711">
        <v>12.3</v>
      </c>
      <c r="E34" s="6">
        <f t="shared" si="0"/>
        <v>0</v>
      </c>
      <c r="F34" s="122">
        <f>+'Service Count Data'!$AD$157</f>
        <v>0</v>
      </c>
      <c r="G34" s="711">
        <v>13.5</v>
      </c>
      <c r="H34" s="6">
        <f t="shared" si="1"/>
        <v>0</v>
      </c>
      <c r="I34" s="187">
        <f t="shared" si="14"/>
        <v>0</v>
      </c>
      <c r="J34" s="186">
        <f t="shared" si="15"/>
        <v>0</v>
      </c>
      <c r="L34" s="122">
        <f>+'Service Count Data'!$X$158</f>
        <v>0</v>
      </c>
      <c r="M34" s="712">
        <v>12.2</v>
      </c>
      <c r="N34" s="6">
        <f t="shared" si="2"/>
        <v>0</v>
      </c>
      <c r="O34" s="122">
        <f>+'Service Count Data'!$AD$158</f>
        <v>0</v>
      </c>
      <c r="P34" s="712">
        <v>12.2</v>
      </c>
      <c r="Q34" s="6">
        <f t="shared" si="3"/>
        <v>0</v>
      </c>
      <c r="R34" s="187">
        <f t="shared" si="4"/>
        <v>0</v>
      </c>
      <c r="S34" s="186">
        <f t="shared" si="5"/>
        <v>0</v>
      </c>
      <c r="U34" s="122">
        <f>+'Service Count Data'!$X$159</f>
        <v>0</v>
      </c>
      <c r="V34" s="712">
        <v>12.2</v>
      </c>
      <c r="W34" s="6">
        <f t="shared" si="6"/>
        <v>0</v>
      </c>
      <c r="X34" s="122">
        <f>+'Service Count Data'!$AD$159</f>
        <v>0</v>
      </c>
      <c r="Y34" s="712">
        <v>12.2</v>
      </c>
      <c r="Z34" s="6">
        <f t="shared" si="7"/>
        <v>0</v>
      </c>
      <c r="AA34" s="187">
        <f t="shared" si="8"/>
        <v>0</v>
      </c>
      <c r="AB34" s="186">
        <f t="shared" si="9"/>
        <v>0</v>
      </c>
      <c r="AC34" s="122">
        <f t="shared" si="10"/>
        <v>0</v>
      </c>
      <c r="AD34" s="122">
        <f t="shared" si="11"/>
        <v>0</v>
      </c>
      <c r="AE34" s="6">
        <f t="shared" si="12"/>
        <v>0</v>
      </c>
      <c r="AF34" s="56">
        <f>SUM(AE10:AE34)</f>
        <v>858675.61534064682</v>
      </c>
      <c r="AH34" s="122">
        <f t="shared" si="16"/>
        <v>0</v>
      </c>
    </row>
    <row r="35" spans="1:34">
      <c r="C35" s="122"/>
      <c r="D35" s="158"/>
      <c r="F35" s="122"/>
      <c r="G35" s="158"/>
      <c r="I35" s="187"/>
      <c r="J35" s="181"/>
      <c r="L35" s="122"/>
      <c r="M35" s="158"/>
      <c r="O35" s="122"/>
      <c r="P35" s="158"/>
      <c r="R35" s="187"/>
      <c r="S35" s="181"/>
      <c r="U35" s="122"/>
      <c r="V35" s="158"/>
      <c r="X35" s="122"/>
      <c r="Y35" s="158"/>
      <c r="AA35" s="187"/>
      <c r="AB35" s="181"/>
      <c r="AC35" s="122">
        <f t="shared" si="10"/>
        <v>0</v>
      </c>
    </row>
    <row r="36" spans="1:34">
      <c r="A36" t="s">
        <v>426</v>
      </c>
      <c r="C36" s="122"/>
      <c r="D36" s="158"/>
      <c r="F36" s="122"/>
      <c r="G36" s="158"/>
      <c r="I36" s="187"/>
      <c r="J36" s="181"/>
      <c r="L36" s="122"/>
      <c r="M36" s="158"/>
      <c r="O36" s="122"/>
      <c r="P36" s="158"/>
      <c r="R36" s="187"/>
      <c r="S36" s="181"/>
      <c r="U36" s="122"/>
      <c r="V36" s="158"/>
      <c r="X36" s="122"/>
      <c r="Y36" s="158"/>
      <c r="AA36" s="187"/>
      <c r="AB36" s="181"/>
      <c r="AC36" s="122">
        <f t="shared" si="10"/>
        <v>0</v>
      </c>
    </row>
    <row r="37" spans="1:34">
      <c r="A37" t="s">
        <v>425</v>
      </c>
      <c r="C37" s="122">
        <f>+'Service Count Data'!$X$256</f>
        <v>0</v>
      </c>
      <c r="D37" s="711">
        <v>16.3</v>
      </c>
      <c r="E37" s="6">
        <f t="shared" ref="E37:E51" si="33">+C37*D37</f>
        <v>0</v>
      </c>
      <c r="F37" s="122">
        <f>+'Service Count Data'!$AD$256</f>
        <v>7831</v>
      </c>
      <c r="G37" s="711">
        <v>17.8</v>
      </c>
      <c r="H37" s="6">
        <f t="shared" ref="H37:H51" si="34">+F37*G37</f>
        <v>139391.80000000002</v>
      </c>
      <c r="I37" s="187">
        <f t="shared" ref="I37:I51" si="35">+C37+F37</f>
        <v>7831</v>
      </c>
      <c r="J37" s="186">
        <f t="shared" ref="J37:J51" si="36">+E37+H37</f>
        <v>139391.80000000002</v>
      </c>
      <c r="L37" s="122">
        <f>+'Service Count Data'!$X$257</f>
        <v>0</v>
      </c>
      <c r="M37" s="711">
        <v>15.25</v>
      </c>
      <c r="N37" s="6">
        <f t="shared" ref="N37:N51" si="37">+L37*M37</f>
        <v>0</v>
      </c>
      <c r="O37" s="122">
        <f>+'Service Count Data'!$AD$257</f>
        <v>720</v>
      </c>
      <c r="P37" s="711">
        <v>15.25</v>
      </c>
      <c r="Q37" s="6">
        <f t="shared" ref="Q37:Q51" si="38">+O37*P37</f>
        <v>10980</v>
      </c>
      <c r="R37" s="187">
        <f t="shared" ref="R37:R51" si="39">+L37+O37</f>
        <v>720</v>
      </c>
      <c r="S37" s="186">
        <f t="shared" ref="S37:S51" si="40">+N37+Q37</f>
        <v>10980</v>
      </c>
      <c r="U37" s="122">
        <f>+'Service Count Data'!$X$258</f>
        <v>0</v>
      </c>
      <c r="V37" s="711">
        <v>15.25</v>
      </c>
      <c r="W37" s="6">
        <f t="shared" ref="W37:W51" si="41">+U37*V37</f>
        <v>0</v>
      </c>
      <c r="X37" s="122">
        <f>+'Service Count Data'!$AD$258</f>
        <v>1622</v>
      </c>
      <c r="Y37" s="711">
        <v>15.25</v>
      </c>
      <c r="Z37" s="6">
        <f t="shared" ref="Z37:Z51" si="42">+X37*Y37</f>
        <v>24735.5</v>
      </c>
      <c r="AA37" s="187">
        <f t="shared" ref="AA37:AA51" si="43">+U37+X37</f>
        <v>1622</v>
      </c>
      <c r="AB37" s="186">
        <f t="shared" ref="AB37:AB51" si="44">+W37+Z37</f>
        <v>24735.5</v>
      </c>
      <c r="AC37" s="122">
        <f t="shared" si="10"/>
        <v>2342</v>
      </c>
      <c r="AD37" s="122">
        <f t="shared" ref="AD37:AD51" si="45">+I37+R37+AA37</f>
        <v>10173</v>
      </c>
      <c r="AE37" s="6">
        <f t="shared" ref="AE37:AE51" si="46">+J37+S37+AB37</f>
        <v>175107.30000000002</v>
      </c>
      <c r="AH37" s="122">
        <f t="shared" ref="AH37:AH51" si="47">+R37+AA37</f>
        <v>2342</v>
      </c>
    </row>
    <row r="38" spans="1:34">
      <c r="A38" t="s">
        <v>424</v>
      </c>
      <c r="C38" s="122">
        <f>+'Service Count Data'!$X$259</f>
        <v>0</v>
      </c>
      <c r="D38" s="711">
        <v>21.96</v>
      </c>
      <c r="E38" s="6">
        <f t="shared" si="33"/>
        <v>0</v>
      </c>
      <c r="F38" s="122">
        <f>+'Service Count Data'!$AD$259</f>
        <v>1961</v>
      </c>
      <c r="G38" s="711">
        <v>23.15</v>
      </c>
      <c r="H38" s="6">
        <f t="shared" si="34"/>
        <v>45397.149999999994</v>
      </c>
      <c r="I38" s="187">
        <f t="shared" si="35"/>
        <v>1961</v>
      </c>
      <c r="J38" s="186">
        <f t="shared" si="36"/>
        <v>45397.149999999994</v>
      </c>
      <c r="L38" s="122">
        <f>+'Service Count Data'!$X$260</f>
        <v>0</v>
      </c>
      <c r="M38" s="711">
        <v>20.399999999999999</v>
      </c>
      <c r="N38" s="6">
        <f t="shared" si="37"/>
        <v>0</v>
      </c>
      <c r="O38" s="122">
        <f>+'Service Count Data'!$AD$260</f>
        <v>0</v>
      </c>
      <c r="P38" s="711">
        <v>20.399999999999999</v>
      </c>
      <c r="Q38" s="6">
        <f t="shared" si="38"/>
        <v>0</v>
      </c>
      <c r="R38" s="187">
        <f t="shared" si="39"/>
        <v>0</v>
      </c>
      <c r="S38" s="186">
        <f t="shared" si="40"/>
        <v>0</v>
      </c>
      <c r="U38" s="122">
        <f>+'Service Count Data'!$X$261</f>
        <v>0</v>
      </c>
      <c r="V38" s="711">
        <v>20.399999999999999</v>
      </c>
      <c r="W38" s="6">
        <f t="shared" si="41"/>
        <v>0</v>
      </c>
      <c r="X38" s="122">
        <f>+'Service Count Data'!$AD$261</f>
        <v>0</v>
      </c>
      <c r="Y38" s="711">
        <v>20.399999999999999</v>
      </c>
      <c r="Z38" s="6">
        <f t="shared" si="42"/>
        <v>0</v>
      </c>
      <c r="AA38" s="187">
        <f t="shared" si="43"/>
        <v>0</v>
      </c>
      <c r="AB38" s="186">
        <f t="shared" si="44"/>
        <v>0</v>
      </c>
      <c r="AC38" s="122">
        <f t="shared" si="10"/>
        <v>0</v>
      </c>
      <c r="AD38" s="122">
        <f t="shared" si="45"/>
        <v>1961</v>
      </c>
      <c r="AE38" s="6">
        <f t="shared" si="46"/>
        <v>45397.149999999994</v>
      </c>
      <c r="AH38" s="122">
        <f t="shared" si="47"/>
        <v>0</v>
      </c>
    </row>
    <row r="39" spans="1:34">
      <c r="A39" t="s">
        <v>423</v>
      </c>
      <c r="C39" s="122">
        <f>+'Service Count Data'!$X$262</f>
        <v>0</v>
      </c>
      <c r="D39" s="711">
        <v>26.03</v>
      </c>
      <c r="E39" s="6">
        <f t="shared" si="33"/>
        <v>0</v>
      </c>
      <c r="F39" s="122">
        <f>+'Service Count Data'!$AD$262</f>
        <v>6846</v>
      </c>
      <c r="G39" s="711">
        <v>28.5</v>
      </c>
      <c r="H39" s="6">
        <f t="shared" si="34"/>
        <v>195111</v>
      </c>
      <c r="I39" s="187">
        <f t="shared" si="35"/>
        <v>6846</v>
      </c>
      <c r="J39" s="186">
        <f t="shared" si="36"/>
        <v>195111</v>
      </c>
      <c r="L39" s="122">
        <f>+'Service Count Data'!$X$263</f>
        <v>0</v>
      </c>
      <c r="M39" s="711">
        <v>23.3</v>
      </c>
      <c r="N39" s="6">
        <f t="shared" si="37"/>
        <v>0</v>
      </c>
      <c r="O39" s="122">
        <f>+'Service Count Data'!$AD$263</f>
        <v>581</v>
      </c>
      <c r="P39" s="711">
        <v>23.3</v>
      </c>
      <c r="Q39" s="6">
        <f t="shared" si="38"/>
        <v>13537.300000000001</v>
      </c>
      <c r="R39" s="187">
        <f t="shared" si="39"/>
        <v>581</v>
      </c>
      <c r="S39" s="186">
        <f t="shared" si="40"/>
        <v>13537.300000000001</v>
      </c>
      <c r="U39" s="122">
        <f>+'Service Count Data'!$X$264</f>
        <v>0</v>
      </c>
      <c r="V39" s="711">
        <v>23.3</v>
      </c>
      <c r="W39" s="6">
        <f t="shared" si="41"/>
        <v>0</v>
      </c>
      <c r="X39" s="122">
        <f>+'Service Count Data'!$AD$264</f>
        <v>1901</v>
      </c>
      <c r="Y39" s="711">
        <v>23.31</v>
      </c>
      <c r="Z39" s="6">
        <f t="shared" si="42"/>
        <v>44312.31</v>
      </c>
      <c r="AA39" s="187">
        <f t="shared" si="43"/>
        <v>1901</v>
      </c>
      <c r="AB39" s="186">
        <f t="shared" si="44"/>
        <v>44312.31</v>
      </c>
      <c r="AC39" s="122">
        <f t="shared" si="10"/>
        <v>2482</v>
      </c>
      <c r="AD39" s="122">
        <f t="shared" si="45"/>
        <v>9328</v>
      </c>
      <c r="AE39" s="6">
        <f t="shared" si="46"/>
        <v>252960.61</v>
      </c>
      <c r="AH39" s="122">
        <f t="shared" si="47"/>
        <v>2482</v>
      </c>
    </row>
    <row r="40" spans="1:34">
      <c r="A40" t="s">
        <v>422</v>
      </c>
      <c r="C40" s="122">
        <f>+'Service Count Data'!$X$265</f>
        <v>0</v>
      </c>
      <c r="D40" s="711">
        <v>36.46</v>
      </c>
      <c r="E40" s="6">
        <f t="shared" si="33"/>
        <v>0</v>
      </c>
      <c r="F40" s="122">
        <f>+'Service Count Data'!$AD$265</f>
        <v>622</v>
      </c>
      <c r="G40" s="711">
        <v>39.950000000000003</v>
      </c>
      <c r="H40" s="6">
        <f t="shared" si="34"/>
        <v>24848.9</v>
      </c>
      <c r="I40" s="187">
        <f t="shared" si="35"/>
        <v>622</v>
      </c>
      <c r="J40" s="186">
        <f t="shared" si="36"/>
        <v>24848.9</v>
      </c>
      <c r="L40" s="122">
        <f>+'Service Count Data'!$X$266</f>
        <v>0</v>
      </c>
      <c r="M40" s="711">
        <v>30.5</v>
      </c>
      <c r="N40" s="6">
        <f t="shared" si="37"/>
        <v>0</v>
      </c>
      <c r="O40" s="122">
        <f>+'Service Count Data'!$AD$266</f>
        <v>45</v>
      </c>
      <c r="P40" s="711">
        <v>30.5</v>
      </c>
      <c r="Q40" s="6">
        <f t="shared" si="38"/>
        <v>1372.5</v>
      </c>
      <c r="R40" s="187">
        <f t="shared" si="39"/>
        <v>45</v>
      </c>
      <c r="S40" s="186">
        <f t="shared" si="40"/>
        <v>1372.5</v>
      </c>
      <c r="U40" s="122">
        <f>+'Service Count Data'!$X$267</f>
        <v>0</v>
      </c>
      <c r="V40" s="711">
        <v>30.5</v>
      </c>
      <c r="W40" s="6">
        <f t="shared" si="41"/>
        <v>0</v>
      </c>
      <c r="X40" s="122">
        <f>+'Service Count Data'!$AD$267</f>
        <v>0</v>
      </c>
      <c r="Y40" s="711">
        <v>30.5</v>
      </c>
      <c r="Z40" s="6">
        <f t="shared" si="42"/>
        <v>0</v>
      </c>
      <c r="AA40" s="187">
        <f t="shared" si="43"/>
        <v>0</v>
      </c>
      <c r="AB40" s="186">
        <f t="shared" si="44"/>
        <v>0</v>
      </c>
      <c r="AC40" s="122">
        <f t="shared" si="10"/>
        <v>45</v>
      </c>
      <c r="AD40" s="122">
        <f t="shared" si="45"/>
        <v>667</v>
      </c>
      <c r="AE40" s="6">
        <f t="shared" si="46"/>
        <v>26221.4</v>
      </c>
      <c r="AH40" s="122">
        <f t="shared" si="47"/>
        <v>45</v>
      </c>
    </row>
    <row r="41" spans="1:34">
      <c r="A41" t="s">
        <v>421</v>
      </c>
      <c r="C41" s="122">
        <f>+'Service Count Data'!$X$268</f>
        <v>0</v>
      </c>
      <c r="D41" s="711">
        <v>47.98</v>
      </c>
      <c r="E41" s="6">
        <f t="shared" si="33"/>
        <v>0</v>
      </c>
      <c r="F41" s="122">
        <f>+'Service Count Data'!$AD$268</f>
        <v>1838</v>
      </c>
      <c r="G41" s="711">
        <v>52.6</v>
      </c>
      <c r="H41" s="6">
        <f t="shared" si="34"/>
        <v>96678.8</v>
      </c>
      <c r="I41" s="187">
        <f t="shared" si="35"/>
        <v>1838</v>
      </c>
      <c r="J41" s="186">
        <f t="shared" si="36"/>
        <v>96678.8</v>
      </c>
      <c r="L41" s="122">
        <f>+'Service Count Data'!$X$269</f>
        <v>0</v>
      </c>
      <c r="M41" s="711">
        <v>38.950000000000003</v>
      </c>
      <c r="N41" s="6">
        <f t="shared" si="37"/>
        <v>0</v>
      </c>
      <c r="O41" s="122">
        <f>+'Service Count Data'!$AD$269</f>
        <v>656</v>
      </c>
      <c r="P41" s="711">
        <v>38.950000000000003</v>
      </c>
      <c r="Q41" s="6">
        <f t="shared" si="38"/>
        <v>25551.200000000001</v>
      </c>
      <c r="R41" s="187">
        <f t="shared" si="39"/>
        <v>656</v>
      </c>
      <c r="S41" s="186">
        <f t="shared" si="40"/>
        <v>25551.200000000001</v>
      </c>
      <c r="U41" s="122">
        <f>+'Service Count Data'!$X$270</f>
        <v>0</v>
      </c>
      <c r="V41" s="711">
        <v>38.950000000000003</v>
      </c>
      <c r="W41" s="6">
        <f t="shared" si="41"/>
        <v>0</v>
      </c>
      <c r="X41" s="122">
        <f>+'Service Count Data'!$AD$270</f>
        <v>710</v>
      </c>
      <c r="Y41" s="711">
        <v>38.950000000000003</v>
      </c>
      <c r="Z41" s="6">
        <f t="shared" si="42"/>
        <v>27654.500000000004</v>
      </c>
      <c r="AA41" s="187">
        <f t="shared" si="43"/>
        <v>710</v>
      </c>
      <c r="AB41" s="186">
        <f t="shared" si="44"/>
        <v>27654.500000000004</v>
      </c>
      <c r="AC41" s="122">
        <f t="shared" si="10"/>
        <v>1366</v>
      </c>
      <c r="AD41" s="122">
        <f t="shared" si="45"/>
        <v>3204</v>
      </c>
      <c r="AE41" s="6">
        <f t="shared" si="46"/>
        <v>149884.5</v>
      </c>
      <c r="AH41" s="122">
        <f t="shared" si="47"/>
        <v>1366</v>
      </c>
    </row>
    <row r="42" spans="1:34">
      <c r="A42" t="s">
        <v>420</v>
      </c>
      <c r="C42" s="122">
        <f>+'Service Count Data'!$X$271</f>
        <v>0</v>
      </c>
      <c r="D42" s="711">
        <v>70.47</v>
      </c>
      <c r="E42" s="6">
        <f t="shared" si="33"/>
        <v>0</v>
      </c>
      <c r="F42" s="122">
        <f>+'Service Count Data'!$AD$271</f>
        <v>2117</v>
      </c>
      <c r="G42" s="711">
        <v>77.25</v>
      </c>
      <c r="H42" s="6">
        <f t="shared" si="34"/>
        <v>163538.25</v>
      </c>
      <c r="I42" s="187">
        <f t="shared" si="35"/>
        <v>2117</v>
      </c>
      <c r="J42" s="186">
        <f t="shared" si="36"/>
        <v>163538.25</v>
      </c>
      <c r="L42" s="122">
        <f>+'Service Count Data'!$X$272</f>
        <v>0</v>
      </c>
      <c r="M42" s="711">
        <v>61.6</v>
      </c>
      <c r="N42" s="6">
        <f t="shared" si="37"/>
        <v>0</v>
      </c>
      <c r="O42" s="122">
        <f>+'Service Count Data'!$AD$272</f>
        <v>175</v>
      </c>
      <c r="P42" s="711">
        <v>61.6</v>
      </c>
      <c r="Q42" s="6">
        <f t="shared" si="38"/>
        <v>10780</v>
      </c>
      <c r="R42" s="187">
        <f t="shared" si="39"/>
        <v>175</v>
      </c>
      <c r="S42" s="186">
        <f t="shared" si="40"/>
        <v>10780</v>
      </c>
      <c r="U42" s="122">
        <f>+'Service Count Data'!$X$273</f>
        <v>0</v>
      </c>
      <c r="V42" s="711">
        <v>61.6</v>
      </c>
      <c r="W42" s="6">
        <f t="shared" si="41"/>
        <v>0</v>
      </c>
      <c r="X42" s="122">
        <f>+'Service Count Data'!$AD$273</f>
        <v>2666</v>
      </c>
      <c r="Y42" s="711">
        <v>61.6</v>
      </c>
      <c r="Z42" s="6">
        <f t="shared" si="42"/>
        <v>164225.60000000001</v>
      </c>
      <c r="AA42" s="187">
        <f t="shared" si="43"/>
        <v>2666</v>
      </c>
      <c r="AB42" s="186">
        <f t="shared" si="44"/>
        <v>164225.60000000001</v>
      </c>
      <c r="AC42" s="122">
        <f t="shared" si="10"/>
        <v>2841</v>
      </c>
      <c r="AD42" s="122">
        <f t="shared" si="45"/>
        <v>4958</v>
      </c>
      <c r="AE42" s="6">
        <f t="shared" si="46"/>
        <v>338543.85</v>
      </c>
      <c r="AH42" s="122">
        <f t="shared" si="47"/>
        <v>2841</v>
      </c>
    </row>
    <row r="43" spans="1:34">
      <c r="A43" t="s">
        <v>419</v>
      </c>
      <c r="C43" s="122">
        <f>+'Service Count Data'!$X$274</f>
        <v>0</v>
      </c>
      <c r="D43" s="711">
        <v>88.14</v>
      </c>
      <c r="E43" s="6">
        <f t="shared" si="33"/>
        <v>0</v>
      </c>
      <c r="F43" s="122">
        <f>+'Service Count Data'!$AD$274</f>
        <v>0</v>
      </c>
      <c r="G43" s="711">
        <v>88.14</v>
      </c>
      <c r="H43" s="6">
        <f t="shared" si="34"/>
        <v>0</v>
      </c>
      <c r="I43" s="187">
        <f t="shared" si="35"/>
        <v>0</v>
      </c>
      <c r="J43" s="186">
        <f t="shared" si="36"/>
        <v>0</v>
      </c>
      <c r="L43" s="122">
        <f>+'Service Count Data'!$X$275</f>
        <v>0</v>
      </c>
      <c r="M43" s="711">
        <v>81.900000000000006</v>
      </c>
      <c r="N43" s="6">
        <f t="shared" si="37"/>
        <v>0</v>
      </c>
      <c r="O43" s="122">
        <f>+'Service Count Data'!$AD$275</f>
        <v>0</v>
      </c>
      <c r="P43" s="711">
        <v>81.900000000000006</v>
      </c>
      <c r="Q43" s="6">
        <f t="shared" si="38"/>
        <v>0</v>
      </c>
      <c r="R43" s="187">
        <f t="shared" si="39"/>
        <v>0</v>
      </c>
      <c r="S43" s="186">
        <f t="shared" si="40"/>
        <v>0</v>
      </c>
      <c r="U43" s="122">
        <f>+'Service Count Data'!$X$276</f>
        <v>0</v>
      </c>
      <c r="V43" s="711">
        <v>81.900000000000006</v>
      </c>
      <c r="W43" s="6">
        <f t="shared" si="41"/>
        <v>0</v>
      </c>
      <c r="X43" s="122">
        <f>+'Service Count Data'!$AD$276</f>
        <v>0</v>
      </c>
      <c r="Y43" s="711">
        <v>81.900000000000006</v>
      </c>
      <c r="Z43" s="6">
        <f t="shared" si="42"/>
        <v>0</v>
      </c>
      <c r="AA43" s="187">
        <f t="shared" si="43"/>
        <v>0</v>
      </c>
      <c r="AB43" s="186">
        <f t="shared" si="44"/>
        <v>0</v>
      </c>
      <c r="AC43" s="122">
        <f t="shared" ref="AC43:AC74" si="48">+R43+AA43</f>
        <v>0</v>
      </c>
      <c r="AD43" s="122">
        <f t="shared" si="45"/>
        <v>0</v>
      </c>
      <c r="AE43" s="6">
        <f t="shared" si="46"/>
        <v>0</v>
      </c>
      <c r="AH43" s="122">
        <f t="shared" si="47"/>
        <v>0</v>
      </c>
    </row>
    <row r="44" spans="1:34">
      <c r="A44" t="s">
        <v>418</v>
      </c>
      <c r="C44" s="122">
        <f>+'Service Count Data'!$X$121</f>
        <v>0</v>
      </c>
      <c r="D44" s="711">
        <v>9.25</v>
      </c>
      <c r="E44" s="6">
        <f t="shared" si="33"/>
        <v>0</v>
      </c>
      <c r="F44" s="122">
        <f>+'Service Count Data'!$AD$121</f>
        <v>103</v>
      </c>
      <c r="G44" s="711">
        <v>10.15</v>
      </c>
      <c r="H44" s="6">
        <f t="shared" si="34"/>
        <v>1045.45</v>
      </c>
      <c r="I44" s="187">
        <f t="shared" si="35"/>
        <v>103</v>
      </c>
      <c r="J44" s="186">
        <f t="shared" si="36"/>
        <v>1045.45</v>
      </c>
      <c r="L44" s="122">
        <f>+'Service Count Data'!$X$122</f>
        <v>0</v>
      </c>
      <c r="M44" s="711">
        <v>8.25</v>
      </c>
      <c r="N44" s="6">
        <f t="shared" si="37"/>
        <v>0</v>
      </c>
      <c r="O44" s="122">
        <f>+'Service Count Data'!$AD$122</f>
        <v>4</v>
      </c>
      <c r="P44" s="711">
        <v>8.25</v>
      </c>
      <c r="Q44" s="6">
        <f t="shared" si="38"/>
        <v>33</v>
      </c>
      <c r="R44" s="187">
        <f t="shared" si="39"/>
        <v>4</v>
      </c>
      <c r="S44" s="186">
        <f t="shared" si="40"/>
        <v>33</v>
      </c>
      <c r="U44" s="122">
        <f>+'Service Count Data'!$X$123</f>
        <v>0</v>
      </c>
      <c r="V44" s="711">
        <v>8.25</v>
      </c>
      <c r="W44" s="6">
        <f t="shared" si="41"/>
        <v>0</v>
      </c>
      <c r="X44" s="122">
        <f>+'Service Count Data'!$AD$123</f>
        <v>4</v>
      </c>
      <c r="Y44" s="711">
        <v>8.25</v>
      </c>
      <c r="Z44" s="6">
        <f t="shared" si="42"/>
        <v>33</v>
      </c>
      <c r="AA44" s="187">
        <f t="shared" si="43"/>
        <v>4</v>
      </c>
      <c r="AB44" s="186">
        <f t="shared" si="44"/>
        <v>33</v>
      </c>
      <c r="AC44" s="122">
        <f t="shared" si="48"/>
        <v>8</v>
      </c>
      <c r="AD44" s="122">
        <f t="shared" si="45"/>
        <v>111</v>
      </c>
      <c r="AE44" s="6">
        <f t="shared" si="46"/>
        <v>1111.45</v>
      </c>
      <c r="AH44" s="122">
        <f t="shared" si="47"/>
        <v>8</v>
      </c>
    </row>
    <row r="45" spans="1:34">
      <c r="A45" t="s">
        <v>417</v>
      </c>
      <c r="C45" s="122">
        <f>+'Service Count Data'!$X$124</f>
        <v>0</v>
      </c>
      <c r="D45" s="711">
        <v>12.15</v>
      </c>
      <c r="E45" s="6">
        <f t="shared" si="33"/>
        <v>0</v>
      </c>
      <c r="F45" s="122">
        <f>+'Service Count Data'!$AD$124</f>
        <v>10</v>
      </c>
      <c r="G45" s="711">
        <v>13.3</v>
      </c>
      <c r="H45" s="6">
        <f t="shared" si="34"/>
        <v>133</v>
      </c>
      <c r="I45" s="187">
        <f t="shared" si="35"/>
        <v>10</v>
      </c>
      <c r="J45" s="186">
        <f t="shared" si="36"/>
        <v>133</v>
      </c>
      <c r="L45" s="122">
        <f>+'Service Count Data'!$X$125</f>
        <v>0</v>
      </c>
      <c r="M45" s="711">
        <v>10.9</v>
      </c>
      <c r="N45" s="6">
        <f t="shared" si="37"/>
        <v>0</v>
      </c>
      <c r="O45" s="122">
        <f>+'Service Count Data'!$AD$125</f>
        <v>0</v>
      </c>
      <c r="P45" s="711">
        <v>10.9</v>
      </c>
      <c r="Q45" s="6">
        <f t="shared" si="38"/>
        <v>0</v>
      </c>
      <c r="R45" s="187">
        <f t="shared" si="39"/>
        <v>0</v>
      </c>
      <c r="S45" s="186">
        <f t="shared" si="40"/>
        <v>0</v>
      </c>
      <c r="U45" s="122">
        <f>+'Service Count Data'!$X$126</f>
        <v>0</v>
      </c>
      <c r="V45" s="711">
        <v>10.9</v>
      </c>
      <c r="W45" s="6">
        <f t="shared" si="41"/>
        <v>0</v>
      </c>
      <c r="X45" s="122">
        <f>+'Service Count Data'!$AD$126</f>
        <v>0</v>
      </c>
      <c r="Y45" s="711">
        <v>10.9</v>
      </c>
      <c r="Z45" s="6">
        <f t="shared" si="42"/>
        <v>0</v>
      </c>
      <c r="AA45" s="187">
        <f t="shared" si="43"/>
        <v>0</v>
      </c>
      <c r="AB45" s="186">
        <f t="shared" si="44"/>
        <v>0</v>
      </c>
      <c r="AC45" s="122">
        <f t="shared" si="48"/>
        <v>0</v>
      </c>
      <c r="AD45" s="122">
        <f t="shared" si="45"/>
        <v>10</v>
      </c>
      <c r="AE45" s="6">
        <f t="shared" si="46"/>
        <v>133</v>
      </c>
      <c r="AH45" s="122">
        <f t="shared" si="47"/>
        <v>0</v>
      </c>
    </row>
    <row r="46" spans="1:34">
      <c r="A46" t="s">
        <v>416</v>
      </c>
      <c r="C46" s="122">
        <f>+'Service Count Data'!$X$127</f>
        <v>0</v>
      </c>
      <c r="D46" s="711">
        <v>16.05</v>
      </c>
      <c r="E46" s="6">
        <f t="shared" si="33"/>
        <v>0</v>
      </c>
      <c r="F46" s="122">
        <f>+'Service Count Data'!$AD$127</f>
        <v>56</v>
      </c>
      <c r="G46" s="711">
        <v>17.600000000000001</v>
      </c>
      <c r="H46" s="6">
        <f t="shared" si="34"/>
        <v>985.60000000000014</v>
      </c>
      <c r="I46" s="187">
        <f t="shared" si="35"/>
        <v>56</v>
      </c>
      <c r="J46" s="186">
        <f t="shared" si="36"/>
        <v>985.60000000000014</v>
      </c>
      <c r="L46" s="122">
        <f>+'Service Count Data'!$X$128</f>
        <v>0</v>
      </c>
      <c r="M46" s="711">
        <v>14.5</v>
      </c>
      <c r="N46" s="6">
        <f t="shared" si="37"/>
        <v>0</v>
      </c>
      <c r="O46" s="122">
        <f>+'Service Count Data'!$AD$128</f>
        <v>4</v>
      </c>
      <c r="P46" s="711">
        <v>14.5</v>
      </c>
      <c r="Q46" s="6">
        <f t="shared" si="38"/>
        <v>58</v>
      </c>
      <c r="R46" s="187">
        <f t="shared" si="39"/>
        <v>4</v>
      </c>
      <c r="S46" s="186">
        <f t="shared" si="40"/>
        <v>58</v>
      </c>
      <c r="U46" s="122">
        <f>+'Service Count Data'!$X$129</f>
        <v>0</v>
      </c>
      <c r="V46" s="711">
        <v>14.5</v>
      </c>
      <c r="W46" s="6">
        <f t="shared" si="41"/>
        <v>0</v>
      </c>
      <c r="X46" s="122">
        <f>+'Service Count Data'!$AD$129</f>
        <v>9</v>
      </c>
      <c r="Y46" s="711">
        <v>14.5</v>
      </c>
      <c r="Z46" s="6">
        <f t="shared" si="42"/>
        <v>130.5</v>
      </c>
      <c r="AA46" s="187">
        <f t="shared" si="43"/>
        <v>9</v>
      </c>
      <c r="AB46" s="186">
        <f t="shared" si="44"/>
        <v>130.5</v>
      </c>
      <c r="AC46" s="122">
        <f t="shared" si="48"/>
        <v>13</v>
      </c>
      <c r="AD46" s="122">
        <f t="shared" si="45"/>
        <v>69</v>
      </c>
      <c r="AE46" s="6">
        <f t="shared" si="46"/>
        <v>1174.1000000000001</v>
      </c>
      <c r="AH46" s="122">
        <f t="shared" si="47"/>
        <v>13</v>
      </c>
    </row>
    <row r="47" spans="1:34">
      <c r="A47" t="s">
        <v>415</v>
      </c>
      <c r="C47" s="122">
        <f>+'Service Count Data'!$X$130</f>
        <v>0</v>
      </c>
      <c r="D47" s="711">
        <v>17.75</v>
      </c>
      <c r="E47" s="6">
        <f t="shared" si="33"/>
        <v>0</v>
      </c>
      <c r="F47" s="122">
        <f>+'Service Count Data'!$AD$130</f>
        <v>2</v>
      </c>
      <c r="G47" s="711">
        <v>19.45</v>
      </c>
      <c r="H47" s="6">
        <f t="shared" si="34"/>
        <v>38.9</v>
      </c>
      <c r="I47" s="187">
        <f t="shared" si="35"/>
        <v>2</v>
      </c>
      <c r="J47" s="186">
        <f t="shared" si="36"/>
        <v>38.9</v>
      </c>
      <c r="L47" s="122">
        <f>+'Service Count Data'!$X$131</f>
        <v>0</v>
      </c>
      <c r="M47" s="711">
        <v>15.2</v>
      </c>
      <c r="N47" s="6">
        <f t="shared" si="37"/>
        <v>0</v>
      </c>
      <c r="O47" s="122">
        <f>+'Service Count Data'!$AD$131</f>
        <v>0</v>
      </c>
      <c r="P47" s="711">
        <v>15.2</v>
      </c>
      <c r="Q47" s="6">
        <f t="shared" si="38"/>
        <v>0</v>
      </c>
      <c r="R47" s="187">
        <f t="shared" si="39"/>
        <v>0</v>
      </c>
      <c r="S47" s="186">
        <f t="shared" si="40"/>
        <v>0</v>
      </c>
      <c r="U47" s="122">
        <f>+'Service Count Data'!$X$132</f>
        <v>0</v>
      </c>
      <c r="V47" s="711">
        <v>15.2</v>
      </c>
      <c r="W47" s="6">
        <f t="shared" si="41"/>
        <v>0</v>
      </c>
      <c r="X47" s="122">
        <f>+'Service Count Data'!$AD$132</f>
        <v>0</v>
      </c>
      <c r="Y47" s="711">
        <v>15.2</v>
      </c>
      <c r="Z47" s="6">
        <f t="shared" si="42"/>
        <v>0</v>
      </c>
      <c r="AA47" s="187">
        <f t="shared" si="43"/>
        <v>0</v>
      </c>
      <c r="AB47" s="186">
        <f t="shared" si="44"/>
        <v>0</v>
      </c>
      <c r="AC47" s="122">
        <f t="shared" si="48"/>
        <v>0</v>
      </c>
      <c r="AD47" s="122">
        <f t="shared" si="45"/>
        <v>2</v>
      </c>
      <c r="AE47" s="6">
        <f t="shared" si="46"/>
        <v>38.9</v>
      </c>
      <c r="AH47" s="122">
        <f t="shared" si="47"/>
        <v>0</v>
      </c>
    </row>
    <row r="48" spans="1:34">
      <c r="A48" t="s">
        <v>414</v>
      </c>
      <c r="C48" s="122">
        <f>+'Service Count Data'!$X$133</f>
        <v>0</v>
      </c>
      <c r="D48" s="711">
        <v>17.75</v>
      </c>
      <c r="E48" s="6">
        <f t="shared" si="33"/>
        <v>0</v>
      </c>
      <c r="F48" s="122">
        <f>+'Service Count Data'!$AD$133</f>
        <v>16</v>
      </c>
      <c r="G48" s="711">
        <v>19.45</v>
      </c>
      <c r="H48" s="6">
        <f t="shared" si="34"/>
        <v>311.2</v>
      </c>
      <c r="I48" s="187">
        <f t="shared" si="35"/>
        <v>16</v>
      </c>
      <c r="J48" s="186">
        <f t="shared" si="36"/>
        <v>311.2</v>
      </c>
      <c r="L48" s="122">
        <f>+'Service Count Data'!$X$134</f>
        <v>0</v>
      </c>
      <c r="M48" s="711">
        <v>15.8</v>
      </c>
      <c r="N48" s="6">
        <f t="shared" si="37"/>
        <v>0</v>
      </c>
      <c r="O48" s="122">
        <f>+'Service Count Data'!$AD$134</f>
        <v>0</v>
      </c>
      <c r="P48" s="711">
        <v>15.8</v>
      </c>
      <c r="Q48" s="6">
        <f t="shared" si="38"/>
        <v>0</v>
      </c>
      <c r="R48" s="187">
        <f t="shared" si="39"/>
        <v>0</v>
      </c>
      <c r="S48" s="186">
        <f t="shared" si="40"/>
        <v>0</v>
      </c>
      <c r="U48" s="122">
        <f>+'Service Count Data'!$X$135</f>
        <v>0</v>
      </c>
      <c r="V48" s="711">
        <v>15.8</v>
      </c>
      <c r="W48" s="6">
        <f t="shared" si="41"/>
        <v>0</v>
      </c>
      <c r="X48" s="122">
        <f>+'Service Count Data'!$AD$135</f>
        <v>2</v>
      </c>
      <c r="Y48" s="711">
        <v>15.8</v>
      </c>
      <c r="Z48" s="6">
        <f t="shared" si="42"/>
        <v>31.6</v>
      </c>
      <c r="AA48" s="187">
        <f t="shared" si="43"/>
        <v>2</v>
      </c>
      <c r="AB48" s="186">
        <f t="shared" si="44"/>
        <v>31.6</v>
      </c>
      <c r="AC48" s="122">
        <f t="shared" si="48"/>
        <v>2</v>
      </c>
      <c r="AD48" s="122">
        <f t="shared" si="45"/>
        <v>18</v>
      </c>
      <c r="AE48" s="6">
        <f t="shared" si="46"/>
        <v>342.8</v>
      </c>
      <c r="AH48" s="122">
        <f t="shared" si="47"/>
        <v>2</v>
      </c>
    </row>
    <row r="49" spans="1:34">
      <c r="A49" t="s">
        <v>413</v>
      </c>
      <c r="C49" s="122">
        <f>+'Service Count Data'!$X$136</f>
        <v>0</v>
      </c>
      <c r="D49" s="711">
        <v>20.45</v>
      </c>
      <c r="E49" s="6">
        <f t="shared" si="33"/>
        <v>0</v>
      </c>
      <c r="F49" s="122">
        <f>+'Service Count Data'!$AD$136</f>
        <v>10</v>
      </c>
      <c r="G49" s="711">
        <v>22.4</v>
      </c>
      <c r="H49" s="6">
        <f t="shared" si="34"/>
        <v>224</v>
      </c>
      <c r="I49" s="187">
        <f t="shared" si="35"/>
        <v>10</v>
      </c>
      <c r="J49" s="186">
        <f t="shared" si="36"/>
        <v>224</v>
      </c>
      <c r="L49" s="122">
        <f>+'Service Count Data'!$X$137</f>
        <v>0</v>
      </c>
      <c r="M49" s="711">
        <v>18.350000000000001</v>
      </c>
      <c r="N49" s="6">
        <f t="shared" si="37"/>
        <v>0</v>
      </c>
      <c r="O49" s="122">
        <f>+'Service Count Data'!$AD$137</f>
        <v>0</v>
      </c>
      <c r="P49" s="711">
        <v>18.350000000000001</v>
      </c>
      <c r="Q49" s="6">
        <f t="shared" si="38"/>
        <v>0</v>
      </c>
      <c r="R49" s="187">
        <f t="shared" si="39"/>
        <v>0</v>
      </c>
      <c r="S49" s="186">
        <f t="shared" si="40"/>
        <v>0</v>
      </c>
      <c r="U49" s="122">
        <f>+'Service Count Data'!$X$138</f>
        <v>0</v>
      </c>
      <c r="V49" s="711">
        <v>18.350000000000001</v>
      </c>
      <c r="W49" s="6">
        <f t="shared" si="41"/>
        <v>0</v>
      </c>
      <c r="X49" s="122">
        <f>+'Service Count Data'!$AD$138</f>
        <v>2</v>
      </c>
      <c r="Y49" s="711">
        <v>18.350000000000001</v>
      </c>
      <c r="Z49" s="6">
        <f t="shared" si="42"/>
        <v>36.700000000000003</v>
      </c>
      <c r="AA49" s="187">
        <f t="shared" si="43"/>
        <v>2</v>
      </c>
      <c r="AB49" s="186">
        <f t="shared" si="44"/>
        <v>36.700000000000003</v>
      </c>
      <c r="AC49" s="122">
        <f t="shared" si="48"/>
        <v>2</v>
      </c>
      <c r="AD49" s="122">
        <f t="shared" si="45"/>
        <v>12</v>
      </c>
      <c r="AE49" s="6">
        <f t="shared" si="46"/>
        <v>260.7</v>
      </c>
      <c r="AH49" s="122">
        <f t="shared" si="47"/>
        <v>2</v>
      </c>
    </row>
    <row r="50" spans="1:34">
      <c r="A50" t="s">
        <v>412</v>
      </c>
      <c r="C50" s="122">
        <f>+'Service Count Data'!$X$244</f>
        <v>0</v>
      </c>
      <c r="D50" s="711">
        <v>2.6</v>
      </c>
      <c r="E50" s="6">
        <f t="shared" si="33"/>
        <v>0</v>
      </c>
      <c r="F50" s="122">
        <f>+'Service Count Data'!$AD$244</f>
        <v>53</v>
      </c>
      <c r="G50" s="711">
        <v>2.85</v>
      </c>
      <c r="H50" s="6">
        <f t="shared" si="34"/>
        <v>151.05000000000001</v>
      </c>
      <c r="I50" s="187">
        <f t="shared" si="35"/>
        <v>53</v>
      </c>
      <c r="J50" s="186">
        <f t="shared" si="36"/>
        <v>151.05000000000001</v>
      </c>
      <c r="L50" s="122">
        <f>+'Service Count Data'!$X$245</f>
        <v>0</v>
      </c>
      <c r="M50" s="711">
        <v>2.2999999999999998</v>
      </c>
      <c r="N50" s="6">
        <f t="shared" si="37"/>
        <v>0</v>
      </c>
      <c r="O50" s="122">
        <f>+'Service Count Data'!$AD$245</f>
        <v>0</v>
      </c>
      <c r="P50" s="711">
        <v>2.2999999999999998</v>
      </c>
      <c r="Q50" s="6">
        <f t="shared" si="38"/>
        <v>0</v>
      </c>
      <c r="R50" s="187">
        <f t="shared" si="39"/>
        <v>0</v>
      </c>
      <c r="S50" s="186">
        <f t="shared" si="40"/>
        <v>0</v>
      </c>
      <c r="U50" s="122">
        <f>+'Service Count Data'!$X$246</f>
        <v>0</v>
      </c>
      <c r="V50" s="711">
        <v>2.2999999999999998</v>
      </c>
      <c r="W50" s="6">
        <f t="shared" si="41"/>
        <v>0</v>
      </c>
      <c r="X50" s="122">
        <f>+'Service Count Data'!$AD$246</f>
        <v>0</v>
      </c>
      <c r="Y50" s="711">
        <v>2.2999999999999998</v>
      </c>
      <c r="Z50" s="6">
        <f t="shared" si="42"/>
        <v>0</v>
      </c>
      <c r="AA50" s="187">
        <f t="shared" si="43"/>
        <v>0</v>
      </c>
      <c r="AB50" s="186">
        <f t="shared" si="44"/>
        <v>0</v>
      </c>
      <c r="AC50" s="122">
        <f t="shared" si="48"/>
        <v>0</v>
      </c>
      <c r="AD50" s="122">
        <f t="shared" si="45"/>
        <v>53</v>
      </c>
      <c r="AE50" s="6">
        <f t="shared" si="46"/>
        <v>151.05000000000001</v>
      </c>
      <c r="AH50" s="122">
        <f t="shared" si="47"/>
        <v>0</v>
      </c>
    </row>
    <row r="51" spans="1:34">
      <c r="A51" t="s">
        <v>411</v>
      </c>
      <c r="C51" s="122">
        <f>+'Service Count Data'!$X$172</f>
        <v>0</v>
      </c>
      <c r="D51" s="711">
        <v>1.5</v>
      </c>
      <c r="E51" s="6">
        <f t="shared" si="33"/>
        <v>0</v>
      </c>
      <c r="F51" s="122">
        <f>+'Service Count Data'!$AD$172</f>
        <v>4937</v>
      </c>
      <c r="G51" s="711">
        <v>1.65</v>
      </c>
      <c r="H51" s="6">
        <f t="shared" si="34"/>
        <v>8146.0499999999993</v>
      </c>
      <c r="I51" s="187">
        <f t="shared" si="35"/>
        <v>4937</v>
      </c>
      <c r="J51" s="186">
        <f t="shared" si="36"/>
        <v>8146.0499999999993</v>
      </c>
      <c r="L51" s="122">
        <f>+'Service Count Data'!$X$173</f>
        <v>0</v>
      </c>
      <c r="M51" s="711">
        <v>1.3</v>
      </c>
      <c r="N51" s="6">
        <f t="shared" si="37"/>
        <v>0</v>
      </c>
      <c r="O51" s="122">
        <f>+'Service Count Data'!$AD$173</f>
        <v>95</v>
      </c>
      <c r="P51" s="711">
        <v>1.3</v>
      </c>
      <c r="Q51" s="6">
        <f t="shared" si="38"/>
        <v>123.5</v>
      </c>
      <c r="R51" s="187">
        <f t="shared" si="39"/>
        <v>95</v>
      </c>
      <c r="S51" s="186">
        <f t="shared" si="40"/>
        <v>123.5</v>
      </c>
      <c r="U51" s="122">
        <f>+'Service Count Data'!$X$174</f>
        <v>0</v>
      </c>
      <c r="V51" s="711">
        <v>1.3</v>
      </c>
      <c r="W51" s="6">
        <f t="shared" si="41"/>
        <v>0</v>
      </c>
      <c r="X51" s="122">
        <f>+'Service Count Data'!$AD$174</f>
        <v>591</v>
      </c>
      <c r="Y51" s="711">
        <v>1.3</v>
      </c>
      <c r="Z51" s="6">
        <f t="shared" si="42"/>
        <v>768.30000000000007</v>
      </c>
      <c r="AA51" s="187">
        <f t="shared" si="43"/>
        <v>591</v>
      </c>
      <c r="AB51" s="186">
        <f t="shared" si="44"/>
        <v>768.30000000000007</v>
      </c>
      <c r="AC51" s="122">
        <f t="shared" si="48"/>
        <v>686</v>
      </c>
      <c r="AD51" s="122">
        <f t="shared" si="45"/>
        <v>5623</v>
      </c>
      <c r="AE51" s="6">
        <f t="shared" si="46"/>
        <v>9037.8499999999985</v>
      </c>
      <c r="AF51" s="6">
        <f>SUM(AE37:AE51)</f>
        <v>1000364.6599999999</v>
      </c>
      <c r="AH51" s="122">
        <f t="shared" si="47"/>
        <v>686</v>
      </c>
    </row>
    <row r="52" spans="1:34">
      <c r="C52" s="122"/>
      <c r="D52" s="158"/>
      <c r="F52" s="122"/>
      <c r="G52" s="158"/>
      <c r="I52" s="187"/>
      <c r="J52" s="181"/>
      <c r="L52" s="122"/>
      <c r="M52" s="158"/>
      <c r="O52" s="122"/>
      <c r="P52" s="158"/>
      <c r="R52" s="187"/>
      <c r="S52" s="181"/>
      <c r="U52" s="122"/>
      <c r="V52" s="158"/>
      <c r="X52" s="122"/>
      <c r="Y52" s="158"/>
      <c r="AA52" s="187"/>
      <c r="AB52" s="181"/>
      <c r="AC52" s="122">
        <f t="shared" si="48"/>
        <v>0</v>
      </c>
    </row>
    <row r="53" spans="1:34">
      <c r="A53" t="s">
        <v>410</v>
      </c>
      <c r="C53" s="122"/>
      <c r="D53" s="158"/>
      <c r="F53" s="122"/>
      <c r="G53" s="158"/>
      <c r="I53" s="187"/>
      <c r="J53" s="181"/>
      <c r="L53" s="122"/>
      <c r="M53" s="158"/>
      <c r="O53" s="122"/>
      <c r="P53" s="158"/>
      <c r="R53" s="187"/>
      <c r="S53" s="181"/>
      <c r="U53" s="122"/>
      <c r="V53" s="158"/>
      <c r="X53" s="122"/>
      <c r="Y53" s="158"/>
      <c r="AA53" s="187"/>
      <c r="AB53" s="181"/>
      <c r="AC53" s="122">
        <f t="shared" si="48"/>
        <v>0</v>
      </c>
    </row>
    <row r="54" spans="1:34">
      <c r="A54" t="s">
        <v>409</v>
      </c>
      <c r="C54" s="122">
        <f>+'Service Count Data'!$X$217</f>
        <v>0</v>
      </c>
      <c r="D54" s="711">
        <v>105</v>
      </c>
      <c r="E54" s="6">
        <f t="shared" ref="E54:E69" si="49">+C54*D54</f>
        <v>0</v>
      </c>
      <c r="F54" s="122">
        <f>+'Service Count Data'!$AD$217</f>
        <v>88</v>
      </c>
      <c r="G54" s="711">
        <v>114.5</v>
      </c>
      <c r="H54" s="6">
        <f t="shared" ref="H54:H69" si="50">+F54*G54</f>
        <v>10076</v>
      </c>
      <c r="I54" s="187">
        <f t="shared" ref="I54:I69" si="51">+C54+F54</f>
        <v>88</v>
      </c>
      <c r="J54" s="186">
        <f t="shared" ref="J54:J69" si="52">+E54+H54</f>
        <v>10076</v>
      </c>
      <c r="L54" s="122">
        <f>+'Service Count Data'!$X$218</f>
        <v>0</v>
      </c>
      <c r="M54" s="711">
        <v>95.05</v>
      </c>
      <c r="N54" s="6">
        <f t="shared" ref="N54:N69" si="53">+L54*M54</f>
        <v>0</v>
      </c>
      <c r="O54" s="122">
        <f>+'Service Count Data'!$AD$218</f>
        <v>0</v>
      </c>
      <c r="P54" s="711">
        <v>95.05</v>
      </c>
      <c r="Q54" s="6">
        <f t="shared" ref="Q54:Q69" si="54">+O54*P54</f>
        <v>0</v>
      </c>
      <c r="R54" s="187">
        <f t="shared" ref="R54:R69" si="55">+L54+O54</f>
        <v>0</v>
      </c>
      <c r="S54" s="186">
        <f t="shared" ref="S54:S69" si="56">+N54+Q54</f>
        <v>0</v>
      </c>
      <c r="U54" s="122">
        <f>+'Service Count Data'!$X$219</f>
        <v>0</v>
      </c>
      <c r="V54" s="711">
        <v>95.05</v>
      </c>
      <c r="W54" s="6">
        <f t="shared" ref="W54:W69" si="57">+U54*V54</f>
        <v>0</v>
      </c>
      <c r="X54" s="122">
        <f>+'Service Count Data'!$AD$219</f>
        <v>0</v>
      </c>
      <c r="Y54" s="711">
        <v>95.05</v>
      </c>
      <c r="Z54" s="6">
        <f t="shared" ref="Z54:Z69" si="58">+X54*Y54</f>
        <v>0</v>
      </c>
      <c r="AA54" s="187">
        <f t="shared" ref="AA54:AA69" si="59">+U54+X54</f>
        <v>0</v>
      </c>
      <c r="AB54" s="186">
        <f t="shared" ref="AB54:AB69" si="60">+W54+Z54</f>
        <v>0</v>
      </c>
      <c r="AC54" s="122">
        <f t="shared" si="48"/>
        <v>0</v>
      </c>
      <c r="AD54" s="122">
        <f t="shared" ref="AD54:AD69" si="61">+I54+R54+AA54</f>
        <v>88</v>
      </c>
      <c r="AE54" s="6">
        <f t="shared" ref="AE54:AE69" si="62">+J54+S54+AB54</f>
        <v>10076</v>
      </c>
      <c r="AH54" s="122">
        <f t="shared" ref="AH54:AH69" si="63">+R54+AA54</f>
        <v>0</v>
      </c>
    </row>
    <row r="55" spans="1:34">
      <c r="A55" t="s">
        <v>408</v>
      </c>
      <c r="C55" s="122">
        <f>+'Service Count Data'!$X$223</f>
        <v>0</v>
      </c>
      <c r="D55" s="711">
        <v>128</v>
      </c>
      <c r="E55" s="6">
        <f t="shared" si="49"/>
        <v>0</v>
      </c>
      <c r="F55" s="122">
        <f>+'Service Count Data'!$AD$223</f>
        <v>97</v>
      </c>
      <c r="G55" s="711">
        <v>139.5</v>
      </c>
      <c r="H55" s="6">
        <f t="shared" si="50"/>
        <v>13531.5</v>
      </c>
      <c r="I55" s="187">
        <f t="shared" si="51"/>
        <v>97</v>
      </c>
      <c r="J55" s="186">
        <f t="shared" si="52"/>
        <v>13531.5</v>
      </c>
      <c r="L55" s="122">
        <f>+'Service Count Data'!$X$224</f>
        <v>0</v>
      </c>
      <c r="M55" s="711">
        <v>114.95</v>
      </c>
      <c r="N55" s="6">
        <f t="shared" si="53"/>
        <v>0</v>
      </c>
      <c r="O55" s="122">
        <f>+'Service Count Data'!$AD$224</f>
        <v>12</v>
      </c>
      <c r="P55" s="711">
        <v>114.95</v>
      </c>
      <c r="Q55" s="6">
        <f t="shared" si="54"/>
        <v>1379.4</v>
      </c>
      <c r="R55" s="187">
        <f t="shared" si="55"/>
        <v>12</v>
      </c>
      <c r="S55" s="186">
        <f t="shared" si="56"/>
        <v>1379.4</v>
      </c>
      <c r="U55" s="122">
        <f>+'Service Count Data'!$X$225</f>
        <v>0</v>
      </c>
      <c r="V55" s="711">
        <v>114.95</v>
      </c>
      <c r="W55" s="6">
        <f t="shared" si="57"/>
        <v>0</v>
      </c>
      <c r="X55" s="122">
        <f>+'Service Count Data'!$AD$225</f>
        <v>57</v>
      </c>
      <c r="Y55" s="711">
        <v>114.95</v>
      </c>
      <c r="Z55" s="6">
        <f t="shared" si="58"/>
        <v>6552.1500000000005</v>
      </c>
      <c r="AA55" s="187">
        <f t="shared" si="59"/>
        <v>57</v>
      </c>
      <c r="AB55" s="186">
        <f t="shared" si="60"/>
        <v>6552.1500000000005</v>
      </c>
      <c r="AC55" s="122">
        <f t="shared" si="48"/>
        <v>69</v>
      </c>
      <c r="AD55" s="122">
        <f t="shared" si="61"/>
        <v>166</v>
      </c>
      <c r="AE55" s="6">
        <f t="shared" si="62"/>
        <v>21463.05</v>
      </c>
      <c r="AH55" s="122">
        <f t="shared" si="63"/>
        <v>69</v>
      </c>
    </row>
    <row r="56" spans="1:34">
      <c r="A56" t="s">
        <v>407</v>
      </c>
      <c r="C56" s="122">
        <f>+'Service Count Data'!$X$229</f>
        <v>0</v>
      </c>
      <c r="D56" s="711">
        <v>138</v>
      </c>
      <c r="E56" s="6">
        <f t="shared" si="49"/>
        <v>0</v>
      </c>
      <c r="F56" s="122">
        <f>+'Service Count Data'!$AD$229</f>
        <v>139</v>
      </c>
      <c r="G56" s="711">
        <v>150.5</v>
      </c>
      <c r="H56" s="6">
        <f t="shared" si="50"/>
        <v>20919.5</v>
      </c>
      <c r="I56" s="187">
        <f t="shared" si="51"/>
        <v>139</v>
      </c>
      <c r="J56" s="186">
        <f t="shared" si="52"/>
        <v>20919.5</v>
      </c>
      <c r="L56" s="122">
        <f>+'Service Count Data'!$X$230</f>
        <v>0</v>
      </c>
      <c r="M56" s="711">
        <v>124.95</v>
      </c>
      <c r="N56" s="6">
        <f t="shared" si="53"/>
        <v>0</v>
      </c>
      <c r="O56" s="122">
        <f>+'Service Count Data'!$AD$230</f>
        <v>96</v>
      </c>
      <c r="P56" s="711">
        <v>124.95</v>
      </c>
      <c r="Q56" s="6">
        <f t="shared" si="54"/>
        <v>11995.2</v>
      </c>
      <c r="R56" s="187">
        <f t="shared" si="55"/>
        <v>96</v>
      </c>
      <c r="S56" s="186">
        <f t="shared" si="56"/>
        <v>11995.2</v>
      </c>
      <c r="U56" s="122">
        <f>+'Service Count Data'!$X$231</f>
        <v>0</v>
      </c>
      <c r="V56" s="711">
        <v>124.95</v>
      </c>
      <c r="W56" s="6">
        <f t="shared" si="57"/>
        <v>0</v>
      </c>
      <c r="X56" s="122">
        <f>+'Service Count Data'!$AD$231</f>
        <v>523</v>
      </c>
      <c r="Y56" s="711">
        <v>124.95</v>
      </c>
      <c r="Z56" s="6">
        <f t="shared" si="58"/>
        <v>65348.85</v>
      </c>
      <c r="AA56" s="187">
        <f t="shared" si="59"/>
        <v>523</v>
      </c>
      <c r="AB56" s="186">
        <f t="shared" si="60"/>
        <v>65348.85</v>
      </c>
      <c r="AC56" s="122">
        <f t="shared" si="48"/>
        <v>619</v>
      </c>
      <c r="AD56" s="122">
        <f t="shared" si="61"/>
        <v>758</v>
      </c>
      <c r="AE56" s="6">
        <f t="shared" si="62"/>
        <v>98263.549999999988</v>
      </c>
      <c r="AH56" s="122">
        <f t="shared" si="63"/>
        <v>619</v>
      </c>
    </row>
    <row r="57" spans="1:34">
      <c r="A57" t="s">
        <v>406</v>
      </c>
      <c r="C57" s="122">
        <f>+'Service Count Data'!$X$235</f>
        <v>0</v>
      </c>
      <c r="D57" s="711">
        <v>0</v>
      </c>
      <c r="E57" s="6">
        <f t="shared" si="49"/>
        <v>0</v>
      </c>
      <c r="F57" s="122">
        <f>+'Service Count Data'!$AD$235</f>
        <v>0</v>
      </c>
      <c r="G57" s="711">
        <v>0</v>
      </c>
      <c r="H57" s="6">
        <f t="shared" si="50"/>
        <v>0</v>
      </c>
      <c r="I57" s="187">
        <f t="shared" si="51"/>
        <v>0</v>
      </c>
      <c r="J57" s="186">
        <f t="shared" si="52"/>
        <v>0</v>
      </c>
      <c r="L57" s="122">
        <f>+'Service Count Data'!$X$236</f>
        <v>0</v>
      </c>
      <c r="M57" s="711">
        <v>0</v>
      </c>
      <c r="N57" s="6">
        <f t="shared" si="53"/>
        <v>0</v>
      </c>
      <c r="O57" s="122">
        <f>+'Service Count Data'!$AD$236</f>
        <v>0</v>
      </c>
      <c r="P57" s="711">
        <v>0</v>
      </c>
      <c r="Q57" s="6">
        <f t="shared" si="54"/>
        <v>0</v>
      </c>
      <c r="R57" s="187">
        <f t="shared" si="55"/>
        <v>0</v>
      </c>
      <c r="S57" s="186">
        <f t="shared" si="56"/>
        <v>0</v>
      </c>
      <c r="U57" s="122">
        <f>+'Service Count Data'!$X$237</f>
        <v>0</v>
      </c>
      <c r="V57" s="711">
        <v>0</v>
      </c>
      <c r="W57" s="6">
        <f t="shared" si="57"/>
        <v>0</v>
      </c>
      <c r="X57" s="122">
        <f>+'Service Count Data'!$AD$237</f>
        <v>0</v>
      </c>
      <c r="Y57" s="711">
        <v>0</v>
      </c>
      <c r="Z57" s="6">
        <f t="shared" si="58"/>
        <v>0</v>
      </c>
      <c r="AA57" s="187">
        <f t="shared" si="59"/>
        <v>0</v>
      </c>
      <c r="AB57" s="186">
        <f t="shared" si="60"/>
        <v>0</v>
      </c>
      <c r="AC57" s="122">
        <f t="shared" si="48"/>
        <v>0</v>
      </c>
      <c r="AD57" s="122">
        <f t="shared" si="61"/>
        <v>0</v>
      </c>
      <c r="AE57" s="6">
        <f t="shared" si="62"/>
        <v>0</v>
      </c>
      <c r="AH57" s="122">
        <f t="shared" si="63"/>
        <v>0</v>
      </c>
    </row>
    <row r="58" spans="1:34">
      <c r="A58" t="s">
        <v>405</v>
      </c>
      <c r="C58" s="122">
        <f>+'Service Count Data'!$X$220</f>
        <v>0</v>
      </c>
      <c r="D58" s="711">
        <v>3.35</v>
      </c>
      <c r="E58" s="6">
        <f t="shared" si="49"/>
        <v>0</v>
      </c>
      <c r="F58" s="122">
        <f>+'Service Count Data'!$AD$220</f>
        <v>905</v>
      </c>
      <c r="G58" s="711">
        <v>3.35</v>
      </c>
      <c r="H58" s="6">
        <f t="shared" si="50"/>
        <v>3031.75</v>
      </c>
      <c r="I58" s="187">
        <f t="shared" si="51"/>
        <v>905</v>
      </c>
      <c r="J58" s="186">
        <f t="shared" si="52"/>
        <v>3031.75</v>
      </c>
      <c r="L58" s="122">
        <f>+'Service Count Data'!$X$221</f>
        <v>0</v>
      </c>
      <c r="M58" s="711">
        <v>3.05</v>
      </c>
      <c r="N58" s="6">
        <f t="shared" si="53"/>
        <v>0</v>
      </c>
      <c r="O58" s="122">
        <f>+'Service Count Data'!$AD$221</f>
        <v>0</v>
      </c>
      <c r="P58" s="711">
        <v>3.05</v>
      </c>
      <c r="Q58" s="6">
        <f t="shared" si="54"/>
        <v>0</v>
      </c>
      <c r="R58" s="187">
        <f t="shared" si="55"/>
        <v>0</v>
      </c>
      <c r="S58" s="186">
        <f t="shared" si="56"/>
        <v>0</v>
      </c>
      <c r="U58" s="122">
        <f>+'Service Count Data'!$X$222</f>
        <v>0</v>
      </c>
      <c r="V58" s="711">
        <v>3.05</v>
      </c>
      <c r="W58" s="6">
        <f t="shared" si="57"/>
        <v>0</v>
      </c>
      <c r="X58" s="122">
        <f>+'Service Count Data'!$AD$222</f>
        <v>0</v>
      </c>
      <c r="Y58" s="711">
        <v>3.05</v>
      </c>
      <c r="Z58" s="6">
        <f t="shared" si="58"/>
        <v>0</v>
      </c>
      <c r="AA58" s="187">
        <f t="shared" si="59"/>
        <v>0</v>
      </c>
      <c r="AB58" s="186">
        <f t="shared" si="60"/>
        <v>0</v>
      </c>
      <c r="AC58" s="122">
        <f t="shared" si="48"/>
        <v>0</v>
      </c>
      <c r="AD58" s="122">
        <f t="shared" si="61"/>
        <v>905</v>
      </c>
      <c r="AE58" s="6">
        <f t="shared" si="62"/>
        <v>3031.75</v>
      </c>
      <c r="AH58" s="122">
        <f t="shared" si="63"/>
        <v>0</v>
      </c>
    </row>
    <row r="59" spans="1:34">
      <c r="A59" t="s">
        <v>404</v>
      </c>
      <c r="C59" s="122">
        <f>+'Service Count Data'!$X$226</f>
        <v>0</v>
      </c>
      <c r="D59" s="711">
        <v>3.85</v>
      </c>
      <c r="E59" s="6">
        <f t="shared" si="49"/>
        <v>0</v>
      </c>
      <c r="F59" s="122">
        <f>+'Service Count Data'!$AD$226</f>
        <v>1867</v>
      </c>
      <c r="G59" s="711">
        <v>3.85</v>
      </c>
      <c r="H59" s="6">
        <f t="shared" si="50"/>
        <v>7187.95</v>
      </c>
      <c r="I59" s="187">
        <f t="shared" si="51"/>
        <v>1867</v>
      </c>
      <c r="J59" s="186">
        <f t="shared" si="52"/>
        <v>7187.95</v>
      </c>
      <c r="L59" s="122">
        <f>+'Service Count Data'!$X$227</f>
        <v>0</v>
      </c>
      <c r="M59" s="711">
        <v>3.55</v>
      </c>
      <c r="N59" s="6">
        <f t="shared" si="53"/>
        <v>0</v>
      </c>
      <c r="O59" s="122">
        <f>+'Service Count Data'!$AD$227</f>
        <v>348</v>
      </c>
      <c r="P59" s="711">
        <v>3.55</v>
      </c>
      <c r="Q59" s="6">
        <f t="shared" si="54"/>
        <v>1235.3999999999999</v>
      </c>
      <c r="R59" s="187">
        <f t="shared" si="55"/>
        <v>348</v>
      </c>
      <c r="S59" s="186">
        <f t="shared" si="56"/>
        <v>1235.3999999999999</v>
      </c>
      <c r="U59" s="122">
        <f>+'Service Count Data'!$X$228</f>
        <v>0</v>
      </c>
      <c r="V59" s="711">
        <v>3.55</v>
      </c>
      <c r="W59" s="6">
        <f t="shared" si="57"/>
        <v>0</v>
      </c>
      <c r="X59" s="122">
        <f>+'Service Count Data'!$AD$228</f>
        <v>1442</v>
      </c>
      <c r="Y59" s="711">
        <v>3.55</v>
      </c>
      <c r="Z59" s="6">
        <f t="shared" si="58"/>
        <v>5119.0999999999995</v>
      </c>
      <c r="AA59" s="187">
        <f t="shared" si="59"/>
        <v>1442</v>
      </c>
      <c r="AB59" s="186">
        <f t="shared" si="60"/>
        <v>5119.0999999999995</v>
      </c>
      <c r="AC59" s="122">
        <f t="shared" si="48"/>
        <v>1790</v>
      </c>
      <c r="AD59" s="122">
        <f t="shared" si="61"/>
        <v>3657</v>
      </c>
      <c r="AE59" s="6">
        <f t="shared" si="62"/>
        <v>13542.45</v>
      </c>
      <c r="AH59" s="122">
        <f t="shared" si="63"/>
        <v>1790</v>
      </c>
    </row>
    <row r="60" spans="1:34">
      <c r="A60" t="s">
        <v>403</v>
      </c>
      <c r="C60" s="122">
        <f>+'Service Count Data'!$X$232</f>
        <v>0</v>
      </c>
      <c r="D60" s="711">
        <v>4.5999999999999996</v>
      </c>
      <c r="E60" s="6">
        <f t="shared" si="49"/>
        <v>0</v>
      </c>
      <c r="F60" s="122">
        <f>+'Service Count Data'!$AD$232</f>
        <v>2780</v>
      </c>
      <c r="G60" s="711">
        <v>4.5999999999999996</v>
      </c>
      <c r="H60" s="6">
        <f t="shared" si="50"/>
        <v>12787.999999999998</v>
      </c>
      <c r="I60" s="187">
        <f t="shared" si="51"/>
        <v>2780</v>
      </c>
      <c r="J60" s="186">
        <f t="shared" si="52"/>
        <v>12787.999999999998</v>
      </c>
      <c r="L60" s="122">
        <f>+'Service Count Data'!$X$233</f>
        <v>0</v>
      </c>
      <c r="M60" s="711">
        <v>4.2</v>
      </c>
      <c r="N60" s="6">
        <f t="shared" si="53"/>
        <v>0</v>
      </c>
      <c r="O60" s="122">
        <f>+'Service Count Data'!$AD$233</f>
        <v>960</v>
      </c>
      <c r="P60" s="711">
        <v>4.2</v>
      </c>
      <c r="Q60" s="6">
        <f t="shared" si="54"/>
        <v>4032</v>
      </c>
      <c r="R60" s="187">
        <f t="shared" si="55"/>
        <v>960</v>
      </c>
      <c r="S60" s="186">
        <f t="shared" si="56"/>
        <v>4032</v>
      </c>
      <c r="U60" s="122">
        <f>+'Service Count Data'!$X$234</f>
        <v>0</v>
      </c>
      <c r="V60" s="711">
        <v>4.2</v>
      </c>
      <c r="W60" s="6">
        <f t="shared" si="57"/>
        <v>0</v>
      </c>
      <c r="X60" s="122">
        <f>+'Service Count Data'!$AD$234</f>
        <v>2876</v>
      </c>
      <c r="Y60" s="711">
        <v>4.2</v>
      </c>
      <c r="Z60" s="6">
        <f t="shared" si="58"/>
        <v>12079.2</v>
      </c>
      <c r="AA60" s="187">
        <f t="shared" si="59"/>
        <v>2876</v>
      </c>
      <c r="AB60" s="186">
        <f t="shared" si="60"/>
        <v>12079.2</v>
      </c>
      <c r="AC60" s="122">
        <f t="shared" si="48"/>
        <v>3836</v>
      </c>
      <c r="AD60" s="122">
        <f t="shared" si="61"/>
        <v>6616</v>
      </c>
      <c r="AE60" s="6">
        <f t="shared" si="62"/>
        <v>28899.200000000001</v>
      </c>
      <c r="AH60" s="122">
        <f t="shared" si="63"/>
        <v>3836</v>
      </c>
    </row>
    <row r="61" spans="1:34">
      <c r="A61" t="s">
        <v>402</v>
      </c>
      <c r="C61" s="122">
        <f>+'Service Count Data'!$X$238</f>
        <v>0</v>
      </c>
      <c r="D61" s="711">
        <v>0</v>
      </c>
      <c r="E61" s="6">
        <f t="shared" si="49"/>
        <v>0</v>
      </c>
      <c r="F61" s="122">
        <f>+'Service Count Data'!$AD$238</f>
        <v>0</v>
      </c>
      <c r="G61" s="711">
        <v>0</v>
      </c>
      <c r="H61" s="6">
        <f t="shared" si="50"/>
        <v>0</v>
      </c>
      <c r="I61" s="187">
        <f t="shared" si="51"/>
        <v>0</v>
      </c>
      <c r="J61" s="186">
        <f t="shared" si="52"/>
        <v>0</v>
      </c>
      <c r="L61" s="122">
        <f>+'Service Count Data'!$X$239</f>
        <v>0</v>
      </c>
      <c r="M61" s="711">
        <v>0</v>
      </c>
      <c r="N61" s="6">
        <f t="shared" si="53"/>
        <v>0</v>
      </c>
      <c r="O61" s="122">
        <f>+'Service Count Data'!$AD$239</f>
        <v>0</v>
      </c>
      <c r="P61" s="711">
        <v>0</v>
      </c>
      <c r="Q61" s="6">
        <f t="shared" si="54"/>
        <v>0</v>
      </c>
      <c r="R61" s="187">
        <f t="shared" si="55"/>
        <v>0</v>
      </c>
      <c r="S61" s="186">
        <f t="shared" si="56"/>
        <v>0</v>
      </c>
      <c r="U61" s="122">
        <f>+'Service Count Data'!$X$240</f>
        <v>0</v>
      </c>
      <c r="V61" s="711">
        <v>0</v>
      </c>
      <c r="W61" s="6">
        <f t="shared" si="57"/>
        <v>0</v>
      </c>
      <c r="X61" s="122">
        <f>+'Service Count Data'!$AD$240</f>
        <v>0</v>
      </c>
      <c r="Y61" s="711">
        <v>0</v>
      </c>
      <c r="Z61" s="6">
        <f t="shared" si="58"/>
        <v>0</v>
      </c>
      <c r="AA61" s="187">
        <f t="shared" si="59"/>
        <v>0</v>
      </c>
      <c r="AB61" s="186">
        <f t="shared" si="60"/>
        <v>0</v>
      </c>
      <c r="AC61" s="122">
        <f t="shared" si="48"/>
        <v>0</v>
      </c>
      <c r="AD61" s="122">
        <f t="shared" si="61"/>
        <v>0</v>
      </c>
      <c r="AE61" s="6">
        <f t="shared" si="62"/>
        <v>0</v>
      </c>
      <c r="AH61" s="122">
        <f t="shared" si="63"/>
        <v>0</v>
      </c>
    </row>
    <row r="62" spans="1:34">
      <c r="A62" t="s">
        <v>401</v>
      </c>
      <c r="C62" s="122">
        <f>+'Service Count Data'!$X$142</f>
        <v>0</v>
      </c>
      <c r="D62" s="711">
        <v>39</v>
      </c>
      <c r="E62" s="6">
        <f t="shared" si="49"/>
        <v>0</v>
      </c>
      <c r="F62" s="122">
        <f>+'Service Count Data'!$AD$142</f>
        <v>42</v>
      </c>
      <c r="G62" s="711">
        <v>42.75</v>
      </c>
      <c r="H62" s="6">
        <f t="shared" si="50"/>
        <v>1795.5</v>
      </c>
      <c r="I62" s="187">
        <f t="shared" si="51"/>
        <v>42</v>
      </c>
      <c r="J62" s="186">
        <f t="shared" si="52"/>
        <v>1795.5</v>
      </c>
      <c r="L62" s="122">
        <f>+'Service Count Data'!$X$143</f>
        <v>0</v>
      </c>
      <c r="M62" s="711">
        <v>35</v>
      </c>
      <c r="N62" s="6">
        <f t="shared" si="53"/>
        <v>0</v>
      </c>
      <c r="O62" s="122">
        <f>+'Service Count Data'!$AD$143</f>
        <v>0</v>
      </c>
      <c r="P62" s="711">
        <v>35</v>
      </c>
      <c r="Q62" s="6">
        <f t="shared" si="54"/>
        <v>0</v>
      </c>
      <c r="R62" s="187">
        <f t="shared" si="55"/>
        <v>0</v>
      </c>
      <c r="S62" s="186">
        <f t="shared" si="56"/>
        <v>0</v>
      </c>
      <c r="U62" s="122">
        <f>+'Service Count Data'!$X$144</f>
        <v>0</v>
      </c>
      <c r="V62" s="711">
        <v>35</v>
      </c>
      <c r="W62" s="6">
        <f t="shared" si="57"/>
        <v>0</v>
      </c>
      <c r="X62" s="122">
        <f>+'Service Count Data'!$AD$144</f>
        <v>0</v>
      </c>
      <c r="Y62" s="711">
        <v>35</v>
      </c>
      <c r="Z62" s="6">
        <f t="shared" si="58"/>
        <v>0</v>
      </c>
      <c r="AA62" s="187">
        <f t="shared" si="59"/>
        <v>0</v>
      </c>
      <c r="AB62" s="186">
        <f t="shared" si="60"/>
        <v>0</v>
      </c>
      <c r="AC62" s="122">
        <f t="shared" si="48"/>
        <v>0</v>
      </c>
      <c r="AD62" s="122">
        <f t="shared" si="61"/>
        <v>42</v>
      </c>
      <c r="AE62" s="6">
        <f t="shared" si="62"/>
        <v>1795.5</v>
      </c>
      <c r="AH62" s="122">
        <f t="shared" si="63"/>
        <v>0</v>
      </c>
    </row>
    <row r="63" spans="1:34">
      <c r="A63" t="s">
        <v>400</v>
      </c>
      <c r="C63" s="122">
        <f>+'Service Count Data'!$X$145</f>
        <v>0</v>
      </c>
      <c r="D63" s="711">
        <v>39</v>
      </c>
      <c r="E63" s="6">
        <f t="shared" si="49"/>
        <v>0</v>
      </c>
      <c r="F63" s="122">
        <f>+'Service Count Data'!$AD$145</f>
        <v>31</v>
      </c>
      <c r="G63" s="711">
        <v>42.75</v>
      </c>
      <c r="H63" s="6">
        <f t="shared" si="50"/>
        <v>1325.25</v>
      </c>
      <c r="I63" s="187">
        <f t="shared" si="51"/>
        <v>31</v>
      </c>
      <c r="J63" s="186">
        <f t="shared" si="52"/>
        <v>1325.25</v>
      </c>
      <c r="L63" s="122">
        <f>+'Service Count Data'!$X$146</f>
        <v>0</v>
      </c>
      <c r="M63" s="711">
        <v>35</v>
      </c>
      <c r="N63" s="6">
        <f t="shared" si="53"/>
        <v>0</v>
      </c>
      <c r="O63" s="122">
        <f>+'Service Count Data'!$AD$146</f>
        <v>7</v>
      </c>
      <c r="P63" s="711">
        <v>35</v>
      </c>
      <c r="Q63" s="6">
        <f t="shared" si="54"/>
        <v>245</v>
      </c>
      <c r="R63" s="187">
        <f t="shared" si="55"/>
        <v>7</v>
      </c>
      <c r="S63" s="186">
        <f t="shared" si="56"/>
        <v>245</v>
      </c>
      <c r="U63" s="122">
        <f>+'Service Count Data'!$X$147</f>
        <v>0</v>
      </c>
      <c r="V63" s="711">
        <v>35</v>
      </c>
      <c r="W63" s="6">
        <f t="shared" si="57"/>
        <v>0</v>
      </c>
      <c r="X63" s="122">
        <f>+'Service Count Data'!$AD$147</f>
        <v>5</v>
      </c>
      <c r="Y63" s="711">
        <v>35</v>
      </c>
      <c r="Z63" s="6">
        <f t="shared" si="58"/>
        <v>175</v>
      </c>
      <c r="AA63" s="187">
        <f t="shared" si="59"/>
        <v>5</v>
      </c>
      <c r="AB63" s="186">
        <f t="shared" si="60"/>
        <v>175</v>
      </c>
      <c r="AC63" s="122">
        <f t="shared" si="48"/>
        <v>12</v>
      </c>
      <c r="AD63" s="122">
        <f t="shared" si="61"/>
        <v>43</v>
      </c>
      <c r="AE63" s="6">
        <f t="shared" si="62"/>
        <v>1745.25</v>
      </c>
      <c r="AH63" s="122">
        <f t="shared" si="63"/>
        <v>12</v>
      </c>
    </row>
    <row r="64" spans="1:34">
      <c r="A64" t="s">
        <v>399</v>
      </c>
      <c r="C64" s="122">
        <f>+'Service Count Data'!$X$148</f>
        <v>0</v>
      </c>
      <c r="D64" s="711">
        <v>39</v>
      </c>
      <c r="E64" s="6">
        <f t="shared" si="49"/>
        <v>0</v>
      </c>
      <c r="F64" s="122">
        <f>+'Service Count Data'!$AD$148</f>
        <v>24</v>
      </c>
      <c r="G64" s="711">
        <v>42.75</v>
      </c>
      <c r="H64" s="6">
        <f t="shared" si="50"/>
        <v>1026</v>
      </c>
      <c r="I64" s="187">
        <f t="shared" si="51"/>
        <v>24</v>
      </c>
      <c r="J64" s="186">
        <f t="shared" si="52"/>
        <v>1026</v>
      </c>
      <c r="L64" s="122">
        <f>+'Service Count Data'!$X$149</f>
        <v>0</v>
      </c>
      <c r="M64" s="711">
        <v>35</v>
      </c>
      <c r="N64" s="6">
        <f t="shared" si="53"/>
        <v>0</v>
      </c>
      <c r="O64" s="122">
        <f>+'Service Count Data'!$AD$149</f>
        <v>6</v>
      </c>
      <c r="P64" s="711">
        <v>35</v>
      </c>
      <c r="Q64" s="6">
        <f t="shared" si="54"/>
        <v>210</v>
      </c>
      <c r="R64" s="187">
        <f t="shared" si="55"/>
        <v>6</v>
      </c>
      <c r="S64" s="186">
        <f t="shared" si="56"/>
        <v>210</v>
      </c>
      <c r="U64" s="122">
        <f>+'Service Count Data'!$X$150</f>
        <v>0</v>
      </c>
      <c r="V64" s="711">
        <v>35</v>
      </c>
      <c r="W64" s="6">
        <f t="shared" si="57"/>
        <v>0</v>
      </c>
      <c r="X64" s="122">
        <f>+'Service Count Data'!$AD$150</f>
        <v>9</v>
      </c>
      <c r="Y64" s="711">
        <v>35</v>
      </c>
      <c r="Z64" s="6">
        <f t="shared" si="58"/>
        <v>315</v>
      </c>
      <c r="AA64" s="187">
        <f t="shared" si="59"/>
        <v>9</v>
      </c>
      <c r="AB64" s="186">
        <f t="shared" si="60"/>
        <v>315</v>
      </c>
      <c r="AC64" s="122">
        <f t="shared" si="48"/>
        <v>15</v>
      </c>
      <c r="AD64" s="122">
        <f t="shared" si="61"/>
        <v>39</v>
      </c>
      <c r="AE64" s="6">
        <f t="shared" si="62"/>
        <v>1551</v>
      </c>
      <c r="AH64" s="122">
        <f t="shared" si="63"/>
        <v>15</v>
      </c>
    </row>
    <row r="65" spans="1:34">
      <c r="A65" t="s">
        <v>398</v>
      </c>
      <c r="C65" s="122">
        <f>+'Service Count Data'!$X$151</f>
        <v>0</v>
      </c>
      <c r="D65" s="711">
        <v>0</v>
      </c>
      <c r="E65" s="6">
        <f t="shared" si="49"/>
        <v>0</v>
      </c>
      <c r="F65" s="122">
        <f>+'Service Count Data'!$AD$151</f>
        <v>0</v>
      </c>
      <c r="G65" s="711">
        <v>0</v>
      </c>
      <c r="H65" s="6">
        <f t="shared" si="50"/>
        <v>0</v>
      </c>
      <c r="I65" s="187">
        <f t="shared" si="51"/>
        <v>0</v>
      </c>
      <c r="J65" s="186">
        <f t="shared" si="52"/>
        <v>0</v>
      </c>
      <c r="L65" s="122">
        <f>+'Service Count Data'!$X$152</f>
        <v>0</v>
      </c>
      <c r="M65" s="711">
        <v>0</v>
      </c>
      <c r="N65" s="6">
        <f t="shared" si="53"/>
        <v>0</v>
      </c>
      <c r="O65" s="122">
        <f>+'Service Count Data'!$AD$152</f>
        <v>0</v>
      </c>
      <c r="P65" s="711">
        <v>0</v>
      </c>
      <c r="Q65" s="6">
        <f t="shared" si="54"/>
        <v>0</v>
      </c>
      <c r="R65" s="187">
        <f t="shared" si="55"/>
        <v>0</v>
      </c>
      <c r="S65" s="186">
        <f t="shared" si="56"/>
        <v>0</v>
      </c>
      <c r="U65" s="122">
        <f>+'Service Count Data'!$X$153</f>
        <v>0</v>
      </c>
      <c r="V65" s="711">
        <v>0</v>
      </c>
      <c r="W65" s="6">
        <f t="shared" si="57"/>
        <v>0</v>
      </c>
      <c r="X65" s="122">
        <f>+'Service Count Data'!$AD$153</f>
        <v>0</v>
      </c>
      <c r="Y65" s="711">
        <v>0</v>
      </c>
      <c r="Z65" s="6">
        <f t="shared" si="58"/>
        <v>0</v>
      </c>
      <c r="AA65" s="187">
        <f t="shared" si="59"/>
        <v>0</v>
      </c>
      <c r="AB65" s="186">
        <f t="shared" si="60"/>
        <v>0</v>
      </c>
      <c r="AC65" s="122">
        <f t="shared" si="48"/>
        <v>0</v>
      </c>
      <c r="AD65" s="122">
        <f t="shared" si="61"/>
        <v>0</v>
      </c>
      <c r="AE65" s="6">
        <f t="shared" si="62"/>
        <v>0</v>
      </c>
      <c r="AH65" s="122">
        <f t="shared" si="63"/>
        <v>0</v>
      </c>
    </row>
    <row r="66" spans="1:34">
      <c r="A66" t="s">
        <v>397</v>
      </c>
      <c r="C66" s="122">
        <f>+'Service Count Data'!$X$178</f>
        <v>0</v>
      </c>
      <c r="D66" s="711">
        <v>2.4500000000000002</v>
      </c>
      <c r="E66" s="6">
        <f t="shared" si="49"/>
        <v>0</v>
      </c>
      <c r="F66" s="122">
        <f>+'Service Count Data'!$AD$178</f>
        <v>200</v>
      </c>
      <c r="G66" s="711">
        <v>2.4500000000000002</v>
      </c>
      <c r="H66" s="6">
        <f t="shared" si="50"/>
        <v>490.00000000000006</v>
      </c>
      <c r="I66" s="187">
        <f t="shared" si="51"/>
        <v>200</v>
      </c>
      <c r="J66" s="186">
        <f t="shared" si="52"/>
        <v>490.00000000000006</v>
      </c>
      <c r="L66" s="122">
        <f>+'Service Count Data'!$X$179</f>
        <v>0</v>
      </c>
      <c r="M66" s="711">
        <v>2.2000000000000002</v>
      </c>
      <c r="N66" s="6">
        <f t="shared" si="53"/>
        <v>0</v>
      </c>
      <c r="O66" s="122">
        <f>+'Service Count Data'!$AD$179</f>
        <v>5000</v>
      </c>
      <c r="P66" s="711">
        <v>2.2000000000000002</v>
      </c>
      <c r="Q66" s="6">
        <f t="shared" si="54"/>
        <v>11000</v>
      </c>
      <c r="R66" s="187">
        <f t="shared" si="55"/>
        <v>5000</v>
      </c>
      <c r="S66" s="186">
        <f t="shared" si="56"/>
        <v>11000</v>
      </c>
      <c r="U66" s="122">
        <f>+'Service Count Data'!$X$180</f>
        <v>0</v>
      </c>
      <c r="V66" s="711">
        <v>2.2000000000000002</v>
      </c>
      <c r="W66" s="6">
        <f t="shared" si="57"/>
        <v>0</v>
      </c>
      <c r="X66" s="122">
        <f>+'Service Count Data'!$AD$180</f>
        <v>13810</v>
      </c>
      <c r="Y66" s="711">
        <v>2.2000000000000002</v>
      </c>
      <c r="Z66" s="6">
        <f t="shared" si="58"/>
        <v>30382.000000000004</v>
      </c>
      <c r="AA66" s="187">
        <f t="shared" si="59"/>
        <v>13810</v>
      </c>
      <c r="AB66" s="186">
        <f t="shared" si="60"/>
        <v>30382.000000000004</v>
      </c>
      <c r="AC66" s="122">
        <f t="shared" si="48"/>
        <v>18810</v>
      </c>
      <c r="AD66" s="122">
        <f t="shared" si="61"/>
        <v>19010</v>
      </c>
      <c r="AE66" s="6">
        <f t="shared" si="62"/>
        <v>41872</v>
      </c>
      <c r="AH66" s="122">
        <f t="shared" si="63"/>
        <v>18810</v>
      </c>
    </row>
    <row r="67" spans="1:34">
      <c r="A67" t="s">
        <v>396</v>
      </c>
      <c r="C67" s="122">
        <f>+'Service Count Data'!$X$214</f>
        <v>0</v>
      </c>
      <c r="D67" s="711">
        <v>30.9</v>
      </c>
      <c r="E67" s="6">
        <f t="shared" si="49"/>
        <v>0</v>
      </c>
      <c r="F67" s="122">
        <f>+'Service Count Data'!$AD$214</f>
        <v>33</v>
      </c>
      <c r="G67" s="711">
        <v>30.9</v>
      </c>
      <c r="H67" s="6">
        <f t="shared" si="50"/>
        <v>1019.6999999999999</v>
      </c>
      <c r="I67" s="187">
        <f t="shared" si="51"/>
        <v>33</v>
      </c>
      <c r="J67" s="186">
        <f t="shared" si="52"/>
        <v>1019.6999999999999</v>
      </c>
      <c r="L67" s="122">
        <f>+'Service Count Data'!$X$215</f>
        <v>0</v>
      </c>
      <c r="M67" s="711">
        <v>0</v>
      </c>
      <c r="N67" s="6">
        <f t="shared" si="53"/>
        <v>0</v>
      </c>
      <c r="O67" s="122">
        <f>+'Service Count Data'!$AD$215</f>
        <v>0</v>
      </c>
      <c r="P67" s="711">
        <v>0</v>
      </c>
      <c r="Q67" s="6">
        <f t="shared" si="54"/>
        <v>0</v>
      </c>
      <c r="R67" s="187">
        <f t="shared" si="55"/>
        <v>0</v>
      </c>
      <c r="S67" s="186">
        <f t="shared" si="56"/>
        <v>0</v>
      </c>
      <c r="U67" s="122">
        <f>+'Service Count Data'!$X$216</f>
        <v>0</v>
      </c>
      <c r="V67" s="711">
        <v>0</v>
      </c>
      <c r="W67" s="6">
        <f t="shared" si="57"/>
        <v>0</v>
      </c>
      <c r="X67" s="122">
        <f>+'Service Count Data'!$AD$216</f>
        <v>0</v>
      </c>
      <c r="Y67" s="711">
        <v>0</v>
      </c>
      <c r="Z67" s="6">
        <f t="shared" si="58"/>
        <v>0</v>
      </c>
      <c r="AA67" s="187">
        <f t="shared" si="59"/>
        <v>0</v>
      </c>
      <c r="AB67" s="186">
        <f t="shared" si="60"/>
        <v>0</v>
      </c>
      <c r="AC67" s="122">
        <f t="shared" si="48"/>
        <v>0</v>
      </c>
      <c r="AD67" s="122">
        <f t="shared" si="61"/>
        <v>33</v>
      </c>
      <c r="AE67" s="6">
        <f t="shared" si="62"/>
        <v>1019.6999999999999</v>
      </c>
      <c r="AF67" s="6"/>
      <c r="AH67" s="122">
        <f t="shared" si="63"/>
        <v>0</v>
      </c>
    </row>
    <row r="68" spans="1:34">
      <c r="A68" t="s">
        <v>395</v>
      </c>
      <c r="C68" s="122">
        <f>+'Service Count Data'!$X$208</f>
        <v>0</v>
      </c>
      <c r="D68" s="711">
        <v>163</v>
      </c>
      <c r="E68" s="6">
        <f t="shared" si="49"/>
        <v>0</v>
      </c>
      <c r="F68" s="122">
        <f>+'Service Count Data'!$AD$208</f>
        <v>0</v>
      </c>
      <c r="G68" s="711">
        <v>177.5</v>
      </c>
      <c r="H68" s="6">
        <f t="shared" si="50"/>
        <v>0</v>
      </c>
      <c r="I68" s="187">
        <f t="shared" si="51"/>
        <v>0</v>
      </c>
      <c r="J68" s="186">
        <f t="shared" si="52"/>
        <v>0</v>
      </c>
      <c r="L68" s="122">
        <f>+'Service Count Data'!$X$209</f>
        <v>0</v>
      </c>
      <c r="M68" s="711">
        <v>0</v>
      </c>
      <c r="N68" s="6">
        <f t="shared" si="53"/>
        <v>0</v>
      </c>
      <c r="O68" s="122">
        <f>+'Service Count Data'!$AD$209</f>
        <v>0</v>
      </c>
      <c r="P68" s="711">
        <v>0</v>
      </c>
      <c r="Q68" s="6">
        <f t="shared" si="54"/>
        <v>0</v>
      </c>
      <c r="R68" s="187">
        <f t="shared" si="55"/>
        <v>0</v>
      </c>
      <c r="S68" s="186">
        <f t="shared" si="56"/>
        <v>0</v>
      </c>
      <c r="U68" s="122">
        <f>+'Service Count Data'!$X$210</f>
        <v>0</v>
      </c>
      <c r="V68" s="711">
        <v>0</v>
      </c>
      <c r="W68" s="6">
        <f t="shared" si="57"/>
        <v>0</v>
      </c>
      <c r="X68" s="122">
        <f>+'Service Count Data'!$AD$210</f>
        <v>0</v>
      </c>
      <c r="Y68" s="711">
        <v>0</v>
      </c>
      <c r="Z68" s="6">
        <f t="shared" si="58"/>
        <v>0</v>
      </c>
      <c r="AA68" s="187">
        <f t="shared" si="59"/>
        <v>0</v>
      </c>
      <c r="AB68" s="186">
        <f t="shared" si="60"/>
        <v>0</v>
      </c>
      <c r="AC68" s="122">
        <f t="shared" si="48"/>
        <v>0</v>
      </c>
      <c r="AD68" s="122">
        <f t="shared" si="61"/>
        <v>0</v>
      </c>
      <c r="AE68" s="6">
        <f t="shared" si="62"/>
        <v>0</v>
      </c>
      <c r="AF68" s="6"/>
      <c r="AH68" s="122">
        <f t="shared" si="63"/>
        <v>0</v>
      </c>
    </row>
    <row r="69" spans="1:34">
      <c r="A69" t="s">
        <v>394</v>
      </c>
      <c r="C69" s="122">
        <f>+'Service Count Data'!$X$211</f>
        <v>0</v>
      </c>
      <c r="D69" s="711">
        <v>198</v>
      </c>
      <c r="E69" s="6">
        <f t="shared" si="49"/>
        <v>0</v>
      </c>
      <c r="F69" s="122">
        <f>+'Service Count Data'!$AD$211</f>
        <v>100</v>
      </c>
      <c r="G69" s="711">
        <v>215.5</v>
      </c>
      <c r="H69" s="6">
        <f t="shared" si="50"/>
        <v>21550</v>
      </c>
      <c r="I69" s="187">
        <f t="shared" si="51"/>
        <v>100</v>
      </c>
      <c r="J69" s="186">
        <f t="shared" si="52"/>
        <v>21550</v>
      </c>
      <c r="L69" s="122">
        <f>+'Service Count Data'!$X$212</f>
        <v>0</v>
      </c>
      <c r="M69" s="711">
        <v>0</v>
      </c>
      <c r="N69" s="6">
        <f t="shared" si="53"/>
        <v>0</v>
      </c>
      <c r="O69" s="122">
        <f>+'Service Count Data'!$AD$212</f>
        <v>0</v>
      </c>
      <c r="P69" s="711">
        <v>0</v>
      </c>
      <c r="Q69" s="6">
        <f t="shared" si="54"/>
        <v>0</v>
      </c>
      <c r="R69" s="187">
        <f t="shared" si="55"/>
        <v>0</v>
      </c>
      <c r="S69" s="186">
        <f t="shared" si="56"/>
        <v>0</v>
      </c>
      <c r="U69" s="122">
        <f>+'Service Count Data'!$X$213</f>
        <v>0</v>
      </c>
      <c r="V69" s="711">
        <v>0</v>
      </c>
      <c r="W69" s="6">
        <f t="shared" si="57"/>
        <v>0</v>
      </c>
      <c r="X69" s="122">
        <f>+'Service Count Data'!$AD$213</f>
        <v>0</v>
      </c>
      <c r="Y69" s="711">
        <v>0</v>
      </c>
      <c r="Z69" s="6">
        <f t="shared" si="58"/>
        <v>0</v>
      </c>
      <c r="AA69" s="187">
        <f t="shared" si="59"/>
        <v>0</v>
      </c>
      <c r="AB69" s="186">
        <f t="shared" si="60"/>
        <v>0</v>
      </c>
      <c r="AC69" s="122">
        <f t="shared" si="48"/>
        <v>0</v>
      </c>
      <c r="AD69" s="122">
        <f t="shared" si="61"/>
        <v>100</v>
      </c>
      <c r="AE69" s="6">
        <f t="shared" si="62"/>
        <v>21550</v>
      </c>
      <c r="AF69" s="6">
        <f>SUM(AE54:AE69)</f>
        <v>244809.45</v>
      </c>
      <c r="AH69" s="122">
        <f t="shared" si="63"/>
        <v>0</v>
      </c>
    </row>
    <row r="70" spans="1:34">
      <c r="C70" s="122"/>
      <c r="D70" s="158"/>
      <c r="F70" s="122"/>
      <c r="G70" s="158"/>
      <c r="I70" s="187"/>
      <c r="J70" s="181"/>
      <c r="L70" s="122"/>
      <c r="M70" s="710"/>
      <c r="O70" s="122"/>
      <c r="P70" s="710"/>
      <c r="R70" s="187"/>
      <c r="S70" s="181"/>
      <c r="U70" s="122"/>
      <c r="V70" s="710"/>
      <c r="X70" s="122"/>
      <c r="Y70" s="710"/>
      <c r="AA70" s="187"/>
      <c r="AB70" s="181"/>
      <c r="AC70" s="122">
        <f t="shared" si="48"/>
        <v>0</v>
      </c>
    </row>
    <row r="71" spans="1:34">
      <c r="A71" t="s">
        <v>393</v>
      </c>
      <c r="C71" s="122"/>
      <c r="D71" s="158"/>
      <c r="F71" s="122"/>
      <c r="G71" s="158"/>
      <c r="I71" s="187"/>
      <c r="J71" s="181"/>
      <c r="L71" s="122"/>
      <c r="M71" s="710"/>
      <c r="O71" s="122"/>
      <c r="P71" s="710"/>
      <c r="R71" s="187"/>
      <c r="S71" s="181"/>
      <c r="U71" s="122"/>
      <c r="V71" s="710"/>
      <c r="X71" s="122"/>
      <c r="Y71" s="710"/>
      <c r="AA71" s="187"/>
      <c r="AB71" s="181"/>
      <c r="AC71" s="122">
        <f t="shared" si="48"/>
        <v>0</v>
      </c>
    </row>
    <row r="72" spans="1:34">
      <c r="A72" t="s">
        <v>392</v>
      </c>
      <c r="C72" s="122"/>
      <c r="D72" s="158"/>
      <c r="F72" s="122"/>
      <c r="G72" s="158"/>
      <c r="I72" s="187"/>
      <c r="J72" s="181"/>
      <c r="L72" s="122"/>
      <c r="M72" s="710"/>
      <c r="O72" s="122"/>
      <c r="P72" s="710"/>
      <c r="R72" s="187"/>
      <c r="S72" s="181"/>
      <c r="U72" s="122"/>
      <c r="V72" s="710"/>
      <c r="X72" s="122"/>
      <c r="Y72" s="710"/>
      <c r="AA72" s="187"/>
      <c r="AB72" s="181"/>
      <c r="AC72" s="122">
        <f t="shared" si="48"/>
        <v>0</v>
      </c>
    </row>
    <row r="73" spans="1:34">
      <c r="A73" t="s">
        <v>391</v>
      </c>
      <c r="C73" s="122">
        <f>+'Service Count Data'!$X$163+'Service Count Data'!$X$166</f>
        <v>0</v>
      </c>
      <c r="D73" s="711">
        <v>129</v>
      </c>
      <c r="E73" s="6">
        <f>+C73*D73</f>
        <v>0</v>
      </c>
      <c r="F73" s="122">
        <f>+'Service Count Data'!$AD$163+'Service Count Data'!$AD$166</f>
        <v>51.75</v>
      </c>
      <c r="G73" s="711">
        <v>138</v>
      </c>
      <c r="H73" s="6">
        <f>+F73*G73</f>
        <v>7141.5</v>
      </c>
      <c r="I73" s="187">
        <f>+C73+F73</f>
        <v>51.75</v>
      </c>
      <c r="J73" s="186">
        <f>+E73+H73</f>
        <v>7141.5</v>
      </c>
      <c r="L73" s="122">
        <f>+'Service Count Data'!$X$164+'Service Count Data'!$X$167</f>
        <v>0</v>
      </c>
      <c r="M73" s="711">
        <v>129</v>
      </c>
      <c r="N73" s="6">
        <f>+L73*M73</f>
        <v>0</v>
      </c>
      <c r="O73" s="122">
        <f>+'Service Count Data'!$AD$164+'Service Count Data'!$AD$167</f>
        <v>40</v>
      </c>
      <c r="P73" s="711">
        <v>129</v>
      </c>
      <c r="Q73" s="6">
        <f>+O73*P73</f>
        <v>5160</v>
      </c>
      <c r="R73" s="187">
        <f>+L73+O73</f>
        <v>40</v>
      </c>
      <c r="S73" s="186">
        <f>+N73+Q73</f>
        <v>5160</v>
      </c>
      <c r="U73" s="122">
        <f>+'Service Count Data'!$X$165+'Service Count Data'!$X$168</f>
        <v>0</v>
      </c>
      <c r="V73" s="711">
        <v>129</v>
      </c>
      <c r="W73" s="6">
        <f>+U73*V73</f>
        <v>0</v>
      </c>
      <c r="X73" s="122">
        <f>+'Service Count Data'!$AD$165+'Service Count Data'!$AD$168</f>
        <v>6</v>
      </c>
      <c r="Y73" s="711">
        <v>129</v>
      </c>
      <c r="Z73" s="6">
        <f>+X73*Y73</f>
        <v>774</v>
      </c>
      <c r="AA73" s="187">
        <f>+U73+X73</f>
        <v>6</v>
      </c>
      <c r="AB73" s="186">
        <f>+W73+Z73</f>
        <v>774</v>
      </c>
      <c r="AC73" s="122">
        <f t="shared" si="48"/>
        <v>46</v>
      </c>
      <c r="AD73" s="122">
        <f>+I73+R73+AA73</f>
        <v>97.75</v>
      </c>
      <c r="AE73" s="6">
        <f>+J73+S73+AB73</f>
        <v>13075.5</v>
      </c>
      <c r="AH73" s="122">
        <f>+R73+AA73</f>
        <v>46</v>
      </c>
    </row>
    <row r="74" spans="1:34" ht="13.5" thickBot="1">
      <c r="A74" t="s">
        <v>390</v>
      </c>
      <c r="C74" s="175">
        <f>+'Service Count Data'!$X$163+'Service Count Data'!$X$169</f>
        <v>0</v>
      </c>
      <c r="D74" s="711">
        <v>32</v>
      </c>
      <c r="E74" s="7">
        <f>+C74*D74</f>
        <v>0</v>
      </c>
      <c r="F74" s="175">
        <f>+'Service Count Data'!$AD$163+'Service Count Data'!$AD$169</f>
        <v>0.5</v>
      </c>
      <c r="G74" s="711">
        <v>35</v>
      </c>
      <c r="H74" s="183">
        <f>+F74*G74</f>
        <v>17.5</v>
      </c>
      <c r="I74" s="184">
        <f>+C74+F74</f>
        <v>0.5</v>
      </c>
      <c r="J74" s="183">
        <f>+E74+H74</f>
        <v>17.5</v>
      </c>
      <c r="L74" s="175">
        <f>+'Service Count Data'!$X$164+'Service Count Data'!$X$170</f>
        <v>0</v>
      </c>
      <c r="M74" s="711">
        <v>32</v>
      </c>
      <c r="N74" s="7">
        <f>+L74*M74</f>
        <v>0</v>
      </c>
      <c r="O74" s="175">
        <f>+'Service Count Data'!$AD$164+'Service Count Data'!$AD$170</f>
        <v>0</v>
      </c>
      <c r="P74" s="711">
        <v>32</v>
      </c>
      <c r="Q74" s="7">
        <f>+O74*P74</f>
        <v>0</v>
      </c>
      <c r="R74" s="184">
        <f>+L74+O74</f>
        <v>0</v>
      </c>
      <c r="S74" s="183">
        <f>+N74+Q74</f>
        <v>0</v>
      </c>
      <c r="U74" s="175">
        <f>+'Service Count Data'!$X$165+'Service Count Data'!$X$171</f>
        <v>0</v>
      </c>
      <c r="V74" s="711">
        <v>32</v>
      </c>
      <c r="W74" s="7">
        <f>+U74*V74</f>
        <v>0</v>
      </c>
      <c r="X74" s="175">
        <f>+'Service Count Data'!$AD$165+'Service Count Data'!$AD$171</f>
        <v>0</v>
      </c>
      <c r="Y74" s="711">
        <v>32</v>
      </c>
      <c r="Z74" s="7">
        <f>+X74*Y74</f>
        <v>0</v>
      </c>
      <c r="AA74" s="184">
        <f>+U74+X74</f>
        <v>0</v>
      </c>
      <c r="AB74" s="183">
        <f>+W74+Z74</f>
        <v>0</v>
      </c>
      <c r="AC74" s="122">
        <f t="shared" si="48"/>
        <v>0</v>
      </c>
      <c r="AD74" s="122">
        <f>+I74+R74+AA74</f>
        <v>0.5</v>
      </c>
      <c r="AE74" s="7">
        <f>+J74+S74+AB74</f>
        <v>17.5</v>
      </c>
      <c r="AF74" s="7">
        <f>SUM(AE73:AE74)</f>
        <v>13093</v>
      </c>
      <c r="AH74" s="122">
        <f>+R74+AA74</f>
        <v>0</v>
      </c>
    </row>
    <row r="75" spans="1:34">
      <c r="C75" s="122"/>
      <c r="D75" s="56"/>
      <c r="F75" s="122"/>
      <c r="G75" s="56"/>
      <c r="I75" s="191"/>
      <c r="J75" s="134"/>
      <c r="L75" s="122"/>
      <c r="M75" s="56"/>
      <c r="O75" s="122"/>
      <c r="P75" s="56"/>
      <c r="R75" s="191"/>
      <c r="S75" s="134"/>
      <c r="U75" s="122"/>
      <c r="V75" s="56"/>
      <c r="X75" s="122"/>
      <c r="Y75" s="56"/>
      <c r="AA75" s="191"/>
      <c r="AB75" s="134"/>
      <c r="AC75" s="18"/>
    </row>
    <row r="76" spans="1:34">
      <c r="C76" s="122">
        <f>SUM(C10:C74)</f>
        <v>0</v>
      </c>
      <c r="D76" s="56"/>
      <c r="E76" s="63">
        <f>SUM(E10:E74)</f>
        <v>0</v>
      </c>
      <c r="F76" s="122">
        <f>SUM(F10:F74)</f>
        <v>64799.35</v>
      </c>
      <c r="G76" s="56"/>
      <c r="H76" s="63">
        <f>SUM(H10:H74)</f>
        <v>1534078.0375000003</v>
      </c>
      <c r="I76" s="187">
        <f>SUM(I10:I74)</f>
        <v>64799.35</v>
      </c>
      <c r="J76" s="190">
        <f>SUM(J10:J74)</f>
        <v>1534078.0375000003</v>
      </c>
      <c r="L76" s="122">
        <f>SUM(L10:L74)</f>
        <v>0</v>
      </c>
      <c r="M76" s="56"/>
      <c r="N76" s="63">
        <f>SUM(N10:N74)</f>
        <v>0</v>
      </c>
      <c r="O76" s="122">
        <f>SUM(O10:O74)</f>
        <v>11101.45</v>
      </c>
      <c r="P76" s="56"/>
      <c r="Q76" s="63">
        <f>SUM(Q10:Q74)</f>
        <v>140326.85499999998</v>
      </c>
      <c r="R76" s="187">
        <f>SUM(R10:R74)</f>
        <v>11101.45</v>
      </c>
      <c r="S76" s="190">
        <f>SUM(S10:S74)</f>
        <v>140326.85499999998</v>
      </c>
      <c r="U76" s="122">
        <f>SUM(U10:U74)</f>
        <v>0</v>
      </c>
      <c r="V76" s="56"/>
      <c r="W76" s="63">
        <f>SUM(W10:W74)</f>
        <v>0</v>
      </c>
      <c r="X76" s="122">
        <f>SUM(X10:X74)</f>
        <v>29520.029445727483</v>
      </c>
      <c r="Y76" s="56"/>
      <c r="Z76" s="63">
        <f>SUM(Z10:Z74)</f>
        <v>442537.83284064662</v>
      </c>
      <c r="AA76" s="187">
        <f>SUM(AA10:AA74)</f>
        <v>29520.029445727483</v>
      </c>
      <c r="AB76" s="190">
        <f>SUM(AB10:AB74)</f>
        <v>442537.83284064662</v>
      </c>
      <c r="AC76" s="107">
        <f>AA76+R76+I76</f>
        <v>105420.82944572749</v>
      </c>
      <c r="AE76" s="63">
        <f>SUM(AE10:AE74)</f>
        <v>2116942.7253406467</v>
      </c>
    </row>
    <row r="77" spans="1:34">
      <c r="C77" s="122"/>
      <c r="D77" s="56"/>
      <c r="F77" s="122"/>
      <c r="G77" s="56"/>
      <c r="I77" s="180">
        <f>I76/AC76</f>
        <v>0.61467311859237317</v>
      </c>
      <c r="J77" s="181"/>
      <c r="L77" s="122"/>
      <c r="M77" s="56"/>
      <c r="O77" s="122"/>
      <c r="P77" s="56"/>
      <c r="R77" s="180">
        <f>R76/AC76</f>
        <v>0.10530603921794435</v>
      </c>
      <c r="S77" s="181"/>
      <c r="U77" s="122"/>
      <c r="V77" s="56"/>
      <c r="X77" s="122"/>
      <c r="Y77" s="56"/>
      <c r="AA77" s="180">
        <f>AA76/AC76</f>
        <v>0.28002084218968243</v>
      </c>
      <c r="AB77" s="181"/>
      <c r="AC77" s="107"/>
    </row>
    <row r="78" spans="1:34">
      <c r="D78" s="56"/>
      <c r="E78" s="10"/>
      <c r="G78" s="56"/>
      <c r="H78" s="10"/>
      <c r="I78" s="182"/>
      <c r="J78" s="188"/>
      <c r="K78" s="10"/>
      <c r="M78" s="56"/>
      <c r="N78" s="10"/>
      <c r="P78" s="56"/>
      <c r="Q78" s="10"/>
      <c r="R78" s="182"/>
      <c r="S78" s="188"/>
      <c r="T78" s="10"/>
      <c r="V78" s="56"/>
      <c r="W78" s="10"/>
      <c r="Y78" s="56"/>
      <c r="Z78" s="10"/>
      <c r="AA78" s="182"/>
      <c r="AB78" s="188"/>
      <c r="AC78" s="107"/>
      <c r="AD78" s="10" t="s">
        <v>526</v>
      </c>
      <c r="AE78" s="10"/>
      <c r="AF78" s="189">
        <f>SUM(AF34:AF74)</f>
        <v>2116942.7253406467</v>
      </c>
    </row>
    <row r="79" spans="1:34">
      <c r="D79" s="56"/>
      <c r="E79" s="10"/>
      <c r="G79" s="56"/>
      <c r="H79" s="10" t="s">
        <v>1175</v>
      </c>
      <c r="I79" s="187">
        <f>SUM(I10:I27)+SUM(I37:I43)</f>
        <v>47975.75</v>
      </c>
      <c r="J79" s="188"/>
      <c r="K79" s="10"/>
      <c r="M79" s="56"/>
      <c r="N79" s="10"/>
      <c r="P79" s="56"/>
      <c r="Q79" s="10"/>
      <c r="R79" s="187">
        <f>SUM(R10:R27)+SUM(R37:R43)</f>
        <v>4040.7</v>
      </c>
      <c r="S79" s="188"/>
      <c r="T79" s="10"/>
      <c r="V79" s="56"/>
      <c r="W79" s="10"/>
      <c r="Y79" s="56"/>
      <c r="Z79" s="10"/>
      <c r="AA79" s="187">
        <f>SUM(AA10:AA27)+SUM(AA37:AA43)</f>
        <v>8325.2794457274831</v>
      </c>
      <c r="AB79" s="188"/>
      <c r="AC79" s="107">
        <f>I79+R79+AA79</f>
        <v>60341.729445727484</v>
      </c>
      <c r="AD79" t="s">
        <v>533</v>
      </c>
      <c r="AF79" s="6">
        <f>'Service Count Data'!R160</f>
        <v>2419</v>
      </c>
    </row>
    <row r="80" spans="1:34">
      <c r="D80" s="56"/>
      <c r="E80" s="10"/>
      <c r="G80" s="56"/>
      <c r="H80" s="10"/>
      <c r="I80" s="440">
        <f>I79/AC79</f>
        <v>0.79506753354078652</v>
      </c>
      <c r="J80" s="188"/>
      <c r="K80" s="10"/>
      <c r="M80" s="56"/>
      <c r="N80" s="10"/>
      <c r="P80" s="56"/>
      <c r="Q80" s="10"/>
      <c r="R80" s="440">
        <f>R79/AC79</f>
        <v>6.6963609381369874E-2</v>
      </c>
      <c r="S80" s="188"/>
      <c r="T80" s="10"/>
      <c r="V80" s="56"/>
      <c r="W80" s="10"/>
      <c r="Y80" s="56"/>
      <c r="Z80" s="10"/>
      <c r="AA80" s="440">
        <f>AA79/AC79</f>
        <v>0.13796885707784362</v>
      </c>
      <c r="AB80" s="188"/>
      <c r="AC80" s="10"/>
      <c r="AD80" t="s">
        <v>532</v>
      </c>
      <c r="AF80" s="6">
        <v>0</v>
      </c>
    </row>
    <row r="81" spans="1:34">
      <c r="D81" s="56"/>
      <c r="E81" s="10"/>
      <c r="G81" s="56"/>
      <c r="H81" s="10"/>
      <c r="I81" s="182"/>
      <c r="J81" s="188"/>
      <c r="K81" s="10"/>
      <c r="M81" s="56"/>
      <c r="N81" s="10"/>
      <c r="P81" s="56"/>
      <c r="Q81" s="10"/>
      <c r="R81" s="182"/>
      <c r="S81" s="188"/>
      <c r="T81" s="10"/>
      <c r="V81" s="56"/>
      <c r="W81" s="10"/>
      <c r="Y81" s="56"/>
      <c r="Z81" s="10"/>
      <c r="AA81" s="182"/>
      <c r="AB81" s="188"/>
      <c r="AC81" s="10"/>
      <c r="AD81" t="s">
        <v>531</v>
      </c>
      <c r="AF81" s="6">
        <v>0</v>
      </c>
    </row>
    <row r="82" spans="1:34">
      <c r="D82" s="56"/>
      <c r="G82" s="56"/>
      <c r="I82" s="182"/>
      <c r="J82" s="181"/>
      <c r="M82" s="56"/>
      <c r="P82" s="56"/>
      <c r="R82" s="182"/>
      <c r="S82" s="181"/>
      <c r="V82" s="56"/>
      <c r="Y82" s="56"/>
      <c r="AA82" s="182"/>
      <c r="AB82" s="181"/>
    </row>
    <row r="83" spans="1:34">
      <c r="D83" s="56"/>
      <c r="G83" s="56"/>
      <c r="I83" s="182"/>
      <c r="J83" s="181"/>
      <c r="M83" s="56"/>
      <c r="P83" s="56"/>
      <c r="R83" s="182"/>
      <c r="S83" s="181"/>
      <c r="V83" s="56"/>
      <c r="Y83" s="56"/>
      <c r="AA83" s="182"/>
      <c r="AB83" s="181"/>
      <c r="AC83" t="s">
        <v>85</v>
      </c>
      <c r="AD83">
        <v>3100</v>
      </c>
      <c r="AE83" s="6">
        <f>'Results of Operations Staff '!$C$11</f>
        <v>1870785.01</v>
      </c>
    </row>
    <row r="84" spans="1:34">
      <c r="I84" s="182"/>
      <c r="J84" s="181"/>
      <c r="R84" s="182"/>
      <c r="S84" s="181"/>
      <c r="AA84" s="182"/>
      <c r="AB84" s="181"/>
      <c r="AD84">
        <v>3300</v>
      </c>
      <c r="AE84" s="6">
        <f>'Results of Operations Staff '!$C$14</f>
        <v>242661.77999999997</v>
      </c>
    </row>
    <row r="85" spans="1:34">
      <c r="I85" s="182"/>
      <c r="J85" s="181"/>
      <c r="R85" s="182"/>
      <c r="S85" s="181"/>
      <c r="AA85" s="182"/>
      <c r="AB85" s="181"/>
      <c r="AD85">
        <v>3500</v>
      </c>
      <c r="AE85" s="43">
        <f>'Results of Operations Staff '!$C$18</f>
        <v>0</v>
      </c>
      <c r="AF85" s="43">
        <f>+AE83+AE84+AE85</f>
        <v>2113446.79</v>
      </c>
    </row>
    <row r="86" spans="1:34" ht="13.5" thickBot="1">
      <c r="I86" s="182"/>
      <c r="J86" s="181"/>
      <c r="R86" s="182"/>
      <c r="S86" s="181"/>
      <c r="AA86" s="182"/>
      <c r="AB86" s="181"/>
      <c r="AC86" t="s">
        <v>260</v>
      </c>
      <c r="AF86" s="178">
        <f>SUM(AF78:AF81)-AF85</f>
        <v>5914.9353406466544</v>
      </c>
      <c r="AG86" s="10">
        <f>+AF86/AF85</f>
        <v>2.7987150509933842E-3</v>
      </c>
    </row>
    <row r="87" spans="1:34" ht="13.5" thickTop="1">
      <c r="I87" s="182"/>
      <c r="J87" s="181"/>
      <c r="R87" s="182"/>
      <c r="S87" s="181"/>
      <c r="AA87" s="182"/>
      <c r="AB87" s="181"/>
    </row>
    <row r="88" spans="1:34">
      <c r="I88" s="182"/>
      <c r="J88" s="181"/>
      <c r="R88" s="182"/>
      <c r="S88" s="181"/>
      <c r="AA88" s="182"/>
      <c r="AB88" s="181"/>
    </row>
    <row r="89" spans="1:34">
      <c r="A89" t="s">
        <v>530</v>
      </c>
      <c r="C89" s="122"/>
      <c r="D89" s="56"/>
      <c r="F89" s="122"/>
      <c r="G89" s="56"/>
      <c r="I89" s="187"/>
      <c r="J89" s="181"/>
      <c r="L89" s="122"/>
      <c r="M89" s="56"/>
      <c r="O89" s="122"/>
      <c r="P89" s="56"/>
      <c r="R89" s="187"/>
      <c r="S89" s="181"/>
      <c r="U89" s="122"/>
      <c r="V89" s="56"/>
      <c r="X89" s="122"/>
      <c r="Y89" s="56"/>
      <c r="AA89" s="187"/>
      <c r="AB89" s="181"/>
      <c r="AE89" s="2"/>
    </row>
    <row r="90" spans="1:34">
      <c r="A90" t="s">
        <v>529</v>
      </c>
      <c r="C90" s="6">
        <f>+'Service Count Data'!$X$241</f>
        <v>0</v>
      </c>
      <c r="D90" s="185">
        <v>36.76</v>
      </c>
      <c r="E90" s="6">
        <f>+C90*D90</f>
        <v>0</v>
      </c>
      <c r="F90" s="6">
        <f>+'Service Count Data'!$AD$241</f>
        <v>2122</v>
      </c>
      <c r="G90" s="185">
        <v>36.76</v>
      </c>
      <c r="H90" s="6">
        <f>+F90*G90</f>
        <v>78004.72</v>
      </c>
      <c r="I90" s="187">
        <f>+C90+F90</f>
        <v>2122</v>
      </c>
      <c r="J90" s="186">
        <f>+E90+H90</f>
        <v>78004.72</v>
      </c>
      <c r="L90" s="6">
        <f>+'Service Count Data'!$X$242</f>
        <v>0</v>
      </c>
      <c r="M90" s="185">
        <v>37</v>
      </c>
      <c r="N90" s="6">
        <f>+L90*M90</f>
        <v>0</v>
      </c>
      <c r="O90" s="6">
        <f>+'Service Count Data'!$R$242</f>
        <v>0</v>
      </c>
      <c r="P90" s="185">
        <v>37</v>
      </c>
      <c r="Q90" s="6">
        <f>+O90*P90</f>
        <v>0</v>
      </c>
      <c r="R90" s="187">
        <f>+L90+O90</f>
        <v>0</v>
      </c>
      <c r="S90" s="186">
        <f>+N90+Q90</f>
        <v>0</v>
      </c>
      <c r="U90" s="6">
        <f>+'Service Count Data'!$X$243</f>
        <v>0</v>
      </c>
      <c r="V90" s="185">
        <v>37</v>
      </c>
      <c r="W90" s="6">
        <f>+U90*V90</f>
        <v>0</v>
      </c>
      <c r="X90" s="6">
        <f>+'Service Count Data'!$AD$243</f>
        <v>0</v>
      </c>
      <c r="Y90" s="185">
        <v>37</v>
      </c>
      <c r="Z90" s="6">
        <f>+X90*Y90</f>
        <v>0</v>
      </c>
      <c r="AA90" s="187">
        <f>+U90+X90</f>
        <v>0</v>
      </c>
      <c r="AB90" s="186">
        <f>+W90+Z90</f>
        <v>0</v>
      </c>
      <c r="AC90" s="6"/>
      <c r="AE90" s="6">
        <f>+J90+S90+AB90</f>
        <v>78004.72</v>
      </c>
      <c r="AH90" s="122">
        <f>+R90+AA90</f>
        <v>0</v>
      </c>
    </row>
    <row r="91" spans="1:34">
      <c r="A91" t="s">
        <v>528</v>
      </c>
      <c r="C91" s="6">
        <f>+'Service Count Data'!$X$247</f>
        <v>0</v>
      </c>
      <c r="D91" s="185">
        <v>22.29</v>
      </c>
      <c r="E91" s="6">
        <f>+C91*D91</f>
        <v>0</v>
      </c>
      <c r="F91" s="6">
        <f>+'Service Count Data'!$AD$247</f>
        <v>6156</v>
      </c>
      <c r="G91" s="185">
        <v>22.29</v>
      </c>
      <c r="H91" s="6">
        <f>+F91*G91</f>
        <v>137217.24</v>
      </c>
      <c r="I91" s="187">
        <f>+C91+F91</f>
        <v>6156</v>
      </c>
      <c r="J91" s="186">
        <f>+E91+H91</f>
        <v>137217.24</v>
      </c>
      <c r="L91" s="6">
        <f>+'Service Count Data'!$X$248</f>
        <v>0</v>
      </c>
      <c r="M91" s="185">
        <v>14.8</v>
      </c>
      <c r="N91" s="6">
        <f>+L91*M91</f>
        <v>0</v>
      </c>
      <c r="O91" s="6">
        <f>+'Service Count Data'!$R$248</f>
        <v>0</v>
      </c>
      <c r="P91" s="185">
        <v>14.8</v>
      </c>
      <c r="Q91" s="6">
        <f>+O91*P91</f>
        <v>0</v>
      </c>
      <c r="R91" s="187">
        <f>+L91+O91</f>
        <v>0</v>
      </c>
      <c r="S91" s="186">
        <f>+N91+Q91</f>
        <v>0</v>
      </c>
      <c r="U91" s="6">
        <f>+'Service Count Data'!$X$249</f>
        <v>0</v>
      </c>
      <c r="V91" s="185">
        <v>14.8</v>
      </c>
      <c r="W91" s="6">
        <f>+U91*V91</f>
        <v>0</v>
      </c>
      <c r="X91" s="6">
        <f>+'Service Count Data'!$AD$249</f>
        <v>0</v>
      </c>
      <c r="Y91" s="185">
        <v>14.8</v>
      </c>
      <c r="Z91" s="6">
        <f>+X91*Y91</f>
        <v>0</v>
      </c>
      <c r="AA91" s="187">
        <f>+U91+X91</f>
        <v>0</v>
      </c>
      <c r="AB91" s="186">
        <f>+W91+Z91</f>
        <v>0</v>
      </c>
      <c r="AC91" s="6"/>
      <c r="AE91" s="6">
        <f>+J91+S91+AB91</f>
        <v>137217.24</v>
      </c>
      <c r="AH91" s="122">
        <f>+R91+AA91</f>
        <v>0</v>
      </c>
    </row>
    <row r="92" spans="1:34">
      <c r="A92" s="693" t="s">
        <v>1404</v>
      </c>
      <c r="C92" s="6">
        <f>+'Service Count Data'!$X$253</f>
        <v>0</v>
      </c>
      <c r="D92" s="185">
        <v>15</v>
      </c>
      <c r="E92" s="6">
        <f>+C92*D92</f>
        <v>0</v>
      </c>
      <c r="F92" s="6">
        <f>+'Service Count Data'!$AD$253</f>
        <v>70</v>
      </c>
      <c r="G92" s="185">
        <v>15</v>
      </c>
      <c r="H92" s="6">
        <f>+F92*G92</f>
        <v>1050</v>
      </c>
      <c r="I92" s="187">
        <f>+C92+F92</f>
        <v>70</v>
      </c>
      <c r="J92" s="186">
        <f>+E92+H92</f>
        <v>1050</v>
      </c>
      <c r="L92" s="6">
        <f>+'Service Count Data'!$X$254</f>
        <v>0</v>
      </c>
      <c r="M92" s="185">
        <v>0</v>
      </c>
      <c r="N92" s="6">
        <f>+L92*M92</f>
        <v>0</v>
      </c>
      <c r="O92" s="6">
        <f>+'Service Count Data'!$R$254</f>
        <v>0</v>
      </c>
      <c r="P92" s="185">
        <v>0</v>
      </c>
      <c r="Q92" s="6">
        <f>+O92*P92</f>
        <v>0</v>
      </c>
      <c r="R92" s="187">
        <f>+L92+O92</f>
        <v>0</v>
      </c>
      <c r="S92" s="186">
        <f>+N92+Q92</f>
        <v>0</v>
      </c>
      <c r="U92" s="6">
        <f>+'Service Count Data'!$X$255</f>
        <v>0</v>
      </c>
      <c r="V92" s="185">
        <v>0</v>
      </c>
      <c r="W92" s="6">
        <f>+U92*V92</f>
        <v>0</v>
      </c>
      <c r="X92" s="6">
        <f>+'Service Count Data'!$AD$255</f>
        <v>0</v>
      </c>
      <c r="Y92" s="185">
        <v>0</v>
      </c>
      <c r="Z92" s="6">
        <f>+X92*Y92</f>
        <v>0</v>
      </c>
      <c r="AA92" s="187">
        <f>+U92+X92</f>
        <v>0</v>
      </c>
      <c r="AB92" s="186">
        <f>+W92+Z92</f>
        <v>0</v>
      </c>
      <c r="AC92" s="6"/>
      <c r="AE92" s="6">
        <f>+J92+S92+AB92</f>
        <v>1050</v>
      </c>
      <c r="AH92" s="122">
        <f>+R92+AA92</f>
        <v>0</v>
      </c>
    </row>
    <row r="93" spans="1:34" ht="13.5" thickBot="1">
      <c r="A93" t="s">
        <v>527</v>
      </c>
      <c r="C93" s="7">
        <f>+'Service Count Data'!$X$250</f>
        <v>0</v>
      </c>
      <c r="D93" s="185">
        <v>74</v>
      </c>
      <c r="E93" s="7">
        <f>+C93*D93</f>
        <v>0</v>
      </c>
      <c r="F93" s="7">
        <f>+'Service Count Data'!$AD$250</f>
        <v>0</v>
      </c>
      <c r="G93" s="185">
        <v>81.5</v>
      </c>
      <c r="H93" s="7">
        <f>+F93*G93</f>
        <v>0</v>
      </c>
      <c r="I93" s="184">
        <f>+C93+F93</f>
        <v>0</v>
      </c>
      <c r="J93" s="183">
        <f>+E93+H93</f>
        <v>0</v>
      </c>
      <c r="L93" s="7">
        <f>+'Service Count Data'!$X$251</f>
        <v>0</v>
      </c>
      <c r="M93" s="185">
        <v>74</v>
      </c>
      <c r="N93" s="7">
        <f>+L93*M93</f>
        <v>0</v>
      </c>
      <c r="O93" s="7">
        <f>+'Service Count Data'!$R$251</f>
        <v>224.31</v>
      </c>
      <c r="P93" s="185">
        <v>81.5</v>
      </c>
      <c r="Q93" s="7">
        <f>+O93*P93</f>
        <v>18281.264999999999</v>
      </c>
      <c r="R93" s="184">
        <f>+L93+O93</f>
        <v>224.31</v>
      </c>
      <c r="S93" s="183">
        <f>+N93+Q93</f>
        <v>18281.264999999999</v>
      </c>
      <c r="U93" s="7">
        <f>+'Service Count Data'!$X$252</f>
        <v>0</v>
      </c>
      <c r="V93" s="185">
        <v>74</v>
      </c>
      <c r="W93" s="7">
        <f>+U93*V93</f>
        <v>0</v>
      </c>
      <c r="X93" s="7">
        <f>+'Service Count Data'!$AD$252</f>
        <v>1127.6199999999999</v>
      </c>
      <c r="Y93" s="185">
        <v>81.5</v>
      </c>
      <c r="Z93" s="7">
        <f>+X93*Y93</f>
        <v>91901.029999999984</v>
      </c>
      <c r="AA93" s="184">
        <f>+U93+X93</f>
        <v>1127.6199999999999</v>
      </c>
      <c r="AB93" s="183">
        <f>+W93+Z93</f>
        <v>91901.029999999984</v>
      </c>
      <c r="AC93" s="82"/>
      <c r="AE93" s="6">
        <f>+J93+S93+AB93</f>
        <v>110182.29499999998</v>
      </c>
      <c r="AF93" s="7">
        <f>SUM(AE90:AE93)</f>
        <v>326454.255</v>
      </c>
      <c r="AH93" s="122">
        <f>+R93+AA93</f>
        <v>1351.9299999999998</v>
      </c>
    </row>
    <row r="94" spans="1:34">
      <c r="D94" s="56"/>
      <c r="G94" s="56"/>
      <c r="I94" s="136"/>
      <c r="J94" s="134"/>
      <c r="M94" s="56"/>
      <c r="P94" s="56"/>
      <c r="R94" s="136"/>
      <c r="S94" s="134"/>
      <c r="V94" s="56"/>
      <c r="Y94" s="56"/>
      <c r="AA94" s="182"/>
      <c r="AB94" s="181"/>
      <c r="AC94" s="18"/>
    </row>
    <row r="95" spans="1:34">
      <c r="C95" s="6">
        <f>SUM(C90:C93)</f>
        <v>0</v>
      </c>
      <c r="D95" s="56"/>
      <c r="E95" s="56">
        <f>SUM(E90:E93)</f>
        <v>0</v>
      </c>
      <c r="F95" s="6">
        <f>SUM(F90:F93)</f>
        <v>8348</v>
      </c>
      <c r="G95" s="56"/>
      <c r="H95" s="56">
        <f>SUM(H90:H93)</f>
        <v>216271.96</v>
      </c>
      <c r="I95" s="180">
        <f>SUM(I90:I93)</f>
        <v>8348</v>
      </c>
      <c r="J95" s="179">
        <f>SUM(J90:J93)</f>
        <v>216271.96</v>
      </c>
      <c r="K95" s="10"/>
      <c r="L95" s="6">
        <f>SUM(L90:L93)</f>
        <v>0</v>
      </c>
      <c r="M95" s="56"/>
      <c r="N95" s="56">
        <f>SUM(N90:N93)</f>
        <v>0</v>
      </c>
      <c r="O95" s="6">
        <f>SUM(O90:O93)</f>
        <v>224.31</v>
      </c>
      <c r="P95" s="56"/>
      <c r="Q95" s="56">
        <f>SUM(Q90:Q93)</f>
        <v>18281.264999999999</v>
      </c>
      <c r="R95" s="180">
        <f>SUM(R90:R93)</f>
        <v>224.31</v>
      </c>
      <c r="S95" s="179">
        <f>SUM(S90:S93)</f>
        <v>18281.264999999999</v>
      </c>
      <c r="T95" s="10"/>
      <c r="U95" s="6">
        <f>SUM(U90:U93)</f>
        <v>0</v>
      </c>
      <c r="V95" s="56"/>
      <c r="W95" s="56">
        <f>SUM(W90:W93)</f>
        <v>0</v>
      </c>
      <c r="X95" s="6">
        <f>SUM(X90:X93)</f>
        <v>1127.6199999999999</v>
      </c>
      <c r="Y95" s="56"/>
      <c r="Z95" s="56">
        <f>SUM(Z90:Z93)</f>
        <v>91901.029999999984</v>
      </c>
      <c r="AA95" s="180">
        <f>SUM(AA90:AA93)</f>
        <v>1127.6199999999999</v>
      </c>
      <c r="AB95" s="179">
        <f>SUM(AB90:AB93)</f>
        <v>91901.029999999984</v>
      </c>
      <c r="AC95" s="56"/>
      <c r="AD95" s="10" t="s">
        <v>526</v>
      </c>
      <c r="AF95" s="56">
        <f>SUM(AE90:AE93)</f>
        <v>326454.255</v>
      </c>
    </row>
    <row r="97" spans="1:34">
      <c r="AC97" t="s">
        <v>85</v>
      </c>
      <c r="AD97">
        <v>3310</v>
      </c>
      <c r="AF97" s="43">
        <f>'Results of Operations Staff '!$C$15</f>
        <v>325201.94999999995</v>
      </c>
    </row>
    <row r="98" spans="1:34" ht="13.5" thickBot="1">
      <c r="AF98" s="45">
        <f>AF95-AF97</f>
        <v>1252.3050000000512</v>
      </c>
      <c r="AG98" s="10">
        <f>+AF98/AF97</f>
        <v>3.8508532928540292E-3</v>
      </c>
    </row>
    <row r="99" spans="1:34" ht="13.5" thickTop="1"/>
    <row r="100" spans="1:34">
      <c r="A100" s="83" t="s">
        <v>1319</v>
      </c>
      <c r="C100" s="122">
        <f>+'Service Count Data'!$X$64</f>
        <v>0</v>
      </c>
      <c r="D100" s="126">
        <v>21.83</v>
      </c>
      <c r="E100" s="6">
        <f t="shared" ref="E100" si="64">+C100*D100</f>
        <v>0</v>
      </c>
      <c r="F100" s="122">
        <f>+'Service Count Data'!$AD$64</f>
        <v>2768.8</v>
      </c>
      <c r="G100" s="126">
        <v>21.83</v>
      </c>
      <c r="H100" s="6">
        <f t="shared" ref="H100" si="65">+F100*G100</f>
        <v>60442.904000000002</v>
      </c>
      <c r="I100" s="187">
        <f t="shared" ref="I100" si="66">+C100+F100</f>
        <v>2768.8</v>
      </c>
      <c r="J100" s="186">
        <f t="shared" ref="J100" si="67">+E100+H100</f>
        <v>60442.904000000002</v>
      </c>
      <c r="L100" s="122">
        <f>+'Service Count Data'!$X$65</f>
        <v>0</v>
      </c>
      <c r="M100" s="144">
        <v>0</v>
      </c>
      <c r="N100" s="6">
        <f t="shared" ref="N100" si="68">+L100*M100</f>
        <v>0</v>
      </c>
      <c r="O100" s="122">
        <f>+'Service Count Data'!$AD$65</f>
        <v>0</v>
      </c>
      <c r="P100" s="144">
        <v>0</v>
      </c>
      <c r="Q100" s="6">
        <f t="shared" ref="Q100" si="69">+O100*P100</f>
        <v>0</v>
      </c>
      <c r="R100" s="187">
        <f t="shared" ref="R100" si="70">+L100+O100</f>
        <v>0</v>
      </c>
      <c r="S100" s="186">
        <f t="shared" ref="S100" si="71">+N100+Q100</f>
        <v>0</v>
      </c>
      <c r="U100" s="122">
        <f>+'Service Count Data'!$X$66</f>
        <v>0</v>
      </c>
      <c r="V100" s="144">
        <v>0</v>
      </c>
      <c r="W100" s="6">
        <f t="shared" ref="W100" si="72">+U100*V100</f>
        <v>0</v>
      </c>
      <c r="X100" s="122">
        <f>+'Service Count Data'!$AD$66</f>
        <v>0</v>
      </c>
      <c r="Y100" s="144">
        <v>0</v>
      </c>
      <c r="Z100" s="6">
        <f t="shared" ref="Z100" si="73">+X100*Y100</f>
        <v>0</v>
      </c>
      <c r="AA100" s="187">
        <f t="shared" ref="AA100" si="74">+U100+X100</f>
        <v>0</v>
      </c>
      <c r="AB100" s="186">
        <f t="shared" ref="AB100" si="75">+W100+Z100</f>
        <v>0</v>
      </c>
      <c r="AC100" s="122">
        <f t="shared" ref="AC100" si="76">+R100+AA100</f>
        <v>0</v>
      </c>
      <c r="AD100" s="122">
        <f t="shared" ref="AD100" si="77">+I100+R100+AA100</f>
        <v>2768.8</v>
      </c>
      <c r="AE100" s="6">
        <f t="shared" ref="AE100" si="78">+J100+S100+AB100</f>
        <v>60442.904000000002</v>
      </c>
      <c r="AF100" s="6">
        <f>AE100</f>
        <v>60442.904000000002</v>
      </c>
      <c r="AH100" s="122">
        <f t="shared" ref="AH100" si="79">+R100+AA100</f>
        <v>0</v>
      </c>
    </row>
    <row r="102" spans="1:34">
      <c r="AC102" t="s">
        <v>85</v>
      </c>
      <c r="AD102">
        <v>3340</v>
      </c>
      <c r="AF102" s="43">
        <f>'Results of Operations Staff '!C16</f>
        <v>60443.009999999995</v>
      </c>
    </row>
    <row r="103" spans="1:34" ht="13.5" thickBot="1">
      <c r="AF103" s="45">
        <f>AF100-AF102</f>
        <v>-0.10599999999249121</v>
      </c>
      <c r="AG103" s="10">
        <f>+AF103/AF102</f>
        <v>-1.7537180890311589E-6</v>
      </c>
    </row>
    <row r="104" spans="1:34" ht="13.5" thickTop="1">
      <c r="C104" s="707" t="s">
        <v>1412</v>
      </c>
      <c r="D104" s="402"/>
      <c r="E104" s="402"/>
      <c r="F104" s="402"/>
      <c r="G104" s="402"/>
      <c r="H104" s="402"/>
      <c r="I104" s="402"/>
      <c r="J104" s="402"/>
      <c r="K104" s="402"/>
    </row>
  </sheetData>
  <pageMargins left="0.25" right="0.25" top="0.75" bottom="0.75" header="0.3" footer="0.3"/>
  <pageSetup scale="36" fitToHeight="2" orientation="landscape" horizontalDpi="4294967293" vertic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workbookViewId="0">
      <selection activeCell="E4" sqref="E4"/>
    </sheetView>
  </sheetViews>
  <sheetFormatPr defaultRowHeight="12.75"/>
  <cols>
    <col min="1" max="1" width="19.7109375" customWidth="1"/>
    <col min="2" max="2" width="10.140625" bestFit="1" customWidth="1"/>
    <col min="3" max="3" width="10" customWidth="1"/>
    <col min="5" max="5" width="9.5703125" customWidth="1"/>
    <col min="6" max="6" width="10.28515625" customWidth="1"/>
    <col min="8" max="8" width="10" customWidth="1"/>
    <col min="9" max="9" width="9.28515625" customWidth="1"/>
    <col min="10" max="10" width="10.140625" customWidth="1"/>
    <col min="12" max="13" width="10.42578125" customWidth="1"/>
    <col min="14" max="14" width="10.7109375" customWidth="1"/>
    <col min="15" max="15" width="2.85546875" customWidth="1"/>
    <col min="17" max="17" width="9.28515625" customWidth="1"/>
    <col min="18" max="18" width="11.42578125" customWidth="1"/>
  </cols>
  <sheetData>
    <row r="1" spans="1:20">
      <c r="A1" t="s">
        <v>0</v>
      </c>
    </row>
    <row r="3" spans="1:20">
      <c r="A3" t="s">
        <v>577</v>
      </c>
      <c r="D3" s="693" t="s">
        <v>1414</v>
      </c>
      <c r="E3" s="693" t="s">
        <v>702</v>
      </c>
      <c r="F3" s="732"/>
      <c r="G3" s="732"/>
    </row>
    <row r="5" spans="1:20">
      <c r="A5" s="692" t="s">
        <v>1386</v>
      </c>
    </row>
    <row r="7" spans="1:20">
      <c r="P7" s="196"/>
      <c r="Q7" s="210">
        <v>12</v>
      </c>
      <c r="R7" s="196"/>
    </row>
    <row r="8" spans="1:20">
      <c r="P8" s="196"/>
      <c r="Q8" s="210" t="s">
        <v>576</v>
      </c>
      <c r="R8" s="196"/>
    </row>
    <row r="9" spans="1:20">
      <c r="B9" s="2" t="s">
        <v>575</v>
      </c>
      <c r="D9" s="2" t="s">
        <v>574</v>
      </c>
      <c r="E9" s="693" t="s">
        <v>1388</v>
      </c>
      <c r="F9" s="16"/>
      <c r="G9" s="702" t="s">
        <v>1389</v>
      </c>
      <c r="I9" s="693" t="s">
        <v>1390</v>
      </c>
      <c r="K9" s="693" t="s">
        <v>1391</v>
      </c>
      <c r="L9" s="2"/>
      <c r="M9" s="16" t="s">
        <v>573</v>
      </c>
      <c r="N9" s="2"/>
      <c r="P9" s="209" t="s">
        <v>1395</v>
      </c>
      <c r="Q9" s="196" t="s">
        <v>89</v>
      </c>
      <c r="R9" s="196" t="s">
        <v>89</v>
      </c>
    </row>
    <row r="10" spans="1:20">
      <c r="A10" s="76" t="s">
        <v>572</v>
      </c>
      <c r="B10" s="131" t="s">
        <v>452</v>
      </c>
      <c r="C10" s="131" t="s">
        <v>108</v>
      </c>
      <c r="D10" s="131" t="s">
        <v>571</v>
      </c>
      <c r="E10" s="131" t="s">
        <v>198</v>
      </c>
      <c r="F10" s="131" t="s">
        <v>108</v>
      </c>
      <c r="G10" s="131" t="s">
        <v>198</v>
      </c>
      <c r="H10" s="131" t="s">
        <v>108</v>
      </c>
      <c r="I10" s="131" t="s">
        <v>198</v>
      </c>
      <c r="J10" s="131" t="s">
        <v>108</v>
      </c>
      <c r="K10" s="131" t="s">
        <v>570</v>
      </c>
      <c r="L10" s="131" t="s">
        <v>108</v>
      </c>
      <c r="M10" s="131" t="s">
        <v>198</v>
      </c>
      <c r="N10" s="131" t="s">
        <v>108</v>
      </c>
      <c r="P10" s="208" t="s">
        <v>569</v>
      </c>
      <c r="Q10" s="208" t="s">
        <v>568</v>
      </c>
      <c r="R10" s="207" t="s">
        <v>108</v>
      </c>
    </row>
    <row r="11" spans="1:20">
      <c r="P11" s="196"/>
      <c r="Q11" s="196"/>
      <c r="R11" s="196"/>
    </row>
    <row r="12" spans="1:20">
      <c r="A12" t="s">
        <v>567</v>
      </c>
      <c r="B12" s="205">
        <v>43896</v>
      </c>
      <c r="C12" s="202">
        <v>7700</v>
      </c>
      <c r="D12" t="s">
        <v>557</v>
      </c>
      <c r="E12" s="200">
        <v>480</v>
      </c>
      <c r="F12" s="53">
        <v>22350</v>
      </c>
      <c r="G12" s="200">
        <v>480</v>
      </c>
      <c r="H12" s="53">
        <v>26100</v>
      </c>
      <c r="I12" s="200">
        <v>480</v>
      </c>
      <c r="J12" s="53">
        <v>26100</v>
      </c>
      <c r="K12" s="204">
        <v>480</v>
      </c>
      <c r="L12" s="197">
        <v>40215.61</v>
      </c>
      <c r="M12" s="200">
        <f t="shared" ref="M12:M22" si="0">+E12+G12+I12+K12</f>
        <v>1920</v>
      </c>
      <c r="N12" s="53">
        <f>+F12+H12+J12+L12</f>
        <v>114765.61</v>
      </c>
      <c r="P12" s="202">
        <f t="shared" ref="P12:P31" si="1">+E39</f>
        <v>-531</v>
      </c>
      <c r="Q12" s="197">
        <f>+P12*$Q$7</f>
        <v>-6372</v>
      </c>
      <c r="R12" s="197">
        <f>+N12+Q12</f>
        <v>108393.61</v>
      </c>
      <c r="T12" t="s">
        <v>552</v>
      </c>
    </row>
    <row r="13" spans="1:20">
      <c r="A13" s="83" t="s">
        <v>1325</v>
      </c>
      <c r="B13" s="205"/>
      <c r="C13" s="202">
        <v>18</v>
      </c>
      <c r="D13" s="83" t="s">
        <v>550</v>
      </c>
      <c r="E13" s="200">
        <v>15</v>
      </c>
      <c r="F13" s="53">
        <v>279</v>
      </c>
      <c r="G13" s="200">
        <v>136</v>
      </c>
      <c r="H13" s="53">
        <v>2484</v>
      </c>
      <c r="I13" s="200">
        <v>147</v>
      </c>
      <c r="J13" s="53">
        <v>2655</v>
      </c>
      <c r="K13" s="204">
        <v>162</v>
      </c>
      <c r="L13" s="197">
        <v>3137.66</v>
      </c>
      <c r="M13" s="200">
        <f t="shared" ref="M13" si="2">+E13+G13+I13+K13</f>
        <v>460</v>
      </c>
      <c r="N13" s="53">
        <f>+F13+H13+J13+L13</f>
        <v>8555.66</v>
      </c>
      <c r="P13" s="202">
        <f t="shared" si="1"/>
        <v>0</v>
      </c>
      <c r="Q13" s="197">
        <f t="shared" ref="Q13" si="3">((+E13+G13+I13+K13)*P13)*$Q$7/12</f>
        <v>0</v>
      </c>
      <c r="R13" s="197">
        <f t="shared" ref="R13" si="4">+N13+Q13</f>
        <v>8555.66</v>
      </c>
      <c r="T13" t="s">
        <v>552</v>
      </c>
    </row>
    <row r="14" spans="1:20">
      <c r="A14" s="693" t="s">
        <v>1392</v>
      </c>
      <c r="B14" s="205"/>
      <c r="C14" s="202">
        <v>14</v>
      </c>
      <c r="D14" s="83" t="s">
        <v>550</v>
      </c>
      <c r="E14" s="200">
        <v>149</v>
      </c>
      <c r="F14" s="53">
        <v>2025.51</v>
      </c>
      <c r="G14" s="200">
        <v>10</v>
      </c>
      <c r="H14" s="53">
        <v>147</v>
      </c>
      <c r="I14" s="200">
        <v>0</v>
      </c>
      <c r="J14" s="53">
        <v>0</v>
      </c>
      <c r="K14" s="204">
        <v>0</v>
      </c>
      <c r="L14" s="197">
        <v>0</v>
      </c>
      <c r="M14" s="200">
        <f t="shared" ref="M14" si="5">+E14+G14+I14+K14</f>
        <v>159</v>
      </c>
      <c r="N14" s="53">
        <f>+F14+H14+J14+L14</f>
        <v>2172.5100000000002</v>
      </c>
      <c r="P14" s="202">
        <f t="shared" si="1"/>
        <v>0</v>
      </c>
      <c r="Q14" s="197">
        <f t="shared" ref="Q14" si="6">((+E14+G14+I14+K14)*P14)*$Q$7/12</f>
        <v>0</v>
      </c>
      <c r="R14" s="197">
        <f t="shared" ref="R14" si="7">+N14+Q14</f>
        <v>2172.5100000000002</v>
      </c>
      <c r="T14" t="s">
        <v>552</v>
      </c>
    </row>
    <row r="15" spans="1:20">
      <c r="A15" t="s">
        <v>566</v>
      </c>
      <c r="B15" s="205">
        <v>43896</v>
      </c>
      <c r="C15" s="202">
        <v>19.600000000000001</v>
      </c>
      <c r="D15" t="s">
        <v>550</v>
      </c>
      <c r="E15" s="200">
        <v>519</v>
      </c>
      <c r="F15" s="53">
        <v>10073.299999999999</v>
      </c>
      <c r="G15" s="200">
        <v>645</v>
      </c>
      <c r="H15" s="53">
        <v>13548.5</v>
      </c>
      <c r="I15" s="200">
        <v>575</v>
      </c>
      <c r="J15" s="53">
        <v>12274.5</v>
      </c>
      <c r="K15" s="204">
        <v>740</v>
      </c>
      <c r="L15" s="197">
        <v>15428.33</v>
      </c>
      <c r="M15" s="200">
        <f t="shared" si="0"/>
        <v>2479</v>
      </c>
      <c r="N15" s="53">
        <f t="shared" ref="N15:N22" si="8">+F15+H15+J15+L15</f>
        <v>51324.630000000005</v>
      </c>
      <c r="P15" s="202">
        <f t="shared" si="1"/>
        <v>0.64999999999999858</v>
      </c>
      <c r="Q15" s="197">
        <f t="shared" ref="Q15:Q22" si="9">((+E15+G15+I15+K15)*P15)*$Q$7/12</f>
        <v>1611.3499999999965</v>
      </c>
      <c r="R15" s="197">
        <f t="shared" ref="R15:R31" si="10">+N15+Q15</f>
        <v>52935.98</v>
      </c>
      <c r="T15" t="s">
        <v>549</v>
      </c>
    </row>
    <row r="16" spans="1:20">
      <c r="A16" t="s">
        <v>565</v>
      </c>
      <c r="B16" s="205">
        <v>43896</v>
      </c>
      <c r="C16" s="202">
        <v>22</v>
      </c>
      <c r="D16" t="s">
        <v>550</v>
      </c>
      <c r="E16" s="200">
        <v>549</v>
      </c>
      <c r="F16" s="53">
        <v>11733.76</v>
      </c>
      <c r="G16" s="200">
        <v>642</v>
      </c>
      <c r="H16" s="53">
        <v>14960</v>
      </c>
      <c r="I16" s="200">
        <v>586</v>
      </c>
      <c r="J16" s="53">
        <v>14140.5</v>
      </c>
      <c r="K16" s="204">
        <v>673</v>
      </c>
      <c r="L16" s="197">
        <v>16533.900000000001</v>
      </c>
      <c r="M16" s="200">
        <f t="shared" si="0"/>
        <v>2450</v>
      </c>
      <c r="N16" s="53">
        <f t="shared" si="8"/>
        <v>57368.160000000003</v>
      </c>
      <c r="P16" s="202">
        <f t="shared" si="1"/>
        <v>0.5</v>
      </c>
      <c r="Q16" s="197">
        <f t="shared" si="9"/>
        <v>1225</v>
      </c>
      <c r="R16" s="197">
        <f t="shared" si="10"/>
        <v>58593.16</v>
      </c>
      <c r="T16" t="s">
        <v>549</v>
      </c>
    </row>
    <row r="17" spans="1:20">
      <c r="A17" s="83" t="s">
        <v>564</v>
      </c>
      <c r="B17" s="205">
        <v>43896</v>
      </c>
      <c r="C17" s="202">
        <v>20</v>
      </c>
      <c r="D17" t="s">
        <v>550</v>
      </c>
      <c r="E17" s="200">
        <v>218</v>
      </c>
      <c r="F17" s="53">
        <v>5025.5</v>
      </c>
      <c r="G17" s="200">
        <v>0</v>
      </c>
      <c r="H17" s="53">
        <v>0</v>
      </c>
      <c r="I17" s="200">
        <v>0</v>
      </c>
      <c r="J17" s="53">
        <v>0</v>
      </c>
      <c r="K17" s="204">
        <v>0</v>
      </c>
      <c r="L17" s="197">
        <v>0</v>
      </c>
      <c r="M17" s="200">
        <f t="shared" si="0"/>
        <v>218</v>
      </c>
      <c r="N17" s="53">
        <f t="shared" si="8"/>
        <v>5025.5</v>
      </c>
      <c r="P17" s="202">
        <f t="shared" si="1"/>
        <v>0</v>
      </c>
      <c r="Q17" s="197">
        <f t="shared" si="9"/>
        <v>0</v>
      </c>
      <c r="R17" s="197">
        <f t="shared" si="10"/>
        <v>5025.5</v>
      </c>
      <c r="T17" t="s">
        <v>549</v>
      </c>
    </row>
    <row r="18" spans="1:20">
      <c r="A18" t="s">
        <v>563</v>
      </c>
      <c r="B18" s="205">
        <v>43896</v>
      </c>
      <c r="C18" s="202">
        <v>50</v>
      </c>
      <c r="D18" t="s">
        <v>550</v>
      </c>
      <c r="E18" s="200">
        <v>0</v>
      </c>
      <c r="F18" s="53">
        <v>0</v>
      </c>
      <c r="G18" s="200">
        <v>5</v>
      </c>
      <c r="H18" s="53">
        <v>250</v>
      </c>
      <c r="I18" s="200">
        <v>0</v>
      </c>
      <c r="J18" s="53">
        <v>0</v>
      </c>
      <c r="K18" s="204">
        <v>1</v>
      </c>
      <c r="L18" s="197">
        <v>542.91</v>
      </c>
      <c r="M18" s="200">
        <f t="shared" si="0"/>
        <v>6</v>
      </c>
      <c r="N18" s="53">
        <f t="shared" si="8"/>
        <v>792.91</v>
      </c>
      <c r="P18" s="202">
        <f t="shared" si="1"/>
        <v>0</v>
      </c>
      <c r="Q18" s="197">
        <f t="shared" si="9"/>
        <v>0</v>
      </c>
      <c r="R18" s="197">
        <f t="shared" si="10"/>
        <v>792.91</v>
      </c>
      <c r="T18" t="s">
        <v>552</v>
      </c>
    </row>
    <row r="19" spans="1:20">
      <c r="A19" s="693" t="s">
        <v>1393</v>
      </c>
      <c r="B19" s="205"/>
      <c r="C19" s="202">
        <v>20</v>
      </c>
      <c r="D19" t="s">
        <v>550</v>
      </c>
      <c r="E19" s="200">
        <v>219</v>
      </c>
      <c r="F19" s="53">
        <v>4390</v>
      </c>
      <c r="G19" s="200">
        <v>418</v>
      </c>
      <c r="H19" s="53">
        <v>8400</v>
      </c>
      <c r="I19" s="200">
        <v>412</v>
      </c>
      <c r="J19" s="53">
        <v>8350</v>
      </c>
      <c r="K19" s="204">
        <v>344</v>
      </c>
      <c r="L19" s="197">
        <v>7195.75</v>
      </c>
      <c r="M19" s="200">
        <f t="shared" ref="M19" si="11">+E19+G19+I19+K19</f>
        <v>1393</v>
      </c>
      <c r="N19" s="53">
        <f>+F19+H19+J19+L19</f>
        <v>28335.75</v>
      </c>
      <c r="P19" s="202">
        <f t="shared" si="1"/>
        <v>1</v>
      </c>
      <c r="Q19" s="197">
        <f t="shared" ref="Q19" si="12">((+E19+G19+I19+K19)*P19)*$Q$7/12</f>
        <v>1393</v>
      </c>
      <c r="R19" s="197">
        <f t="shared" ref="R19" si="13">+N19+Q19</f>
        <v>29728.75</v>
      </c>
      <c r="T19" t="s">
        <v>549</v>
      </c>
    </row>
    <row r="20" spans="1:20">
      <c r="A20" s="83" t="s">
        <v>562</v>
      </c>
      <c r="B20" s="205">
        <v>43896</v>
      </c>
      <c r="C20" s="202">
        <v>25</v>
      </c>
      <c r="D20" t="s">
        <v>550</v>
      </c>
      <c r="E20" s="200">
        <v>494</v>
      </c>
      <c r="F20" s="53">
        <v>11860.52</v>
      </c>
      <c r="G20" s="200">
        <v>586</v>
      </c>
      <c r="H20" s="53">
        <v>15018.75</v>
      </c>
      <c r="I20" s="200">
        <v>514</v>
      </c>
      <c r="J20" s="53">
        <v>13400</v>
      </c>
      <c r="K20" s="204">
        <v>592</v>
      </c>
      <c r="L20" s="197">
        <v>15540.58</v>
      </c>
      <c r="M20" s="200">
        <f t="shared" si="0"/>
        <v>2186</v>
      </c>
      <c r="N20" s="53">
        <f>+F20+H20+J20+L20</f>
        <v>55819.850000000006</v>
      </c>
      <c r="P20" s="202">
        <f t="shared" si="1"/>
        <v>1</v>
      </c>
      <c r="Q20" s="197">
        <f t="shared" si="9"/>
        <v>2186</v>
      </c>
      <c r="R20" s="197">
        <f t="shared" si="10"/>
        <v>58005.850000000006</v>
      </c>
      <c r="T20" t="s">
        <v>549</v>
      </c>
    </row>
    <row r="21" spans="1:20">
      <c r="A21" s="83" t="s">
        <v>561</v>
      </c>
      <c r="B21" s="205">
        <v>43896</v>
      </c>
      <c r="C21" s="202">
        <v>21</v>
      </c>
      <c r="D21" t="s">
        <v>550</v>
      </c>
      <c r="E21" s="200">
        <v>489</v>
      </c>
      <c r="F21" s="53">
        <v>10125.370000000001</v>
      </c>
      <c r="G21" s="200">
        <v>655</v>
      </c>
      <c r="H21" s="53">
        <v>14768.25</v>
      </c>
      <c r="I21" s="200">
        <v>618</v>
      </c>
      <c r="J21" s="53">
        <v>14427</v>
      </c>
      <c r="K21" s="204">
        <v>591</v>
      </c>
      <c r="L21" s="197">
        <v>13638.08</v>
      </c>
      <c r="M21" s="200">
        <f t="shared" si="0"/>
        <v>2353</v>
      </c>
      <c r="N21" s="53">
        <f t="shared" si="8"/>
        <v>52958.700000000004</v>
      </c>
      <c r="P21" s="202">
        <f t="shared" si="1"/>
        <v>0.64999999999999858</v>
      </c>
      <c r="Q21" s="197">
        <f t="shared" si="9"/>
        <v>1529.4499999999964</v>
      </c>
      <c r="R21" s="197">
        <f t="shared" si="10"/>
        <v>54488.15</v>
      </c>
      <c r="T21" t="s">
        <v>549</v>
      </c>
    </row>
    <row r="22" spans="1:20">
      <c r="A22" t="s">
        <v>560</v>
      </c>
      <c r="B22" s="205">
        <v>43896</v>
      </c>
      <c r="C22" s="202">
        <v>31</v>
      </c>
      <c r="D22" t="s">
        <v>550</v>
      </c>
      <c r="E22" s="200">
        <v>658</v>
      </c>
      <c r="F22" s="53">
        <v>19997.759999999998</v>
      </c>
      <c r="G22" s="200">
        <v>606</v>
      </c>
      <c r="H22" s="53">
        <v>19646.25</v>
      </c>
      <c r="I22" s="200">
        <v>617</v>
      </c>
      <c r="J22" s="53">
        <v>25540.32</v>
      </c>
      <c r="K22" s="204">
        <v>622</v>
      </c>
      <c r="L22" s="197">
        <v>26595.05</v>
      </c>
      <c r="M22" s="200">
        <f t="shared" si="0"/>
        <v>2503</v>
      </c>
      <c r="N22" s="53">
        <f t="shared" si="8"/>
        <v>91779.37999999999</v>
      </c>
      <c r="P22" s="202">
        <f t="shared" si="1"/>
        <v>1.25</v>
      </c>
      <c r="Q22" s="197">
        <f t="shared" si="9"/>
        <v>3128.75</v>
      </c>
      <c r="R22" s="197">
        <f t="shared" si="10"/>
        <v>94908.12999999999</v>
      </c>
      <c r="T22" t="s">
        <v>549</v>
      </c>
    </row>
    <row r="23" spans="1:20">
      <c r="A23" t="s">
        <v>559</v>
      </c>
      <c r="B23" s="205">
        <v>43896</v>
      </c>
      <c r="C23" s="202">
        <v>6100</v>
      </c>
      <c r="D23" t="s">
        <v>557</v>
      </c>
      <c r="E23" s="200"/>
      <c r="F23" s="53">
        <v>18016.66</v>
      </c>
      <c r="G23" s="200"/>
      <c r="H23" s="53">
        <v>18300</v>
      </c>
      <c r="I23" s="200"/>
      <c r="J23" s="53">
        <v>18300</v>
      </c>
      <c r="K23" s="204"/>
      <c r="L23" s="197">
        <v>18300</v>
      </c>
      <c r="M23" s="200"/>
      <c r="N23" s="53">
        <f t="shared" ref="N23:N31" si="14">+F23+H23+J23+L23</f>
        <v>72916.66</v>
      </c>
      <c r="P23" s="202">
        <f t="shared" si="1"/>
        <v>100</v>
      </c>
      <c r="Q23" s="197">
        <f>+P23*$Q$7</f>
        <v>1200</v>
      </c>
      <c r="R23" s="197">
        <f t="shared" si="10"/>
        <v>74116.66</v>
      </c>
    </row>
    <row r="24" spans="1:20">
      <c r="A24" t="s">
        <v>558</v>
      </c>
      <c r="B24" s="206"/>
      <c r="C24" s="202">
        <v>100</v>
      </c>
      <c r="D24" t="s">
        <v>557</v>
      </c>
      <c r="E24" s="200"/>
      <c r="F24" s="53">
        <v>300</v>
      </c>
      <c r="G24" s="200"/>
      <c r="H24" s="53">
        <v>300</v>
      </c>
      <c r="I24" s="200"/>
      <c r="J24" s="53">
        <v>300</v>
      </c>
      <c r="K24" s="204"/>
      <c r="L24" s="197">
        <v>300</v>
      </c>
      <c r="M24" s="200"/>
      <c r="N24" s="53">
        <f t="shared" si="14"/>
        <v>1200</v>
      </c>
      <c r="P24" s="202">
        <f t="shared" si="1"/>
        <v>0</v>
      </c>
      <c r="Q24" s="197">
        <f>+P24*$Q$7</f>
        <v>0</v>
      </c>
      <c r="R24" s="197">
        <f t="shared" si="10"/>
        <v>1200</v>
      </c>
    </row>
    <row r="25" spans="1:20">
      <c r="A25" s="83" t="s">
        <v>556</v>
      </c>
      <c r="B25" s="205">
        <v>43896</v>
      </c>
      <c r="C25" s="202">
        <v>21</v>
      </c>
      <c r="D25" t="s">
        <v>550</v>
      </c>
      <c r="E25" s="200">
        <v>545</v>
      </c>
      <c r="F25" s="53">
        <v>11116.75</v>
      </c>
      <c r="G25" s="200">
        <v>593</v>
      </c>
      <c r="H25" s="53">
        <v>12862.5</v>
      </c>
      <c r="I25" s="200">
        <v>588</v>
      </c>
      <c r="J25" s="53">
        <v>13482</v>
      </c>
      <c r="K25" s="204">
        <v>659</v>
      </c>
      <c r="L25" s="197">
        <v>15255.08</v>
      </c>
      <c r="M25" s="200">
        <f t="shared" ref="M25:M31" si="15">+E25+G25+I25+K25</f>
        <v>2385</v>
      </c>
      <c r="N25" s="53">
        <f t="shared" si="14"/>
        <v>52716.33</v>
      </c>
      <c r="P25" s="202">
        <f t="shared" si="1"/>
        <v>1</v>
      </c>
      <c r="Q25" s="197">
        <f t="shared" ref="Q25:Q31" si="16">((+E25+G25+I25+K25)*P25)*$Q$7/12</f>
        <v>2385</v>
      </c>
      <c r="R25" s="197">
        <f t="shared" si="10"/>
        <v>55101.33</v>
      </c>
      <c r="T25" s="83" t="s">
        <v>549</v>
      </c>
    </row>
    <row r="26" spans="1:20">
      <c r="A26" s="83" t="s">
        <v>555</v>
      </c>
      <c r="B26" s="205">
        <v>43896</v>
      </c>
      <c r="C26" s="202">
        <v>15</v>
      </c>
      <c r="D26" t="s">
        <v>550</v>
      </c>
      <c r="E26" s="200">
        <v>6</v>
      </c>
      <c r="F26" s="53">
        <v>90</v>
      </c>
      <c r="G26" s="200">
        <v>8</v>
      </c>
      <c r="H26" s="53">
        <v>120</v>
      </c>
      <c r="I26" s="200">
        <v>9</v>
      </c>
      <c r="J26" s="53">
        <v>135</v>
      </c>
      <c r="K26" s="204">
        <v>4</v>
      </c>
      <c r="L26" s="197">
        <v>60</v>
      </c>
      <c r="M26" s="200">
        <f t="shared" si="15"/>
        <v>27</v>
      </c>
      <c r="N26" s="53">
        <f t="shared" si="14"/>
        <v>405</v>
      </c>
      <c r="P26" s="202">
        <f t="shared" si="1"/>
        <v>0</v>
      </c>
      <c r="Q26" s="197">
        <f t="shared" si="16"/>
        <v>0</v>
      </c>
      <c r="R26" s="197">
        <f t="shared" si="10"/>
        <v>405</v>
      </c>
      <c r="T26" s="83" t="s">
        <v>552</v>
      </c>
    </row>
    <row r="27" spans="1:20">
      <c r="A27" s="693" t="s">
        <v>1394</v>
      </c>
      <c r="B27" s="205"/>
      <c r="C27" s="202">
        <v>16.5</v>
      </c>
      <c r="D27" t="s">
        <v>550</v>
      </c>
      <c r="E27" s="200">
        <v>0</v>
      </c>
      <c r="F27" s="53">
        <v>0</v>
      </c>
      <c r="G27" s="200">
        <v>0</v>
      </c>
      <c r="H27" s="53">
        <v>0</v>
      </c>
      <c r="I27" s="200">
        <v>42</v>
      </c>
      <c r="J27" s="53">
        <v>721.88</v>
      </c>
      <c r="K27" s="204">
        <v>613</v>
      </c>
      <c r="L27" s="197">
        <v>10689.22</v>
      </c>
      <c r="M27" s="200">
        <f t="shared" ref="M27" si="17">+E27+G27+I27+K27</f>
        <v>655</v>
      </c>
      <c r="N27" s="53">
        <f t="shared" ref="N27" si="18">+F27+H27+J27+L27</f>
        <v>11411.099999999999</v>
      </c>
      <c r="P27" s="202">
        <f t="shared" si="1"/>
        <v>0.5</v>
      </c>
      <c r="Q27" s="197">
        <f t="shared" ref="Q27" si="19">((+E27+G27+I27+K27)*P27)*$Q$7/12</f>
        <v>327.5</v>
      </c>
      <c r="R27" s="197">
        <f t="shared" ref="R27" si="20">+N27+Q27</f>
        <v>11738.599999999999</v>
      </c>
      <c r="T27" t="s">
        <v>549</v>
      </c>
    </row>
    <row r="28" spans="1:20">
      <c r="A28" s="83" t="s">
        <v>554</v>
      </c>
      <c r="B28" s="205">
        <v>43896</v>
      </c>
      <c r="C28" s="202">
        <v>20</v>
      </c>
      <c r="D28" t="s">
        <v>550</v>
      </c>
      <c r="E28" s="200">
        <v>504</v>
      </c>
      <c r="F28" s="53">
        <v>10161.52</v>
      </c>
      <c r="G28" s="200">
        <v>548</v>
      </c>
      <c r="H28" s="53">
        <v>11145</v>
      </c>
      <c r="I28" s="200">
        <v>515</v>
      </c>
      <c r="J28" s="53">
        <v>10960</v>
      </c>
      <c r="K28" s="204">
        <v>605</v>
      </c>
      <c r="L28" s="197">
        <v>12939.33</v>
      </c>
      <c r="M28" s="200">
        <f t="shared" si="15"/>
        <v>2172</v>
      </c>
      <c r="N28" s="53">
        <f t="shared" si="14"/>
        <v>45205.85</v>
      </c>
      <c r="P28" s="202">
        <f t="shared" si="1"/>
        <v>0.75</v>
      </c>
      <c r="Q28" s="197">
        <f t="shared" si="16"/>
        <v>1629</v>
      </c>
      <c r="R28" s="197">
        <f t="shared" si="10"/>
        <v>46834.85</v>
      </c>
      <c r="T28" t="s">
        <v>549</v>
      </c>
    </row>
    <row r="29" spans="1:20">
      <c r="A29" s="83" t="s">
        <v>553</v>
      </c>
      <c r="B29" s="205">
        <v>43532</v>
      </c>
      <c r="C29" s="202">
        <v>23.5</v>
      </c>
      <c r="D29" t="s">
        <v>550</v>
      </c>
      <c r="E29" s="200">
        <v>0</v>
      </c>
      <c r="F29" s="53">
        <v>0</v>
      </c>
      <c r="G29" s="200">
        <v>0</v>
      </c>
      <c r="H29" s="53">
        <v>0</v>
      </c>
      <c r="I29" s="200">
        <v>0</v>
      </c>
      <c r="J29" s="53">
        <v>0</v>
      </c>
      <c r="K29" s="204">
        <v>0</v>
      </c>
      <c r="L29" s="197">
        <v>0</v>
      </c>
      <c r="M29" s="200">
        <f t="shared" si="15"/>
        <v>0</v>
      </c>
      <c r="N29" s="53">
        <f t="shared" si="14"/>
        <v>0</v>
      </c>
      <c r="P29" s="202">
        <f t="shared" si="1"/>
        <v>36720</v>
      </c>
      <c r="Q29" s="730">
        <v>36720</v>
      </c>
      <c r="R29" s="197">
        <f t="shared" si="10"/>
        <v>36720</v>
      </c>
      <c r="T29" s="83" t="s">
        <v>552</v>
      </c>
    </row>
    <row r="30" spans="1:20">
      <c r="A30" s="83" t="s">
        <v>1324</v>
      </c>
      <c r="B30" s="205" t="s">
        <v>319</v>
      </c>
      <c r="C30" s="202">
        <v>16.5</v>
      </c>
      <c r="D30" t="s">
        <v>550</v>
      </c>
      <c r="E30" s="200"/>
      <c r="F30" s="53"/>
      <c r="G30" s="200">
        <v>119</v>
      </c>
      <c r="H30" s="53">
        <v>2013</v>
      </c>
      <c r="I30" s="200">
        <v>115</v>
      </c>
      <c r="J30" s="53">
        <v>2070.75</v>
      </c>
      <c r="K30" s="204">
        <v>78</v>
      </c>
      <c r="L30" s="197">
        <v>1287</v>
      </c>
      <c r="M30" s="200">
        <f t="shared" ref="M30" si="21">+E30+G30+I30+K30</f>
        <v>312</v>
      </c>
      <c r="N30" s="53">
        <f t="shared" ref="N30" si="22">+F30+H30+J30+L30</f>
        <v>5370.75</v>
      </c>
      <c r="P30" s="202">
        <f t="shared" si="1"/>
        <v>0.5</v>
      </c>
      <c r="Q30" s="197">
        <f t="shared" ref="Q30" si="23">((+E30+G30+I30+K30)*P30)*$Q$7/12</f>
        <v>156</v>
      </c>
      <c r="R30" s="197">
        <f t="shared" ref="R30" si="24">+N30+Q30</f>
        <v>5526.75</v>
      </c>
      <c r="T30" s="83" t="s">
        <v>549</v>
      </c>
    </row>
    <row r="31" spans="1:20">
      <c r="A31" t="s">
        <v>551</v>
      </c>
      <c r="B31" s="205">
        <v>43532</v>
      </c>
      <c r="C31" s="202">
        <v>17</v>
      </c>
      <c r="D31" t="s">
        <v>550</v>
      </c>
      <c r="E31" s="200">
        <v>47</v>
      </c>
      <c r="F31" s="53">
        <v>752</v>
      </c>
      <c r="G31" s="200">
        <v>72</v>
      </c>
      <c r="H31" s="53">
        <v>1268.75</v>
      </c>
      <c r="I31" s="200">
        <v>92</v>
      </c>
      <c r="J31" s="53">
        <v>1610</v>
      </c>
      <c r="K31" s="204">
        <v>30</v>
      </c>
      <c r="L31" s="197">
        <v>525</v>
      </c>
      <c r="M31" s="200">
        <f t="shared" si="15"/>
        <v>241</v>
      </c>
      <c r="N31" s="53">
        <f t="shared" si="14"/>
        <v>4155.75</v>
      </c>
      <c r="P31" s="202">
        <f t="shared" si="1"/>
        <v>0.5</v>
      </c>
      <c r="Q31" s="197">
        <f t="shared" si="16"/>
        <v>120.5</v>
      </c>
      <c r="R31" s="197">
        <f t="shared" si="10"/>
        <v>4276.25</v>
      </c>
      <c r="T31" t="s">
        <v>549</v>
      </c>
    </row>
    <row r="32" spans="1:20">
      <c r="B32" s="34"/>
      <c r="E32" s="76"/>
      <c r="F32" s="203"/>
      <c r="G32" s="203"/>
      <c r="H32" s="57"/>
      <c r="I32" s="76"/>
      <c r="J32" s="76"/>
      <c r="K32" s="76"/>
      <c r="L32" s="76"/>
      <c r="M32" s="76"/>
      <c r="N32" s="76"/>
      <c r="P32" s="202"/>
      <c r="Q32" s="201"/>
      <c r="R32" s="201"/>
    </row>
    <row r="33" spans="1:18">
      <c r="E33" s="200"/>
      <c r="F33" s="53"/>
      <c r="G33" s="200"/>
      <c r="H33" s="53"/>
      <c r="P33" s="196"/>
      <c r="Q33" s="196"/>
      <c r="R33" s="196"/>
    </row>
    <row r="34" spans="1:18">
      <c r="E34" s="200">
        <f t="shared" ref="E34:N34" si="25">SUM(E12:E31)</f>
        <v>4892</v>
      </c>
      <c r="F34" s="53">
        <f t="shared" si="25"/>
        <v>138297.65</v>
      </c>
      <c r="G34" s="200">
        <f t="shared" si="25"/>
        <v>5523</v>
      </c>
      <c r="H34" s="53">
        <f t="shared" si="25"/>
        <v>161332</v>
      </c>
      <c r="I34" s="200">
        <f t="shared" si="25"/>
        <v>5310</v>
      </c>
      <c r="J34" s="53">
        <f t="shared" si="25"/>
        <v>164466.95000000001</v>
      </c>
      <c r="K34" s="200">
        <f t="shared" si="25"/>
        <v>6194</v>
      </c>
      <c r="L34" s="53">
        <f t="shared" si="25"/>
        <v>198183.49999999997</v>
      </c>
      <c r="M34" s="200">
        <f t="shared" si="25"/>
        <v>21919</v>
      </c>
      <c r="N34" s="53">
        <f t="shared" si="25"/>
        <v>662280.09999999986</v>
      </c>
      <c r="P34" s="196"/>
      <c r="Q34" s="197">
        <f>SUM(Q12:Q31)</f>
        <v>47239.549999999988</v>
      </c>
      <c r="R34" s="197">
        <f>SUM(R12:R31)</f>
        <v>709519.65</v>
      </c>
    </row>
    <row r="35" spans="1:18">
      <c r="P35" s="196"/>
      <c r="Q35" s="196"/>
      <c r="R35" s="196"/>
    </row>
    <row r="36" spans="1:18">
      <c r="B36" s="2" t="s">
        <v>548</v>
      </c>
      <c r="C36" s="2" t="s">
        <v>547</v>
      </c>
      <c r="D36" s="2" t="s">
        <v>546</v>
      </c>
      <c r="N36" s="197">
        <f>+N15+N16+N17+N20+N21+N22+N25+N27+N28+N31</f>
        <v>427765.25</v>
      </c>
      <c r="P36" s="196">
        <v>4213</v>
      </c>
      <c r="Q36" s="197">
        <f>+Q15+Q16+Q17+Q20+Q21+Q22+Q25+Q27+Q28+Q31</f>
        <v>14142.549999999992</v>
      </c>
      <c r="R36" s="196"/>
    </row>
    <row r="37" spans="1:18">
      <c r="A37" t="s">
        <v>545</v>
      </c>
      <c r="B37" s="2" t="s">
        <v>452</v>
      </c>
      <c r="C37" s="2" t="s">
        <v>453</v>
      </c>
      <c r="D37" s="2" t="s">
        <v>453</v>
      </c>
      <c r="E37" s="2" t="s">
        <v>452</v>
      </c>
      <c r="N37" s="197">
        <f>+N19</f>
        <v>28335.75</v>
      </c>
      <c r="P37" s="196">
        <v>4215</v>
      </c>
      <c r="Q37" s="197">
        <f>+Q19</f>
        <v>1393</v>
      </c>
      <c r="R37" s="196"/>
    </row>
    <row r="38" spans="1:18">
      <c r="N38" s="197">
        <f>+N30</f>
        <v>5370.75</v>
      </c>
      <c r="P38" s="196">
        <v>4222</v>
      </c>
      <c r="Q38" s="197">
        <f>+Q30</f>
        <v>156</v>
      </c>
    </row>
    <row r="39" spans="1:18">
      <c r="A39" t="str">
        <f t="shared" ref="A39:A53" si="26">A12</f>
        <v>Glen Austin</v>
      </c>
      <c r="B39" s="205">
        <v>44259</v>
      </c>
      <c r="C39" s="195">
        <v>9564</v>
      </c>
      <c r="D39" s="688">
        <v>9033</v>
      </c>
      <c r="E39" s="84">
        <f t="shared" ref="E39" si="27">+D39-C39</f>
        <v>-531</v>
      </c>
      <c r="N39" s="197">
        <f>+N23+N24</f>
        <v>74116.66</v>
      </c>
      <c r="P39" s="196">
        <v>4611</v>
      </c>
      <c r="Q39" s="197">
        <f>+Q23+Q24</f>
        <v>1200</v>
      </c>
      <c r="R39" s="196"/>
    </row>
    <row r="40" spans="1:18">
      <c r="A40" t="str">
        <f t="shared" si="26"/>
        <v>Carrie Austin</v>
      </c>
      <c r="B40" s="205">
        <v>44259</v>
      </c>
      <c r="C40" s="195">
        <f t="shared" ref="C40:C53" si="28">+C13</f>
        <v>18</v>
      </c>
      <c r="D40" s="688">
        <v>18</v>
      </c>
      <c r="E40" s="84">
        <f t="shared" ref="E40" si="29">+D40-C40</f>
        <v>0</v>
      </c>
      <c r="N40" s="198">
        <f>+N13+N14+N18+N26+N29</f>
        <v>11926.08</v>
      </c>
      <c r="P40" s="196">
        <v>4612</v>
      </c>
      <c r="Q40" s="198">
        <f>+Q13+Q14+Q18+Q26+Q29</f>
        <v>36720</v>
      </c>
      <c r="R40" s="196"/>
    </row>
    <row r="41" spans="1:18">
      <c r="A41" t="str">
        <f t="shared" si="26"/>
        <v>Jack Austin</v>
      </c>
      <c r="B41" s="205">
        <v>44259</v>
      </c>
      <c r="C41" s="195">
        <f t="shared" si="28"/>
        <v>14</v>
      </c>
      <c r="D41" s="688">
        <v>14</v>
      </c>
      <c r="E41" s="84">
        <f t="shared" ref="E41" si="30">+D41-C41</f>
        <v>0</v>
      </c>
      <c r="N41" s="199">
        <f>+N12</f>
        <v>114765.61</v>
      </c>
      <c r="P41" s="196">
        <v>4613</v>
      </c>
      <c r="Q41" s="199">
        <f>+Q12</f>
        <v>-6372</v>
      </c>
      <c r="R41" s="196"/>
    </row>
    <row r="42" spans="1:18">
      <c r="A42" t="str">
        <f t="shared" si="26"/>
        <v>Narciso Cortes</v>
      </c>
      <c r="B42" s="205">
        <v>44259</v>
      </c>
      <c r="C42" s="195">
        <f t="shared" si="28"/>
        <v>19.600000000000001</v>
      </c>
      <c r="D42" s="688">
        <v>20.25</v>
      </c>
      <c r="E42" s="84">
        <f t="shared" ref="E42:E43" si="31">+D42-C42</f>
        <v>0.64999999999999858</v>
      </c>
      <c r="N42" s="198"/>
      <c r="P42" s="196"/>
      <c r="Q42" s="198"/>
      <c r="R42" s="196"/>
    </row>
    <row r="43" spans="1:18">
      <c r="A43" t="str">
        <f t="shared" si="26"/>
        <v>Felipe De La Mora</v>
      </c>
      <c r="B43" s="205">
        <v>44259</v>
      </c>
      <c r="C43" s="195">
        <f t="shared" si="28"/>
        <v>22</v>
      </c>
      <c r="D43" s="688">
        <v>22.5</v>
      </c>
      <c r="E43" s="84">
        <f t="shared" si="31"/>
        <v>0.5</v>
      </c>
      <c r="N43" s="197">
        <f>SUM(N36:N41)</f>
        <v>662280.1</v>
      </c>
      <c r="P43" s="196"/>
      <c r="Q43" s="197">
        <f>SUM(Q36:Q41)</f>
        <v>47239.549999999988</v>
      </c>
      <c r="R43" s="196"/>
    </row>
    <row r="44" spans="1:18">
      <c r="A44" t="str">
        <f t="shared" si="26"/>
        <v>Jackson Engstrom</v>
      </c>
      <c r="B44" s="205">
        <v>44259</v>
      </c>
      <c r="C44" s="195">
        <f t="shared" si="28"/>
        <v>20</v>
      </c>
      <c r="D44" s="688">
        <v>20</v>
      </c>
      <c r="E44" s="84">
        <f t="shared" ref="E44:E58" si="32">+D44-C44</f>
        <v>0</v>
      </c>
      <c r="R44" s="196"/>
    </row>
    <row r="45" spans="1:18">
      <c r="A45" t="str">
        <f t="shared" si="26"/>
        <v>Paul Hunter</v>
      </c>
      <c r="B45" s="205">
        <v>44259</v>
      </c>
      <c r="C45" s="195">
        <f t="shared" si="28"/>
        <v>50</v>
      </c>
      <c r="D45" s="688">
        <v>50</v>
      </c>
      <c r="E45" s="84">
        <f t="shared" si="32"/>
        <v>0</v>
      </c>
      <c r="G45" s="127" t="s">
        <v>544</v>
      </c>
      <c r="P45" s="196"/>
      <c r="Q45" s="196"/>
      <c r="R45" s="196"/>
    </row>
    <row r="46" spans="1:18">
      <c r="A46" t="str">
        <f t="shared" si="26"/>
        <v>Randy Lloyd</v>
      </c>
      <c r="B46" s="205">
        <v>44259</v>
      </c>
      <c r="C46" s="195">
        <f t="shared" si="28"/>
        <v>20</v>
      </c>
      <c r="D46" s="688">
        <v>21</v>
      </c>
      <c r="E46" s="84">
        <f t="shared" ref="E46" si="33">+D46-C46</f>
        <v>1</v>
      </c>
      <c r="G46" s="127"/>
      <c r="P46" s="196"/>
      <c r="Q46" s="196"/>
      <c r="R46" s="196"/>
    </row>
    <row r="47" spans="1:18">
      <c r="A47" t="str">
        <f t="shared" si="26"/>
        <v>Mario Loera</v>
      </c>
      <c r="B47" s="205">
        <v>44259</v>
      </c>
      <c r="C47" s="195">
        <f t="shared" si="28"/>
        <v>25</v>
      </c>
      <c r="D47" s="688">
        <v>26</v>
      </c>
      <c r="E47" s="84">
        <f t="shared" si="32"/>
        <v>1</v>
      </c>
      <c r="P47" s="196"/>
      <c r="Q47" s="196"/>
      <c r="R47" s="196"/>
    </row>
    <row r="48" spans="1:18">
      <c r="A48" t="str">
        <f t="shared" si="26"/>
        <v>Roberto Anaya Luna</v>
      </c>
      <c r="B48" s="205">
        <v>44259</v>
      </c>
      <c r="C48" s="195">
        <f t="shared" si="28"/>
        <v>21</v>
      </c>
      <c r="D48" s="688">
        <v>21.65</v>
      </c>
      <c r="E48" s="84">
        <f t="shared" si="32"/>
        <v>0.64999999999999858</v>
      </c>
    </row>
    <row r="49" spans="1:6">
      <c r="A49" t="str">
        <f t="shared" si="26"/>
        <v>Jerry Mckinney</v>
      </c>
      <c r="B49" s="205">
        <v>44259</v>
      </c>
      <c r="C49" s="195">
        <f t="shared" si="28"/>
        <v>31</v>
      </c>
      <c r="D49" s="688">
        <v>32.25</v>
      </c>
      <c r="E49" s="84">
        <f t="shared" si="32"/>
        <v>1.25</v>
      </c>
    </row>
    <row r="50" spans="1:6">
      <c r="A50" t="str">
        <f t="shared" si="26"/>
        <v>Leo Miller</v>
      </c>
      <c r="B50" s="205">
        <v>44259</v>
      </c>
      <c r="C50" s="195">
        <f t="shared" si="28"/>
        <v>6100</v>
      </c>
      <c r="D50" s="688">
        <v>6200</v>
      </c>
      <c r="E50" s="84">
        <f t="shared" si="32"/>
        <v>100</v>
      </c>
    </row>
    <row r="51" spans="1:6">
      <c r="A51" t="str">
        <f t="shared" si="26"/>
        <v>Polly Miller</v>
      </c>
      <c r="B51" s="205">
        <v>44259</v>
      </c>
      <c r="C51" s="195">
        <f t="shared" si="28"/>
        <v>100</v>
      </c>
      <c r="D51" s="688">
        <v>100</v>
      </c>
      <c r="E51" s="84">
        <f t="shared" si="32"/>
        <v>0</v>
      </c>
    </row>
    <row r="52" spans="1:6">
      <c r="A52" t="str">
        <f t="shared" si="26"/>
        <v>Douglas Ramsey</v>
      </c>
      <c r="B52" s="205">
        <v>44259</v>
      </c>
      <c r="C52" s="195">
        <f t="shared" si="28"/>
        <v>21</v>
      </c>
      <c r="D52" s="688">
        <v>22</v>
      </c>
      <c r="E52" s="84">
        <f t="shared" si="32"/>
        <v>1</v>
      </c>
    </row>
    <row r="53" spans="1:6">
      <c r="A53" t="str">
        <f t="shared" si="26"/>
        <v>Caitylyn Rinehart</v>
      </c>
      <c r="B53" s="205">
        <v>44259</v>
      </c>
      <c r="C53" s="195">
        <f t="shared" si="28"/>
        <v>15</v>
      </c>
      <c r="D53" s="688">
        <v>15</v>
      </c>
      <c r="E53" s="84">
        <f t="shared" si="32"/>
        <v>0</v>
      </c>
    </row>
    <row r="54" spans="1:6">
      <c r="A54" t="str">
        <f t="shared" ref="A54" si="34">A27</f>
        <v>Ryan Sargent</v>
      </c>
      <c r="B54" s="205">
        <v>44259</v>
      </c>
      <c r="C54" s="195">
        <f t="shared" ref="C54" si="35">+C27</f>
        <v>16.5</v>
      </c>
      <c r="D54" s="688">
        <v>17</v>
      </c>
      <c r="E54" s="84">
        <f t="shared" ref="E54" si="36">+D54-C54</f>
        <v>0.5</v>
      </c>
    </row>
    <row r="55" spans="1:6">
      <c r="A55" t="str">
        <f>A28</f>
        <v>Allen Tilbury</v>
      </c>
      <c r="B55" s="205">
        <v>44259</v>
      </c>
      <c r="C55" s="195">
        <f>+C28</f>
        <v>20</v>
      </c>
      <c r="D55" s="689">
        <v>20.75</v>
      </c>
      <c r="E55" s="84">
        <f t="shared" si="32"/>
        <v>0.75</v>
      </c>
    </row>
    <row r="56" spans="1:6">
      <c r="A56" s="693" t="s">
        <v>1440</v>
      </c>
      <c r="B56" s="205">
        <v>44259</v>
      </c>
      <c r="C56" s="195">
        <v>0</v>
      </c>
      <c r="D56" s="689">
        <v>36720</v>
      </c>
      <c r="E56" s="84">
        <f t="shared" si="32"/>
        <v>36720</v>
      </c>
      <c r="F56" s="83"/>
    </row>
    <row r="57" spans="1:6">
      <c r="A57" t="str">
        <f>A30</f>
        <v>Roberto Vejar</v>
      </c>
      <c r="B57" s="205">
        <v>44259</v>
      </c>
      <c r="C57" s="195">
        <v>16.5</v>
      </c>
      <c r="D57" s="689">
        <v>17</v>
      </c>
      <c r="E57" s="84">
        <f t="shared" ref="E57" si="37">+D57-C57</f>
        <v>0.5</v>
      </c>
      <c r="F57" s="83"/>
    </row>
    <row r="58" spans="1:6">
      <c r="A58" t="str">
        <f>A31</f>
        <v>Terry Verellen</v>
      </c>
      <c r="B58" s="205">
        <v>44259</v>
      </c>
      <c r="C58" s="195">
        <f>+C31</f>
        <v>17</v>
      </c>
      <c r="D58" s="689">
        <v>17.5</v>
      </c>
      <c r="E58" s="84">
        <f t="shared" si="32"/>
        <v>0.5</v>
      </c>
    </row>
  </sheetData>
  <pageMargins left="0.2" right="0.59" top="0.51" bottom="0.5" header="0.5" footer="0.5"/>
  <pageSetup scale="7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D4" sqref="D4"/>
    </sheetView>
  </sheetViews>
  <sheetFormatPr defaultRowHeight="12.75"/>
  <cols>
    <col min="1" max="1" width="14.140625" customWidth="1"/>
    <col min="5" max="5" width="10.7109375" customWidth="1"/>
    <col min="6" max="6" width="9.28515625" bestFit="1" customWidth="1"/>
    <col min="7" max="7" width="10.5703125" customWidth="1"/>
    <col min="8" max="8" width="10.28515625" bestFit="1" customWidth="1"/>
  </cols>
  <sheetData>
    <row r="1" spans="1:15">
      <c r="A1" t="s">
        <v>0</v>
      </c>
    </row>
    <row r="3" spans="1:15">
      <c r="A3" t="s">
        <v>264</v>
      </c>
      <c r="D3" s="693" t="s">
        <v>1414</v>
      </c>
      <c r="E3" s="693" t="s">
        <v>702</v>
      </c>
    </row>
    <row r="5" spans="1:15">
      <c r="A5" s="694">
        <v>2020</v>
      </c>
    </row>
    <row r="9" spans="1:15">
      <c r="A9" t="s">
        <v>589</v>
      </c>
      <c r="C9" s="2" t="s">
        <v>191</v>
      </c>
      <c r="D9" s="2" t="s">
        <v>588</v>
      </c>
      <c r="E9" s="2" t="s">
        <v>191</v>
      </c>
      <c r="F9" s="2" t="s">
        <v>588</v>
      </c>
    </row>
    <row r="10" spans="1:15">
      <c r="A10" s="76" t="s">
        <v>587</v>
      </c>
      <c r="B10" s="76"/>
      <c r="C10" s="131" t="s">
        <v>198</v>
      </c>
      <c r="D10" s="131" t="s">
        <v>198</v>
      </c>
      <c r="E10" s="131" t="s">
        <v>586</v>
      </c>
      <c r="F10" s="131" t="s">
        <v>586</v>
      </c>
      <c r="G10" s="76"/>
      <c r="H10" s="76" t="s">
        <v>119</v>
      </c>
    </row>
    <row r="12" spans="1:15">
      <c r="A12" s="173">
        <v>43921</v>
      </c>
      <c r="C12" s="221">
        <v>3692</v>
      </c>
      <c r="D12" s="221">
        <v>650</v>
      </c>
      <c r="E12" s="220">
        <v>5707.09</v>
      </c>
      <c r="F12" s="220">
        <v>93.5</v>
      </c>
      <c r="G12" s="53"/>
      <c r="H12" s="53">
        <f>+E12+F12</f>
        <v>5800.59</v>
      </c>
    </row>
    <row r="13" spans="1:15">
      <c r="A13" s="173">
        <v>44012</v>
      </c>
      <c r="C13" s="221">
        <v>4771</v>
      </c>
      <c r="D13" s="221">
        <v>645</v>
      </c>
      <c r="E13" s="220">
        <v>7375.01</v>
      </c>
      <c r="F13" s="220">
        <v>92.82</v>
      </c>
      <c r="G13" s="53"/>
      <c r="H13" s="53">
        <f>+E13+F13</f>
        <v>7467.83</v>
      </c>
    </row>
    <row r="14" spans="1:15">
      <c r="A14" s="222">
        <v>44104</v>
      </c>
      <c r="C14" s="221">
        <v>4524</v>
      </c>
      <c r="D14" s="221">
        <v>636</v>
      </c>
      <c r="E14" s="220">
        <v>6993.2</v>
      </c>
      <c r="F14" s="220">
        <v>91.52</v>
      </c>
      <c r="G14" s="53"/>
      <c r="H14" s="53">
        <f>+E14+F14</f>
        <v>7084.72</v>
      </c>
    </row>
    <row r="15" spans="1:15">
      <c r="A15" s="173">
        <v>44196</v>
      </c>
      <c r="C15" s="221">
        <v>5165</v>
      </c>
      <c r="D15" s="221">
        <v>647</v>
      </c>
      <c r="E15" s="220">
        <v>7984.06</v>
      </c>
      <c r="F15" s="220">
        <v>93.1</v>
      </c>
      <c r="G15" s="53"/>
      <c r="H15" s="53">
        <f>+E15+F15</f>
        <v>8077.1600000000008</v>
      </c>
      <c r="J15" s="111"/>
      <c r="K15" s="196"/>
      <c r="L15" s="196"/>
      <c r="M15" s="196"/>
      <c r="N15" s="196"/>
      <c r="O15" s="196"/>
    </row>
    <row r="16" spans="1:15">
      <c r="C16" s="200"/>
      <c r="D16" s="200"/>
      <c r="E16" s="53"/>
      <c r="F16" s="53"/>
      <c r="G16" s="53"/>
      <c r="H16" s="53"/>
    </row>
    <row r="17" spans="1:8">
      <c r="A17" t="s">
        <v>119</v>
      </c>
      <c r="C17" s="200">
        <f>SUM(C12:C15)</f>
        <v>18152</v>
      </c>
      <c r="D17" s="200">
        <f>SUM(D12:D15)</f>
        <v>2578</v>
      </c>
      <c r="E17" s="53">
        <f>SUM(E12:E15)</f>
        <v>28059.360000000001</v>
      </c>
      <c r="F17" s="53">
        <f>SUM(F12:F15)</f>
        <v>370.93999999999994</v>
      </c>
      <c r="G17" s="53"/>
      <c r="H17" s="53">
        <f>SUM(H12:H15)</f>
        <v>28430.3</v>
      </c>
    </row>
    <row r="19" spans="1:8">
      <c r="A19" t="s">
        <v>90</v>
      </c>
      <c r="E19" s="219"/>
      <c r="F19" s="219"/>
      <c r="G19" s="219"/>
      <c r="H19" s="219">
        <f>+E19</f>
        <v>0</v>
      </c>
    </row>
    <row r="20" spans="1:8">
      <c r="A20" t="s">
        <v>585</v>
      </c>
      <c r="E20" s="44">
        <v>-5193.17</v>
      </c>
      <c r="F20" s="44">
        <v>-168.96</v>
      </c>
      <c r="H20" s="57">
        <f>+E20+F20</f>
        <v>-5362.13</v>
      </c>
    </row>
    <row r="21" spans="1:8">
      <c r="H21" s="84"/>
    </row>
    <row r="22" spans="1:8" ht="13.5" thickBot="1">
      <c r="A22" t="s">
        <v>85</v>
      </c>
      <c r="E22" s="218">
        <f>+E17+E19+E20</f>
        <v>22866.190000000002</v>
      </c>
      <c r="F22" s="218">
        <f>+F17+F20</f>
        <v>201.97999999999993</v>
      </c>
      <c r="G22" s="213"/>
      <c r="H22" s="218">
        <f>+H17+E19+H20</f>
        <v>23068.17</v>
      </c>
    </row>
    <row r="23" spans="1:8" ht="13.5" thickTop="1">
      <c r="H23" s="84"/>
    </row>
    <row r="25" spans="1:8">
      <c r="A25" t="s">
        <v>584</v>
      </c>
      <c r="E25" s="217">
        <f>+E17/C17</f>
        <v>1.5457999118554429</v>
      </c>
      <c r="F25" s="217">
        <f>+F17/D17</f>
        <v>0.14388673390224979</v>
      </c>
    </row>
    <row r="26" spans="1:8">
      <c r="E26" s="217"/>
      <c r="F26" s="217"/>
    </row>
    <row r="27" spans="1:8">
      <c r="A27" t="s">
        <v>583</v>
      </c>
      <c r="E27" s="216">
        <v>1.5087999999999999</v>
      </c>
      <c r="F27" s="216">
        <v>0.157</v>
      </c>
    </row>
    <row r="28" spans="1:8">
      <c r="A28" t="s">
        <v>582</v>
      </c>
      <c r="E28" s="216">
        <v>0.27900000000000003</v>
      </c>
      <c r="F28" s="216">
        <v>7.2599999999999998E-2</v>
      </c>
    </row>
    <row r="31" spans="1:8">
      <c r="A31" t="s">
        <v>581</v>
      </c>
      <c r="E31" s="56">
        <f>+C17*E27</f>
        <v>27387.737599999997</v>
      </c>
      <c r="F31" s="56">
        <f>+D17*F27</f>
        <v>404.74599999999998</v>
      </c>
      <c r="G31" s="213"/>
    </row>
    <row r="32" spans="1:8">
      <c r="E32" s="213"/>
      <c r="F32" s="213"/>
      <c r="G32" s="213"/>
    </row>
    <row r="33" spans="1:9">
      <c r="A33" t="s">
        <v>580</v>
      </c>
      <c r="E33" s="50">
        <f>+-C17*E28</f>
        <v>-5064.4080000000004</v>
      </c>
      <c r="F33" s="50">
        <f>+-D17*F28</f>
        <v>-187.1628</v>
      </c>
      <c r="G33" s="213"/>
    </row>
    <row r="34" spans="1:9">
      <c r="E34" s="215"/>
      <c r="F34" s="215"/>
      <c r="G34" s="213"/>
    </row>
    <row r="35" spans="1:9" ht="13.5" thickBot="1">
      <c r="A35" t="s">
        <v>579</v>
      </c>
      <c r="E35" s="214">
        <f>-E22</f>
        <v>-22866.190000000002</v>
      </c>
      <c r="F35" s="214">
        <f>-F22</f>
        <v>-201.97999999999993</v>
      </c>
      <c r="G35" s="213"/>
    </row>
    <row r="36" spans="1:9">
      <c r="E36" s="213"/>
      <c r="F36" s="213"/>
      <c r="G36" s="213"/>
      <c r="I36" s="212"/>
    </row>
    <row r="37" spans="1:9" ht="13.5" thickBot="1">
      <c r="A37" t="s">
        <v>578</v>
      </c>
      <c r="E37" s="211">
        <f>SUM(E31:E35)</f>
        <v>-542.86040000000503</v>
      </c>
      <c r="F37" s="211">
        <f>SUM(F31:F35)</f>
        <v>15.603200000000044</v>
      </c>
      <c r="G37" s="211">
        <f>+E37+F37</f>
        <v>-527.25720000000501</v>
      </c>
    </row>
    <row r="38" spans="1:9" ht="13.5" thickTop="1">
      <c r="I38" s="83"/>
    </row>
    <row r="40" spans="1:9">
      <c r="H40" s="83"/>
    </row>
  </sheetData>
  <pageMargins left="0.31" right="0.3" top="0.54" bottom="1" header="0.5" footer="0.5"/>
  <pageSetup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J7" sqref="J7"/>
    </sheetView>
  </sheetViews>
  <sheetFormatPr defaultRowHeight="12.75"/>
  <cols>
    <col min="4" max="4" width="9.7109375" customWidth="1"/>
    <col min="6" max="6" width="11" customWidth="1"/>
  </cols>
  <sheetData>
    <row r="1" spans="1:10">
      <c r="A1" t="s">
        <v>0</v>
      </c>
    </row>
    <row r="3" spans="1:10">
      <c r="A3" t="s">
        <v>265</v>
      </c>
      <c r="E3" s="693" t="s">
        <v>1414</v>
      </c>
      <c r="F3" s="693" t="s">
        <v>702</v>
      </c>
    </row>
    <row r="5" spans="1:10">
      <c r="A5" s="223">
        <v>2020</v>
      </c>
    </row>
    <row r="9" spans="1:10">
      <c r="D9" s="2" t="s">
        <v>459</v>
      </c>
      <c r="F9" t="s">
        <v>460</v>
      </c>
    </row>
    <row r="10" spans="1:10">
      <c r="D10" s="2" t="s">
        <v>593</v>
      </c>
      <c r="F10" t="s">
        <v>89</v>
      </c>
    </row>
    <row r="11" spans="1:10">
      <c r="A11" s="76" t="s">
        <v>592</v>
      </c>
      <c r="B11" s="76"/>
      <c r="C11" s="76"/>
      <c r="D11" s="131" t="s">
        <v>591</v>
      </c>
      <c r="E11" s="76"/>
      <c r="F11" s="76" t="s">
        <v>108</v>
      </c>
    </row>
    <row r="13" spans="1:10">
      <c r="A13" t="s">
        <v>567</v>
      </c>
      <c r="D13" s="220">
        <v>768.28</v>
      </c>
      <c r="E13" s="53">
        <v>12</v>
      </c>
      <c r="F13" s="53">
        <f t="shared" ref="F13:F22" si="0">+D13*E13</f>
        <v>9219.36</v>
      </c>
      <c r="G13" s="53"/>
    </row>
    <row r="14" spans="1:10">
      <c r="A14" s="83" t="s">
        <v>561</v>
      </c>
      <c r="D14" s="220">
        <v>768.28</v>
      </c>
      <c r="E14" s="53">
        <v>12</v>
      </c>
      <c r="F14" s="53">
        <f t="shared" si="0"/>
        <v>9219.36</v>
      </c>
      <c r="G14" s="53"/>
    </row>
    <row r="15" spans="1:10">
      <c r="A15" t="s">
        <v>590</v>
      </c>
      <c r="D15" s="220">
        <v>768.28</v>
      </c>
      <c r="E15" s="53">
        <v>12</v>
      </c>
      <c r="F15" s="53">
        <f t="shared" si="0"/>
        <v>9219.36</v>
      </c>
      <c r="G15" s="53"/>
      <c r="J15" s="83"/>
    </row>
    <row r="16" spans="1:10">
      <c r="A16" t="s">
        <v>565</v>
      </c>
      <c r="D16" s="220">
        <v>768.28</v>
      </c>
      <c r="E16" s="53">
        <v>12</v>
      </c>
      <c r="F16" s="53">
        <f t="shared" si="0"/>
        <v>9219.36</v>
      </c>
      <c r="G16" s="53"/>
    </row>
    <row r="17" spans="1:10">
      <c r="A17" s="83" t="s">
        <v>562</v>
      </c>
      <c r="D17" s="220">
        <v>768.28</v>
      </c>
      <c r="E17" s="53">
        <v>12</v>
      </c>
      <c r="F17" s="53">
        <f t="shared" si="0"/>
        <v>9219.36</v>
      </c>
      <c r="G17" s="53"/>
    </row>
    <row r="18" spans="1:10">
      <c r="A18" t="s">
        <v>560</v>
      </c>
      <c r="D18" s="220">
        <v>768.28</v>
      </c>
      <c r="E18" s="53">
        <v>12</v>
      </c>
      <c r="F18" s="53">
        <f t="shared" si="0"/>
        <v>9219.36</v>
      </c>
      <c r="G18" s="53"/>
    </row>
    <row r="19" spans="1:10">
      <c r="A19" s="83" t="s">
        <v>556</v>
      </c>
      <c r="D19" s="220">
        <v>768.28</v>
      </c>
      <c r="E19" s="53">
        <v>12</v>
      </c>
      <c r="F19" s="53">
        <f t="shared" si="0"/>
        <v>9219.36</v>
      </c>
      <c r="G19" s="53"/>
    </row>
    <row r="20" spans="1:10">
      <c r="A20" s="693" t="s">
        <v>1394</v>
      </c>
      <c r="D20" s="220">
        <v>768.28</v>
      </c>
      <c r="E20" s="53">
        <v>12</v>
      </c>
      <c r="F20" s="53">
        <f t="shared" ref="F20" si="1">+D20*E20</f>
        <v>9219.36</v>
      </c>
      <c r="G20" s="53"/>
    </row>
    <row r="21" spans="1:10">
      <c r="A21" s="83" t="s">
        <v>554</v>
      </c>
      <c r="D21" s="220">
        <v>768.28</v>
      </c>
      <c r="E21" s="53">
        <v>12</v>
      </c>
      <c r="F21" s="53">
        <f t="shared" si="0"/>
        <v>9219.36</v>
      </c>
      <c r="G21" s="53"/>
    </row>
    <row r="22" spans="1:10" ht="13.5" thickBot="1">
      <c r="A22" s="83" t="s">
        <v>553</v>
      </c>
      <c r="D22" s="226">
        <v>0</v>
      </c>
      <c r="E22" s="225">
        <v>12</v>
      </c>
      <c r="F22" s="225">
        <f t="shared" si="0"/>
        <v>0</v>
      </c>
      <c r="G22" s="53"/>
      <c r="J22" s="83"/>
    </row>
    <row r="23" spans="1:10">
      <c r="D23" s="53"/>
      <c r="E23" s="53"/>
      <c r="F23" s="53"/>
      <c r="G23" s="53"/>
    </row>
    <row r="24" spans="1:10">
      <c r="A24" t="s">
        <v>119</v>
      </c>
      <c r="D24" s="53">
        <f>SUM(D13:D22)</f>
        <v>6914.5199999999986</v>
      </c>
      <c r="E24" s="53"/>
      <c r="F24" s="53">
        <f>SUM(F13:F22)</f>
        <v>82974.240000000005</v>
      </c>
      <c r="G24" s="53"/>
      <c r="J24" s="83"/>
    </row>
    <row r="25" spans="1:10">
      <c r="D25" s="53"/>
      <c r="E25" s="53"/>
      <c r="F25" s="53"/>
      <c r="G25" s="53"/>
      <c r="J25" s="83"/>
    </row>
    <row r="26" spans="1:10" ht="13.5" thickBot="1">
      <c r="A26" t="s">
        <v>267</v>
      </c>
      <c r="D26" s="53"/>
      <c r="E26" s="53"/>
      <c r="F26" s="225">
        <f>-'Results of Operations Staff '!C75</f>
        <v>-71695.320000000022</v>
      </c>
      <c r="G26" s="53"/>
      <c r="J26" s="83"/>
    </row>
    <row r="28" spans="1:10" ht="13.5" thickBot="1">
      <c r="A28" t="s">
        <v>578</v>
      </c>
      <c r="F28" s="224">
        <f>+F24+F26</f>
        <v>11278.919999999984</v>
      </c>
      <c r="J28" s="83"/>
    </row>
    <row r="29" spans="1:10" ht="13.5" thickTop="1"/>
    <row r="31" spans="1:10">
      <c r="J31" s="83"/>
    </row>
    <row r="32" spans="1:10">
      <c r="J32" s="83"/>
    </row>
    <row r="33" spans="10:10">
      <c r="J33" s="83"/>
    </row>
    <row r="34" spans="10:10">
      <c r="J34" s="83"/>
    </row>
    <row r="35" spans="10:10">
      <c r="J35" s="83"/>
    </row>
    <row r="36" spans="10:10">
      <c r="J36" s="83"/>
    </row>
  </sheetData>
  <pageMargins left="0.31" right="0.3" top="0.47" bottom="0.36" header="0.5" footer="0.5"/>
  <pageSetup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D4" sqref="D4"/>
    </sheetView>
  </sheetViews>
  <sheetFormatPr defaultRowHeight="12.75"/>
  <cols>
    <col min="1" max="1" width="13.140625" customWidth="1"/>
    <col min="2" max="2" width="13.7109375" customWidth="1"/>
    <col min="4" max="4" width="11.140625" customWidth="1"/>
    <col min="5" max="5" width="12.85546875" customWidth="1"/>
    <col min="8" max="8" width="11.7109375" customWidth="1"/>
    <col min="9" max="9" width="11.42578125" customWidth="1"/>
  </cols>
  <sheetData>
    <row r="1" spans="1:10">
      <c r="A1" t="s">
        <v>0</v>
      </c>
    </row>
    <row r="3" spans="1:10">
      <c r="A3" t="s">
        <v>601</v>
      </c>
      <c r="D3" s="693" t="s">
        <v>1414</v>
      </c>
      <c r="E3" s="693" t="s">
        <v>702</v>
      </c>
    </row>
    <row r="5" spans="1:10">
      <c r="A5" s="692" t="s">
        <v>1386</v>
      </c>
    </row>
    <row r="9" spans="1:10">
      <c r="A9" s="16" t="s">
        <v>600</v>
      </c>
      <c r="B9" s="2"/>
      <c r="D9" s="16" t="s">
        <v>599</v>
      </c>
      <c r="E9" s="2"/>
      <c r="G9" t="s">
        <v>598</v>
      </c>
    </row>
    <row r="11" spans="1:10">
      <c r="A11" s="76" t="s">
        <v>597</v>
      </c>
      <c r="B11" s="131" t="s">
        <v>152</v>
      </c>
      <c r="D11" s="76" t="s">
        <v>597</v>
      </c>
      <c r="E11" s="131" t="s">
        <v>152</v>
      </c>
      <c r="G11" s="131" t="s">
        <v>107</v>
      </c>
      <c r="H11" s="131" t="s">
        <v>113</v>
      </c>
      <c r="I11" s="131" t="s">
        <v>110</v>
      </c>
      <c r="J11" s="131" t="s">
        <v>107</v>
      </c>
    </row>
    <row r="12" spans="1:10">
      <c r="A12" t="s">
        <v>510</v>
      </c>
      <c r="B12" s="6">
        <f>'Monthy Income Statements'!C$11</f>
        <v>20661.150000000001</v>
      </c>
      <c r="D12" t="str">
        <f t="shared" ref="D12:D23" si="0">+A12</f>
        <v>October</v>
      </c>
      <c r="E12" s="6">
        <f>'Monthy Income Statements'!C$12</f>
        <v>8657.16</v>
      </c>
      <c r="G12" s="139">
        <v>0</v>
      </c>
      <c r="H12" s="53">
        <f t="shared" ref="H12:H23" si="1">+B12*(1+G12)</f>
        <v>20661.150000000001</v>
      </c>
      <c r="I12" s="53">
        <f t="shared" ref="I12:I23" si="2">+E12*(1+J12)</f>
        <v>8657.16</v>
      </c>
      <c r="J12" s="10">
        <v>0</v>
      </c>
    </row>
    <row r="13" spans="1:10">
      <c r="A13" t="s">
        <v>509</v>
      </c>
      <c r="B13" s="6">
        <f>'Monthy Income Statements'!D$11</f>
        <v>17885.98</v>
      </c>
      <c r="D13" t="str">
        <f t="shared" si="0"/>
        <v>November</v>
      </c>
      <c r="E13" s="6">
        <f>'Monthy Income Statements'!D$12</f>
        <v>8449.16</v>
      </c>
      <c r="G13" s="139">
        <v>0</v>
      </c>
      <c r="H13" s="53">
        <f t="shared" si="1"/>
        <v>17885.98</v>
      </c>
      <c r="I13" s="53">
        <f t="shared" si="2"/>
        <v>8449.16</v>
      </c>
      <c r="J13" s="10">
        <v>0</v>
      </c>
    </row>
    <row r="14" spans="1:10">
      <c r="A14" s="18" t="s">
        <v>508</v>
      </c>
      <c r="B14" s="6">
        <f>'Monthy Income Statements'!E$11</f>
        <v>20120.82</v>
      </c>
      <c r="C14" s="18"/>
      <c r="D14" s="18" t="str">
        <f t="shared" si="0"/>
        <v>December</v>
      </c>
      <c r="E14" s="6">
        <f>'Monthy Income Statements'!E$12</f>
        <v>8411.9500000000007</v>
      </c>
      <c r="G14" s="139">
        <v>0</v>
      </c>
      <c r="H14" s="53">
        <f t="shared" si="1"/>
        <v>20120.82</v>
      </c>
      <c r="I14" s="53">
        <f t="shared" si="2"/>
        <v>8411.9500000000007</v>
      </c>
      <c r="J14" s="10">
        <v>0</v>
      </c>
    </row>
    <row r="15" spans="1:10">
      <c r="A15" t="s">
        <v>519</v>
      </c>
      <c r="B15" s="6">
        <f>'Monthy Income Statements'!F$11</f>
        <v>21088.26</v>
      </c>
      <c r="D15" t="str">
        <f t="shared" si="0"/>
        <v>January</v>
      </c>
      <c r="E15" s="6">
        <f>'Monthy Income Statements'!F$12</f>
        <v>8401.4</v>
      </c>
      <c r="G15" s="139">
        <v>0</v>
      </c>
      <c r="H15" s="53">
        <f t="shared" si="1"/>
        <v>21088.26</v>
      </c>
      <c r="I15" s="53">
        <f t="shared" si="2"/>
        <v>8401.4</v>
      </c>
      <c r="J15" s="10">
        <v>0</v>
      </c>
    </row>
    <row r="16" spans="1:10">
      <c r="A16" t="s">
        <v>518</v>
      </c>
      <c r="B16" s="6">
        <f>'Monthy Income Statements'!G$11</f>
        <v>19657.71</v>
      </c>
      <c r="D16" t="str">
        <f t="shared" si="0"/>
        <v>February</v>
      </c>
      <c r="E16" s="6">
        <f>'Monthy Income Statements'!G$12</f>
        <v>8526.0499999999993</v>
      </c>
      <c r="G16" s="139">
        <v>0</v>
      </c>
      <c r="H16" s="53">
        <f t="shared" si="1"/>
        <v>19657.71</v>
      </c>
      <c r="I16" s="53">
        <f t="shared" si="2"/>
        <v>8526.0499999999993</v>
      </c>
      <c r="J16" s="10">
        <v>0</v>
      </c>
    </row>
    <row r="17" spans="1:10">
      <c r="A17" t="s">
        <v>517</v>
      </c>
      <c r="B17" s="6">
        <f>'Monthy Income Statements'!H$11</f>
        <v>20954.03</v>
      </c>
      <c r="D17" t="str">
        <f t="shared" si="0"/>
        <v>March</v>
      </c>
      <c r="E17" s="6">
        <f>'Monthy Income Statements'!H$12</f>
        <v>8430.98</v>
      </c>
      <c r="G17" s="139">
        <v>0</v>
      </c>
      <c r="H17" s="53">
        <f t="shared" si="1"/>
        <v>20954.03</v>
      </c>
      <c r="I17" s="53">
        <f t="shared" si="2"/>
        <v>8430.98</v>
      </c>
      <c r="J17" s="10">
        <v>0</v>
      </c>
    </row>
    <row r="18" spans="1:10">
      <c r="A18" t="s">
        <v>516</v>
      </c>
      <c r="B18" s="6">
        <f>'Monthy Income Statements'!I$11</f>
        <v>17451.55</v>
      </c>
      <c r="D18" t="str">
        <f t="shared" si="0"/>
        <v>April</v>
      </c>
      <c r="E18" s="6">
        <f>'Monthy Income Statements'!I$12</f>
        <v>8830.41</v>
      </c>
      <c r="G18" s="139">
        <v>0</v>
      </c>
      <c r="H18" s="53">
        <f t="shared" si="1"/>
        <v>17451.55</v>
      </c>
      <c r="I18" s="53">
        <f t="shared" si="2"/>
        <v>8830.41</v>
      </c>
      <c r="J18" s="10">
        <v>0</v>
      </c>
    </row>
    <row r="19" spans="1:10">
      <c r="A19" t="s">
        <v>515</v>
      </c>
      <c r="B19" s="6">
        <f>'Monthy Income Statements'!J$11</f>
        <v>19660.29</v>
      </c>
      <c r="D19" t="str">
        <f t="shared" si="0"/>
        <v>May</v>
      </c>
      <c r="E19" s="6">
        <f>'Monthy Income Statements'!J$12</f>
        <v>9035.81</v>
      </c>
      <c r="G19" s="139">
        <v>0</v>
      </c>
      <c r="H19" s="53">
        <f t="shared" si="1"/>
        <v>19660.29</v>
      </c>
      <c r="I19" s="53">
        <f t="shared" si="2"/>
        <v>9035.81</v>
      </c>
      <c r="J19" s="10">
        <v>0</v>
      </c>
    </row>
    <row r="20" spans="1:10">
      <c r="A20" s="18" t="s">
        <v>514</v>
      </c>
      <c r="B20" s="6">
        <f>'Monthy Income Statements'!K$11</f>
        <v>20713.349999999999</v>
      </c>
      <c r="D20" t="str">
        <f t="shared" si="0"/>
        <v>June</v>
      </c>
      <c r="E20" s="6">
        <f>'Monthy Income Statements'!K$12</f>
        <v>8824.67</v>
      </c>
      <c r="G20" s="139">
        <v>0</v>
      </c>
      <c r="H20" s="53">
        <f t="shared" si="1"/>
        <v>20713.349999999999</v>
      </c>
      <c r="I20" s="53">
        <f t="shared" si="2"/>
        <v>8824.67</v>
      </c>
      <c r="J20" s="10">
        <v>0</v>
      </c>
    </row>
    <row r="21" spans="1:10">
      <c r="A21" t="s">
        <v>513</v>
      </c>
      <c r="B21" s="6">
        <f>'Monthy Income Statements'!L$11</f>
        <v>21317.13</v>
      </c>
      <c r="D21" t="str">
        <f t="shared" si="0"/>
        <v>July</v>
      </c>
      <c r="E21" s="6">
        <f>'Monthy Income Statements'!L$12</f>
        <v>8776.0300000000007</v>
      </c>
      <c r="G21" s="139">
        <v>0</v>
      </c>
      <c r="H21" s="53">
        <f t="shared" si="1"/>
        <v>21317.13</v>
      </c>
      <c r="I21" s="53">
        <f t="shared" si="2"/>
        <v>8776.0300000000007</v>
      </c>
      <c r="J21" s="10">
        <v>0</v>
      </c>
    </row>
    <row r="22" spans="1:10">
      <c r="A22" t="s">
        <v>512</v>
      </c>
      <c r="B22" s="6">
        <f>'Monthy Income Statements'!M$11</f>
        <v>18112.86</v>
      </c>
      <c r="D22" t="str">
        <f t="shared" si="0"/>
        <v>August</v>
      </c>
      <c r="E22" s="6">
        <f>'Monthy Income Statements'!M$12</f>
        <v>9339.06</v>
      </c>
      <c r="G22" s="139">
        <v>0</v>
      </c>
      <c r="H22" s="53">
        <f t="shared" si="1"/>
        <v>18112.86</v>
      </c>
      <c r="I22" s="53">
        <f t="shared" si="2"/>
        <v>9339.06</v>
      </c>
      <c r="J22" s="10">
        <v>0</v>
      </c>
    </row>
    <row r="23" spans="1:10">
      <c r="A23" s="18" t="s">
        <v>511</v>
      </c>
      <c r="B23" s="43">
        <f>'Monthy Income Statements'!N$11</f>
        <v>20842.72</v>
      </c>
      <c r="D23" t="str">
        <f t="shared" si="0"/>
        <v>September</v>
      </c>
      <c r="E23" s="43">
        <f>'Monthy Income Statements'!N$12</f>
        <v>9281.01</v>
      </c>
      <c r="G23" s="139">
        <v>0</v>
      </c>
      <c r="H23" s="57">
        <f t="shared" si="1"/>
        <v>20842.72</v>
      </c>
      <c r="I23" s="57">
        <f t="shared" si="2"/>
        <v>9281.01</v>
      </c>
      <c r="J23" s="10">
        <v>0</v>
      </c>
    </row>
    <row r="24" spans="1:10">
      <c r="A24" t="s">
        <v>119</v>
      </c>
      <c r="B24" s="6">
        <f>SUM(B12:B23)</f>
        <v>238465.85</v>
      </c>
      <c r="D24" t="s">
        <v>119</v>
      </c>
      <c r="E24" s="6">
        <f>SUM(E12:E23)</f>
        <v>104963.68999999999</v>
      </c>
      <c r="H24" s="53">
        <f>SUM(H12:H23)</f>
        <v>238465.85</v>
      </c>
      <c r="I24" s="53">
        <f>SUM(I12:I23)</f>
        <v>104963.68999999999</v>
      </c>
      <c r="J24" t="s">
        <v>596</v>
      </c>
    </row>
    <row r="25" spans="1:10">
      <c r="H25" s="57">
        <f>-B24</f>
        <v>-238465.85</v>
      </c>
      <c r="I25" s="57">
        <f>-E24</f>
        <v>-104963.68999999999</v>
      </c>
      <c r="J25" t="s">
        <v>595</v>
      </c>
    </row>
    <row r="26" spans="1:10">
      <c r="H26" s="6"/>
      <c r="I26" s="6"/>
    </row>
    <row r="27" spans="1:10" ht="13.5" thickBot="1">
      <c r="H27" s="8">
        <f>+H24+H25</f>
        <v>0</v>
      </c>
      <c r="I27" s="8">
        <f>+I24+I25</f>
        <v>0</v>
      </c>
      <c r="J27" t="s">
        <v>594</v>
      </c>
    </row>
    <row r="28" spans="1:10" ht="13.5" thickTop="1"/>
    <row r="30" spans="1:10">
      <c r="A30" s="18"/>
    </row>
    <row r="31" spans="1:10">
      <c r="B31" s="6"/>
      <c r="E31" s="6"/>
    </row>
    <row r="32" spans="1:10">
      <c r="B32" s="6"/>
      <c r="E32" s="6"/>
    </row>
    <row r="33" spans="1:5">
      <c r="B33" s="6"/>
      <c r="E33" s="6"/>
    </row>
    <row r="34" spans="1:5">
      <c r="B34" s="6"/>
      <c r="E34" s="6"/>
    </row>
    <row r="35" spans="1:5">
      <c r="B35" s="6"/>
      <c r="E35" s="6"/>
    </row>
    <row r="36" spans="1:5">
      <c r="A36" s="18"/>
      <c r="B36" s="6"/>
      <c r="E36" s="6"/>
    </row>
    <row r="37" spans="1:5">
      <c r="B37" s="6"/>
      <c r="E37" s="6"/>
    </row>
    <row r="38" spans="1:5">
      <c r="B38" s="6"/>
      <c r="E38" s="6"/>
    </row>
    <row r="39" spans="1:5">
      <c r="A39" s="18"/>
      <c r="B39" s="6"/>
      <c r="E39" s="6"/>
    </row>
    <row r="40" spans="1:5">
      <c r="B40" s="6"/>
      <c r="E40" s="6"/>
    </row>
    <row r="41" spans="1:5">
      <c r="B41" s="6"/>
      <c r="E41" s="6"/>
    </row>
    <row r="42" spans="1:5">
      <c r="A42" s="18"/>
      <c r="B42" s="82"/>
      <c r="C42" s="18"/>
      <c r="D42" s="18"/>
      <c r="E42" s="82"/>
    </row>
  </sheetData>
  <pageMargins left="0.22" right="0.75" top="0.51" bottom="0.55000000000000004" header="0.5" footer="0.5"/>
  <pageSetup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D4" sqref="D4"/>
    </sheetView>
  </sheetViews>
  <sheetFormatPr defaultRowHeight="12.75"/>
  <cols>
    <col min="1" max="1" width="28.85546875" customWidth="1"/>
    <col min="3" max="3" width="11.140625" bestFit="1" customWidth="1"/>
    <col min="4" max="4" width="10.28515625" bestFit="1" customWidth="1"/>
    <col min="5" max="5" width="12.42578125" customWidth="1"/>
    <col min="6" max="6" width="8.85546875" customWidth="1"/>
    <col min="7" max="7" width="12.140625" customWidth="1"/>
    <col min="8" max="8" width="11.140625" bestFit="1" customWidth="1"/>
  </cols>
  <sheetData>
    <row r="1" spans="1:8">
      <c r="A1" t="s">
        <v>0</v>
      </c>
    </row>
    <row r="3" spans="1:8">
      <c r="A3" t="s">
        <v>612</v>
      </c>
      <c r="D3" s="693" t="s">
        <v>1414</v>
      </c>
      <c r="E3" s="693" t="s">
        <v>702</v>
      </c>
    </row>
    <row r="5" spans="1:8">
      <c r="A5" s="692" t="s">
        <v>1386</v>
      </c>
    </row>
    <row r="9" spans="1:8">
      <c r="A9" s="127" t="s">
        <v>1409</v>
      </c>
    </row>
    <row r="10" spans="1:8">
      <c r="A10" s="127"/>
      <c r="D10" s="2" t="s">
        <v>611</v>
      </c>
    </row>
    <row r="11" spans="1:8">
      <c r="A11" s="127"/>
      <c r="C11" s="2" t="s">
        <v>2</v>
      </c>
      <c r="D11" s="2" t="s">
        <v>610</v>
      </c>
    </row>
    <row r="12" spans="1:8" ht="13.5" thickBot="1">
      <c r="C12" s="20" t="s">
        <v>609</v>
      </c>
      <c r="D12" s="20" t="s">
        <v>608</v>
      </c>
      <c r="E12" s="20" t="s">
        <v>2</v>
      </c>
      <c r="F12" s="93"/>
      <c r="G12" s="93"/>
      <c r="H12" s="93"/>
    </row>
    <row r="13" spans="1:8">
      <c r="C13" s="93"/>
      <c r="D13" s="93"/>
      <c r="E13" s="93"/>
      <c r="F13" s="93"/>
      <c r="G13" s="93"/>
      <c r="H13" s="93"/>
    </row>
    <row r="14" spans="1:8">
      <c r="A14" t="s">
        <v>519</v>
      </c>
      <c r="C14" s="177">
        <f>+'Monthly Data-Disposal Fees'!H35</f>
        <v>683</v>
      </c>
      <c r="D14" s="232">
        <v>35.97</v>
      </c>
      <c r="E14" s="73">
        <f t="shared" ref="E14:E25" si="0">+C14*D14</f>
        <v>24567.51</v>
      </c>
      <c r="G14" s="177"/>
      <c r="H14" s="231"/>
    </row>
    <row r="15" spans="1:8">
      <c r="A15" t="s">
        <v>518</v>
      </c>
      <c r="C15" s="177">
        <f>+'Monthly Data-Disposal Fees'!H36</f>
        <v>580</v>
      </c>
      <c r="D15" s="232">
        <v>35.97</v>
      </c>
      <c r="E15" s="47">
        <f t="shared" si="0"/>
        <v>20862.599999999999</v>
      </c>
      <c r="G15" s="177"/>
      <c r="H15" s="231"/>
    </row>
    <row r="16" spans="1:8">
      <c r="A16" t="s">
        <v>517</v>
      </c>
      <c r="C16" s="177">
        <f>+'Monthly Data-Disposal Fees'!H37</f>
        <v>686</v>
      </c>
      <c r="D16" s="232">
        <v>36.76</v>
      </c>
      <c r="E16" s="47">
        <f t="shared" si="0"/>
        <v>25217.359999999997</v>
      </c>
      <c r="G16" s="240"/>
      <c r="H16" s="231"/>
    </row>
    <row r="17" spans="1:8">
      <c r="A17" t="s">
        <v>516</v>
      </c>
      <c r="C17" s="177">
        <f>+'Monthly Data-Disposal Fees'!H38</f>
        <v>928</v>
      </c>
      <c r="D17" s="232">
        <v>36.76</v>
      </c>
      <c r="E17" s="47">
        <f t="shared" si="0"/>
        <v>34113.279999999999</v>
      </c>
      <c r="F17" s="237"/>
      <c r="G17" s="237"/>
      <c r="H17" s="231"/>
    </row>
    <row r="18" spans="1:8">
      <c r="A18" t="s">
        <v>515</v>
      </c>
      <c r="C18" s="177">
        <f>+'Monthly Data-Disposal Fees'!H39</f>
        <v>941</v>
      </c>
      <c r="D18" s="232">
        <v>36.76</v>
      </c>
      <c r="E18" s="47">
        <f t="shared" si="0"/>
        <v>34591.159999999996</v>
      </c>
      <c r="F18" s="237"/>
      <c r="G18" s="237"/>
      <c r="H18" s="231"/>
    </row>
    <row r="19" spans="1:8">
      <c r="A19" t="s">
        <v>514</v>
      </c>
      <c r="C19" s="177">
        <f>+'Monthly Data-Disposal Fees'!H40</f>
        <v>1113</v>
      </c>
      <c r="D19" s="232">
        <v>36.76</v>
      </c>
      <c r="E19" s="47">
        <f t="shared" si="0"/>
        <v>40913.879999999997</v>
      </c>
      <c r="F19" s="237"/>
      <c r="G19" s="237"/>
      <c r="H19" s="231"/>
    </row>
    <row r="20" spans="1:8">
      <c r="A20" t="s">
        <v>513</v>
      </c>
      <c r="C20" s="177">
        <f>+'Monthly Data-Disposal Fees'!H41</f>
        <v>1489</v>
      </c>
      <c r="D20" s="232">
        <v>36.76</v>
      </c>
      <c r="E20" s="47">
        <f t="shared" si="0"/>
        <v>54735.64</v>
      </c>
      <c r="F20" s="237"/>
      <c r="G20" s="237"/>
      <c r="H20" s="231"/>
    </row>
    <row r="21" spans="1:8">
      <c r="A21" t="s">
        <v>512</v>
      </c>
      <c r="C21" s="177">
        <f>+'Monthly Data-Disposal Fees'!H42</f>
        <v>1355</v>
      </c>
      <c r="D21" s="232">
        <v>36.76</v>
      </c>
      <c r="E21" s="47">
        <f t="shared" si="0"/>
        <v>49809.799999999996</v>
      </c>
      <c r="F21" s="237"/>
      <c r="G21" s="237"/>
      <c r="H21" s="231"/>
    </row>
    <row r="22" spans="1:8">
      <c r="A22" t="s">
        <v>511</v>
      </c>
      <c r="C22" s="177">
        <f>+'Monthly Data-Disposal Fees'!H43</f>
        <v>1200</v>
      </c>
      <c r="D22" s="232">
        <v>36.76</v>
      </c>
      <c r="E22" s="47">
        <f t="shared" si="0"/>
        <v>44112</v>
      </c>
      <c r="F22" s="237"/>
      <c r="G22" s="237"/>
      <c r="H22" s="231"/>
    </row>
    <row r="23" spans="1:8">
      <c r="A23" s="687" t="s">
        <v>1320</v>
      </c>
      <c r="C23" s="177">
        <f>+'Monthly Data-Disposal Fees'!H44</f>
        <v>1034</v>
      </c>
      <c r="D23" s="232">
        <v>36.76</v>
      </c>
      <c r="E23" s="47">
        <f t="shared" si="0"/>
        <v>38009.839999999997</v>
      </c>
      <c r="F23" s="237"/>
      <c r="G23" s="237"/>
      <c r="H23" s="231"/>
    </row>
    <row r="24" spans="1:8">
      <c r="A24" s="109" t="s">
        <v>1321</v>
      </c>
      <c r="C24" s="177">
        <f>+'Monthly Data-Disposal Fees'!H45</f>
        <v>808</v>
      </c>
      <c r="D24" s="232">
        <v>36.76</v>
      </c>
      <c r="E24" s="47">
        <f t="shared" si="0"/>
        <v>29702.079999999998</v>
      </c>
      <c r="F24" s="237"/>
      <c r="G24" s="237"/>
      <c r="H24" s="231"/>
    </row>
    <row r="25" spans="1:8" ht="13.5" thickBot="1">
      <c r="A25" s="109" t="s">
        <v>1322</v>
      </c>
      <c r="C25" s="239">
        <f>+'Monthly Data-Disposal Fees'!H46</f>
        <v>802</v>
      </c>
      <c r="D25" s="232">
        <v>36.76</v>
      </c>
      <c r="E25" s="238">
        <f t="shared" si="0"/>
        <v>29481.519999999997</v>
      </c>
      <c r="F25" s="237"/>
      <c r="G25" s="237"/>
      <c r="H25" s="231"/>
    </row>
    <row r="26" spans="1:8">
      <c r="C26" s="122"/>
      <c r="D26" s="231"/>
      <c r="E26" s="231"/>
      <c r="F26" s="231"/>
      <c r="G26" s="231"/>
      <c r="H26" s="231"/>
    </row>
    <row r="27" spans="1:8">
      <c r="B27" t="s">
        <v>2</v>
      </c>
      <c r="C27" s="167">
        <f>SUM(C14:C25)</f>
        <v>11619</v>
      </c>
      <c r="D27" s="231"/>
      <c r="E27" s="230">
        <f>SUM(E14:E25)</f>
        <v>426116.67</v>
      </c>
      <c r="F27" s="231"/>
      <c r="G27" s="231"/>
      <c r="H27" s="231"/>
    </row>
    <row r="28" spans="1:8">
      <c r="D28" s="18"/>
      <c r="E28" s="18"/>
      <c r="F28" s="18"/>
      <c r="G28" s="18"/>
      <c r="H28" s="18"/>
    </row>
    <row r="29" spans="1:8">
      <c r="D29" s="18"/>
      <c r="E29" s="18"/>
      <c r="F29" s="18"/>
      <c r="G29" s="18"/>
      <c r="H29" s="227"/>
    </row>
    <row r="30" spans="1:8">
      <c r="A30" s="693" t="s">
        <v>1360</v>
      </c>
      <c r="B30" s="63"/>
      <c r="C30" s="229">
        <v>36.76</v>
      </c>
      <c r="D30" s="227"/>
      <c r="E30" s="227"/>
      <c r="F30" s="227"/>
      <c r="G30" s="227"/>
      <c r="H30" s="227"/>
    </row>
    <row r="31" spans="1:8">
      <c r="D31" s="18"/>
      <c r="E31" s="18"/>
      <c r="F31" s="18"/>
      <c r="G31" s="18"/>
      <c r="H31" s="82"/>
    </row>
    <row r="32" spans="1:8">
      <c r="A32" s="693" t="s">
        <v>1411</v>
      </c>
      <c r="D32" s="227"/>
      <c r="E32" s="228">
        <f>+C27*C30</f>
        <v>427114.44</v>
      </c>
      <c r="F32" s="227"/>
      <c r="G32" s="227"/>
      <c r="H32" s="227"/>
    </row>
    <row r="33" spans="1:8">
      <c r="D33" s="18"/>
      <c r="F33" s="18"/>
      <c r="G33" s="18"/>
      <c r="H33" s="18"/>
    </row>
    <row r="34" spans="1:8" ht="13.5" thickBot="1">
      <c r="A34" t="s">
        <v>602</v>
      </c>
      <c r="D34" s="227"/>
      <c r="E34" s="224">
        <f>+E32-E27</f>
        <v>997.77000000001863</v>
      </c>
      <c r="F34" s="227"/>
      <c r="G34" s="227"/>
      <c r="H34" s="227"/>
    </row>
    <row r="35" spans="1:8" ht="13.5" thickTop="1">
      <c r="D35" s="227"/>
      <c r="E35" s="227"/>
      <c r="F35" s="227"/>
      <c r="G35" s="227"/>
      <c r="H35" s="227"/>
    </row>
    <row r="36" spans="1:8">
      <c r="D36" s="18"/>
      <c r="F36" s="18"/>
      <c r="G36" s="18"/>
      <c r="H36" s="18"/>
    </row>
    <row r="37" spans="1:8">
      <c r="A37" s="127"/>
      <c r="B37" s="127"/>
      <c r="C37" s="127"/>
      <c r="D37" s="236"/>
      <c r="E37" s="236"/>
      <c r="F37" s="18"/>
      <c r="G37" s="18"/>
      <c r="H37" s="18"/>
    </row>
    <row r="38" spans="1:8">
      <c r="A38" s="127" t="s">
        <v>1359</v>
      </c>
      <c r="F38" s="18"/>
      <c r="G38" s="18"/>
      <c r="H38" s="18"/>
    </row>
    <row r="39" spans="1:8">
      <c r="A39" s="127"/>
      <c r="C39" s="676">
        <v>2020</v>
      </c>
      <c r="F39" s="2"/>
      <c r="H39" s="18"/>
    </row>
    <row r="40" spans="1:8">
      <c r="A40" s="127"/>
      <c r="C40" s="90" t="s">
        <v>607</v>
      </c>
      <c r="D40" s="83" t="s">
        <v>606</v>
      </c>
      <c r="E40" s="2" t="s">
        <v>2</v>
      </c>
      <c r="F40" s="90" t="s">
        <v>605</v>
      </c>
      <c r="H40" s="18"/>
    </row>
    <row r="41" spans="1:8" ht="13.5" thickBot="1">
      <c r="C41" s="92" t="s">
        <v>604</v>
      </c>
      <c r="D41" s="235" t="s">
        <v>603</v>
      </c>
      <c r="E41" s="92" t="s">
        <v>527</v>
      </c>
      <c r="F41" s="92" t="s">
        <v>603</v>
      </c>
      <c r="G41" s="20" t="s">
        <v>2</v>
      </c>
      <c r="H41" s="18"/>
    </row>
    <row r="42" spans="1:8">
      <c r="C42" s="93"/>
      <c r="F42" s="93"/>
      <c r="G42" s="93"/>
    </row>
    <row r="43" spans="1:8">
      <c r="A43" t="s">
        <v>519</v>
      </c>
      <c r="C43" s="87">
        <f>'Monthly Data-Disposal Fees'!$Q12</f>
        <v>11797.099999999999</v>
      </c>
      <c r="D43" s="232">
        <v>81.5</v>
      </c>
      <c r="E43" s="233">
        <f t="shared" ref="E43:E54" si="1">C43/D43</f>
        <v>144.74969325153373</v>
      </c>
      <c r="F43" s="232">
        <v>81.5</v>
      </c>
      <c r="G43" s="73">
        <f t="shared" ref="G43:G54" si="2">+E43*F43</f>
        <v>11797.099999999999</v>
      </c>
    </row>
    <row r="44" spans="1:8">
      <c r="A44" t="s">
        <v>518</v>
      </c>
      <c r="C44" s="87">
        <f>'Monthly Data-Disposal Fees'!$Q13</f>
        <v>12591.73</v>
      </c>
      <c r="D44" s="232">
        <v>81.5</v>
      </c>
      <c r="E44" s="233">
        <f t="shared" si="1"/>
        <v>154.49975460122698</v>
      </c>
      <c r="F44" s="232">
        <v>81.5</v>
      </c>
      <c r="G44" s="73">
        <f t="shared" si="2"/>
        <v>12591.73</v>
      </c>
    </row>
    <row r="45" spans="1:8">
      <c r="A45" t="s">
        <v>517</v>
      </c>
      <c r="C45" s="87">
        <f>'Monthly Data-Disposal Fees'!$Q14</f>
        <v>16472.760000000002</v>
      </c>
      <c r="D45" s="232">
        <v>81.5</v>
      </c>
      <c r="E45" s="233">
        <f t="shared" si="1"/>
        <v>202.11975460122702</v>
      </c>
      <c r="F45" s="232">
        <v>81.5</v>
      </c>
      <c r="G45" s="73">
        <f t="shared" si="2"/>
        <v>16472.760000000002</v>
      </c>
    </row>
    <row r="46" spans="1:8">
      <c r="A46" t="s">
        <v>516</v>
      </c>
      <c r="C46" s="87">
        <f>'Monthly Data-Disposal Fees'!$Q15</f>
        <v>15530.21</v>
      </c>
      <c r="D46" s="232">
        <v>81.5</v>
      </c>
      <c r="E46" s="233">
        <f t="shared" si="1"/>
        <v>190.55472392638035</v>
      </c>
      <c r="F46" s="232">
        <v>81.5</v>
      </c>
      <c r="G46" s="73">
        <f t="shared" si="2"/>
        <v>15530.21</v>
      </c>
    </row>
    <row r="47" spans="1:8">
      <c r="A47" t="s">
        <v>515</v>
      </c>
      <c r="C47" s="87">
        <f>'Monthly Data-Disposal Fees'!$Q16</f>
        <v>18099.09</v>
      </c>
      <c r="D47" s="232">
        <v>81.5</v>
      </c>
      <c r="E47" s="233">
        <f t="shared" si="1"/>
        <v>222.07472392638036</v>
      </c>
      <c r="F47" s="232">
        <v>81.5</v>
      </c>
      <c r="G47" s="73">
        <f t="shared" si="2"/>
        <v>18099.09</v>
      </c>
    </row>
    <row r="48" spans="1:8">
      <c r="A48" t="s">
        <v>514</v>
      </c>
      <c r="C48" s="87">
        <f>'Monthly Data-Disposal Fees'!$Q17</f>
        <v>24332.61</v>
      </c>
      <c r="D48" s="232">
        <v>81.5</v>
      </c>
      <c r="E48" s="233">
        <f t="shared" si="1"/>
        <v>298.55963190184048</v>
      </c>
      <c r="F48" s="232">
        <v>81.5</v>
      </c>
      <c r="G48" s="73">
        <f t="shared" si="2"/>
        <v>24332.61</v>
      </c>
    </row>
    <row r="49" spans="1:7">
      <c r="A49" t="s">
        <v>513</v>
      </c>
      <c r="C49" s="87">
        <f>'Monthly Data-Disposal Fees'!$Q18</f>
        <v>23622.75</v>
      </c>
      <c r="D49" s="232">
        <v>81.5</v>
      </c>
      <c r="E49" s="233">
        <f t="shared" si="1"/>
        <v>289.84969325153372</v>
      </c>
      <c r="F49" s="232">
        <v>81.5</v>
      </c>
      <c r="G49" s="73">
        <f t="shared" si="2"/>
        <v>23622.75</v>
      </c>
    </row>
    <row r="50" spans="1:7">
      <c r="A50" t="s">
        <v>512</v>
      </c>
      <c r="C50" s="87">
        <f>'Monthly Data-Disposal Fees'!$Q19</f>
        <v>24140.28</v>
      </c>
      <c r="D50" s="232">
        <v>81.5</v>
      </c>
      <c r="E50" s="233">
        <f t="shared" si="1"/>
        <v>296.19975460122697</v>
      </c>
      <c r="F50" s="232">
        <v>81.5</v>
      </c>
      <c r="G50" s="73">
        <f t="shared" si="2"/>
        <v>24140.28</v>
      </c>
    </row>
    <row r="51" spans="1:7">
      <c r="A51" t="s">
        <v>511</v>
      </c>
      <c r="C51" s="87">
        <f>'Monthly Data-Disposal Fees'!$Q20</f>
        <v>27465.839999999997</v>
      </c>
      <c r="D51" s="232">
        <v>81.5</v>
      </c>
      <c r="E51" s="233">
        <f t="shared" si="1"/>
        <v>337.00417177914107</v>
      </c>
      <c r="F51" s="232">
        <v>81.5</v>
      </c>
      <c r="G51" s="73">
        <f t="shared" si="2"/>
        <v>27465.839999999997</v>
      </c>
    </row>
    <row r="52" spans="1:7">
      <c r="A52" s="109" t="s">
        <v>1320</v>
      </c>
      <c r="C52" s="87">
        <f>'Monthly Data-Disposal Fees'!$Q21</f>
        <v>24739.7</v>
      </c>
      <c r="D52" s="232">
        <v>81.5</v>
      </c>
      <c r="E52" s="233">
        <f t="shared" si="1"/>
        <v>303.5546012269939</v>
      </c>
      <c r="F52" s="232">
        <v>81.5</v>
      </c>
      <c r="G52" s="73">
        <f t="shared" si="2"/>
        <v>24739.7</v>
      </c>
    </row>
    <row r="53" spans="1:7">
      <c r="A53" s="109" t="s">
        <v>1321</v>
      </c>
      <c r="C53" s="87">
        <f>'Monthly Data-Disposal Fees'!$Q22</f>
        <v>20509.46</v>
      </c>
      <c r="D53" s="232">
        <v>81.5</v>
      </c>
      <c r="E53" s="233">
        <f t="shared" si="1"/>
        <v>251.64981595092024</v>
      </c>
      <c r="F53" s="232">
        <v>81.5</v>
      </c>
      <c r="G53" s="73">
        <f t="shared" si="2"/>
        <v>20509.46</v>
      </c>
    </row>
    <row r="54" spans="1:7" ht="13.5" thickBot="1">
      <c r="A54" s="109" t="s">
        <v>1322</v>
      </c>
      <c r="C54" s="234">
        <f>'Monthly Data-Disposal Fees'!$Q23</f>
        <v>16273.900000000001</v>
      </c>
      <c r="D54" s="232">
        <v>81.5</v>
      </c>
      <c r="E54" s="233">
        <f t="shared" si="1"/>
        <v>199.67975460122702</v>
      </c>
      <c r="F54" s="232">
        <v>81.5</v>
      </c>
      <c r="G54" s="103">
        <f t="shared" si="2"/>
        <v>16273.900000000001</v>
      </c>
    </row>
    <row r="55" spans="1:7">
      <c r="C55" s="6"/>
      <c r="F55" s="231"/>
      <c r="G55" s="231"/>
    </row>
    <row r="56" spans="1:7">
      <c r="B56" t="s">
        <v>2</v>
      </c>
      <c r="C56" s="43">
        <f>SUM(C43:C54)</f>
        <v>235575.43</v>
      </c>
      <c r="F56" s="231"/>
      <c r="G56" s="230">
        <f>SUM(G43:G54)</f>
        <v>235575.43</v>
      </c>
    </row>
    <row r="57" spans="1:7">
      <c r="F57" s="18"/>
      <c r="G57" s="18"/>
    </row>
    <row r="58" spans="1:7">
      <c r="F58" s="18"/>
      <c r="G58" s="18"/>
    </row>
    <row r="59" spans="1:7">
      <c r="A59" s="83" t="s">
        <v>1323</v>
      </c>
      <c r="B59" s="63"/>
      <c r="C59" s="229">
        <v>81.5</v>
      </c>
      <c r="F59" s="227"/>
      <c r="G59" s="227"/>
    </row>
    <row r="60" spans="1:7">
      <c r="F60" s="18"/>
      <c r="G60" s="18"/>
    </row>
    <row r="61" spans="1:7">
      <c r="A61" s="693" t="s">
        <v>1410</v>
      </c>
      <c r="F61" s="227"/>
      <c r="G61" s="228">
        <f>+C56</f>
        <v>235575.43</v>
      </c>
    </row>
    <row r="62" spans="1:7">
      <c r="F62" s="18"/>
    </row>
    <row r="63" spans="1:7" ht="13.5" thickBot="1">
      <c r="A63" t="s">
        <v>602</v>
      </c>
      <c r="F63" s="227"/>
      <c r="G63" s="224">
        <f>+G56-G61</f>
        <v>0</v>
      </c>
    </row>
    <row r="64" spans="1:7" ht="13.5" thickTop="1">
      <c r="F64" s="227"/>
      <c r="G64" s="227"/>
    </row>
  </sheetData>
  <pageMargins left="0.75" right="0.75" top="1" bottom="1" header="0.5" footer="0.5"/>
  <pageSetup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
  <sheetViews>
    <sheetView workbookViewId="0">
      <selection activeCell="F3" sqref="F3"/>
    </sheetView>
  </sheetViews>
  <sheetFormatPr defaultRowHeight="12.75"/>
  <cols>
    <col min="5" max="5" width="12.140625" customWidth="1"/>
    <col min="8" max="8" width="12.140625" customWidth="1"/>
    <col min="9" max="9" width="12.85546875" customWidth="1"/>
    <col min="13" max="13" width="10.5703125" customWidth="1"/>
    <col min="16" max="16" width="10.7109375" customWidth="1"/>
    <col min="17" max="17" width="12.7109375" customWidth="1"/>
    <col min="21" max="21" width="11.42578125" customWidth="1"/>
    <col min="24" max="24" width="11.28515625" customWidth="1"/>
    <col min="25" max="25" width="12" customWidth="1"/>
    <col min="27" max="27" width="11.140625" customWidth="1"/>
    <col min="28" max="28" width="12.140625" customWidth="1"/>
  </cols>
  <sheetData>
    <row r="1" spans="1:27">
      <c r="A1" t="s">
        <v>0</v>
      </c>
    </row>
    <row r="2" spans="1:27">
      <c r="A2" t="s">
        <v>622</v>
      </c>
      <c r="F2" s="693" t="s">
        <v>1414</v>
      </c>
      <c r="G2" s="693" t="s">
        <v>702</v>
      </c>
      <c r="H2" t="s">
        <v>621</v>
      </c>
    </row>
    <row r="3" spans="1:27">
      <c r="A3" s="702" t="s">
        <v>1397</v>
      </c>
      <c r="H3" t="s">
        <v>620</v>
      </c>
    </row>
    <row r="5" spans="1:27">
      <c r="C5" s="743" t="s">
        <v>619</v>
      </c>
      <c r="D5" s="743"/>
      <c r="E5" s="743"/>
      <c r="F5" s="743" t="s">
        <v>618</v>
      </c>
      <c r="G5" s="743"/>
      <c r="H5" s="743"/>
      <c r="I5" s="253" t="s">
        <v>477</v>
      </c>
      <c r="K5" s="743" t="s">
        <v>619</v>
      </c>
      <c r="L5" s="743"/>
      <c r="M5" s="743"/>
      <c r="N5" s="743" t="s">
        <v>618</v>
      </c>
      <c r="O5" s="743"/>
      <c r="P5" s="743"/>
      <c r="Q5" s="253" t="s">
        <v>476</v>
      </c>
      <c r="S5" s="743" t="s">
        <v>619</v>
      </c>
      <c r="T5" s="743"/>
      <c r="U5" s="743"/>
      <c r="V5" s="743" t="s">
        <v>618</v>
      </c>
      <c r="W5" s="743"/>
      <c r="X5" s="743"/>
      <c r="Y5" s="253" t="s">
        <v>475</v>
      </c>
      <c r="AA5" s="253" t="s">
        <v>114</v>
      </c>
    </row>
    <row r="6" spans="1:27" ht="13.5" thickBot="1">
      <c r="C6" s="137" t="s">
        <v>617</v>
      </c>
      <c r="D6" s="5"/>
      <c r="E6" s="5"/>
      <c r="F6" s="137" t="s">
        <v>616</v>
      </c>
      <c r="G6" s="5"/>
      <c r="H6" s="5"/>
      <c r="I6" s="254" t="s">
        <v>495</v>
      </c>
      <c r="K6" s="137" t="s">
        <v>468</v>
      </c>
      <c r="L6" s="5"/>
      <c r="M6" s="5"/>
      <c r="N6" s="137" t="s">
        <v>468</v>
      </c>
      <c r="O6" s="5"/>
      <c r="P6" s="5"/>
      <c r="Q6" s="254" t="s">
        <v>495</v>
      </c>
      <c r="S6" s="137" t="s">
        <v>538</v>
      </c>
      <c r="T6" s="5"/>
      <c r="U6" s="5"/>
      <c r="V6" s="137" t="s">
        <v>538</v>
      </c>
      <c r="W6" s="5"/>
      <c r="X6" s="5"/>
      <c r="Y6" s="254" t="s">
        <v>495</v>
      </c>
      <c r="AA6" s="253" t="s">
        <v>615</v>
      </c>
    </row>
    <row r="7" spans="1:27" ht="13.5" thickBot="1">
      <c r="C7" s="704" t="s">
        <v>1398</v>
      </c>
      <c r="D7" s="5"/>
      <c r="E7" s="5"/>
      <c r="F7" s="704" t="s">
        <v>1399</v>
      </c>
      <c r="G7" s="5"/>
      <c r="H7" s="5"/>
      <c r="I7" s="254" t="s">
        <v>615</v>
      </c>
      <c r="K7" s="704" t="s">
        <v>1398</v>
      </c>
      <c r="L7" s="5"/>
      <c r="M7" s="5"/>
      <c r="N7" s="704" t="s">
        <v>1399</v>
      </c>
      <c r="O7" s="5"/>
      <c r="P7" s="5"/>
      <c r="Q7" s="254" t="s">
        <v>615</v>
      </c>
      <c r="R7" s="18"/>
      <c r="S7" s="704" t="s">
        <v>1398</v>
      </c>
      <c r="T7" s="5"/>
      <c r="U7" s="5"/>
      <c r="V7" s="704" t="s">
        <v>1399</v>
      </c>
      <c r="W7" s="5"/>
      <c r="X7" s="5"/>
      <c r="Y7" s="254" t="s">
        <v>615</v>
      </c>
      <c r="Z7" s="18"/>
      <c r="AA7" s="253" t="s">
        <v>105</v>
      </c>
    </row>
    <row r="8" spans="1:27">
      <c r="C8" s="2"/>
      <c r="D8" s="2" t="s">
        <v>614</v>
      </c>
      <c r="E8" s="2"/>
      <c r="F8" s="2"/>
      <c r="G8" s="2" t="s">
        <v>459</v>
      </c>
      <c r="H8" s="2"/>
      <c r="I8" s="252" t="s">
        <v>90</v>
      </c>
      <c r="K8" s="2"/>
      <c r="L8" s="2" t="s">
        <v>614</v>
      </c>
      <c r="M8" s="2"/>
      <c r="N8" s="2"/>
      <c r="O8" s="2" t="s">
        <v>459</v>
      </c>
      <c r="P8" s="2"/>
      <c r="Q8" s="252" t="s">
        <v>90</v>
      </c>
      <c r="R8" s="18"/>
      <c r="S8" s="2"/>
      <c r="T8" s="2"/>
      <c r="U8" s="2"/>
      <c r="V8" s="2"/>
      <c r="W8" s="2"/>
      <c r="X8" s="2"/>
      <c r="Y8" s="252" t="s">
        <v>90</v>
      </c>
      <c r="Z8" s="93"/>
      <c r="AA8" s="251" t="s">
        <v>90</v>
      </c>
    </row>
    <row r="9" spans="1:27" ht="13.5" thickBot="1">
      <c r="A9" s="5" t="s">
        <v>454</v>
      </c>
      <c r="B9" s="5"/>
      <c r="C9" s="20" t="s">
        <v>199</v>
      </c>
      <c r="D9" s="20" t="s">
        <v>100</v>
      </c>
      <c r="E9" s="20" t="s">
        <v>2</v>
      </c>
      <c r="F9" s="20" t="s">
        <v>199</v>
      </c>
      <c r="G9" s="20" t="s">
        <v>100</v>
      </c>
      <c r="H9" s="20" t="s">
        <v>2</v>
      </c>
      <c r="I9" s="250" t="s">
        <v>2</v>
      </c>
      <c r="K9" s="20" t="s">
        <v>199</v>
      </c>
      <c r="L9" s="20" t="s">
        <v>100</v>
      </c>
      <c r="M9" s="20" t="s">
        <v>2</v>
      </c>
      <c r="N9" s="20" t="s">
        <v>199</v>
      </c>
      <c r="O9" s="20" t="s">
        <v>100</v>
      </c>
      <c r="P9" s="20" t="s">
        <v>2</v>
      </c>
      <c r="Q9" s="250" t="s">
        <v>2</v>
      </c>
      <c r="R9" s="18"/>
      <c r="S9" s="20" t="s">
        <v>199</v>
      </c>
      <c r="T9" s="20" t="s">
        <v>100</v>
      </c>
      <c r="U9" s="20" t="s">
        <v>2</v>
      </c>
      <c r="V9" s="20" t="s">
        <v>199</v>
      </c>
      <c r="W9" s="20" t="s">
        <v>100</v>
      </c>
      <c r="X9" s="20" t="s">
        <v>2</v>
      </c>
      <c r="Y9" s="250" t="s">
        <v>2</v>
      </c>
      <c r="Z9" s="93"/>
      <c r="AA9" s="249" t="s">
        <v>114</v>
      </c>
    </row>
    <row r="10" spans="1:27">
      <c r="A10" t="s">
        <v>451</v>
      </c>
      <c r="I10" s="134"/>
      <c r="Q10" s="134"/>
      <c r="R10" s="18"/>
      <c r="Y10" s="134"/>
      <c r="Z10" s="18"/>
    </row>
    <row r="11" spans="1:27">
      <c r="A11" t="s">
        <v>450</v>
      </c>
      <c r="C11" s="122">
        <f>'Service Counts'!C10</f>
        <v>0</v>
      </c>
      <c r="D11" s="72">
        <f>'Service Counts'!D10</f>
        <v>14.72</v>
      </c>
      <c r="E11" s="56">
        <f t="shared" ref="E11:E35" si="0">+C11*D11</f>
        <v>0</v>
      </c>
      <c r="F11" s="122">
        <f t="shared" ref="F11:F35" si="1">+C11</f>
        <v>0</v>
      </c>
      <c r="G11" s="72">
        <f>'Service Counts'!G10</f>
        <v>16.149999999999999</v>
      </c>
      <c r="H11" s="56">
        <f t="shared" ref="H11:H35" si="2">+F11*G11</f>
        <v>0</v>
      </c>
      <c r="I11" s="179">
        <f t="shared" ref="I11:I35" si="3">+H11-E11</f>
        <v>0</v>
      </c>
      <c r="K11" s="246">
        <f>'Service Counts'!L10</f>
        <v>0</v>
      </c>
      <c r="L11" s="72">
        <f>'Service Counts'!M10</f>
        <v>13.65</v>
      </c>
      <c r="M11" s="56">
        <f t="shared" ref="M11:M35" si="4">+K11*L11</f>
        <v>0</v>
      </c>
      <c r="N11" s="246">
        <f t="shared" ref="N11:N35" si="5">+K11</f>
        <v>0</v>
      </c>
      <c r="O11" s="72">
        <f>'Service Counts'!P10</f>
        <v>13.65</v>
      </c>
      <c r="P11" s="56">
        <f t="shared" ref="P11:P35" si="6">+N11*O11</f>
        <v>0</v>
      </c>
      <c r="Q11" s="179">
        <f t="shared" ref="Q11:Q35" si="7">+P11-M11</f>
        <v>0</v>
      </c>
      <c r="S11" s="246">
        <f>'Service Counts'!U10</f>
        <v>0</v>
      </c>
      <c r="T11" s="72">
        <f>'Service Counts'!V10</f>
        <v>13.65</v>
      </c>
      <c r="U11" s="56">
        <f t="shared" ref="U11:U35" si="8">+S11*T11</f>
        <v>0</v>
      </c>
      <c r="V11" s="246">
        <f t="shared" ref="V11:V35" si="9">+S11</f>
        <v>0</v>
      </c>
      <c r="W11" s="72">
        <f>'Service Counts'!Y10</f>
        <v>13.65</v>
      </c>
      <c r="X11" s="56">
        <f t="shared" ref="X11:X35" si="10">+V11*W11</f>
        <v>0</v>
      </c>
      <c r="Y11" s="179">
        <f t="shared" ref="Y11:Y35" si="11">+X11-U11</f>
        <v>0</v>
      </c>
      <c r="Z11" s="56"/>
      <c r="AA11" s="56">
        <f t="shared" ref="AA11:AA35" si="12">+I11+Q11+Y11</f>
        <v>0</v>
      </c>
    </row>
    <row r="12" spans="1:27">
      <c r="A12" t="s">
        <v>449</v>
      </c>
      <c r="C12" s="122">
        <f>'Service Counts'!C11</f>
        <v>0</v>
      </c>
      <c r="D12" s="72">
        <f>'Service Counts'!D11</f>
        <v>8.69</v>
      </c>
      <c r="E12" s="56">
        <f t="shared" si="0"/>
        <v>0</v>
      </c>
      <c r="F12" s="122">
        <f t="shared" si="1"/>
        <v>0</v>
      </c>
      <c r="G12" s="72">
        <f>'Service Counts'!G11</f>
        <v>9.5</v>
      </c>
      <c r="H12" s="56">
        <f t="shared" si="2"/>
        <v>0</v>
      </c>
      <c r="I12" s="186">
        <f t="shared" si="3"/>
        <v>0</v>
      </c>
      <c r="K12" s="246">
        <f>'Service Counts'!L11</f>
        <v>0</v>
      </c>
      <c r="L12" s="72">
        <f>'Service Counts'!M11</f>
        <v>8.75</v>
      </c>
      <c r="M12" s="56">
        <f t="shared" si="4"/>
        <v>0</v>
      </c>
      <c r="N12" s="246">
        <f t="shared" si="5"/>
        <v>0</v>
      </c>
      <c r="O12" s="72">
        <f>'Service Counts'!P11</f>
        <v>8.75</v>
      </c>
      <c r="P12" s="56">
        <f t="shared" si="6"/>
        <v>0</v>
      </c>
      <c r="Q12" s="186">
        <f t="shared" si="7"/>
        <v>0</v>
      </c>
      <c r="S12" s="246">
        <f>'Service Counts'!U11</f>
        <v>0</v>
      </c>
      <c r="T12" s="72">
        <f>'Service Counts'!V11</f>
        <v>8.75</v>
      </c>
      <c r="U12" s="56">
        <f t="shared" si="8"/>
        <v>0</v>
      </c>
      <c r="V12" s="246">
        <f t="shared" si="9"/>
        <v>0</v>
      </c>
      <c r="W12" s="72">
        <f>'Service Counts'!Y11</f>
        <v>8.75</v>
      </c>
      <c r="X12" s="56">
        <f t="shared" si="10"/>
        <v>0</v>
      </c>
      <c r="Y12" s="186">
        <f t="shared" si="11"/>
        <v>0</v>
      </c>
      <c r="Z12" s="56"/>
      <c r="AA12" s="6">
        <f t="shared" si="12"/>
        <v>0</v>
      </c>
    </row>
    <row r="13" spans="1:27">
      <c r="A13" t="s">
        <v>448</v>
      </c>
      <c r="C13" s="122">
        <f>'Service Counts'!C12</f>
        <v>0</v>
      </c>
      <c r="D13" s="72">
        <f>'Service Counts'!D12</f>
        <v>12.69</v>
      </c>
      <c r="E13" s="6">
        <f t="shared" si="0"/>
        <v>0</v>
      </c>
      <c r="F13" s="122">
        <f t="shared" si="1"/>
        <v>0</v>
      </c>
      <c r="G13" s="72">
        <f>'Service Counts'!G12</f>
        <v>13.85</v>
      </c>
      <c r="H13" s="6">
        <f t="shared" si="2"/>
        <v>0</v>
      </c>
      <c r="I13" s="186">
        <f t="shared" si="3"/>
        <v>0</v>
      </c>
      <c r="K13" s="246">
        <f>'Service Counts'!L12</f>
        <v>0</v>
      </c>
      <c r="L13" s="72">
        <f>'Service Counts'!M12</f>
        <v>12.6</v>
      </c>
      <c r="M13" s="6">
        <f t="shared" si="4"/>
        <v>0</v>
      </c>
      <c r="N13" s="246">
        <f t="shared" si="5"/>
        <v>0</v>
      </c>
      <c r="O13" s="72">
        <f>'Service Counts'!P12</f>
        <v>12.6</v>
      </c>
      <c r="P13" s="6">
        <f t="shared" si="6"/>
        <v>0</v>
      </c>
      <c r="Q13" s="186">
        <f t="shared" si="7"/>
        <v>0</v>
      </c>
      <c r="S13" s="246">
        <f>'Service Counts'!U12</f>
        <v>0</v>
      </c>
      <c r="T13" s="72">
        <f>'Service Counts'!V12</f>
        <v>12.6</v>
      </c>
      <c r="U13" s="6">
        <f t="shared" si="8"/>
        <v>0</v>
      </c>
      <c r="V13" s="246">
        <f t="shared" si="9"/>
        <v>0</v>
      </c>
      <c r="W13" s="72">
        <f>'Service Counts'!Y12</f>
        <v>12.6</v>
      </c>
      <c r="X13" s="6">
        <f t="shared" si="10"/>
        <v>0</v>
      </c>
      <c r="Y13" s="186">
        <f t="shared" si="11"/>
        <v>0</v>
      </c>
      <c r="Z13" s="6"/>
      <c r="AA13" s="6">
        <f t="shared" si="12"/>
        <v>0</v>
      </c>
    </row>
    <row r="14" spans="1:27">
      <c r="A14" t="s">
        <v>447</v>
      </c>
      <c r="C14" s="122">
        <f>'Service Counts'!C13</f>
        <v>0</v>
      </c>
      <c r="D14" s="72">
        <f>'Service Counts'!D13</f>
        <v>16.690000000000001</v>
      </c>
      <c r="E14" s="6">
        <f t="shared" si="0"/>
        <v>0</v>
      </c>
      <c r="F14" s="122">
        <f t="shared" si="1"/>
        <v>0</v>
      </c>
      <c r="G14" s="72">
        <f>'Service Counts'!G13</f>
        <v>18.2</v>
      </c>
      <c r="H14" s="6">
        <f t="shared" si="2"/>
        <v>0</v>
      </c>
      <c r="I14" s="186">
        <f t="shared" si="3"/>
        <v>0</v>
      </c>
      <c r="K14" s="246">
        <f>'Service Counts'!L13</f>
        <v>0</v>
      </c>
      <c r="L14" s="72">
        <f>'Service Counts'!M13</f>
        <v>16.45</v>
      </c>
      <c r="M14" s="6">
        <f t="shared" si="4"/>
        <v>0</v>
      </c>
      <c r="N14" s="246">
        <f t="shared" si="5"/>
        <v>0</v>
      </c>
      <c r="O14" s="72">
        <f>'Service Counts'!P13</f>
        <v>16.45</v>
      </c>
      <c r="P14" s="6">
        <f t="shared" si="6"/>
        <v>0</v>
      </c>
      <c r="Q14" s="186">
        <f t="shared" si="7"/>
        <v>0</v>
      </c>
      <c r="S14" s="246">
        <f>'Service Counts'!U13</f>
        <v>0</v>
      </c>
      <c r="T14" s="72">
        <f>'Service Counts'!V13</f>
        <v>16.45</v>
      </c>
      <c r="U14" s="6">
        <f t="shared" si="8"/>
        <v>0</v>
      </c>
      <c r="V14" s="246">
        <f t="shared" si="9"/>
        <v>0</v>
      </c>
      <c r="W14" s="72">
        <f>'Service Counts'!Y13</f>
        <v>16.45</v>
      </c>
      <c r="X14" s="6">
        <f t="shared" si="10"/>
        <v>0</v>
      </c>
      <c r="Y14" s="186">
        <f t="shared" si="11"/>
        <v>0</v>
      </c>
      <c r="Z14" s="6"/>
      <c r="AA14" s="6">
        <f t="shared" si="12"/>
        <v>0</v>
      </c>
    </row>
    <row r="15" spans="1:27">
      <c r="A15" t="s">
        <v>446</v>
      </c>
      <c r="C15" s="122">
        <f>'Service Counts'!C14</f>
        <v>0</v>
      </c>
      <c r="D15" s="72">
        <f>'Service Counts'!D14</f>
        <v>18.100000000000001</v>
      </c>
      <c r="E15" s="6">
        <f t="shared" si="0"/>
        <v>0</v>
      </c>
      <c r="F15" s="122">
        <f t="shared" si="1"/>
        <v>0</v>
      </c>
      <c r="G15" s="72">
        <f>'Service Counts'!G14</f>
        <v>19.850000000000001</v>
      </c>
      <c r="H15" s="6">
        <f t="shared" si="2"/>
        <v>0</v>
      </c>
      <c r="I15" s="186">
        <f t="shared" si="3"/>
        <v>0</v>
      </c>
      <c r="K15" s="246">
        <f>'Service Counts'!L14</f>
        <v>0</v>
      </c>
      <c r="L15" s="72">
        <f>'Service Counts'!M14</f>
        <v>16.350000000000001</v>
      </c>
      <c r="M15" s="6">
        <f t="shared" si="4"/>
        <v>0</v>
      </c>
      <c r="N15" s="246">
        <f t="shared" si="5"/>
        <v>0</v>
      </c>
      <c r="O15" s="72">
        <f>'Service Counts'!P14</f>
        <v>16.350000000000001</v>
      </c>
      <c r="P15" s="6">
        <f t="shared" si="6"/>
        <v>0</v>
      </c>
      <c r="Q15" s="186">
        <f t="shared" si="7"/>
        <v>0</v>
      </c>
      <c r="S15" s="246">
        <f>'Service Counts'!U14</f>
        <v>0</v>
      </c>
      <c r="T15" s="72">
        <f>'Service Counts'!V14</f>
        <v>16.350000000000001</v>
      </c>
      <c r="U15" s="6">
        <f t="shared" si="8"/>
        <v>0</v>
      </c>
      <c r="V15" s="246">
        <f t="shared" si="9"/>
        <v>0</v>
      </c>
      <c r="W15" s="72">
        <f>'Service Counts'!Y14</f>
        <v>16.350000000000001</v>
      </c>
      <c r="X15" s="6">
        <f t="shared" si="10"/>
        <v>0</v>
      </c>
      <c r="Y15" s="186">
        <f t="shared" si="11"/>
        <v>0</v>
      </c>
      <c r="Z15" s="6"/>
      <c r="AA15" s="6">
        <f t="shared" si="12"/>
        <v>0</v>
      </c>
    </row>
    <row r="16" spans="1:27">
      <c r="A16" t="s">
        <v>445</v>
      </c>
      <c r="C16" s="122">
        <f>'Service Counts'!C15</f>
        <v>0</v>
      </c>
      <c r="D16" s="72">
        <f>'Service Counts'!D15</f>
        <v>22.25</v>
      </c>
      <c r="E16" s="6">
        <f t="shared" si="0"/>
        <v>0</v>
      </c>
      <c r="F16" s="122">
        <f t="shared" si="1"/>
        <v>0</v>
      </c>
      <c r="G16" s="72">
        <f>'Service Counts'!G15</f>
        <v>24.4</v>
      </c>
      <c r="H16" s="6">
        <f t="shared" si="2"/>
        <v>0</v>
      </c>
      <c r="I16" s="186">
        <f t="shared" si="3"/>
        <v>0</v>
      </c>
      <c r="K16" s="246">
        <f>'Service Counts'!L15</f>
        <v>0</v>
      </c>
      <c r="L16" s="72">
        <f>'Service Counts'!M15</f>
        <v>20.55</v>
      </c>
      <c r="M16" s="6">
        <f t="shared" si="4"/>
        <v>0</v>
      </c>
      <c r="N16" s="246">
        <f t="shared" si="5"/>
        <v>0</v>
      </c>
      <c r="O16" s="72">
        <f>'Service Counts'!P15</f>
        <v>20.55</v>
      </c>
      <c r="P16" s="6">
        <f t="shared" si="6"/>
        <v>0</v>
      </c>
      <c r="Q16" s="186">
        <f t="shared" si="7"/>
        <v>0</v>
      </c>
      <c r="S16" s="246">
        <f>'Service Counts'!U15</f>
        <v>0</v>
      </c>
      <c r="T16" s="72">
        <f>'Service Counts'!V15</f>
        <v>20.55</v>
      </c>
      <c r="U16" s="6">
        <f t="shared" si="8"/>
        <v>0</v>
      </c>
      <c r="V16" s="246">
        <f t="shared" si="9"/>
        <v>0</v>
      </c>
      <c r="W16" s="72">
        <f>'Service Counts'!Y15</f>
        <v>20.55</v>
      </c>
      <c r="X16" s="6">
        <f t="shared" si="10"/>
        <v>0</v>
      </c>
      <c r="Y16" s="186">
        <f t="shared" si="11"/>
        <v>0</v>
      </c>
      <c r="Z16" s="6"/>
      <c r="AA16" s="6">
        <f t="shared" si="12"/>
        <v>0</v>
      </c>
    </row>
    <row r="17" spans="1:27">
      <c r="A17" t="s">
        <v>444</v>
      </c>
      <c r="C17" s="122">
        <f>'Service Counts'!C16</f>
        <v>0</v>
      </c>
      <c r="D17" s="72">
        <f>'Service Counts'!D16</f>
        <v>27.94</v>
      </c>
      <c r="E17" s="6">
        <f t="shared" si="0"/>
        <v>0</v>
      </c>
      <c r="F17" s="122">
        <f t="shared" si="1"/>
        <v>0</v>
      </c>
      <c r="G17" s="72">
        <f>'Service Counts'!G16</f>
        <v>30.6</v>
      </c>
      <c r="H17" s="6">
        <f t="shared" si="2"/>
        <v>0</v>
      </c>
      <c r="I17" s="186">
        <f t="shared" si="3"/>
        <v>0</v>
      </c>
      <c r="K17" s="246">
        <f>'Service Counts'!L16</f>
        <v>0</v>
      </c>
      <c r="L17" s="72">
        <f>'Service Counts'!M16</f>
        <v>24.25</v>
      </c>
      <c r="M17" s="6">
        <f t="shared" si="4"/>
        <v>0</v>
      </c>
      <c r="N17" s="246">
        <f t="shared" si="5"/>
        <v>0</v>
      </c>
      <c r="O17" s="72">
        <f>'Service Counts'!P16</f>
        <v>24.25</v>
      </c>
      <c r="P17" s="6">
        <f t="shared" si="6"/>
        <v>0</v>
      </c>
      <c r="Q17" s="186">
        <f t="shared" si="7"/>
        <v>0</v>
      </c>
      <c r="S17" s="246">
        <f>'Service Counts'!U16</f>
        <v>0</v>
      </c>
      <c r="T17" s="72">
        <f>'Service Counts'!V16</f>
        <v>24.25</v>
      </c>
      <c r="U17" s="6">
        <f t="shared" si="8"/>
        <v>0</v>
      </c>
      <c r="V17" s="246">
        <f t="shared" si="9"/>
        <v>0</v>
      </c>
      <c r="W17" s="72">
        <f>'Service Counts'!Y16</f>
        <v>24.25</v>
      </c>
      <c r="X17" s="6">
        <f t="shared" si="10"/>
        <v>0</v>
      </c>
      <c r="Y17" s="186">
        <f t="shared" si="11"/>
        <v>0</v>
      </c>
      <c r="Z17" s="6"/>
      <c r="AA17" s="6">
        <f t="shared" si="12"/>
        <v>0</v>
      </c>
    </row>
    <row r="18" spans="1:27">
      <c r="A18" t="s">
        <v>443</v>
      </c>
      <c r="C18" s="122">
        <f>'Service Counts'!C17</f>
        <v>0</v>
      </c>
      <c r="D18" s="72">
        <f>'Service Counts'!D17</f>
        <v>33.979999999999997</v>
      </c>
      <c r="E18" s="6">
        <f t="shared" si="0"/>
        <v>0</v>
      </c>
      <c r="F18" s="122">
        <f t="shared" si="1"/>
        <v>0</v>
      </c>
      <c r="G18" s="72">
        <f>'Service Counts'!G17</f>
        <v>37.25</v>
      </c>
      <c r="H18" s="6">
        <f t="shared" si="2"/>
        <v>0</v>
      </c>
      <c r="I18" s="186">
        <f t="shared" si="3"/>
        <v>0</v>
      </c>
      <c r="K18" s="246">
        <f>'Service Counts'!L17</f>
        <v>0</v>
      </c>
      <c r="L18" s="72">
        <f>'Service Counts'!M17</f>
        <v>27.75</v>
      </c>
      <c r="M18" s="6">
        <f t="shared" si="4"/>
        <v>0</v>
      </c>
      <c r="N18" s="246">
        <f t="shared" si="5"/>
        <v>0</v>
      </c>
      <c r="O18" s="72">
        <f>'Service Counts'!P17</f>
        <v>27.75</v>
      </c>
      <c r="P18" s="6">
        <f t="shared" si="6"/>
        <v>0</v>
      </c>
      <c r="Q18" s="186">
        <f t="shared" si="7"/>
        <v>0</v>
      </c>
      <c r="S18" s="246">
        <f>'Service Counts'!U17</f>
        <v>0</v>
      </c>
      <c r="T18" s="72">
        <f>'Service Counts'!V17</f>
        <v>27.75</v>
      </c>
      <c r="U18" s="6">
        <f t="shared" si="8"/>
        <v>0</v>
      </c>
      <c r="V18" s="246">
        <f t="shared" si="9"/>
        <v>0</v>
      </c>
      <c r="W18" s="72">
        <f>'Service Counts'!Y17</f>
        <v>27.75</v>
      </c>
      <c r="X18" s="6">
        <f t="shared" si="10"/>
        <v>0</v>
      </c>
      <c r="Y18" s="186">
        <f t="shared" si="11"/>
        <v>0</v>
      </c>
      <c r="Z18" s="6"/>
      <c r="AA18" s="6">
        <f t="shared" si="12"/>
        <v>0</v>
      </c>
    </row>
    <row r="19" spans="1:27">
      <c r="A19" t="s">
        <v>442</v>
      </c>
      <c r="C19" s="122">
        <f>'Service Counts'!C18</f>
        <v>0</v>
      </c>
      <c r="D19" s="72">
        <f>'Service Counts'!D18</f>
        <v>38.71</v>
      </c>
      <c r="E19" s="6">
        <f t="shared" si="0"/>
        <v>0</v>
      </c>
      <c r="F19" s="122">
        <f t="shared" si="1"/>
        <v>0</v>
      </c>
      <c r="G19" s="72">
        <f>'Service Counts'!G18</f>
        <v>42.45</v>
      </c>
      <c r="H19" s="6">
        <f t="shared" si="2"/>
        <v>0</v>
      </c>
      <c r="I19" s="186">
        <f t="shared" si="3"/>
        <v>0</v>
      </c>
      <c r="K19" s="246">
        <f>'Service Counts'!L18</f>
        <v>0</v>
      </c>
      <c r="L19" s="72">
        <f>'Service Counts'!M18</f>
        <v>33.25</v>
      </c>
      <c r="M19" s="6">
        <f t="shared" si="4"/>
        <v>0</v>
      </c>
      <c r="N19" s="246">
        <f t="shared" si="5"/>
        <v>0</v>
      </c>
      <c r="O19" s="72">
        <f>'Service Counts'!P18</f>
        <v>33.25</v>
      </c>
      <c r="P19" s="6">
        <f t="shared" si="6"/>
        <v>0</v>
      </c>
      <c r="Q19" s="186">
        <f t="shared" si="7"/>
        <v>0</v>
      </c>
      <c r="S19" s="246">
        <f>'Service Counts'!U18</f>
        <v>0</v>
      </c>
      <c r="T19" s="72">
        <f>'Service Counts'!V18</f>
        <v>33.25</v>
      </c>
      <c r="U19" s="6">
        <f t="shared" si="8"/>
        <v>0</v>
      </c>
      <c r="V19" s="246">
        <f t="shared" si="9"/>
        <v>0</v>
      </c>
      <c r="W19" s="72">
        <f>'Service Counts'!Y18</f>
        <v>33.25</v>
      </c>
      <c r="X19" s="6">
        <f t="shared" si="10"/>
        <v>0</v>
      </c>
      <c r="Y19" s="186">
        <f t="shared" si="11"/>
        <v>0</v>
      </c>
      <c r="Z19" s="6"/>
      <c r="AA19" s="6">
        <f t="shared" si="12"/>
        <v>0</v>
      </c>
    </row>
    <row r="20" spans="1:27">
      <c r="A20" t="s">
        <v>441</v>
      </c>
      <c r="C20" s="122">
        <f>'Service Counts'!C19</f>
        <v>0</v>
      </c>
      <c r="D20" s="72">
        <f>'Service Counts'!D19</f>
        <v>44.69</v>
      </c>
      <c r="E20" s="6">
        <f t="shared" si="0"/>
        <v>0</v>
      </c>
      <c r="F20" s="122">
        <f t="shared" si="1"/>
        <v>0</v>
      </c>
      <c r="G20" s="72">
        <f>'Service Counts'!G19</f>
        <v>49</v>
      </c>
      <c r="H20" s="6">
        <f t="shared" si="2"/>
        <v>0</v>
      </c>
      <c r="I20" s="186">
        <f t="shared" si="3"/>
        <v>0</v>
      </c>
      <c r="K20" s="246">
        <f>'Service Counts'!L19</f>
        <v>0</v>
      </c>
      <c r="L20" s="72">
        <f>'Service Counts'!M19</f>
        <v>36.85</v>
      </c>
      <c r="M20" s="6">
        <f t="shared" si="4"/>
        <v>0</v>
      </c>
      <c r="N20" s="246">
        <f t="shared" si="5"/>
        <v>0</v>
      </c>
      <c r="O20" s="72">
        <f>'Service Counts'!P19</f>
        <v>36.85</v>
      </c>
      <c r="P20" s="6">
        <f t="shared" si="6"/>
        <v>0</v>
      </c>
      <c r="Q20" s="186">
        <f t="shared" si="7"/>
        <v>0</v>
      </c>
      <c r="S20" s="246">
        <f>'Service Counts'!U19</f>
        <v>0</v>
      </c>
      <c r="T20" s="72">
        <f>'Service Counts'!V19</f>
        <v>36.85</v>
      </c>
      <c r="U20" s="6">
        <f t="shared" si="8"/>
        <v>0</v>
      </c>
      <c r="V20" s="246">
        <f t="shared" si="9"/>
        <v>0</v>
      </c>
      <c r="W20" s="72">
        <f>'Service Counts'!Y19</f>
        <v>36.85</v>
      </c>
      <c r="X20" s="6">
        <f t="shared" si="10"/>
        <v>0</v>
      </c>
      <c r="Y20" s="186">
        <f t="shared" si="11"/>
        <v>0</v>
      </c>
      <c r="Z20" s="6"/>
      <c r="AA20" s="6">
        <f t="shared" si="12"/>
        <v>0</v>
      </c>
    </row>
    <row r="21" spans="1:27">
      <c r="A21" s="83" t="s">
        <v>1346</v>
      </c>
      <c r="C21" s="122">
        <f>'Service Counts'!C20</f>
        <v>0</v>
      </c>
      <c r="D21" s="72">
        <f>'Service Counts'!D20</f>
        <v>12</v>
      </c>
      <c r="E21" s="6">
        <f t="shared" ref="E21:E23" si="13">+C21*D21</f>
        <v>0</v>
      </c>
      <c r="F21" s="122">
        <f t="shared" ref="F21:F23" si="14">+C21</f>
        <v>0</v>
      </c>
      <c r="G21" s="72">
        <f>'Service Counts'!G20</f>
        <v>13.15</v>
      </c>
      <c r="H21" s="6">
        <f t="shared" ref="H21:H23" si="15">+F21*G21</f>
        <v>0</v>
      </c>
      <c r="I21" s="186">
        <f t="shared" ref="I21:I23" si="16">+H21-E21</f>
        <v>0</v>
      </c>
      <c r="K21" s="246">
        <f>'Service Counts'!L20</f>
        <v>0</v>
      </c>
      <c r="L21" s="72">
        <f>'Service Counts'!M20</f>
        <v>0</v>
      </c>
      <c r="M21" s="6">
        <f t="shared" ref="M21:M23" si="17">+K21*L21</f>
        <v>0</v>
      </c>
      <c r="N21" s="246">
        <f t="shared" ref="N21:N23" si="18">+K21</f>
        <v>0</v>
      </c>
      <c r="O21" s="72">
        <f>'Service Counts'!P20</f>
        <v>0</v>
      </c>
      <c r="P21" s="6">
        <f t="shared" ref="P21:P23" si="19">+N21*O21</f>
        <v>0</v>
      </c>
      <c r="Q21" s="186">
        <f t="shared" ref="Q21:Q23" si="20">+P21-M21</f>
        <v>0</v>
      </c>
      <c r="S21" s="246">
        <f>'Service Counts'!U20</f>
        <v>0</v>
      </c>
      <c r="T21" s="72">
        <f>'Service Counts'!V20</f>
        <v>0</v>
      </c>
      <c r="U21" s="6">
        <f t="shared" ref="U21:U23" si="21">+S21*T21</f>
        <v>0</v>
      </c>
      <c r="V21" s="246">
        <f t="shared" ref="V21:V23" si="22">+S21</f>
        <v>0</v>
      </c>
      <c r="W21" s="72">
        <f>'Service Counts'!Y20</f>
        <v>0</v>
      </c>
      <c r="X21" s="6">
        <f t="shared" ref="X21:X23" si="23">+V21*W21</f>
        <v>0</v>
      </c>
      <c r="Y21" s="186">
        <f t="shared" ref="Y21:Y23" si="24">+X21-U21</f>
        <v>0</v>
      </c>
      <c r="Z21" s="6"/>
      <c r="AA21" s="6">
        <f t="shared" ref="AA21:AA23" si="25">+I21+Q21+Y21</f>
        <v>0</v>
      </c>
    </row>
    <row r="22" spans="1:27">
      <c r="A22" s="83" t="s">
        <v>439</v>
      </c>
      <c r="C22" s="122">
        <f>'Service Counts'!C21</f>
        <v>0</v>
      </c>
      <c r="D22" s="72">
        <f>'Service Counts'!D21</f>
        <v>18.100000000000001</v>
      </c>
      <c r="E22" s="6">
        <f t="shared" si="13"/>
        <v>0</v>
      </c>
      <c r="F22" s="122">
        <f t="shared" si="14"/>
        <v>0</v>
      </c>
      <c r="G22" s="72">
        <f>'Service Counts'!G21</f>
        <v>19.850000000000001</v>
      </c>
      <c r="H22" s="6">
        <f t="shared" si="15"/>
        <v>0</v>
      </c>
      <c r="I22" s="186">
        <f t="shared" si="16"/>
        <v>0</v>
      </c>
      <c r="K22" s="246">
        <f>'Service Counts'!L21</f>
        <v>0</v>
      </c>
      <c r="L22" s="72">
        <f>'Service Counts'!M21</f>
        <v>0</v>
      </c>
      <c r="M22" s="6">
        <f t="shared" si="17"/>
        <v>0</v>
      </c>
      <c r="N22" s="246">
        <f t="shared" si="18"/>
        <v>0</v>
      </c>
      <c r="O22" s="72">
        <f>'Service Counts'!P21</f>
        <v>0</v>
      </c>
      <c r="P22" s="6">
        <f t="shared" si="19"/>
        <v>0</v>
      </c>
      <c r="Q22" s="186">
        <f t="shared" si="20"/>
        <v>0</v>
      </c>
      <c r="S22" s="246">
        <f>'Service Counts'!U21</f>
        <v>0</v>
      </c>
      <c r="T22" s="72">
        <f>'Service Counts'!V21</f>
        <v>0</v>
      </c>
      <c r="U22" s="6">
        <f t="shared" si="21"/>
        <v>0</v>
      </c>
      <c r="V22" s="246">
        <f t="shared" si="22"/>
        <v>0</v>
      </c>
      <c r="W22" s="72">
        <f>'Service Counts'!Y21</f>
        <v>0</v>
      </c>
      <c r="X22" s="6">
        <f t="shared" si="23"/>
        <v>0</v>
      </c>
      <c r="Y22" s="186">
        <f t="shared" si="24"/>
        <v>0</v>
      </c>
      <c r="Z22" s="6"/>
      <c r="AA22" s="6">
        <f t="shared" si="25"/>
        <v>0</v>
      </c>
    </row>
    <row r="23" spans="1:27">
      <c r="A23" s="83" t="s">
        <v>438</v>
      </c>
      <c r="C23" s="122">
        <f>'Service Counts'!C22</f>
        <v>0</v>
      </c>
      <c r="D23" s="72">
        <f>'Service Counts'!D22</f>
        <v>30.95</v>
      </c>
      <c r="E23" s="6">
        <f t="shared" si="13"/>
        <v>0</v>
      </c>
      <c r="F23" s="122">
        <f t="shared" si="14"/>
        <v>0</v>
      </c>
      <c r="G23" s="72">
        <f>'Service Counts'!G22</f>
        <v>39.700000000000003</v>
      </c>
      <c r="H23" s="6">
        <f t="shared" si="15"/>
        <v>0</v>
      </c>
      <c r="I23" s="186">
        <f t="shared" si="16"/>
        <v>0</v>
      </c>
      <c r="K23" s="246">
        <f>'Service Counts'!L22</f>
        <v>0</v>
      </c>
      <c r="L23" s="72">
        <f>'Service Counts'!M22</f>
        <v>0</v>
      </c>
      <c r="M23" s="6">
        <f t="shared" si="17"/>
        <v>0</v>
      </c>
      <c r="N23" s="246">
        <f t="shared" si="18"/>
        <v>0</v>
      </c>
      <c r="O23" s="72">
        <f>'Service Counts'!P22</f>
        <v>0</v>
      </c>
      <c r="P23" s="6">
        <f t="shared" si="19"/>
        <v>0</v>
      </c>
      <c r="Q23" s="186">
        <f t="shared" si="20"/>
        <v>0</v>
      </c>
      <c r="S23" s="246">
        <f>'Service Counts'!U22</f>
        <v>0</v>
      </c>
      <c r="T23" s="72">
        <f>'Service Counts'!V22</f>
        <v>0</v>
      </c>
      <c r="U23" s="6">
        <f t="shared" si="21"/>
        <v>0</v>
      </c>
      <c r="V23" s="246">
        <f t="shared" si="22"/>
        <v>0</v>
      </c>
      <c r="W23" s="72">
        <f>'Service Counts'!Y22</f>
        <v>0</v>
      </c>
      <c r="X23" s="6">
        <f t="shared" si="23"/>
        <v>0</v>
      </c>
      <c r="Y23" s="186">
        <f t="shared" si="24"/>
        <v>0</v>
      </c>
      <c r="Z23" s="6"/>
      <c r="AA23" s="6">
        <f t="shared" si="25"/>
        <v>0</v>
      </c>
    </row>
    <row r="24" spans="1:27">
      <c r="A24" t="s">
        <v>613</v>
      </c>
      <c r="C24" s="122">
        <f>'Service Counts'!C23</f>
        <v>0</v>
      </c>
      <c r="D24" s="72">
        <f>'Service Counts'!D23</f>
        <v>13</v>
      </c>
      <c r="E24" s="6">
        <f t="shared" si="0"/>
        <v>0</v>
      </c>
      <c r="F24" s="122">
        <f t="shared" si="1"/>
        <v>0</v>
      </c>
      <c r="G24" s="72">
        <f>'Service Counts'!G23</f>
        <v>14.25</v>
      </c>
      <c r="H24" s="6">
        <f t="shared" si="2"/>
        <v>0</v>
      </c>
      <c r="I24" s="186">
        <f t="shared" si="3"/>
        <v>0</v>
      </c>
      <c r="K24" s="246">
        <f>'Service Counts'!L23</f>
        <v>0</v>
      </c>
      <c r="L24" s="72">
        <f>'Service Counts'!M23</f>
        <v>0</v>
      </c>
      <c r="M24" s="6">
        <f t="shared" si="4"/>
        <v>0</v>
      </c>
      <c r="N24" s="246">
        <f t="shared" si="5"/>
        <v>0</v>
      </c>
      <c r="O24" s="72">
        <f>'Service Counts'!P23</f>
        <v>0</v>
      </c>
      <c r="P24" s="6">
        <f t="shared" si="6"/>
        <v>0</v>
      </c>
      <c r="Q24" s="186">
        <f t="shared" si="7"/>
        <v>0</v>
      </c>
      <c r="S24" s="246">
        <f>'Service Counts'!U23</f>
        <v>0</v>
      </c>
      <c r="T24" s="72">
        <f>'Service Counts'!V23</f>
        <v>0</v>
      </c>
      <c r="U24" s="6">
        <f t="shared" si="8"/>
        <v>0</v>
      </c>
      <c r="V24" s="246">
        <f t="shared" si="9"/>
        <v>0</v>
      </c>
      <c r="W24" s="72">
        <f>'Service Counts'!Y23</f>
        <v>0</v>
      </c>
      <c r="X24" s="6">
        <f t="shared" si="10"/>
        <v>0</v>
      </c>
      <c r="Y24" s="186">
        <f t="shared" si="11"/>
        <v>0</v>
      </c>
      <c r="Z24" s="6"/>
      <c r="AA24" s="6">
        <f t="shared" si="12"/>
        <v>0</v>
      </c>
    </row>
    <row r="25" spans="1:27">
      <c r="A25" t="s">
        <v>436</v>
      </c>
      <c r="C25" s="122">
        <f>'Service Counts'!C24</f>
        <v>0</v>
      </c>
      <c r="D25" s="72">
        <f>'Service Counts'!D24</f>
        <v>22.25</v>
      </c>
      <c r="E25" s="6">
        <f t="shared" si="0"/>
        <v>0</v>
      </c>
      <c r="F25" s="122">
        <f t="shared" si="1"/>
        <v>0</v>
      </c>
      <c r="G25" s="72">
        <f>'Service Counts'!G24</f>
        <v>24.4</v>
      </c>
      <c r="H25" s="6">
        <f t="shared" si="2"/>
        <v>0</v>
      </c>
      <c r="I25" s="186">
        <f t="shared" si="3"/>
        <v>0</v>
      </c>
      <c r="K25" s="246">
        <f>'Service Counts'!L24</f>
        <v>0</v>
      </c>
      <c r="L25" s="72">
        <f>'Service Counts'!M24</f>
        <v>0</v>
      </c>
      <c r="M25" s="6">
        <f t="shared" si="4"/>
        <v>0</v>
      </c>
      <c r="N25" s="246">
        <f t="shared" si="5"/>
        <v>0</v>
      </c>
      <c r="O25" s="72">
        <f>'Service Counts'!P24</f>
        <v>0</v>
      </c>
      <c r="P25" s="6">
        <f t="shared" si="6"/>
        <v>0</v>
      </c>
      <c r="Q25" s="186">
        <f t="shared" si="7"/>
        <v>0</v>
      </c>
      <c r="S25" s="246">
        <f>'Service Counts'!U24</f>
        <v>0</v>
      </c>
      <c r="T25" s="72">
        <f>'Service Counts'!V24</f>
        <v>0</v>
      </c>
      <c r="U25" s="6">
        <f t="shared" si="8"/>
        <v>0</v>
      </c>
      <c r="V25" s="246">
        <f t="shared" si="9"/>
        <v>0</v>
      </c>
      <c r="W25" s="72">
        <f>'Service Counts'!Y24</f>
        <v>0</v>
      </c>
      <c r="X25" s="6">
        <f t="shared" si="10"/>
        <v>0</v>
      </c>
      <c r="Y25" s="186">
        <f t="shared" si="11"/>
        <v>0</v>
      </c>
      <c r="Z25" s="6"/>
      <c r="AA25" s="6">
        <f t="shared" si="12"/>
        <v>0</v>
      </c>
    </row>
    <row r="26" spans="1:27">
      <c r="A26" t="s">
        <v>435</v>
      </c>
      <c r="C26" s="122">
        <f>'Service Counts'!C25</f>
        <v>0</v>
      </c>
      <c r="D26" s="72">
        <f>'Service Counts'!D25</f>
        <v>36.049999999999997</v>
      </c>
      <c r="E26" s="6">
        <f t="shared" si="0"/>
        <v>0</v>
      </c>
      <c r="F26" s="122">
        <f t="shared" si="1"/>
        <v>0</v>
      </c>
      <c r="G26" s="72">
        <f>'Service Counts'!G25</f>
        <v>48.8</v>
      </c>
      <c r="H26" s="6">
        <f t="shared" si="2"/>
        <v>0</v>
      </c>
      <c r="I26" s="186">
        <f t="shared" si="3"/>
        <v>0</v>
      </c>
      <c r="K26" s="246">
        <f>'Service Counts'!L25</f>
        <v>0</v>
      </c>
      <c r="L26" s="72">
        <f>'Service Counts'!M25</f>
        <v>0</v>
      </c>
      <c r="M26" s="6">
        <f t="shared" si="4"/>
        <v>0</v>
      </c>
      <c r="N26" s="246">
        <f t="shared" si="5"/>
        <v>0</v>
      </c>
      <c r="O26" s="72">
        <f>'Service Counts'!P25</f>
        <v>0</v>
      </c>
      <c r="P26" s="6">
        <f t="shared" si="6"/>
        <v>0</v>
      </c>
      <c r="Q26" s="186">
        <f t="shared" si="7"/>
        <v>0</v>
      </c>
      <c r="S26" s="246">
        <f>'Service Counts'!U25</f>
        <v>0</v>
      </c>
      <c r="T26" s="72">
        <f>'Service Counts'!V25</f>
        <v>0</v>
      </c>
      <c r="U26" s="6">
        <f t="shared" si="8"/>
        <v>0</v>
      </c>
      <c r="V26" s="246">
        <f t="shared" si="9"/>
        <v>0</v>
      </c>
      <c r="W26" s="72">
        <f>'Service Counts'!Y25</f>
        <v>0</v>
      </c>
      <c r="X26" s="6">
        <f t="shared" si="10"/>
        <v>0</v>
      </c>
      <c r="Y26" s="186">
        <f t="shared" si="11"/>
        <v>0</v>
      </c>
      <c r="Z26" s="6"/>
      <c r="AA26" s="6">
        <f t="shared" si="12"/>
        <v>0</v>
      </c>
    </row>
    <row r="27" spans="1:27">
      <c r="A27" t="s">
        <v>434</v>
      </c>
      <c r="C27" s="122">
        <f>'Service Counts'!C26</f>
        <v>0</v>
      </c>
      <c r="D27" s="72">
        <f>'Service Counts'!D26</f>
        <v>27.94</v>
      </c>
      <c r="E27" s="6">
        <f t="shared" si="0"/>
        <v>0</v>
      </c>
      <c r="F27" s="122">
        <f t="shared" si="1"/>
        <v>0</v>
      </c>
      <c r="G27" s="72">
        <f>'Service Counts'!G26</f>
        <v>30.6</v>
      </c>
      <c r="H27" s="6">
        <f t="shared" si="2"/>
        <v>0</v>
      </c>
      <c r="I27" s="186">
        <f t="shared" si="3"/>
        <v>0</v>
      </c>
      <c r="K27" s="246">
        <f>'Service Counts'!L26</f>
        <v>0</v>
      </c>
      <c r="L27" s="72">
        <f>'Service Counts'!M26</f>
        <v>0</v>
      </c>
      <c r="M27" s="6">
        <f t="shared" si="4"/>
        <v>0</v>
      </c>
      <c r="N27" s="246">
        <f t="shared" si="5"/>
        <v>0</v>
      </c>
      <c r="O27" s="72">
        <f>'Service Counts'!P26</f>
        <v>0</v>
      </c>
      <c r="P27" s="6">
        <f t="shared" si="6"/>
        <v>0</v>
      </c>
      <c r="Q27" s="186">
        <f t="shared" si="7"/>
        <v>0</v>
      </c>
      <c r="S27" s="246">
        <f>'Service Counts'!U26</f>
        <v>0</v>
      </c>
      <c r="T27" s="72">
        <f>'Service Counts'!V26</f>
        <v>0</v>
      </c>
      <c r="U27" s="6">
        <f t="shared" si="8"/>
        <v>0</v>
      </c>
      <c r="V27" s="246">
        <f t="shared" si="9"/>
        <v>0</v>
      </c>
      <c r="W27" s="72">
        <f>'Service Counts'!Y26</f>
        <v>0</v>
      </c>
      <c r="X27" s="6">
        <f t="shared" si="10"/>
        <v>0</v>
      </c>
      <c r="Y27" s="186">
        <f t="shared" si="11"/>
        <v>0</v>
      </c>
      <c r="Z27" s="6"/>
      <c r="AA27" s="6">
        <f t="shared" si="12"/>
        <v>0</v>
      </c>
    </row>
    <row r="28" spans="1:27">
      <c r="A28" t="s">
        <v>433</v>
      </c>
      <c r="C28" s="122">
        <f>'Service Counts'!C27</f>
        <v>0</v>
      </c>
      <c r="D28" s="72">
        <f>'Service Counts'!D27</f>
        <v>49.05</v>
      </c>
      <c r="E28" s="6">
        <f t="shared" si="0"/>
        <v>0</v>
      </c>
      <c r="F28" s="122">
        <f t="shared" si="1"/>
        <v>0</v>
      </c>
      <c r="G28" s="72">
        <f>'Service Counts'!G27</f>
        <v>61.2</v>
      </c>
      <c r="H28" s="6">
        <f t="shared" si="2"/>
        <v>0</v>
      </c>
      <c r="I28" s="186">
        <f t="shared" si="3"/>
        <v>0</v>
      </c>
      <c r="K28" s="246">
        <f>'Service Counts'!L27</f>
        <v>0</v>
      </c>
      <c r="L28" s="72">
        <f>'Service Counts'!M27</f>
        <v>0</v>
      </c>
      <c r="M28" s="6">
        <f t="shared" si="4"/>
        <v>0</v>
      </c>
      <c r="N28" s="246">
        <f t="shared" si="5"/>
        <v>0</v>
      </c>
      <c r="O28" s="72">
        <f>'Service Counts'!P27</f>
        <v>0</v>
      </c>
      <c r="P28" s="6">
        <f t="shared" si="6"/>
        <v>0</v>
      </c>
      <c r="Q28" s="186">
        <f t="shared" si="7"/>
        <v>0</v>
      </c>
      <c r="S28" s="246">
        <f>'Service Counts'!U27</f>
        <v>0</v>
      </c>
      <c r="T28" s="72">
        <f>'Service Counts'!V27</f>
        <v>0</v>
      </c>
      <c r="U28" s="6">
        <f t="shared" si="8"/>
        <v>0</v>
      </c>
      <c r="V28" s="246">
        <f t="shared" si="9"/>
        <v>0</v>
      </c>
      <c r="W28" s="72">
        <f>'Service Counts'!Y27</f>
        <v>0</v>
      </c>
      <c r="X28" s="6">
        <f t="shared" si="10"/>
        <v>0</v>
      </c>
      <c r="Y28" s="186">
        <f t="shared" si="11"/>
        <v>0</v>
      </c>
      <c r="Z28" s="6"/>
      <c r="AA28" s="6">
        <f t="shared" si="12"/>
        <v>0</v>
      </c>
    </row>
    <row r="29" spans="1:27">
      <c r="A29" s="83" t="s">
        <v>1347</v>
      </c>
      <c r="C29" s="122">
        <f>'Service Counts'!C28</f>
        <v>0</v>
      </c>
      <c r="D29" s="72">
        <f>'Service Counts'!D28</f>
        <v>15</v>
      </c>
      <c r="E29" s="6">
        <f t="shared" ref="E29" si="26">+C29*D29</f>
        <v>0</v>
      </c>
      <c r="F29" s="122">
        <f t="shared" ref="F29" si="27">+C29</f>
        <v>0</v>
      </c>
      <c r="G29" s="72">
        <f>'Service Counts'!G28</f>
        <v>15</v>
      </c>
      <c r="H29" s="6">
        <f t="shared" ref="H29" si="28">+F29*G29</f>
        <v>0</v>
      </c>
      <c r="I29" s="186">
        <f t="shared" ref="I29" si="29">+H29-E29</f>
        <v>0</v>
      </c>
      <c r="K29" s="246">
        <f>'Service Counts'!L28</f>
        <v>0</v>
      </c>
      <c r="L29" s="72">
        <f>'Service Counts'!M28</f>
        <v>0</v>
      </c>
      <c r="M29" s="6">
        <f t="shared" ref="M29" si="30">+K29*L29</f>
        <v>0</v>
      </c>
      <c r="N29" s="246">
        <f t="shared" ref="N29" si="31">+K29</f>
        <v>0</v>
      </c>
      <c r="O29" s="72">
        <f>'Service Counts'!P28</f>
        <v>0</v>
      </c>
      <c r="P29" s="6">
        <f t="shared" ref="P29" si="32">+N29*O29</f>
        <v>0</v>
      </c>
      <c r="Q29" s="186">
        <f t="shared" ref="Q29" si="33">+P29-M29</f>
        <v>0</v>
      </c>
      <c r="S29" s="246">
        <f>'Service Counts'!U28</f>
        <v>0</v>
      </c>
      <c r="T29" s="72">
        <f>'Service Counts'!V28</f>
        <v>0</v>
      </c>
      <c r="U29" s="6">
        <f t="shared" ref="U29" si="34">+S29*T29</f>
        <v>0</v>
      </c>
      <c r="V29" s="246">
        <f t="shared" ref="V29" si="35">+S29</f>
        <v>0</v>
      </c>
      <c r="W29" s="72">
        <f>'Service Counts'!Y28</f>
        <v>0</v>
      </c>
      <c r="X29" s="6">
        <f t="shared" ref="X29" si="36">+V29*W29</f>
        <v>0</v>
      </c>
      <c r="Y29" s="186">
        <f t="shared" ref="Y29" si="37">+X29-U29</f>
        <v>0</v>
      </c>
      <c r="Z29" s="6"/>
      <c r="AA29" s="6">
        <f t="shared" ref="AA29" si="38">+I29+Q29+Y29</f>
        <v>0</v>
      </c>
    </row>
    <row r="30" spans="1:27">
      <c r="A30" t="s">
        <v>432</v>
      </c>
      <c r="C30" s="122">
        <f>'Service Counts'!C29</f>
        <v>0</v>
      </c>
      <c r="D30" s="72">
        <f>'Service Counts'!D29</f>
        <v>4</v>
      </c>
      <c r="E30" s="6">
        <f t="shared" si="0"/>
        <v>0</v>
      </c>
      <c r="F30" s="122">
        <f t="shared" si="1"/>
        <v>0</v>
      </c>
      <c r="G30" s="72">
        <f>'Service Counts'!G29</f>
        <v>4.3499999999999996</v>
      </c>
      <c r="H30" s="6">
        <f t="shared" si="2"/>
        <v>0</v>
      </c>
      <c r="I30" s="186">
        <f t="shared" si="3"/>
        <v>0</v>
      </c>
      <c r="K30" s="246">
        <f>'Service Counts'!L29</f>
        <v>0</v>
      </c>
      <c r="L30" s="72">
        <f>'Service Counts'!M29</f>
        <v>3.95</v>
      </c>
      <c r="M30" s="6">
        <f t="shared" si="4"/>
        <v>0</v>
      </c>
      <c r="N30" s="246">
        <f t="shared" si="5"/>
        <v>0</v>
      </c>
      <c r="O30" s="72">
        <f>'Service Counts'!P29</f>
        <v>3.95</v>
      </c>
      <c r="P30" s="6">
        <f t="shared" si="6"/>
        <v>0</v>
      </c>
      <c r="Q30" s="186">
        <f t="shared" si="7"/>
        <v>0</v>
      </c>
      <c r="S30" s="246">
        <f>'Service Counts'!U29</f>
        <v>0</v>
      </c>
      <c r="T30" s="72">
        <f>'Service Counts'!V29</f>
        <v>3.95</v>
      </c>
      <c r="U30" s="6">
        <f t="shared" si="8"/>
        <v>0</v>
      </c>
      <c r="V30" s="246">
        <f t="shared" si="9"/>
        <v>0</v>
      </c>
      <c r="W30" s="72">
        <f>'Service Counts'!Y29</f>
        <v>3.95</v>
      </c>
      <c r="X30" s="6">
        <f t="shared" si="10"/>
        <v>0</v>
      </c>
      <c r="Y30" s="186">
        <f t="shared" si="11"/>
        <v>0</v>
      </c>
      <c r="Z30" s="6"/>
      <c r="AA30" s="6">
        <f t="shared" si="12"/>
        <v>0</v>
      </c>
    </row>
    <row r="31" spans="1:27">
      <c r="A31" t="s">
        <v>431</v>
      </c>
      <c r="C31" s="122">
        <f>'Service Counts'!C30</f>
        <v>0</v>
      </c>
      <c r="D31" s="72">
        <f>'Service Counts'!D30</f>
        <v>2.95</v>
      </c>
      <c r="E31" s="6">
        <f t="shared" si="0"/>
        <v>0</v>
      </c>
      <c r="F31" s="122">
        <f t="shared" si="1"/>
        <v>0</v>
      </c>
      <c r="G31" s="72">
        <f>'Service Counts'!G30</f>
        <v>3.25</v>
      </c>
      <c r="H31" s="6">
        <f t="shared" si="2"/>
        <v>0</v>
      </c>
      <c r="I31" s="186">
        <f t="shared" si="3"/>
        <v>0</v>
      </c>
      <c r="K31" s="246">
        <f>'Service Counts'!L30</f>
        <v>0</v>
      </c>
      <c r="L31" s="72">
        <f>'Service Counts'!M30</f>
        <v>2.95</v>
      </c>
      <c r="M31" s="6">
        <f t="shared" si="4"/>
        <v>0</v>
      </c>
      <c r="N31" s="246">
        <f t="shared" si="5"/>
        <v>0</v>
      </c>
      <c r="O31" s="72">
        <f>'Service Counts'!P30</f>
        <v>2.95</v>
      </c>
      <c r="P31" s="6">
        <f t="shared" si="6"/>
        <v>0</v>
      </c>
      <c r="Q31" s="186">
        <f t="shared" si="7"/>
        <v>0</v>
      </c>
      <c r="S31" s="246">
        <f>'Service Counts'!U30</f>
        <v>0</v>
      </c>
      <c r="T31" s="72">
        <f>'Service Counts'!V30</f>
        <v>2.95</v>
      </c>
      <c r="U31" s="6">
        <f t="shared" si="8"/>
        <v>0</v>
      </c>
      <c r="V31" s="246">
        <f t="shared" si="9"/>
        <v>0</v>
      </c>
      <c r="W31" s="72">
        <f>'Service Counts'!Y30</f>
        <v>2.95</v>
      </c>
      <c r="X31" s="6">
        <f t="shared" si="10"/>
        <v>0</v>
      </c>
      <c r="Y31" s="186">
        <f t="shared" si="11"/>
        <v>0</v>
      </c>
      <c r="Z31" s="6"/>
      <c r="AA31" s="6">
        <f t="shared" si="12"/>
        <v>0</v>
      </c>
    </row>
    <row r="32" spans="1:27">
      <c r="A32" t="s">
        <v>534</v>
      </c>
      <c r="C32" s="122">
        <f>'Service Counts'!C31</f>
        <v>0</v>
      </c>
      <c r="D32" s="72">
        <f>'Service Counts'!D31</f>
        <v>1.8</v>
      </c>
      <c r="E32" s="6">
        <f t="shared" si="0"/>
        <v>0</v>
      </c>
      <c r="F32" s="122">
        <f t="shared" si="1"/>
        <v>0</v>
      </c>
      <c r="G32" s="72">
        <f>'Service Counts'!G31</f>
        <v>1.95</v>
      </c>
      <c r="H32" s="6">
        <f t="shared" si="2"/>
        <v>0</v>
      </c>
      <c r="I32" s="186">
        <f t="shared" si="3"/>
        <v>0</v>
      </c>
      <c r="K32" s="246">
        <f>'Service Counts'!L31</f>
        <v>0</v>
      </c>
      <c r="L32" s="72">
        <f>'Service Counts'!M31</f>
        <v>1.65</v>
      </c>
      <c r="M32" s="6">
        <f t="shared" si="4"/>
        <v>0</v>
      </c>
      <c r="N32" s="246">
        <f t="shared" si="5"/>
        <v>0</v>
      </c>
      <c r="O32" s="72">
        <f>'Service Counts'!P31</f>
        <v>1.65</v>
      </c>
      <c r="P32" s="6">
        <f t="shared" si="6"/>
        <v>0</v>
      </c>
      <c r="Q32" s="186">
        <f t="shared" si="7"/>
        <v>0</v>
      </c>
      <c r="S32" s="246">
        <f>'Service Counts'!U31</f>
        <v>0</v>
      </c>
      <c r="T32" s="72">
        <f>'Service Counts'!V31</f>
        <v>1.65</v>
      </c>
      <c r="U32" s="6">
        <f t="shared" si="8"/>
        <v>0</v>
      </c>
      <c r="V32" s="246">
        <f t="shared" si="9"/>
        <v>0</v>
      </c>
      <c r="W32" s="72">
        <f>'Service Counts'!Y31</f>
        <v>1.65</v>
      </c>
      <c r="X32" s="6">
        <f t="shared" si="10"/>
        <v>0</v>
      </c>
      <c r="Y32" s="186">
        <f t="shared" si="11"/>
        <v>0</v>
      </c>
      <c r="Z32" s="6"/>
      <c r="AA32" s="6">
        <f t="shared" si="12"/>
        <v>0</v>
      </c>
    </row>
    <row r="33" spans="1:28">
      <c r="A33" t="s">
        <v>429</v>
      </c>
      <c r="C33" s="122">
        <f>'Service Counts'!C32</f>
        <v>0</v>
      </c>
      <c r="D33" s="72">
        <f>'Service Counts'!D32</f>
        <v>12.75</v>
      </c>
      <c r="E33" s="6">
        <f t="shared" si="0"/>
        <v>0</v>
      </c>
      <c r="F33" s="122">
        <f t="shared" si="1"/>
        <v>0</v>
      </c>
      <c r="G33" s="72">
        <f>'Service Counts'!G32</f>
        <v>13.9</v>
      </c>
      <c r="H33" s="6">
        <f t="shared" si="2"/>
        <v>0</v>
      </c>
      <c r="I33" s="186">
        <f t="shared" si="3"/>
        <v>0</v>
      </c>
      <c r="K33" s="246">
        <f>'Service Counts'!L32</f>
        <v>0</v>
      </c>
      <c r="L33" s="72">
        <f>'Service Counts'!M32</f>
        <v>10.55</v>
      </c>
      <c r="M33" s="6">
        <f t="shared" si="4"/>
        <v>0</v>
      </c>
      <c r="N33" s="246">
        <f t="shared" si="5"/>
        <v>0</v>
      </c>
      <c r="O33" s="72">
        <f>'Service Counts'!P32</f>
        <v>10.55</v>
      </c>
      <c r="P33" s="6">
        <f t="shared" si="6"/>
        <v>0</v>
      </c>
      <c r="Q33" s="186">
        <f t="shared" si="7"/>
        <v>0</v>
      </c>
      <c r="S33" s="246">
        <f>'Service Counts'!U32</f>
        <v>0</v>
      </c>
      <c r="T33" s="72">
        <f>'Service Counts'!V32</f>
        <v>10.55</v>
      </c>
      <c r="U33" s="6">
        <f t="shared" si="8"/>
        <v>0</v>
      </c>
      <c r="V33" s="246">
        <f t="shared" si="9"/>
        <v>0</v>
      </c>
      <c r="W33" s="72">
        <f>'Service Counts'!Y32</f>
        <v>10.55</v>
      </c>
      <c r="X33" s="6">
        <f t="shared" si="10"/>
        <v>0</v>
      </c>
      <c r="Y33" s="186">
        <f t="shared" si="11"/>
        <v>0</v>
      </c>
      <c r="Z33" s="6"/>
      <c r="AA33" s="6">
        <f t="shared" si="12"/>
        <v>0</v>
      </c>
    </row>
    <row r="34" spans="1:28">
      <c r="A34" t="s">
        <v>428</v>
      </c>
      <c r="C34" s="122">
        <f>'Service Counts'!C33</f>
        <v>0</v>
      </c>
      <c r="D34" s="72">
        <f>'Service Counts'!D33</f>
        <v>21.2</v>
      </c>
      <c r="E34" s="6">
        <f t="shared" si="0"/>
        <v>0</v>
      </c>
      <c r="F34" s="122">
        <f t="shared" si="1"/>
        <v>0</v>
      </c>
      <c r="G34" s="72">
        <f>'Service Counts'!G33</f>
        <v>22.4</v>
      </c>
      <c r="H34" s="6">
        <f t="shared" si="2"/>
        <v>0</v>
      </c>
      <c r="I34" s="186">
        <f t="shared" si="3"/>
        <v>0</v>
      </c>
      <c r="K34" s="246">
        <f>'Service Counts'!L33</f>
        <v>0</v>
      </c>
      <c r="L34" s="72">
        <f>'Service Counts'!M33</f>
        <v>19.600000000000001</v>
      </c>
      <c r="M34" s="6">
        <f t="shared" si="4"/>
        <v>0</v>
      </c>
      <c r="N34" s="246">
        <f t="shared" si="5"/>
        <v>0</v>
      </c>
      <c r="O34" s="72">
        <f>'Service Counts'!P33</f>
        <v>19.600000000000001</v>
      </c>
      <c r="P34" s="6">
        <f t="shared" si="6"/>
        <v>0</v>
      </c>
      <c r="Q34" s="186">
        <f t="shared" si="7"/>
        <v>0</v>
      </c>
      <c r="S34" s="246">
        <f>'Service Counts'!U33</f>
        <v>0</v>
      </c>
      <c r="T34" s="72">
        <f>'Service Counts'!V33</f>
        <v>19.600000000000001</v>
      </c>
      <c r="U34" s="6">
        <f t="shared" si="8"/>
        <v>0</v>
      </c>
      <c r="V34" s="246">
        <f t="shared" si="9"/>
        <v>0</v>
      </c>
      <c r="W34" s="72">
        <f>'Service Counts'!Y33</f>
        <v>19.600000000000001</v>
      </c>
      <c r="X34" s="6">
        <f t="shared" si="10"/>
        <v>0</v>
      </c>
      <c r="Y34" s="186">
        <f t="shared" si="11"/>
        <v>0</v>
      </c>
      <c r="Z34" s="6"/>
      <c r="AA34" s="6">
        <f t="shared" si="12"/>
        <v>0</v>
      </c>
    </row>
    <row r="35" spans="1:28">
      <c r="A35" t="s">
        <v>427</v>
      </c>
      <c r="C35" s="122">
        <f>'Service Counts'!C34</f>
        <v>0</v>
      </c>
      <c r="D35" s="72">
        <f>'Service Counts'!D34</f>
        <v>12.3</v>
      </c>
      <c r="E35" s="6">
        <f t="shared" si="0"/>
        <v>0</v>
      </c>
      <c r="F35" s="122">
        <f t="shared" si="1"/>
        <v>0</v>
      </c>
      <c r="G35" s="72">
        <f>'Service Counts'!G34</f>
        <v>13.5</v>
      </c>
      <c r="H35" s="6">
        <f t="shared" si="2"/>
        <v>0</v>
      </c>
      <c r="I35" s="186">
        <f t="shared" si="3"/>
        <v>0</v>
      </c>
      <c r="K35" s="246">
        <f>'Service Counts'!L34</f>
        <v>0</v>
      </c>
      <c r="L35" s="72">
        <f>'Service Counts'!M34</f>
        <v>12.2</v>
      </c>
      <c r="M35" s="6">
        <f t="shared" si="4"/>
        <v>0</v>
      </c>
      <c r="N35" s="246">
        <f t="shared" si="5"/>
        <v>0</v>
      </c>
      <c r="O35" s="72">
        <f>'Service Counts'!P34</f>
        <v>12.2</v>
      </c>
      <c r="P35" s="6">
        <f t="shared" si="6"/>
        <v>0</v>
      </c>
      <c r="Q35" s="186">
        <f t="shared" si="7"/>
        <v>0</v>
      </c>
      <c r="S35" s="246">
        <f>'Service Counts'!U34</f>
        <v>0</v>
      </c>
      <c r="T35" s="72">
        <f>'Service Counts'!V34</f>
        <v>12.2</v>
      </c>
      <c r="U35" s="6">
        <f t="shared" si="8"/>
        <v>0</v>
      </c>
      <c r="V35" s="246">
        <f t="shared" si="9"/>
        <v>0</v>
      </c>
      <c r="W35" s="72">
        <f>'Service Counts'!Y34</f>
        <v>12.2</v>
      </c>
      <c r="X35" s="6">
        <f t="shared" si="10"/>
        <v>0</v>
      </c>
      <c r="Y35" s="186">
        <f t="shared" si="11"/>
        <v>0</v>
      </c>
      <c r="Z35" s="6"/>
      <c r="AA35" s="6">
        <f t="shared" si="12"/>
        <v>0</v>
      </c>
      <c r="AB35" s="56">
        <f>SUM(AA11:AA35)</f>
        <v>0</v>
      </c>
    </row>
    <row r="36" spans="1:28">
      <c r="C36" s="122"/>
      <c r="D36" s="185"/>
      <c r="F36" s="122"/>
      <c r="G36" s="248"/>
      <c r="I36" s="181"/>
      <c r="K36" s="246"/>
      <c r="L36" s="248"/>
      <c r="N36" s="246"/>
      <c r="O36" s="248"/>
      <c r="Q36" s="181"/>
      <c r="S36" s="246"/>
      <c r="T36" s="248"/>
      <c r="V36" s="246"/>
      <c r="W36" s="248"/>
      <c r="Y36" s="181"/>
    </row>
    <row r="37" spans="1:28">
      <c r="A37" t="s">
        <v>426</v>
      </c>
      <c r="C37" s="122"/>
      <c r="D37" s="185"/>
      <c r="F37" s="122"/>
      <c r="G37" s="248"/>
      <c r="I37" s="181"/>
      <c r="K37" s="246"/>
      <c r="L37" s="248"/>
      <c r="N37" s="246"/>
      <c r="O37" s="248"/>
      <c r="Q37" s="181"/>
      <c r="S37" s="246"/>
      <c r="T37" s="248"/>
      <c r="V37" s="246"/>
      <c r="W37" s="248"/>
      <c r="Y37" s="181"/>
    </row>
    <row r="38" spans="1:28">
      <c r="A38" t="s">
        <v>425</v>
      </c>
      <c r="C38" s="122">
        <f>'Service Counts'!C37</f>
        <v>0</v>
      </c>
      <c r="D38" s="72">
        <f>'Service Counts'!D37</f>
        <v>16.3</v>
      </c>
      <c r="E38" s="6">
        <f t="shared" ref="E38:E52" si="39">+C38*D38</f>
        <v>0</v>
      </c>
      <c r="F38" s="122">
        <f t="shared" ref="F38:F52" si="40">+C38</f>
        <v>0</v>
      </c>
      <c r="G38" s="72">
        <f>'Service Counts'!G37</f>
        <v>17.8</v>
      </c>
      <c r="H38" s="6">
        <f t="shared" ref="H38:H52" si="41">+F38*G38</f>
        <v>0</v>
      </c>
      <c r="I38" s="186">
        <f t="shared" ref="I38:I52" si="42">+H38-E38</f>
        <v>0</v>
      </c>
      <c r="K38" s="246">
        <f>'Service Counts'!L37</f>
        <v>0</v>
      </c>
      <c r="L38" s="72">
        <f>'Service Counts'!M37</f>
        <v>15.25</v>
      </c>
      <c r="M38" s="6">
        <f t="shared" ref="M38:M52" si="43">+K38*L38</f>
        <v>0</v>
      </c>
      <c r="N38" s="246">
        <f t="shared" ref="N38:N52" si="44">+K38</f>
        <v>0</v>
      </c>
      <c r="O38" s="72">
        <f>'Service Counts'!P37</f>
        <v>15.25</v>
      </c>
      <c r="P38" s="6">
        <f t="shared" ref="P38:P52" si="45">+N38*O38</f>
        <v>0</v>
      </c>
      <c r="Q38" s="186">
        <f t="shared" ref="Q38:Q52" si="46">+P38-M38</f>
        <v>0</v>
      </c>
      <c r="S38" s="246">
        <f>'Service Counts'!U37</f>
        <v>0</v>
      </c>
      <c r="T38" s="72">
        <f>'Service Counts'!V37</f>
        <v>15.25</v>
      </c>
      <c r="U38" s="6">
        <f t="shared" ref="U38:U52" si="47">+S38*T38</f>
        <v>0</v>
      </c>
      <c r="V38" s="246">
        <f t="shared" ref="V38:V52" si="48">+S38</f>
        <v>0</v>
      </c>
      <c r="W38" s="72">
        <f>'Service Counts'!Y37</f>
        <v>15.25</v>
      </c>
      <c r="X38" s="6">
        <f t="shared" ref="X38:X52" si="49">+V38*W38</f>
        <v>0</v>
      </c>
      <c r="Y38" s="186">
        <f t="shared" ref="Y38:Y52" si="50">+X38-U38</f>
        <v>0</v>
      </c>
      <c r="Z38" s="6"/>
      <c r="AA38" s="6">
        <f t="shared" ref="AA38:AA52" si="51">+I38+Q38+Y38</f>
        <v>0</v>
      </c>
    </row>
    <row r="39" spans="1:28">
      <c r="A39" t="s">
        <v>424</v>
      </c>
      <c r="C39" s="122">
        <f>'Service Counts'!C38</f>
        <v>0</v>
      </c>
      <c r="D39" s="72">
        <f>'Service Counts'!D38</f>
        <v>21.96</v>
      </c>
      <c r="E39" s="6">
        <f t="shared" si="39"/>
        <v>0</v>
      </c>
      <c r="F39" s="122">
        <f t="shared" si="40"/>
        <v>0</v>
      </c>
      <c r="G39" s="72">
        <f>'Service Counts'!G38</f>
        <v>23.15</v>
      </c>
      <c r="H39" s="6">
        <f t="shared" si="41"/>
        <v>0</v>
      </c>
      <c r="I39" s="186">
        <f t="shared" si="42"/>
        <v>0</v>
      </c>
      <c r="K39" s="246">
        <f>'Service Counts'!L38</f>
        <v>0</v>
      </c>
      <c r="L39" s="72">
        <f>'Service Counts'!M38</f>
        <v>20.399999999999999</v>
      </c>
      <c r="M39" s="6">
        <f t="shared" si="43"/>
        <v>0</v>
      </c>
      <c r="N39" s="246">
        <f t="shared" si="44"/>
        <v>0</v>
      </c>
      <c r="O39" s="72">
        <f>'Service Counts'!P38</f>
        <v>20.399999999999999</v>
      </c>
      <c r="P39" s="6">
        <f t="shared" si="45"/>
        <v>0</v>
      </c>
      <c r="Q39" s="186">
        <f t="shared" si="46"/>
        <v>0</v>
      </c>
      <c r="S39" s="246">
        <f>'Service Counts'!U38</f>
        <v>0</v>
      </c>
      <c r="T39" s="72">
        <f>'Service Counts'!V38</f>
        <v>20.399999999999999</v>
      </c>
      <c r="U39" s="6">
        <f t="shared" si="47"/>
        <v>0</v>
      </c>
      <c r="V39" s="246">
        <f t="shared" si="48"/>
        <v>0</v>
      </c>
      <c r="W39" s="72">
        <f>'Service Counts'!Y38</f>
        <v>20.399999999999999</v>
      </c>
      <c r="X39" s="6">
        <f t="shared" si="49"/>
        <v>0</v>
      </c>
      <c r="Y39" s="186">
        <f t="shared" si="50"/>
        <v>0</v>
      </c>
      <c r="Z39" s="6"/>
      <c r="AA39" s="6">
        <f t="shared" si="51"/>
        <v>0</v>
      </c>
    </row>
    <row r="40" spans="1:28">
      <c r="A40" t="s">
        <v>423</v>
      </c>
      <c r="C40" s="122">
        <f>'Service Counts'!C39</f>
        <v>0</v>
      </c>
      <c r="D40" s="72">
        <f>'Service Counts'!D39</f>
        <v>26.03</v>
      </c>
      <c r="E40" s="6">
        <f t="shared" si="39"/>
        <v>0</v>
      </c>
      <c r="F40" s="122">
        <f t="shared" si="40"/>
        <v>0</v>
      </c>
      <c r="G40" s="72">
        <f>'Service Counts'!G39</f>
        <v>28.5</v>
      </c>
      <c r="H40" s="6">
        <f t="shared" si="41"/>
        <v>0</v>
      </c>
      <c r="I40" s="186">
        <f t="shared" si="42"/>
        <v>0</v>
      </c>
      <c r="K40" s="246">
        <f>'Service Counts'!L39</f>
        <v>0</v>
      </c>
      <c r="L40" s="72">
        <f>'Service Counts'!M39</f>
        <v>23.3</v>
      </c>
      <c r="M40" s="6">
        <f t="shared" si="43"/>
        <v>0</v>
      </c>
      <c r="N40" s="246">
        <f t="shared" si="44"/>
        <v>0</v>
      </c>
      <c r="O40" s="72">
        <f>'Service Counts'!P39</f>
        <v>23.3</v>
      </c>
      <c r="P40" s="6">
        <f t="shared" si="45"/>
        <v>0</v>
      </c>
      <c r="Q40" s="186">
        <f t="shared" si="46"/>
        <v>0</v>
      </c>
      <c r="S40" s="246">
        <f>'Service Counts'!U39</f>
        <v>0</v>
      </c>
      <c r="T40" s="72">
        <f>'Service Counts'!V39</f>
        <v>23.3</v>
      </c>
      <c r="U40" s="6">
        <f t="shared" si="47"/>
        <v>0</v>
      </c>
      <c r="V40" s="246">
        <f t="shared" si="48"/>
        <v>0</v>
      </c>
      <c r="W40" s="72">
        <f>'Service Counts'!Y39</f>
        <v>23.31</v>
      </c>
      <c r="X40" s="6">
        <f t="shared" si="49"/>
        <v>0</v>
      </c>
      <c r="Y40" s="186">
        <f t="shared" si="50"/>
        <v>0</v>
      </c>
      <c r="Z40" s="6"/>
      <c r="AA40" s="6">
        <f t="shared" si="51"/>
        <v>0</v>
      </c>
    </row>
    <row r="41" spans="1:28">
      <c r="A41" t="s">
        <v>422</v>
      </c>
      <c r="C41" s="122">
        <f>'Service Counts'!C40</f>
        <v>0</v>
      </c>
      <c r="D41" s="72">
        <f>'Service Counts'!D40</f>
        <v>36.46</v>
      </c>
      <c r="E41" s="6">
        <f t="shared" si="39"/>
        <v>0</v>
      </c>
      <c r="F41" s="122">
        <f t="shared" si="40"/>
        <v>0</v>
      </c>
      <c r="G41" s="72">
        <f>'Service Counts'!G40</f>
        <v>39.950000000000003</v>
      </c>
      <c r="H41" s="6">
        <f t="shared" si="41"/>
        <v>0</v>
      </c>
      <c r="I41" s="186">
        <f t="shared" si="42"/>
        <v>0</v>
      </c>
      <c r="K41" s="246">
        <f>'Service Counts'!L40</f>
        <v>0</v>
      </c>
      <c r="L41" s="72">
        <f>'Service Counts'!M40</f>
        <v>30.5</v>
      </c>
      <c r="M41" s="6">
        <f t="shared" si="43"/>
        <v>0</v>
      </c>
      <c r="N41" s="246">
        <f t="shared" si="44"/>
        <v>0</v>
      </c>
      <c r="O41" s="72">
        <f>'Service Counts'!P40</f>
        <v>30.5</v>
      </c>
      <c r="P41" s="6">
        <f t="shared" si="45"/>
        <v>0</v>
      </c>
      <c r="Q41" s="186">
        <f t="shared" si="46"/>
        <v>0</v>
      </c>
      <c r="S41" s="246">
        <f>'Service Counts'!U40</f>
        <v>0</v>
      </c>
      <c r="T41" s="72">
        <f>'Service Counts'!V40</f>
        <v>30.5</v>
      </c>
      <c r="U41" s="6">
        <f t="shared" si="47"/>
        <v>0</v>
      </c>
      <c r="V41" s="246">
        <f t="shared" si="48"/>
        <v>0</v>
      </c>
      <c r="W41" s="72">
        <f>'Service Counts'!Y40</f>
        <v>30.5</v>
      </c>
      <c r="X41" s="6">
        <f t="shared" si="49"/>
        <v>0</v>
      </c>
      <c r="Y41" s="186">
        <f t="shared" si="50"/>
        <v>0</v>
      </c>
      <c r="Z41" s="6"/>
      <c r="AA41" s="6">
        <f t="shared" si="51"/>
        <v>0</v>
      </c>
    </row>
    <row r="42" spans="1:28">
      <c r="A42" t="s">
        <v>421</v>
      </c>
      <c r="C42" s="122">
        <f>'Service Counts'!C41</f>
        <v>0</v>
      </c>
      <c r="D42" s="72">
        <f>'Service Counts'!D41</f>
        <v>47.98</v>
      </c>
      <c r="E42" s="6">
        <f t="shared" si="39"/>
        <v>0</v>
      </c>
      <c r="F42" s="122">
        <f t="shared" si="40"/>
        <v>0</v>
      </c>
      <c r="G42" s="72">
        <f>'Service Counts'!G41</f>
        <v>52.6</v>
      </c>
      <c r="H42" s="6">
        <f t="shared" si="41"/>
        <v>0</v>
      </c>
      <c r="I42" s="186">
        <f t="shared" si="42"/>
        <v>0</v>
      </c>
      <c r="K42" s="246">
        <f>'Service Counts'!L41</f>
        <v>0</v>
      </c>
      <c r="L42" s="72">
        <f>'Service Counts'!M41</f>
        <v>38.950000000000003</v>
      </c>
      <c r="M42" s="6">
        <f t="shared" si="43"/>
        <v>0</v>
      </c>
      <c r="N42" s="246">
        <f t="shared" si="44"/>
        <v>0</v>
      </c>
      <c r="O42" s="72">
        <f>'Service Counts'!P41</f>
        <v>38.950000000000003</v>
      </c>
      <c r="P42" s="6">
        <f t="shared" si="45"/>
        <v>0</v>
      </c>
      <c r="Q42" s="186">
        <f t="shared" si="46"/>
        <v>0</v>
      </c>
      <c r="S42" s="246">
        <f>'Service Counts'!U41</f>
        <v>0</v>
      </c>
      <c r="T42" s="72">
        <f>'Service Counts'!V41</f>
        <v>38.950000000000003</v>
      </c>
      <c r="U42" s="6">
        <f t="shared" si="47"/>
        <v>0</v>
      </c>
      <c r="V42" s="246">
        <f t="shared" si="48"/>
        <v>0</v>
      </c>
      <c r="W42" s="72">
        <f>'Service Counts'!Y41</f>
        <v>38.950000000000003</v>
      </c>
      <c r="X42" s="6">
        <f t="shared" si="49"/>
        <v>0</v>
      </c>
      <c r="Y42" s="186">
        <f t="shared" si="50"/>
        <v>0</v>
      </c>
      <c r="Z42" s="6"/>
      <c r="AA42" s="6">
        <f t="shared" si="51"/>
        <v>0</v>
      </c>
    </row>
    <row r="43" spans="1:28">
      <c r="A43" t="s">
        <v>420</v>
      </c>
      <c r="C43" s="122">
        <f>'Service Counts'!C42</f>
        <v>0</v>
      </c>
      <c r="D43" s="72">
        <f>'Service Counts'!D42</f>
        <v>70.47</v>
      </c>
      <c r="E43" s="6">
        <f t="shared" si="39"/>
        <v>0</v>
      </c>
      <c r="F43" s="122">
        <f t="shared" si="40"/>
        <v>0</v>
      </c>
      <c r="G43" s="72">
        <f>'Service Counts'!G42</f>
        <v>77.25</v>
      </c>
      <c r="H43" s="6">
        <f t="shared" si="41"/>
        <v>0</v>
      </c>
      <c r="I43" s="186">
        <f t="shared" si="42"/>
        <v>0</v>
      </c>
      <c r="K43" s="246">
        <f>'Service Counts'!L42</f>
        <v>0</v>
      </c>
      <c r="L43" s="72">
        <f>'Service Counts'!M42</f>
        <v>61.6</v>
      </c>
      <c r="M43" s="6">
        <f t="shared" si="43"/>
        <v>0</v>
      </c>
      <c r="N43" s="246">
        <f t="shared" si="44"/>
        <v>0</v>
      </c>
      <c r="O43" s="72">
        <f>'Service Counts'!P42</f>
        <v>61.6</v>
      </c>
      <c r="P43" s="6">
        <f t="shared" si="45"/>
        <v>0</v>
      </c>
      <c r="Q43" s="186">
        <f t="shared" si="46"/>
        <v>0</v>
      </c>
      <c r="S43" s="246">
        <f>'Service Counts'!U42</f>
        <v>0</v>
      </c>
      <c r="T43" s="72">
        <f>'Service Counts'!V42</f>
        <v>61.6</v>
      </c>
      <c r="U43" s="6">
        <f t="shared" si="47"/>
        <v>0</v>
      </c>
      <c r="V43" s="246">
        <f t="shared" si="48"/>
        <v>0</v>
      </c>
      <c r="W43" s="72">
        <f>'Service Counts'!Y42</f>
        <v>61.6</v>
      </c>
      <c r="X43" s="6">
        <f t="shared" si="49"/>
        <v>0</v>
      </c>
      <c r="Y43" s="186">
        <f t="shared" si="50"/>
        <v>0</v>
      </c>
      <c r="Z43" s="6"/>
      <c r="AA43" s="6">
        <f t="shared" si="51"/>
        <v>0</v>
      </c>
    </row>
    <row r="44" spans="1:28">
      <c r="A44" t="s">
        <v>419</v>
      </c>
      <c r="C44" s="122">
        <f>'Service Counts'!C43</f>
        <v>0</v>
      </c>
      <c r="D44" s="72">
        <f>'Service Counts'!D43</f>
        <v>88.14</v>
      </c>
      <c r="E44" s="6">
        <f t="shared" si="39"/>
        <v>0</v>
      </c>
      <c r="F44" s="122">
        <f t="shared" si="40"/>
        <v>0</v>
      </c>
      <c r="G44" s="72">
        <f>'Service Counts'!G43</f>
        <v>88.14</v>
      </c>
      <c r="H44" s="6">
        <f t="shared" si="41"/>
        <v>0</v>
      </c>
      <c r="I44" s="186">
        <f t="shared" si="42"/>
        <v>0</v>
      </c>
      <c r="K44" s="246">
        <f>'Service Counts'!L43</f>
        <v>0</v>
      </c>
      <c r="L44" s="72">
        <f>'Service Counts'!M43</f>
        <v>81.900000000000006</v>
      </c>
      <c r="M44" s="6">
        <f t="shared" si="43"/>
        <v>0</v>
      </c>
      <c r="N44" s="246">
        <f t="shared" si="44"/>
        <v>0</v>
      </c>
      <c r="O44" s="72">
        <f>'Service Counts'!P43</f>
        <v>81.900000000000006</v>
      </c>
      <c r="P44" s="6">
        <f t="shared" si="45"/>
        <v>0</v>
      </c>
      <c r="Q44" s="186">
        <f t="shared" si="46"/>
        <v>0</v>
      </c>
      <c r="S44" s="246">
        <f>'Service Counts'!U43</f>
        <v>0</v>
      </c>
      <c r="T44" s="72">
        <f>'Service Counts'!V43</f>
        <v>81.900000000000006</v>
      </c>
      <c r="U44" s="6">
        <f t="shared" si="47"/>
        <v>0</v>
      </c>
      <c r="V44" s="246">
        <f t="shared" si="48"/>
        <v>0</v>
      </c>
      <c r="W44" s="72">
        <f>'Service Counts'!Y43</f>
        <v>81.900000000000006</v>
      </c>
      <c r="X44" s="6">
        <f t="shared" si="49"/>
        <v>0</v>
      </c>
      <c r="Y44" s="186">
        <f t="shared" si="50"/>
        <v>0</v>
      </c>
      <c r="Z44" s="6"/>
      <c r="AA44" s="6">
        <f t="shared" si="51"/>
        <v>0</v>
      </c>
    </row>
    <row r="45" spans="1:28">
      <c r="A45" t="s">
        <v>418</v>
      </c>
      <c r="C45" s="122">
        <f>'Service Counts'!C44</f>
        <v>0</v>
      </c>
      <c r="D45" s="72">
        <f>'Service Counts'!D44</f>
        <v>9.25</v>
      </c>
      <c r="E45" s="6">
        <f t="shared" si="39"/>
        <v>0</v>
      </c>
      <c r="F45" s="122">
        <f t="shared" si="40"/>
        <v>0</v>
      </c>
      <c r="G45" s="72">
        <f>'Service Counts'!G44</f>
        <v>10.15</v>
      </c>
      <c r="H45" s="6">
        <f t="shared" si="41"/>
        <v>0</v>
      </c>
      <c r="I45" s="186">
        <f t="shared" si="42"/>
        <v>0</v>
      </c>
      <c r="K45" s="246">
        <f>'Service Counts'!L44</f>
        <v>0</v>
      </c>
      <c r="L45" s="72">
        <f>'Service Counts'!M44</f>
        <v>8.25</v>
      </c>
      <c r="M45" s="6">
        <f t="shared" si="43"/>
        <v>0</v>
      </c>
      <c r="N45" s="246">
        <f t="shared" si="44"/>
        <v>0</v>
      </c>
      <c r="O45" s="72">
        <f>'Service Counts'!P44</f>
        <v>8.25</v>
      </c>
      <c r="P45" s="6">
        <f t="shared" si="45"/>
        <v>0</v>
      </c>
      <c r="Q45" s="186">
        <f t="shared" si="46"/>
        <v>0</v>
      </c>
      <c r="S45" s="246">
        <f>'Service Counts'!U44</f>
        <v>0</v>
      </c>
      <c r="T45" s="72">
        <f>'Service Counts'!V44</f>
        <v>8.25</v>
      </c>
      <c r="U45" s="6">
        <f t="shared" si="47"/>
        <v>0</v>
      </c>
      <c r="V45" s="246">
        <f t="shared" si="48"/>
        <v>0</v>
      </c>
      <c r="W45" s="72">
        <f>'Service Counts'!Y44</f>
        <v>8.25</v>
      </c>
      <c r="X45" s="6">
        <f t="shared" si="49"/>
        <v>0</v>
      </c>
      <c r="Y45" s="186">
        <f t="shared" si="50"/>
        <v>0</v>
      </c>
      <c r="Z45" s="6"/>
      <c r="AA45" s="6">
        <f t="shared" si="51"/>
        <v>0</v>
      </c>
    </row>
    <row r="46" spans="1:28">
      <c r="A46" t="s">
        <v>417</v>
      </c>
      <c r="C46" s="122">
        <f>'Service Counts'!C45</f>
        <v>0</v>
      </c>
      <c r="D46" s="72">
        <f>'Service Counts'!D45</f>
        <v>12.15</v>
      </c>
      <c r="E46" s="6">
        <f t="shared" si="39"/>
        <v>0</v>
      </c>
      <c r="F46" s="122">
        <f t="shared" si="40"/>
        <v>0</v>
      </c>
      <c r="G46" s="72">
        <f>'Service Counts'!G45</f>
        <v>13.3</v>
      </c>
      <c r="H46" s="6">
        <f t="shared" si="41"/>
        <v>0</v>
      </c>
      <c r="I46" s="186">
        <f t="shared" si="42"/>
        <v>0</v>
      </c>
      <c r="K46" s="246">
        <f>'Service Counts'!L45</f>
        <v>0</v>
      </c>
      <c r="L46" s="72">
        <f>'Service Counts'!M45</f>
        <v>10.9</v>
      </c>
      <c r="M46" s="6">
        <f t="shared" si="43"/>
        <v>0</v>
      </c>
      <c r="N46" s="246">
        <f t="shared" si="44"/>
        <v>0</v>
      </c>
      <c r="O46" s="72">
        <f>'Service Counts'!P45</f>
        <v>10.9</v>
      </c>
      <c r="P46" s="6">
        <f t="shared" si="45"/>
        <v>0</v>
      </c>
      <c r="Q46" s="186">
        <f t="shared" si="46"/>
        <v>0</v>
      </c>
      <c r="S46" s="246">
        <f>'Service Counts'!U45</f>
        <v>0</v>
      </c>
      <c r="T46" s="72">
        <f>'Service Counts'!V45</f>
        <v>10.9</v>
      </c>
      <c r="U46" s="6">
        <f t="shared" si="47"/>
        <v>0</v>
      </c>
      <c r="V46" s="246">
        <f t="shared" si="48"/>
        <v>0</v>
      </c>
      <c r="W46" s="72">
        <f>'Service Counts'!Y45</f>
        <v>10.9</v>
      </c>
      <c r="X46" s="6">
        <f t="shared" si="49"/>
        <v>0</v>
      </c>
      <c r="Y46" s="186">
        <f t="shared" si="50"/>
        <v>0</v>
      </c>
      <c r="Z46" s="6"/>
      <c r="AA46" s="6">
        <f t="shared" si="51"/>
        <v>0</v>
      </c>
    </row>
    <row r="47" spans="1:28">
      <c r="A47" t="s">
        <v>416</v>
      </c>
      <c r="C47" s="122">
        <f>'Service Counts'!C46</f>
        <v>0</v>
      </c>
      <c r="D47" s="72">
        <f>'Service Counts'!D46</f>
        <v>16.05</v>
      </c>
      <c r="E47" s="6">
        <f t="shared" si="39"/>
        <v>0</v>
      </c>
      <c r="F47" s="122">
        <f t="shared" si="40"/>
        <v>0</v>
      </c>
      <c r="G47" s="72">
        <f>'Service Counts'!G46</f>
        <v>17.600000000000001</v>
      </c>
      <c r="H47" s="6">
        <f t="shared" si="41"/>
        <v>0</v>
      </c>
      <c r="I47" s="186">
        <f t="shared" si="42"/>
        <v>0</v>
      </c>
      <c r="K47" s="246">
        <f>'Service Counts'!L46</f>
        <v>0</v>
      </c>
      <c r="L47" s="72">
        <f>'Service Counts'!M46</f>
        <v>14.5</v>
      </c>
      <c r="M47" s="6">
        <f t="shared" si="43"/>
        <v>0</v>
      </c>
      <c r="N47" s="246">
        <f t="shared" si="44"/>
        <v>0</v>
      </c>
      <c r="O47" s="72">
        <f>'Service Counts'!P46</f>
        <v>14.5</v>
      </c>
      <c r="P47" s="6">
        <f t="shared" si="45"/>
        <v>0</v>
      </c>
      <c r="Q47" s="186">
        <f t="shared" si="46"/>
        <v>0</v>
      </c>
      <c r="S47" s="246">
        <f>'Service Counts'!U46</f>
        <v>0</v>
      </c>
      <c r="T47" s="72">
        <f>'Service Counts'!V46</f>
        <v>14.5</v>
      </c>
      <c r="U47" s="6">
        <f t="shared" si="47"/>
        <v>0</v>
      </c>
      <c r="V47" s="246">
        <f t="shared" si="48"/>
        <v>0</v>
      </c>
      <c r="W47" s="72">
        <f>'Service Counts'!Y46</f>
        <v>14.5</v>
      </c>
      <c r="X47" s="6">
        <f t="shared" si="49"/>
        <v>0</v>
      </c>
      <c r="Y47" s="186">
        <f t="shared" si="50"/>
        <v>0</v>
      </c>
      <c r="Z47" s="6"/>
      <c r="AA47" s="6">
        <f t="shared" si="51"/>
        <v>0</v>
      </c>
    </row>
    <row r="48" spans="1:28">
      <c r="A48" t="s">
        <v>415</v>
      </c>
      <c r="C48" s="122">
        <f>'Service Counts'!C47</f>
        <v>0</v>
      </c>
      <c r="D48" s="72">
        <f>'Service Counts'!D47</f>
        <v>17.75</v>
      </c>
      <c r="E48" s="6">
        <f t="shared" si="39"/>
        <v>0</v>
      </c>
      <c r="F48" s="122">
        <f t="shared" si="40"/>
        <v>0</v>
      </c>
      <c r="G48" s="72">
        <f>'Service Counts'!G47</f>
        <v>19.45</v>
      </c>
      <c r="H48" s="6">
        <f t="shared" si="41"/>
        <v>0</v>
      </c>
      <c r="I48" s="186">
        <f t="shared" si="42"/>
        <v>0</v>
      </c>
      <c r="K48" s="246">
        <f>'Service Counts'!L47</f>
        <v>0</v>
      </c>
      <c r="L48" s="72">
        <f>'Service Counts'!M47</f>
        <v>15.2</v>
      </c>
      <c r="M48" s="6">
        <f t="shared" si="43"/>
        <v>0</v>
      </c>
      <c r="N48" s="246">
        <f t="shared" si="44"/>
        <v>0</v>
      </c>
      <c r="O48" s="72">
        <f>'Service Counts'!P47</f>
        <v>15.2</v>
      </c>
      <c r="P48" s="6">
        <f t="shared" si="45"/>
        <v>0</v>
      </c>
      <c r="Q48" s="186">
        <f t="shared" si="46"/>
        <v>0</v>
      </c>
      <c r="S48" s="246">
        <f>'Service Counts'!U47</f>
        <v>0</v>
      </c>
      <c r="T48" s="72">
        <f>'Service Counts'!V47</f>
        <v>15.2</v>
      </c>
      <c r="U48" s="6">
        <f t="shared" si="47"/>
        <v>0</v>
      </c>
      <c r="V48" s="246">
        <f t="shared" si="48"/>
        <v>0</v>
      </c>
      <c r="W48" s="72">
        <f>'Service Counts'!Y47</f>
        <v>15.2</v>
      </c>
      <c r="X48" s="6">
        <f t="shared" si="49"/>
        <v>0</v>
      </c>
      <c r="Y48" s="186">
        <f t="shared" si="50"/>
        <v>0</v>
      </c>
      <c r="Z48" s="6"/>
      <c r="AA48" s="6">
        <f t="shared" si="51"/>
        <v>0</v>
      </c>
    </row>
    <row r="49" spans="1:28">
      <c r="A49" t="s">
        <v>414</v>
      </c>
      <c r="C49" s="122">
        <f>'Service Counts'!C48</f>
        <v>0</v>
      </c>
      <c r="D49" s="72">
        <f>'Service Counts'!D48</f>
        <v>17.75</v>
      </c>
      <c r="E49" s="6">
        <f t="shared" si="39"/>
        <v>0</v>
      </c>
      <c r="F49" s="122">
        <f t="shared" si="40"/>
        <v>0</v>
      </c>
      <c r="G49" s="72">
        <f>'Service Counts'!G48</f>
        <v>19.45</v>
      </c>
      <c r="H49" s="6">
        <f t="shared" si="41"/>
        <v>0</v>
      </c>
      <c r="I49" s="186">
        <f t="shared" si="42"/>
        <v>0</v>
      </c>
      <c r="K49" s="246">
        <f>'Service Counts'!L48</f>
        <v>0</v>
      </c>
      <c r="L49" s="72">
        <f>'Service Counts'!M48</f>
        <v>15.8</v>
      </c>
      <c r="M49" s="6">
        <f t="shared" si="43"/>
        <v>0</v>
      </c>
      <c r="N49" s="246">
        <f t="shared" si="44"/>
        <v>0</v>
      </c>
      <c r="O49" s="72">
        <f>'Service Counts'!P48</f>
        <v>15.8</v>
      </c>
      <c r="P49" s="6">
        <f t="shared" si="45"/>
        <v>0</v>
      </c>
      <c r="Q49" s="186">
        <f t="shared" si="46"/>
        <v>0</v>
      </c>
      <c r="S49" s="246">
        <f>'Service Counts'!U48</f>
        <v>0</v>
      </c>
      <c r="T49" s="72">
        <f>'Service Counts'!V48</f>
        <v>15.8</v>
      </c>
      <c r="U49" s="6">
        <f t="shared" si="47"/>
        <v>0</v>
      </c>
      <c r="V49" s="246">
        <f t="shared" si="48"/>
        <v>0</v>
      </c>
      <c r="W49" s="72">
        <f>'Service Counts'!Y48</f>
        <v>15.8</v>
      </c>
      <c r="X49" s="6">
        <f t="shared" si="49"/>
        <v>0</v>
      </c>
      <c r="Y49" s="186">
        <f t="shared" si="50"/>
        <v>0</v>
      </c>
      <c r="Z49" s="6"/>
      <c r="AA49" s="6">
        <f t="shared" si="51"/>
        <v>0</v>
      </c>
    </row>
    <row r="50" spans="1:28">
      <c r="A50" t="s">
        <v>413</v>
      </c>
      <c r="C50" s="122">
        <f>'Service Counts'!C49</f>
        <v>0</v>
      </c>
      <c r="D50" s="72">
        <f>'Service Counts'!D49</f>
        <v>20.45</v>
      </c>
      <c r="E50" s="6">
        <f t="shared" si="39"/>
        <v>0</v>
      </c>
      <c r="F50" s="122">
        <f t="shared" si="40"/>
        <v>0</v>
      </c>
      <c r="G50" s="72">
        <f>'Service Counts'!G49</f>
        <v>22.4</v>
      </c>
      <c r="H50" s="6">
        <f t="shared" si="41"/>
        <v>0</v>
      </c>
      <c r="I50" s="186">
        <f t="shared" si="42"/>
        <v>0</v>
      </c>
      <c r="K50" s="246">
        <f>'Service Counts'!L49</f>
        <v>0</v>
      </c>
      <c r="L50" s="72">
        <f>'Service Counts'!M49</f>
        <v>18.350000000000001</v>
      </c>
      <c r="M50" s="6">
        <f t="shared" si="43"/>
        <v>0</v>
      </c>
      <c r="N50" s="246">
        <f t="shared" si="44"/>
        <v>0</v>
      </c>
      <c r="O50" s="72">
        <f>'Service Counts'!P49</f>
        <v>18.350000000000001</v>
      </c>
      <c r="P50" s="6">
        <f t="shared" si="45"/>
        <v>0</v>
      </c>
      <c r="Q50" s="186">
        <f t="shared" si="46"/>
        <v>0</v>
      </c>
      <c r="S50" s="246">
        <f>'Service Counts'!U49</f>
        <v>0</v>
      </c>
      <c r="T50" s="72">
        <f>'Service Counts'!V49</f>
        <v>18.350000000000001</v>
      </c>
      <c r="U50" s="6">
        <f t="shared" si="47"/>
        <v>0</v>
      </c>
      <c r="V50" s="246">
        <f t="shared" si="48"/>
        <v>0</v>
      </c>
      <c r="W50" s="72">
        <f>'Service Counts'!Y49</f>
        <v>18.350000000000001</v>
      </c>
      <c r="X50" s="6">
        <f t="shared" si="49"/>
        <v>0</v>
      </c>
      <c r="Y50" s="186">
        <f t="shared" si="50"/>
        <v>0</v>
      </c>
      <c r="Z50" s="6"/>
      <c r="AA50" s="6">
        <f t="shared" si="51"/>
        <v>0</v>
      </c>
    </row>
    <row r="51" spans="1:28">
      <c r="A51" t="s">
        <v>412</v>
      </c>
      <c r="C51" s="122">
        <f>'Service Counts'!C50</f>
        <v>0</v>
      </c>
      <c r="D51" s="72">
        <f>'Service Counts'!D50</f>
        <v>2.6</v>
      </c>
      <c r="E51" s="6">
        <f t="shared" si="39"/>
        <v>0</v>
      </c>
      <c r="F51" s="122">
        <f t="shared" si="40"/>
        <v>0</v>
      </c>
      <c r="G51" s="72">
        <f>'Service Counts'!G50</f>
        <v>2.85</v>
      </c>
      <c r="H51" s="6">
        <f t="shared" si="41"/>
        <v>0</v>
      </c>
      <c r="I51" s="186">
        <f t="shared" si="42"/>
        <v>0</v>
      </c>
      <c r="K51" s="246">
        <f>'Service Counts'!L50</f>
        <v>0</v>
      </c>
      <c r="L51" s="72">
        <f>'Service Counts'!M50</f>
        <v>2.2999999999999998</v>
      </c>
      <c r="M51" s="6">
        <f t="shared" si="43"/>
        <v>0</v>
      </c>
      <c r="N51" s="246">
        <f t="shared" si="44"/>
        <v>0</v>
      </c>
      <c r="O51" s="72">
        <f>'Service Counts'!P50</f>
        <v>2.2999999999999998</v>
      </c>
      <c r="P51" s="6">
        <f t="shared" si="45"/>
        <v>0</v>
      </c>
      <c r="Q51" s="186">
        <f t="shared" si="46"/>
        <v>0</v>
      </c>
      <c r="S51" s="246">
        <f>'Service Counts'!U50</f>
        <v>0</v>
      </c>
      <c r="T51" s="72">
        <f>'Service Counts'!V50</f>
        <v>2.2999999999999998</v>
      </c>
      <c r="U51" s="6">
        <f t="shared" si="47"/>
        <v>0</v>
      </c>
      <c r="V51" s="246">
        <f t="shared" si="48"/>
        <v>0</v>
      </c>
      <c r="W51" s="72">
        <f>'Service Counts'!Y50</f>
        <v>2.2999999999999998</v>
      </c>
      <c r="X51" s="6">
        <f t="shared" si="49"/>
        <v>0</v>
      </c>
      <c r="Y51" s="186">
        <f t="shared" si="50"/>
        <v>0</v>
      </c>
      <c r="Z51" s="6"/>
      <c r="AA51" s="6">
        <f t="shared" si="51"/>
        <v>0</v>
      </c>
    </row>
    <row r="52" spans="1:28">
      <c r="A52" t="s">
        <v>411</v>
      </c>
      <c r="C52" s="122">
        <f>'Service Counts'!C51</f>
        <v>0</v>
      </c>
      <c r="D52" s="72">
        <f>'Service Counts'!D51</f>
        <v>1.5</v>
      </c>
      <c r="E52" s="6">
        <f t="shared" si="39"/>
        <v>0</v>
      </c>
      <c r="F52" s="122">
        <f t="shared" si="40"/>
        <v>0</v>
      </c>
      <c r="G52" s="72">
        <f>'Service Counts'!G51</f>
        <v>1.65</v>
      </c>
      <c r="H52" s="6">
        <f t="shared" si="41"/>
        <v>0</v>
      </c>
      <c r="I52" s="186">
        <f t="shared" si="42"/>
        <v>0</v>
      </c>
      <c r="K52" s="246">
        <f>'Service Counts'!L51</f>
        <v>0</v>
      </c>
      <c r="L52" s="72">
        <f>'Service Counts'!M51</f>
        <v>1.3</v>
      </c>
      <c r="M52" s="6">
        <f t="shared" si="43"/>
        <v>0</v>
      </c>
      <c r="N52" s="246">
        <f t="shared" si="44"/>
        <v>0</v>
      </c>
      <c r="O52" s="72">
        <f>'Service Counts'!P51</f>
        <v>1.3</v>
      </c>
      <c r="P52" s="6">
        <f t="shared" si="45"/>
        <v>0</v>
      </c>
      <c r="Q52" s="186">
        <f t="shared" si="46"/>
        <v>0</v>
      </c>
      <c r="S52" s="246">
        <f>'Service Counts'!U51</f>
        <v>0</v>
      </c>
      <c r="T52" s="72">
        <f>'Service Counts'!V51</f>
        <v>1.3</v>
      </c>
      <c r="U52" s="6">
        <f t="shared" si="47"/>
        <v>0</v>
      </c>
      <c r="V52" s="246">
        <f t="shared" si="48"/>
        <v>0</v>
      </c>
      <c r="W52" s="72">
        <f>'Service Counts'!Y51</f>
        <v>1.3</v>
      </c>
      <c r="X52" s="6">
        <f t="shared" si="49"/>
        <v>0</v>
      </c>
      <c r="Y52" s="186">
        <f t="shared" si="50"/>
        <v>0</v>
      </c>
      <c r="Z52" s="6"/>
      <c r="AA52" s="6">
        <f t="shared" si="51"/>
        <v>0</v>
      </c>
      <c r="AB52" s="6">
        <f>SUM(AA38:AA52)</f>
        <v>0</v>
      </c>
    </row>
    <row r="53" spans="1:28">
      <c r="C53" s="122"/>
      <c r="D53" s="185"/>
      <c r="F53" s="122"/>
      <c r="G53" s="248"/>
      <c r="I53" s="181"/>
      <c r="K53" s="246"/>
      <c r="L53" s="248"/>
      <c r="N53" s="246"/>
      <c r="O53" s="248"/>
      <c r="Q53" s="181"/>
      <c r="S53" s="246"/>
      <c r="T53" s="248"/>
      <c r="V53" s="246"/>
      <c r="W53" s="248"/>
      <c r="Y53" s="181"/>
    </row>
    <row r="54" spans="1:28">
      <c r="A54" t="s">
        <v>410</v>
      </c>
      <c r="C54" s="122"/>
      <c r="D54" s="185"/>
      <c r="F54" s="122"/>
      <c r="G54" s="248"/>
      <c r="I54" s="181"/>
      <c r="K54" s="246"/>
      <c r="L54" s="248"/>
      <c r="N54" s="246"/>
      <c r="O54" s="248"/>
      <c r="Q54" s="181"/>
      <c r="S54" s="246"/>
      <c r="T54" s="248"/>
      <c r="V54" s="246"/>
      <c r="W54" s="248"/>
      <c r="Y54" s="181"/>
    </row>
    <row r="55" spans="1:28">
      <c r="A55" t="s">
        <v>409</v>
      </c>
      <c r="C55" s="122">
        <f>'Service Counts'!C54</f>
        <v>0</v>
      </c>
      <c r="D55" s="72">
        <f>'Service Counts'!D54</f>
        <v>105</v>
      </c>
      <c r="E55" s="6">
        <f t="shared" ref="E55:E70" si="52">+C55*D55</f>
        <v>0</v>
      </c>
      <c r="F55" s="122">
        <f t="shared" ref="F55:F70" si="53">+C55</f>
        <v>0</v>
      </c>
      <c r="G55" s="72">
        <f>'Service Counts'!G54</f>
        <v>114.5</v>
      </c>
      <c r="H55" s="6">
        <f t="shared" ref="H55:H70" si="54">+F55*G55</f>
        <v>0</v>
      </c>
      <c r="I55" s="186">
        <f t="shared" ref="I55:I70" si="55">+H55-E55</f>
        <v>0</v>
      </c>
      <c r="K55" s="246">
        <f>'Service Counts'!L54</f>
        <v>0</v>
      </c>
      <c r="L55" s="72">
        <f>'Service Counts'!M54</f>
        <v>95.05</v>
      </c>
      <c r="M55" s="6">
        <f t="shared" ref="M55:M70" si="56">+K55*L55</f>
        <v>0</v>
      </c>
      <c r="N55" s="246">
        <f t="shared" ref="N55:N70" si="57">+K55</f>
        <v>0</v>
      </c>
      <c r="O55" s="72">
        <f>'Service Counts'!P54</f>
        <v>95.05</v>
      </c>
      <c r="P55" s="6">
        <f t="shared" ref="P55:P70" si="58">+N55*O55</f>
        <v>0</v>
      </c>
      <c r="Q55" s="186">
        <f t="shared" ref="Q55:Q70" si="59">+P55-M55</f>
        <v>0</v>
      </c>
      <c r="S55" s="246">
        <f>'Service Counts'!U54</f>
        <v>0</v>
      </c>
      <c r="T55" s="72">
        <f>'Service Counts'!V54</f>
        <v>95.05</v>
      </c>
      <c r="U55" s="6">
        <f t="shared" ref="U55:U70" si="60">+S55*T55</f>
        <v>0</v>
      </c>
      <c r="V55" s="246">
        <f t="shared" ref="V55:V70" si="61">+S55</f>
        <v>0</v>
      </c>
      <c r="W55" s="72">
        <f>'Service Counts'!Y54</f>
        <v>95.05</v>
      </c>
      <c r="X55" s="6">
        <f t="shared" ref="X55:X70" si="62">+V55*W55</f>
        <v>0</v>
      </c>
      <c r="Y55" s="186">
        <f t="shared" ref="Y55:Y70" si="63">+X55-U55</f>
        <v>0</v>
      </c>
      <c r="Z55" s="6"/>
      <c r="AA55" s="6">
        <f t="shared" ref="AA55:AA70" si="64">+I55+Q55+Y55</f>
        <v>0</v>
      </c>
    </row>
    <row r="56" spans="1:28">
      <c r="A56" t="s">
        <v>408</v>
      </c>
      <c r="C56" s="122">
        <f>'Service Counts'!C55</f>
        <v>0</v>
      </c>
      <c r="D56" s="72">
        <f>'Service Counts'!D55</f>
        <v>128</v>
      </c>
      <c r="E56" s="6">
        <f t="shared" si="52"/>
        <v>0</v>
      </c>
      <c r="F56" s="122">
        <f t="shared" si="53"/>
        <v>0</v>
      </c>
      <c r="G56" s="72">
        <f>'Service Counts'!G55</f>
        <v>139.5</v>
      </c>
      <c r="H56" s="6">
        <f t="shared" si="54"/>
        <v>0</v>
      </c>
      <c r="I56" s="186">
        <f t="shared" si="55"/>
        <v>0</v>
      </c>
      <c r="K56" s="246">
        <f>'Service Counts'!L55</f>
        <v>0</v>
      </c>
      <c r="L56" s="72">
        <f>'Service Counts'!M55</f>
        <v>114.95</v>
      </c>
      <c r="M56" s="6">
        <f t="shared" si="56"/>
        <v>0</v>
      </c>
      <c r="N56" s="246">
        <f t="shared" si="57"/>
        <v>0</v>
      </c>
      <c r="O56" s="72">
        <f>'Service Counts'!P55</f>
        <v>114.95</v>
      </c>
      <c r="P56" s="6">
        <f t="shared" si="58"/>
        <v>0</v>
      </c>
      <c r="Q56" s="186">
        <f t="shared" si="59"/>
        <v>0</v>
      </c>
      <c r="S56" s="246">
        <f>'Service Counts'!U55</f>
        <v>0</v>
      </c>
      <c r="T56" s="72">
        <f>'Service Counts'!V55</f>
        <v>114.95</v>
      </c>
      <c r="U56" s="6">
        <f t="shared" si="60"/>
        <v>0</v>
      </c>
      <c r="V56" s="246">
        <f t="shared" si="61"/>
        <v>0</v>
      </c>
      <c r="W56" s="72">
        <f>'Service Counts'!Y55</f>
        <v>114.95</v>
      </c>
      <c r="X56" s="6">
        <f t="shared" si="62"/>
        <v>0</v>
      </c>
      <c r="Y56" s="186">
        <f t="shared" si="63"/>
        <v>0</v>
      </c>
      <c r="Z56" s="6"/>
      <c r="AA56" s="6">
        <f t="shared" si="64"/>
        <v>0</v>
      </c>
    </row>
    <row r="57" spans="1:28">
      <c r="A57" t="s">
        <v>407</v>
      </c>
      <c r="C57" s="122">
        <f>'Service Counts'!C56</f>
        <v>0</v>
      </c>
      <c r="D57" s="72">
        <f>'Service Counts'!D56</f>
        <v>138</v>
      </c>
      <c r="E57" s="6">
        <f t="shared" si="52"/>
        <v>0</v>
      </c>
      <c r="F57" s="122">
        <f t="shared" si="53"/>
        <v>0</v>
      </c>
      <c r="G57" s="72">
        <f>'Service Counts'!G56</f>
        <v>150.5</v>
      </c>
      <c r="H57" s="6">
        <f t="shared" si="54"/>
        <v>0</v>
      </c>
      <c r="I57" s="186">
        <f t="shared" si="55"/>
        <v>0</v>
      </c>
      <c r="K57" s="246">
        <f>'Service Counts'!L56</f>
        <v>0</v>
      </c>
      <c r="L57" s="72">
        <f>'Service Counts'!M56</f>
        <v>124.95</v>
      </c>
      <c r="M57" s="6">
        <f t="shared" si="56"/>
        <v>0</v>
      </c>
      <c r="N57" s="246">
        <f t="shared" si="57"/>
        <v>0</v>
      </c>
      <c r="O57" s="72">
        <f>'Service Counts'!P56</f>
        <v>124.95</v>
      </c>
      <c r="P57" s="6">
        <f t="shared" si="58"/>
        <v>0</v>
      </c>
      <c r="Q57" s="186">
        <f t="shared" si="59"/>
        <v>0</v>
      </c>
      <c r="S57" s="246">
        <f>'Service Counts'!U56</f>
        <v>0</v>
      </c>
      <c r="T57" s="72">
        <f>'Service Counts'!V56</f>
        <v>124.95</v>
      </c>
      <c r="U57" s="6">
        <f t="shared" si="60"/>
        <v>0</v>
      </c>
      <c r="V57" s="246">
        <f t="shared" si="61"/>
        <v>0</v>
      </c>
      <c r="W57" s="72">
        <f>'Service Counts'!Y56</f>
        <v>124.95</v>
      </c>
      <c r="X57" s="6">
        <f t="shared" si="62"/>
        <v>0</v>
      </c>
      <c r="Y57" s="186">
        <f t="shared" si="63"/>
        <v>0</v>
      </c>
      <c r="Z57" s="6"/>
      <c r="AA57" s="6">
        <f t="shared" si="64"/>
        <v>0</v>
      </c>
    </row>
    <row r="58" spans="1:28">
      <c r="A58" t="s">
        <v>406</v>
      </c>
      <c r="C58" s="122">
        <f>'Service Counts'!C57</f>
        <v>0</v>
      </c>
      <c r="D58" s="72">
        <f>'Service Counts'!D57</f>
        <v>0</v>
      </c>
      <c r="E58" s="6">
        <f t="shared" si="52"/>
        <v>0</v>
      </c>
      <c r="F58" s="122">
        <f t="shared" si="53"/>
        <v>0</v>
      </c>
      <c r="G58" s="72">
        <f>'Service Counts'!G57</f>
        <v>0</v>
      </c>
      <c r="H58" s="6">
        <f t="shared" si="54"/>
        <v>0</v>
      </c>
      <c r="I58" s="186">
        <f t="shared" si="55"/>
        <v>0</v>
      </c>
      <c r="K58" s="246">
        <f>'Service Counts'!L57</f>
        <v>0</v>
      </c>
      <c r="L58" s="72">
        <f>'Service Counts'!M57</f>
        <v>0</v>
      </c>
      <c r="M58" s="6">
        <f t="shared" si="56"/>
        <v>0</v>
      </c>
      <c r="N58" s="246">
        <f t="shared" si="57"/>
        <v>0</v>
      </c>
      <c r="O58" s="72">
        <f>'Service Counts'!P57</f>
        <v>0</v>
      </c>
      <c r="P58" s="6">
        <f t="shared" si="58"/>
        <v>0</v>
      </c>
      <c r="Q58" s="186">
        <f t="shared" si="59"/>
        <v>0</v>
      </c>
      <c r="S58" s="246">
        <f>'Service Counts'!U57</f>
        <v>0</v>
      </c>
      <c r="T58" s="72">
        <f>'Service Counts'!V57</f>
        <v>0</v>
      </c>
      <c r="U58" s="6">
        <f t="shared" si="60"/>
        <v>0</v>
      </c>
      <c r="V58" s="246">
        <f t="shared" si="61"/>
        <v>0</v>
      </c>
      <c r="W58" s="72">
        <f>'Service Counts'!Y57</f>
        <v>0</v>
      </c>
      <c r="X58" s="6">
        <f t="shared" si="62"/>
        <v>0</v>
      </c>
      <c r="Y58" s="186">
        <f t="shared" si="63"/>
        <v>0</v>
      </c>
      <c r="Z58" s="6"/>
      <c r="AA58" s="6">
        <f t="shared" si="64"/>
        <v>0</v>
      </c>
    </row>
    <row r="59" spans="1:28">
      <c r="A59" t="s">
        <v>405</v>
      </c>
      <c r="C59" s="122">
        <f>'Service Counts'!C58</f>
        <v>0</v>
      </c>
      <c r="D59" s="72">
        <f>'Service Counts'!D58</f>
        <v>3.35</v>
      </c>
      <c r="E59" s="6">
        <f t="shared" si="52"/>
        <v>0</v>
      </c>
      <c r="F59" s="122">
        <f t="shared" si="53"/>
        <v>0</v>
      </c>
      <c r="G59" s="72">
        <f>'Service Counts'!G58</f>
        <v>3.35</v>
      </c>
      <c r="H59" s="6">
        <f t="shared" si="54"/>
        <v>0</v>
      </c>
      <c r="I59" s="186">
        <f t="shared" si="55"/>
        <v>0</v>
      </c>
      <c r="K59" s="246">
        <f>'Service Counts'!L58</f>
        <v>0</v>
      </c>
      <c r="L59" s="72">
        <f>'Service Counts'!M58</f>
        <v>3.05</v>
      </c>
      <c r="M59" s="6">
        <f t="shared" si="56"/>
        <v>0</v>
      </c>
      <c r="N59" s="246">
        <f t="shared" si="57"/>
        <v>0</v>
      </c>
      <c r="O59" s="72">
        <f>'Service Counts'!P58</f>
        <v>3.05</v>
      </c>
      <c r="P59" s="6">
        <f t="shared" si="58"/>
        <v>0</v>
      </c>
      <c r="Q59" s="186">
        <f t="shared" si="59"/>
        <v>0</v>
      </c>
      <c r="S59" s="246">
        <f>'Service Counts'!U58</f>
        <v>0</v>
      </c>
      <c r="T59" s="72">
        <f>'Service Counts'!V58</f>
        <v>3.05</v>
      </c>
      <c r="U59" s="6">
        <f t="shared" si="60"/>
        <v>0</v>
      </c>
      <c r="V59" s="246">
        <f t="shared" si="61"/>
        <v>0</v>
      </c>
      <c r="W59" s="72">
        <f>'Service Counts'!Y58</f>
        <v>3.05</v>
      </c>
      <c r="X59" s="6">
        <f t="shared" si="62"/>
        <v>0</v>
      </c>
      <c r="Y59" s="186">
        <f t="shared" si="63"/>
        <v>0</v>
      </c>
      <c r="Z59" s="6"/>
      <c r="AA59" s="6">
        <f t="shared" si="64"/>
        <v>0</v>
      </c>
    </row>
    <row r="60" spans="1:28">
      <c r="A60" t="s">
        <v>404</v>
      </c>
      <c r="C60" s="122">
        <f>'Service Counts'!C59</f>
        <v>0</v>
      </c>
      <c r="D60" s="72">
        <f>'Service Counts'!D59</f>
        <v>3.85</v>
      </c>
      <c r="E60" s="6">
        <f t="shared" si="52"/>
        <v>0</v>
      </c>
      <c r="F60" s="122">
        <f t="shared" si="53"/>
        <v>0</v>
      </c>
      <c r="G60" s="72">
        <f>'Service Counts'!G59</f>
        <v>3.85</v>
      </c>
      <c r="H60" s="6">
        <f t="shared" si="54"/>
        <v>0</v>
      </c>
      <c r="I60" s="186">
        <f t="shared" si="55"/>
        <v>0</v>
      </c>
      <c r="K60" s="246">
        <f>'Service Counts'!L59</f>
        <v>0</v>
      </c>
      <c r="L60" s="72">
        <f>'Service Counts'!M59</f>
        <v>3.55</v>
      </c>
      <c r="M60" s="6">
        <f t="shared" si="56"/>
        <v>0</v>
      </c>
      <c r="N60" s="246">
        <f t="shared" si="57"/>
        <v>0</v>
      </c>
      <c r="O60" s="72">
        <f>'Service Counts'!P59</f>
        <v>3.55</v>
      </c>
      <c r="P60" s="6">
        <f t="shared" si="58"/>
        <v>0</v>
      </c>
      <c r="Q60" s="186">
        <f t="shared" si="59"/>
        <v>0</v>
      </c>
      <c r="S60" s="246">
        <f>'Service Counts'!U59</f>
        <v>0</v>
      </c>
      <c r="T60" s="72">
        <f>'Service Counts'!V59</f>
        <v>3.55</v>
      </c>
      <c r="U60" s="6">
        <f t="shared" si="60"/>
        <v>0</v>
      </c>
      <c r="V60" s="246">
        <f t="shared" si="61"/>
        <v>0</v>
      </c>
      <c r="W60" s="72">
        <f>'Service Counts'!Y59</f>
        <v>3.55</v>
      </c>
      <c r="X60" s="6">
        <f t="shared" si="62"/>
        <v>0</v>
      </c>
      <c r="Y60" s="186">
        <f t="shared" si="63"/>
        <v>0</v>
      </c>
      <c r="Z60" s="6"/>
      <c r="AA60" s="6">
        <f t="shared" si="64"/>
        <v>0</v>
      </c>
    </row>
    <row r="61" spans="1:28">
      <c r="A61" t="s">
        <v>403</v>
      </c>
      <c r="C61" s="122">
        <f>'Service Counts'!C60</f>
        <v>0</v>
      </c>
      <c r="D61" s="72">
        <f>'Service Counts'!D60</f>
        <v>4.5999999999999996</v>
      </c>
      <c r="E61" s="6">
        <f t="shared" si="52"/>
        <v>0</v>
      </c>
      <c r="F61" s="122">
        <f t="shared" si="53"/>
        <v>0</v>
      </c>
      <c r="G61" s="72">
        <f>'Service Counts'!G60</f>
        <v>4.5999999999999996</v>
      </c>
      <c r="H61" s="6">
        <f t="shared" si="54"/>
        <v>0</v>
      </c>
      <c r="I61" s="186">
        <f t="shared" si="55"/>
        <v>0</v>
      </c>
      <c r="K61" s="246">
        <f>'Service Counts'!L60</f>
        <v>0</v>
      </c>
      <c r="L61" s="72">
        <f>'Service Counts'!M60</f>
        <v>4.2</v>
      </c>
      <c r="M61" s="6">
        <f t="shared" si="56"/>
        <v>0</v>
      </c>
      <c r="N61" s="246">
        <f t="shared" si="57"/>
        <v>0</v>
      </c>
      <c r="O61" s="72">
        <f>'Service Counts'!P60</f>
        <v>4.2</v>
      </c>
      <c r="P61" s="6">
        <f t="shared" si="58"/>
        <v>0</v>
      </c>
      <c r="Q61" s="186">
        <f t="shared" si="59"/>
        <v>0</v>
      </c>
      <c r="S61" s="246">
        <f>'Service Counts'!U60</f>
        <v>0</v>
      </c>
      <c r="T61" s="72">
        <f>'Service Counts'!V60</f>
        <v>4.2</v>
      </c>
      <c r="U61" s="6">
        <f t="shared" si="60"/>
        <v>0</v>
      </c>
      <c r="V61" s="246">
        <f t="shared" si="61"/>
        <v>0</v>
      </c>
      <c r="W61" s="72">
        <f>'Service Counts'!Y60</f>
        <v>4.2</v>
      </c>
      <c r="X61" s="6">
        <f t="shared" si="62"/>
        <v>0</v>
      </c>
      <c r="Y61" s="186">
        <f t="shared" si="63"/>
        <v>0</v>
      </c>
      <c r="Z61" s="6"/>
      <c r="AA61" s="6">
        <f t="shared" si="64"/>
        <v>0</v>
      </c>
    </row>
    <row r="62" spans="1:28">
      <c r="A62" t="s">
        <v>402</v>
      </c>
      <c r="C62" s="122">
        <f>'Service Counts'!C61</f>
        <v>0</v>
      </c>
      <c r="D62" s="72">
        <f>'Service Counts'!D61</f>
        <v>0</v>
      </c>
      <c r="E62" s="6">
        <f t="shared" si="52"/>
        <v>0</v>
      </c>
      <c r="F62" s="122">
        <f t="shared" si="53"/>
        <v>0</v>
      </c>
      <c r="G62" s="72">
        <f>'Service Counts'!G61</f>
        <v>0</v>
      </c>
      <c r="H62" s="6">
        <f t="shared" si="54"/>
        <v>0</v>
      </c>
      <c r="I62" s="186">
        <f t="shared" si="55"/>
        <v>0</v>
      </c>
      <c r="K62" s="246">
        <f>'Service Counts'!L61</f>
        <v>0</v>
      </c>
      <c r="L62" s="72">
        <f>'Service Counts'!M61</f>
        <v>0</v>
      </c>
      <c r="M62" s="6">
        <f t="shared" si="56"/>
        <v>0</v>
      </c>
      <c r="N62" s="246">
        <f t="shared" si="57"/>
        <v>0</v>
      </c>
      <c r="O62" s="72">
        <f>'Service Counts'!P61</f>
        <v>0</v>
      </c>
      <c r="P62" s="6">
        <f t="shared" si="58"/>
        <v>0</v>
      </c>
      <c r="Q62" s="186">
        <f t="shared" si="59"/>
        <v>0</v>
      </c>
      <c r="S62" s="246">
        <f>'Service Counts'!U61</f>
        <v>0</v>
      </c>
      <c r="T62" s="72">
        <f>'Service Counts'!V61</f>
        <v>0</v>
      </c>
      <c r="U62" s="6">
        <f t="shared" si="60"/>
        <v>0</v>
      </c>
      <c r="V62" s="246">
        <f t="shared" si="61"/>
        <v>0</v>
      </c>
      <c r="W62" s="72">
        <f>'Service Counts'!Y61</f>
        <v>0</v>
      </c>
      <c r="X62" s="6">
        <f t="shared" si="62"/>
        <v>0</v>
      </c>
      <c r="Y62" s="186">
        <f t="shared" si="63"/>
        <v>0</v>
      </c>
      <c r="Z62" s="6"/>
      <c r="AA62" s="6">
        <f t="shared" si="64"/>
        <v>0</v>
      </c>
    </row>
    <row r="63" spans="1:28">
      <c r="A63" t="s">
        <v>401</v>
      </c>
      <c r="C63" s="122">
        <f>'Service Counts'!C62</f>
        <v>0</v>
      </c>
      <c r="D63" s="72">
        <f>'Service Counts'!D62</f>
        <v>39</v>
      </c>
      <c r="E63" s="6">
        <f t="shared" si="52"/>
        <v>0</v>
      </c>
      <c r="F63" s="122">
        <f t="shared" si="53"/>
        <v>0</v>
      </c>
      <c r="G63" s="72">
        <f>'Service Counts'!G62</f>
        <v>42.75</v>
      </c>
      <c r="H63" s="6">
        <f t="shared" si="54"/>
        <v>0</v>
      </c>
      <c r="I63" s="186">
        <f t="shared" si="55"/>
        <v>0</v>
      </c>
      <c r="K63" s="246">
        <f>'Service Counts'!L62</f>
        <v>0</v>
      </c>
      <c r="L63" s="72">
        <f>'Service Counts'!M62</f>
        <v>35</v>
      </c>
      <c r="M63" s="6">
        <f t="shared" si="56"/>
        <v>0</v>
      </c>
      <c r="N63" s="246">
        <f t="shared" si="57"/>
        <v>0</v>
      </c>
      <c r="O63" s="72">
        <f>'Service Counts'!P62</f>
        <v>35</v>
      </c>
      <c r="P63" s="6">
        <f t="shared" si="58"/>
        <v>0</v>
      </c>
      <c r="Q63" s="186">
        <f t="shared" si="59"/>
        <v>0</v>
      </c>
      <c r="S63" s="246">
        <f>'Service Counts'!U62</f>
        <v>0</v>
      </c>
      <c r="T63" s="72">
        <f>'Service Counts'!V62</f>
        <v>35</v>
      </c>
      <c r="U63" s="6">
        <f t="shared" si="60"/>
        <v>0</v>
      </c>
      <c r="V63" s="246">
        <f t="shared" si="61"/>
        <v>0</v>
      </c>
      <c r="W63" s="72">
        <f>'Service Counts'!Y62</f>
        <v>35</v>
      </c>
      <c r="X63" s="6">
        <f t="shared" si="62"/>
        <v>0</v>
      </c>
      <c r="Y63" s="186">
        <f t="shared" si="63"/>
        <v>0</v>
      </c>
      <c r="Z63" s="6"/>
      <c r="AA63" s="6">
        <f t="shared" si="64"/>
        <v>0</v>
      </c>
    </row>
    <row r="64" spans="1:28">
      <c r="A64" t="s">
        <v>400</v>
      </c>
      <c r="C64" s="122">
        <f>'Service Counts'!C63</f>
        <v>0</v>
      </c>
      <c r="D64" s="72">
        <f>'Service Counts'!D63</f>
        <v>39</v>
      </c>
      <c r="E64" s="6">
        <f t="shared" si="52"/>
        <v>0</v>
      </c>
      <c r="F64" s="122">
        <f t="shared" si="53"/>
        <v>0</v>
      </c>
      <c r="G64" s="72">
        <f>'Service Counts'!G63</f>
        <v>42.75</v>
      </c>
      <c r="H64" s="6">
        <f t="shared" si="54"/>
        <v>0</v>
      </c>
      <c r="I64" s="186">
        <f t="shared" si="55"/>
        <v>0</v>
      </c>
      <c r="K64" s="246">
        <f>'Service Counts'!L63</f>
        <v>0</v>
      </c>
      <c r="L64" s="72">
        <f>'Service Counts'!M63</f>
        <v>35</v>
      </c>
      <c r="M64" s="6">
        <f t="shared" si="56"/>
        <v>0</v>
      </c>
      <c r="N64" s="246">
        <f t="shared" si="57"/>
        <v>0</v>
      </c>
      <c r="O64" s="72">
        <f>'Service Counts'!P63</f>
        <v>35</v>
      </c>
      <c r="P64" s="6">
        <f t="shared" si="58"/>
        <v>0</v>
      </c>
      <c r="Q64" s="186">
        <f t="shared" si="59"/>
        <v>0</v>
      </c>
      <c r="S64" s="246">
        <f>'Service Counts'!U63</f>
        <v>0</v>
      </c>
      <c r="T64" s="72">
        <f>'Service Counts'!V63</f>
        <v>35</v>
      </c>
      <c r="U64" s="6">
        <f t="shared" si="60"/>
        <v>0</v>
      </c>
      <c r="V64" s="246">
        <f t="shared" si="61"/>
        <v>0</v>
      </c>
      <c r="W64" s="72">
        <f>'Service Counts'!Y63</f>
        <v>35</v>
      </c>
      <c r="X64" s="6">
        <f t="shared" si="62"/>
        <v>0</v>
      </c>
      <c r="Y64" s="186">
        <f t="shared" si="63"/>
        <v>0</v>
      </c>
      <c r="Z64" s="6"/>
      <c r="AA64" s="6">
        <f t="shared" si="64"/>
        <v>0</v>
      </c>
    </row>
    <row r="65" spans="1:29">
      <c r="A65" t="s">
        <v>399</v>
      </c>
      <c r="C65" s="122">
        <f>'Service Counts'!C64</f>
        <v>0</v>
      </c>
      <c r="D65" s="72">
        <f>'Service Counts'!D64</f>
        <v>39</v>
      </c>
      <c r="E65" s="6">
        <f t="shared" si="52"/>
        <v>0</v>
      </c>
      <c r="F65" s="122">
        <f t="shared" si="53"/>
        <v>0</v>
      </c>
      <c r="G65" s="72">
        <f>'Service Counts'!G64</f>
        <v>42.75</v>
      </c>
      <c r="H65" s="6">
        <f t="shared" si="54"/>
        <v>0</v>
      </c>
      <c r="I65" s="186">
        <f t="shared" si="55"/>
        <v>0</v>
      </c>
      <c r="K65" s="246">
        <f>'Service Counts'!L64</f>
        <v>0</v>
      </c>
      <c r="L65" s="72">
        <f>'Service Counts'!M64</f>
        <v>35</v>
      </c>
      <c r="M65" s="6">
        <f t="shared" si="56"/>
        <v>0</v>
      </c>
      <c r="N65" s="246">
        <f t="shared" si="57"/>
        <v>0</v>
      </c>
      <c r="O65" s="72">
        <f>'Service Counts'!P64</f>
        <v>35</v>
      </c>
      <c r="P65" s="6">
        <f t="shared" si="58"/>
        <v>0</v>
      </c>
      <c r="Q65" s="186">
        <f t="shared" si="59"/>
        <v>0</v>
      </c>
      <c r="S65" s="246">
        <f>'Service Counts'!U64</f>
        <v>0</v>
      </c>
      <c r="T65" s="72">
        <f>'Service Counts'!V64</f>
        <v>35</v>
      </c>
      <c r="U65" s="6">
        <f t="shared" si="60"/>
        <v>0</v>
      </c>
      <c r="V65" s="246">
        <f t="shared" si="61"/>
        <v>0</v>
      </c>
      <c r="W65" s="72">
        <f>'Service Counts'!Y64</f>
        <v>35</v>
      </c>
      <c r="X65" s="6">
        <f t="shared" si="62"/>
        <v>0</v>
      </c>
      <c r="Y65" s="186">
        <f t="shared" si="63"/>
        <v>0</v>
      </c>
      <c r="Z65" s="6"/>
      <c r="AA65" s="6">
        <f t="shared" si="64"/>
        <v>0</v>
      </c>
    </row>
    <row r="66" spans="1:29">
      <c r="A66" t="s">
        <v>398</v>
      </c>
      <c r="C66" s="122">
        <f>'Service Counts'!C65</f>
        <v>0</v>
      </c>
      <c r="D66" s="72">
        <f>'Service Counts'!D65</f>
        <v>0</v>
      </c>
      <c r="E66" s="6">
        <f t="shared" si="52"/>
        <v>0</v>
      </c>
      <c r="F66" s="122">
        <f t="shared" si="53"/>
        <v>0</v>
      </c>
      <c r="G66" s="72">
        <f>'Service Counts'!G65</f>
        <v>0</v>
      </c>
      <c r="H66" s="6">
        <f t="shared" si="54"/>
        <v>0</v>
      </c>
      <c r="I66" s="186">
        <f t="shared" si="55"/>
        <v>0</v>
      </c>
      <c r="K66" s="246">
        <f>'Service Counts'!L65</f>
        <v>0</v>
      </c>
      <c r="L66" s="72">
        <f>'Service Counts'!M65</f>
        <v>0</v>
      </c>
      <c r="M66" s="6">
        <f t="shared" si="56"/>
        <v>0</v>
      </c>
      <c r="N66" s="246">
        <f t="shared" si="57"/>
        <v>0</v>
      </c>
      <c r="O66" s="72">
        <f>'Service Counts'!P65</f>
        <v>0</v>
      </c>
      <c r="P66" s="6">
        <f t="shared" si="58"/>
        <v>0</v>
      </c>
      <c r="Q66" s="186">
        <f t="shared" si="59"/>
        <v>0</v>
      </c>
      <c r="S66" s="246">
        <f>'Service Counts'!U65</f>
        <v>0</v>
      </c>
      <c r="T66" s="72">
        <f>'Service Counts'!V65</f>
        <v>0</v>
      </c>
      <c r="U66" s="6">
        <f t="shared" si="60"/>
        <v>0</v>
      </c>
      <c r="V66" s="246">
        <f t="shared" si="61"/>
        <v>0</v>
      </c>
      <c r="W66" s="72">
        <f>'Service Counts'!Y65</f>
        <v>0</v>
      </c>
      <c r="X66" s="6">
        <f t="shared" si="62"/>
        <v>0</v>
      </c>
      <c r="Y66" s="186">
        <f t="shared" si="63"/>
        <v>0</v>
      </c>
      <c r="Z66" s="6"/>
      <c r="AA66" s="6">
        <f t="shared" si="64"/>
        <v>0</v>
      </c>
    </row>
    <row r="67" spans="1:29">
      <c r="A67" t="s">
        <v>397</v>
      </c>
      <c r="C67" s="122">
        <f>'Service Counts'!C66</f>
        <v>0</v>
      </c>
      <c r="D67" s="72">
        <f>'Service Counts'!D66</f>
        <v>2.4500000000000002</v>
      </c>
      <c r="E67" s="6">
        <f t="shared" si="52"/>
        <v>0</v>
      </c>
      <c r="F67" s="122">
        <f t="shared" si="53"/>
        <v>0</v>
      </c>
      <c r="G67" s="72">
        <f>'Service Counts'!G66</f>
        <v>2.4500000000000002</v>
      </c>
      <c r="H67" s="6">
        <f t="shared" si="54"/>
        <v>0</v>
      </c>
      <c r="I67" s="186">
        <f t="shared" si="55"/>
        <v>0</v>
      </c>
      <c r="K67" s="246">
        <f>'Service Counts'!L66</f>
        <v>0</v>
      </c>
      <c r="L67" s="72">
        <f>'Service Counts'!M66</f>
        <v>2.2000000000000002</v>
      </c>
      <c r="M67" s="6">
        <f t="shared" si="56"/>
        <v>0</v>
      </c>
      <c r="N67" s="246">
        <f t="shared" si="57"/>
        <v>0</v>
      </c>
      <c r="O67" s="72">
        <f>'Service Counts'!P66</f>
        <v>2.2000000000000002</v>
      </c>
      <c r="P67" s="6">
        <f t="shared" si="58"/>
        <v>0</v>
      </c>
      <c r="Q67" s="186">
        <f t="shared" si="59"/>
        <v>0</v>
      </c>
      <c r="S67" s="246">
        <f>'Service Counts'!U66</f>
        <v>0</v>
      </c>
      <c r="T67" s="72">
        <f>'Service Counts'!V66</f>
        <v>2.2000000000000002</v>
      </c>
      <c r="U67" s="6">
        <f t="shared" si="60"/>
        <v>0</v>
      </c>
      <c r="V67" s="246">
        <f t="shared" si="61"/>
        <v>0</v>
      </c>
      <c r="W67" s="72">
        <f>'Service Counts'!Y66</f>
        <v>2.2000000000000002</v>
      </c>
      <c r="X67" s="6">
        <f t="shared" si="62"/>
        <v>0</v>
      </c>
      <c r="Y67" s="186">
        <f t="shared" si="63"/>
        <v>0</v>
      </c>
      <c r="Z67" s="6"/>
      <c r="AA67" s="6">
        <f t="shared" si="64"/>
        <v>0</v>
      </c>
    </row>
    <row r="68" spans="1:29">
      <c r="A68" t="s">
        <v>396</v>
      </c>
      <c r="C68" s="122">
        <f>'Service Counts'!C67</f>
        <v>0</v>
      </c>
      <c r="D68" s="72">
        <f>'Service Counts'!D67</f>
        <v>30.9</v>
      </c>
      <c r="E68" s="6">
        <f t="shared" si="52"/>
        <v>0</v>
      </c>
      <c r="F68" s="122">
        <f t="shared" si="53"/>
        <v>0</v>
      </c>
      <c r="G68" s="72">
        <f>'Service Counts'!G67</f>
        <v>30.9</v>
      </c>
      <c r="H68" s="6">
        <f t="shared" si="54"/>
        <v>0</v>
      </c>
      <c r="I68" s="186">
        <f t="shared" si="55"/>
        <v>0</v>
      </c>
      <c r="K68" s="246">
        <f>'Service Counts'!L67</f>
        <v>0</v>
      </c>
      <c r="L68" s="72">
        <f>'Service Counts'!M67</f>
        <v>0</v>
      </c>
      <c r="M68" s="6">
        <f t="shared" si="56"/>
        <v>0</v>
      </c>
      <c r="N68" s="246">
        <f t="shared" si="57"/>
        <v>0</v>
      </c>
      <c r="O68" s="72">
        <f>'Service Counts'!P67</f>
        <v>0</v>
      </c>
      <c r="P68" s="6">
        <f t="shared" si="58"/>
        <v>0</v>
      </c>
      <c r="Q68" s="186">
        <f t="shared" si="59"/>
        <v>0</v>
      </c>
      <c r="S68" s="246">
        <f>'Service Counts'!U67</f>
        <v>0</v>
      </c>
      <c r="T68" s="72">
        <f>'Service Counts'!V67</f>
        <v>0</v>
      </c>
      <c r="U68" s="6">
        <f t="shared" si="60"/>
        <v>0</v>
      </c>
      <c r="V68" s="246">
        <f t="shared" si="61"/>
        <v>0</v>
      </c>
      <c r="W68" s="72">
        <f>'Service Counts'!Y67</f>
        <v>0</v>
      </c>
      <c r="X68" s="6">
        <f t="shared" si="62"/>
        <v>0</v>
      </c>
      <c r="Y68" s="186">
        <f t="shared" si="63"/>
        <v>0</v>
      </c>
      <c r="Z68" s="6"/>
      <c r="AA68" s="6">
        <f t="shared" si="64"/>
        <v>0</v>
      </c>
      <c r="AB68" s="6"/>
    </row>
    <row r="69" spans="1:29">
      <c r="A69" t="s">
        <v>395</v>
      </c>
      <c r="C69" s="122">
        <f>'Service Counts'!C68</f>
        <v>0</v>
      </c>
      <c r="D69" s="72">
        <f>'Service Counts'!D68</f>
        <v>163</v>
      </c>
      <c r="E69" s="6">
        <f t="shared" si="52"/>
        <v>0</v>
      </c>
      <c r="F69" s="122">
        <f t="shared" si="53"/>
        <v>0</v>
      </c>
      <c r="G69" s="72">
        <f>'Service Counts'!G68</f>
        <v>177.5</v>
      </c>
      <c r="H69" s="6">
        <f t="shared" si="54"/>
        <v>0</v>
      </c>
      <c r="I69" s="186">
        <f t="shared" si="55"/>
        <v>0</v>
      </c>
      <c r="K69" s="246">
        <f>'Service Counts'!L68</f>
        <v>0</v>
      </c>
      <c r="L69" s="72">
        <f>'Service Counts'!M68</f>
        <v>0</v>
      </c>
      <c r="M69" s="6">
        <f t="shared" si="56"/>
        <v>0</v>
      </c>
      <c r="N69" s="246">
        <f t="shared" si="57"/>
        <v>0</v>
      </c>
      <c r="O69" s="72">
        <f>'Service Counts'!P68</f>
        <v>0</v>
      </c>
      <c r="P69" s="6">
        <f t="shared" si="58"/>
        <v>0</v>
      </c>
      <c r="Q69" s="186">
        <f t="shared" si="59"/>
        <v>0</v>
      </c>
      <c r="S69" s="246">
        <f>'Service Counts'!U68</f>
        <v>0</v>
      </c>
      <c r="T69" s="72">
        <f>'Service Counts'!V68</f>
        <v>0</v>
      </c>
      <c r="U69" s="6">
        <f t="shared" si="60"/>
        <v>0</v>
      </c>
      <c r="V69" s="246">
        <f t="shared" si="61"/>
        <v>0</v>
      </c>
      <c r="W69" s="72">
        <f>'Service Counts'!Y68</f>
        <v>0</v>
      </c>
      <c r="X69" s="6">
        <f t="shared" si="62"/>
        <v>0</v>
      </c>
      <c r="Y69" s="186">
        <f t="shared" si="63"/>
        <v>0</v>
      </c>
      <c r="Z69" s="6"/>
      <c r="AA69" s="6">
        <f t="shared" si="64"/>
        <v>0</v>
      </c>
      <c r="AB69" s="6"/>
    </row>
    <row r="70" spans="1:29">
      <c r="A70" t="s">
        <v>394</v>
      </c>
      <c r="C70" s="122">
        <f>'Service Counts'!C69</f>
        <v>0</v>
      </c>
      <c r="D70" s="72">
        <f>'Service Counts'!D69</f>
        <v>198</v>
      </c>
      <c r="E70" s="6">
        <f t="shared" si="52"/>
        <v>0</v>
      </c>
      <c r="F70" s="122">
        <f t="shared" si="53"/>
        <v>0</v>
      </c>
      <c r="G70" s="72">
        <f>'Service Counts'!G69</f>
        <v>215.5</v>
      </c>
      <c r="H70" s="6">
        <f t="shared" si="54"/>
        <v>0</v>
      </c>
      <c r="I70" s="186">
        <f t="shared" si="55"/>
        <v>0</v>
      </c>
      <c r="K70" s="246">
        <f>'Service Counts'!L69</f>
        <v>0</v>
      </c>
      <c r="L70" s="72">
        <f>'Service Counts'!M69</f>
        <v>0</v>
      </c>
      <c r="M70" s="6">
        <f t="shared" si="56"/>
        <v>0</v>
      </c>
      <c r="N70" s="246">
        <f t="shared" si="57"/>
        <v>0</v>
      </c>
      <c r="O70" s="72">
        <f>'Service Counts'!P69</f>
        <v>0</v>
      </c>
      <c r="P70" s="6">
        <f t="shared" si="58"/>
        <v>0</v>
      </c>
      <c r="Q70" s="186">
        <f t="shared" si="59"/>
        <v>0</v>
      </c>
      <c r="S70" s="246">
        <f>'Service Counts'!U69</f>
        <v>0</v>
      </c>
      <c r="T70" s="72">
        <f>'Service Counts'!V69</f>
        <v>0</v>
      </c>
      <c r="U70" s="6">
        <f t="shared" si="60"/>
        <v>0</v>
      </c>
      <c r="V70" s="246">
        <f t="shared" si="61"/>
        <v>0</v>
      </c>
      <c r="W70" s="72">
        <f>'Service Counts'!Y69</f>
        <v>0</v>
      </c>
      <c r="X70" s="6">
        <f t="shared" si="62"/>
        <v>0</v>
      </c>
      <c r="Y70" s="186">
        <f t="shared" si="63"/>
        <v>0</v>
      </c>
      <c r="Z70" s="6"/>
      <c r="AA70" s="6">
        <f t="shared" si="64"/>
        <v>0</v>
      </c>
      <c r="AB70" s="6">
        <f>SUM(AA55:AA70)</f>
        <v>0</v>
      </c>
    </row>
    <row r="71" spans="1:29">
      <c r="C71" s="122"/>
      <c r="D71" s="185"/>
      <c r="F71" s="122"/>
      <c r="G71" s="248"/>
      <c r="I71" s="181"/>
      <c r="K71" s="122"/>
      <c r="L71" s="248"/>
      <c r="N71" s="246"/>
      <c r="O71" s="185"/>
      <c r="Q71" s="181"/>
      <c r="S71" s="246"/>
      <c r="T71" s="185"/>
      <c r="V71" s="246"/>
      <c r="W71" s="185"/>
      <c r="Y71" s="181"/>
    </row>
    <row r="72" spans="1:29">
      <c r="A72" t="s">
        <v>393</v>
      </c>
      <c r="C72" s="122"/>
      <c r="D72" s="185"/>
      <c r="F72" s="122"/>
      <c r="G72" s="248"/>
      <c r="I72" s="181"/>
      <c r="K72" s="122"/>
      <c r="L72" s="248"/>
      <c r="N72" s="246"/>
      <c r="O72" s="185"/>
      <c r="Q72" s="181"/>
      <c r="S72" s="246"/>
      <c r="T72" s="185"/>
      <c r="V72" s="246"/>
      <c r="W72" s="185"/>
      <c r="Y72" s="181"/>
    </row>
    <row r="73" spans="1:29">
      <c r="A73" t="s">
        <v>392</v>
      </c>
      <c r="C73" s="122"/>
      <c r="D73" s="185"/>
      <c r="F73" s="122"/>
      <c r="G73" s="244"/>
      <c r="I73" s="181"/>
      <c r="K73" s="122"/>
      <c r="L73" s="247"/>
      <c r="N73" s="246"/>
      <c r="O73" s="185"/>
      <c r="Q73" s="181"/>
      <c r="S73" s="246"/>
      <c r="T73" s="185"/>
      <c r="V73" s="246"/>
      <c r="W73" s="185"/>
      <c r="Y73" s="181"/>
    </row>
    <row r="74" spans="1:29">
      <c r="A74" t="s">
        <v>391</v>
      </c>
      <c r="C74" s="122">
        <f>'Service Counts'!C73</f>
        <v>0</v>
      </c>
      <c r="D74" s="72">
        <f>'Service Counts'!D73</f>
        <v>129</v>
      </c>
      <c r="E74" s="6">
        <f>+C74*D74</f>
        <v>0</v>
      </c>
      <c r="F74" s="122">
        <f>+C74</f>
        <v>0</v>
      </c>
      <c r="G74" s="72">
        <f>'Service Counts'!G73</f>
        <v>138</v>
      </c>
      <c r="H74" s="6">
        <f>+F74*G74</f>
        <v>0</v>
      </c>
      <c r="I74" s="186">
        <f>+H74-E74</f>
        <v>0</v>
      </c>
      <c r="K74" s="246">
        <f>'Service Counts'!L73</f>
        <v>0</v>
      </c>
      <c r="L74" s="72">
        <f>'Service Counts'!M73</f>
        <v>129</v>
      </c>
      <c r="M74" s="6">
        <f>+K74*L74</f>
        <v>0</v>
      </c>
      <c r="N74" s="246">
        <f>+K74</f>
        <v>0</v>
      </c>
      <c r="O74" s="72">
        <f>'Service Counts'!P73</f>
        <v>129</v>
      </c>
      <c r="P74" s="6">
        <f>+N74*O74</f>
        <v>0</v>
      </c>
      <c r="Q74" s="186">
        <f>+P74-M74</f>
        <v>0</v>
      </c>
      <c r="S74" s="246">
        <f>'Service Counts'!U73</f>
        <v>0</v>
      </c>
      <c r="T74" s="72">
        <f>'Service Counts'!V73</f>
        <v>129</v>
      </c>
      <c r="U74" s="6">
        <f>+S74*T74</f>
        <v>0</v>
      </c>
      <c r="V74" s="246">
        <f>+S74</f>
        <v>0</v>
      </c>
      <c r="W74" s="72">
        <f>'Service Counts'!Y73</f>
        <v>129</v>
      </c>
      <c r="X74" s="6">
        <f>+V74*W74</f>
        <v>0</v>
      </c>
      <c r="Y74" s="186">
        <f>+X74-U74</f>
        <v>0</v>
      </c>
      <c r="Z74" s="6"/>
      <c r="AA74" s="6">
        <f>+I74+Q74+Y74</f>
        <v>0</v>
      </c>
    </row>
    <row r="75" spans="1:29" ht="13.5" thickBot="1">
      <c r="A75" t="s">
        <v>390</v>
      </c>
      <c r="C75" s="122">
        <f>'Service Counts'!C74</f>
        <v>0</v>
      </c>
      <c r="D75" s="72">
        <f>'Service Counts'!D74</f>
        <v>32</v>
      </c>
      <c r="E75" s="7">
        <f>+C75*D75</f>
        <v>0</v>
      </c>
      <c r="F75" s="175">
        <f>+C75</f>
        <v>0</v>
      </c>
      <c r="G75" s="72">
        <f>'Service Counts'!G74</f>
        <v>35</v>
      </c>
      <c r="H75" s="7">
        <f>+F75*G75</f>
        <v>0</v>
      </c>
      <c r="I75" s="183">
        <f>+H75-E75</f>
        <v>0</v>
      </c>
      <c r="K75" s="246">
        <f>'Service Counts'!L74</f>
        <v>0</v>
      </c>
      <c r="L75" s="72">
        <f>'Service Counts'!M74</f>
        <v>32</v>
      </c>
      <c r="M75" s="7">
        <f>+K75*L75</f>
        <v>0</v>
      </c>
      <c r="N75" s="245">
        <f>+K75</f>
        <v>0</v>
      </c>
      <c r="O75" s="72">
        <f>'Service Counts'!P74</f>
        <v>32</v>
      </c>
      <c r="P75" s="7">
        <f>+N75*O75</f>
        <v>0</v>
      </c>
      <c r="Q75" s="183">
        <f>+P75-M75</f>
        <v>0</v>
      </c>
      <c r="S75" s="246">
        <f>'Service Counts'!U74</f>
        <v>0</v>
      </c>
      <c r="T75" s="72">
        <f>'Service Counts'!V74</f>
        <v>32</v>
      </c>
      <c r="U75" s="7">
        <f>+S75*T75</f>
        <v>0</v>
      </c>
      <c r="V75" s="245">
        <f>+S75</f>
        <v>0</v>
      </c>
      <c r="W75" s="72">
        <f>'Service Counts'!Y74</f>
        <v>32</v>
      </c>
      <c r="X75" s="7">
        <f>+V75*W75</f>
        <v>0</v>
      </c>
      <c r="Y75" s="183">
        <f>+X75-U75</f>
        <v>0</v>
      </c>
      <c r="Z75" s="82"/>
      <c r="AA75" s="7">
        <f>+I75+Q75+Y75</f>
        <v>0</v>
      </c>
      <c r="AB75" s="7">
        <f>SUM(AA74:AA75)</f>
        <v>0</v>
      </c>
    </row>
    <row r="76" spans="1:29">
      <c r="C76" s="122"/>
      <c r="D76" s="56"/>
      <c r="F76" s="122"/>
      <c r="G76" s="56"/>
      <c r="I76" s="134"/>
      <c r="K76" s="122"/>
      <c r="L76" s="56"/>
      <c r="N76" s="122"/>
      <c r="O76" s="56"/>
      <c r="Q76" s="134"/>
      <c r="S76" s="122"/>
      <c r="T76" s="56"/>
      <c r="V76" s="122"/>
      <c r="W76" s="56"/>
      <c r="Y76" s="134"/>
      <c r="Z76" s="18"/>
    </row>
    <row r="77" spans="1:29">
      <c r="C77" s="122">
        <f>SUM(C11:C75)</f>
        <v>0</v>
      </c>
      <c r="D77" s="56"/>
      <c r="E77" s="63">
        <f>SUM(E11:E75)</f>
        <v>0</v>
      </c>
      <c r="F77" s="122">
        <f>SUM(F11:F75)</f>
        <v>0</v>
      </c>
      <c r="G77" s="56"/>
      <c r="H77" s="63">
        <f>SUM(H11:H75)</f>
        <v>0</v>
      </c>
      <c r="I77" s="190">
        <f>SUM(I11:I75)</f>
        <v>0</v>
      </c>
      <c r="K77" s="122">
        <f>SUM(K11:K75)</f>
        <v>0</v>
      </c>
      <c r="L77" s="56"/>
      <c r="M77" s="63">
        <f>SUM(M11:M75)</f>
        <v>0</v>
      </c>
      <c r="N77" s="122">
        <f>SUM(N11:N75)</f>
        <v>0</v>
      </c>
      <c r="O77" s="56"/>
      <c r="P77" s="63">
        <f>SUM(P11:P75)</f>
        <v>0</v>
      </c>
      <c r="Q77" s="190">
        <f>SUM(Q11:Q75)</f>
        <v>0</v>
      </c>
      <c r="R77">
        <v>0</v>
      </c>
      <c r="S77" s="122">
        <f>SUM(S11:S75)</f>
        <v>0</v>
      </c>
      <c r="T77" s="56"/>
      <c r="U77" s="63">
        <f>SUM(U11:U75)</f>
        <v>0</v>
      </c>
      <c r="V77" s="122">
        <f>SUM(V11:V75)</f>
        <v>0</v>
      </c>
      <c r="W77" s="56"/>
      <c r="X77" s="63">
        <f>SUM(X11:X75)</f>
        <v>0</v>
      </c>
      <c r="Y77" s="190">
        <f>SUM(Y11:Y75)</f>
        <v>0</v>
      </c>
      <c r="Z77" s="63"/>
      <c r="AA77" s="63"/>
      <c r="AB77" s="63">
        <f>SUM(AB11:AB75)</f>
        <v>0</v>
      </c>
    </row>
    <row r="78" spans="1:29">
      <c r="C78" s="122"/>
      <c r="D78" s="56"/>
      <c r="F78" s="122"/>
      <c r="G78" s="56"/>
      <c r="I78" s="181"/>
      <c r="K78" s="122"/>
      <c r="L78" s="56"/>
      <c r="N78" s="122"/>
      <c r="O78" s="56"/>
      <c r="Q78" s="181"/>
      <c r="S78" s="122"/>
      <c r="T78" s="56"/>
      <c r="V78" s="122"/>
      <c r="W78" s="56"/>
      <c r="Y78" s="181"/>
    </row>
    <row r="79" spans="1:29">
      <c r="D79" s="56"/>
      <c r="E79" s="10"/>
      <c r="F79" s="122"/>
      <c r="G79" s="56" t="s">
        <v>303</v>
      </c>
      <c r="H79" s="10"/>
      <c r="I79" s="179">
        <f>SUM(I11:I52)+(I74+I75)</f>
        <v>0</v>
      </c>
      <c r="J79" s="10"/>
      <c r="L79" s="56"/>
      <c r="M79" s="10"/>
      <c r="O79" s="56" t="s">
        <v>303</v>
      </c>
      <c r="P79" s="10"/>
      <c r="Q79" s="179">
        <f>SUM(Q11:Q52)+(Q74+Q75)</f>
        <v>0</v>
      </c>
      <c r="R79" s="10"/>
      <c r="T79" s="56"/>
      <c r="U79" s="10"/>
      <c r="W79" s="56" t="s">
        <v>303</v>
      </c>
      <c r="X79" s="10"/>
      <c r="Y79" s="179">
        <f>SUM(Y11:Y52)+(Y74+Y75)</f>
        <v>0</v>
      </c>
      <c r="Z79" s="56" t="s">
        <v>303</v>
      </c>
      <c r="AA79" s="10"/>
      <c r="AB79" s="179">
        <f>SUM(AB11:AB52)+(AB74+AB75)</f>
        <v>0</v>
      </c>
      <c r="AC79" s="18"/>
    </row>
    <row r="80" spans="1:29">
      <c r="D80" s="56"/>
      <c r="E80" s="10"/>
      <c r="F80" s="122"/>
      <c r="G80" s="56" t="s">
        <v>306</v>
      </c>
      <c r="H80" s="10"/>
      <c r="I80" s="186">
        <f>SUM(I55:I70)</f>
        <v>0</v>
      </c>
      <c r="J80" s="10"/>
      <c r="L80" s="56"/>
      <c r="M80" s="10"/>
      <c r="O80" s="56" t="s">
        <v>306</v>
      </c>
      <c r="P80" s="10"/>
      <c r="Q80" s="186">
        <f>SUM(Q55:Q70)</f>
        <v>0</v>
      </c>
      <c r="R80" s="10"/>
      <c r="T80" s="56"/>
      <c r="U80" s="10"/>
      <c r="W80" s="56" t="s">
        <v>306</v>
      </c>
      <c r="X80" s="10"/>
      <c r="Y80" s="186">
        <f>SUM(Y55:Y70)</f>
        <v>0</v>
      </c>
      <c r="Z80" s="56" t="s">
        <v>306</v>
      </c>
      <c r="AA80" s="10"/>
      <c r="AB80" s="186">
        <f>SUM(AB55:AB70)</f>
        <v>0</v>
      </c>
      <c r="AC80" s="18"/>
    </row>
    <row r="81" spans="1:29">
      <c r="D81" s="56"/>
      <c r="F81" s="122"/>
      <c r="G81" s="56"/>
      <c r="I81" s="181"/>
      <c r="L81" s="56"/>
      <c r="O81" s="56"/>
      <c r="Q81" s="181"/>
      <c r="T81" s="56"/>
      <c r="W81" s="56"/>
      <c r="Y81" s="181"/>
      <c r="AA81" s="18"/>
      <c r="AB81" s="18"/>
      <c r="AC81" s="18"/>
    </row>
    <row r="82" spans="1:29">
      <c r="D82" s="56"/>
      <c r="F82" s="122"/>
      <c r="G82" s="56"/>
      <c r="I82" s="181"/>
      <c r="L82" s="56"/>
      <c r="O82" s="56"/>
      <c r="Q82" s="181"/>
      <c r="T82" s="56"/>
      <c r="W82" s="56"/>
      <c r="Y82" s="181"/>
      <c r="AA82" s="82"/>
      <c r="AB82" s="18"/>
      <c r="AC82" s="18"/>
    </row>
    <row r="83" spans="1:29">
      <c r="D83" s="56"/>
      <c r="F83" s="122"/>
      <c r="I83" s="181"/>
      <c r="Q83" s="181"/>
      <c r="Y83" s="181"/>
      <c r="AA83" s="82"/>
      <c r="AB83" s="18"/>
      <c r="AC83" s="18"/>
    </row>
    <row r="84" spans="1:29">
      <c r="D84" s="56"/>
      <c r="F84" s="122"/>
      <c r="I84" s="181"/>
      <c r="Q84" s="181"/>
      <c r="Y84" s="181"/>
      <c r="AA84" s="82"/>
      <c r="AB84" s="82"/>
      <c r="AC84" s="18"/>
    </row>
    <row r="85" spans="1:29">
      <c r="F85" s="122"/>
      <c r="I85" s="181"/>
      <c r="Q85" s="181"/>
      <c r="Y85" s="181"/>
      <c r="AA85" s="18"/>
      <c r="AB85" s="241"/>
      <c r="AC85" s="171"/>
    </row>
    <row r="86" spans="1:29">
      <c r="F86" s="122"/>
      <c r="I86" s="181"/>
      <c r="Q86" s="181"/>
      <c r="Y86" s="181"/>
      <c r="AA86" s="18"/>
      <c r="AB86" s="18"/>
      <c r="AC86" s="18"/>
    </row>
    <row r="87" spans="1:29">
      <c r="F87" s="122"/>
      <c r="I87" s="181"/>
      <c r="Q87" s="181"/>
      <c r="Y87" s="181"/>
      <c r="AA87" s="18"/>
      <c r="AB87" s="18"/>
      <c r="AC87" s="18"/>
    </row>
    <row r="88" spans="1:29">
      <c r="A88" t="s">
        <v>530</v>
      </c>
      <c r="C88" s="122"/>
      <c r="F88" s="122"/>
      <c r="G88" s="56"/>
      <c r="I88" s="181"/>
      <c r="K88" s="122"/>
      <c r="L88" s="56"/>
      <c r="N88" s="122"/>
      <c r="O88" s="56"/>
      <c r="Q88" s="181"/>
      <c r="S88" s="122"/>
      <c r="T88" s="56"/>
      <c r="V88" s="122"/>
      <c r="W88" s="56"/>
      <c r="Y88" s="181"/>
      <c r="AA88" s="2"/>
    </row>
    <row r="89" spans="1:29">
      <c r="A89" t="s">
        <v>529</v>
      </c>
      <c r="C89" s="122">
        <f>'Service Count Data'!X241</f>
        <v>0</v>
      </c>
      <c r="D89" s="243">
        <v>35.97</v>
      </c>
      <c r="E89" s="6">
        <f>+C89*D89</f>
        <v>0</v>
      </c>
      <c r="F89" s="122">
        <f>+C89</f>
        <v>0</v>
      </c>
      <c r="G89" s="185">
        <v>35.97</v>
      </c>
      <c r="H89" s="6">
        <f>+F89*G89</f>
        <v>0</v>
      </c>
      <c r="I89" s="186">
        <f>+H89-E89</f>
        <v>0</v>
      </c>
      <c r="K89" s="122">
        <f>'Service Count Data'!X242</f>
        <v>0</v>
      </c>
      <c r="L89" s="185">
        <v>34.06</v>
      </c>
      <c r="M89" s="6">
        <f>+K89*L89</f>
        <v>0</v>
      </c>
      <c r="N89" s="6">
        <f>+K89</f>
        <v>0</v>
      </c>
      <c r="O89" s="185">
        <v>40.700000000000003</v>
      </c>
      <c r="P89" s="6">
        <f>+N89*O89</f>
        <v>0</v>
      </c>
      <c r="Q89" s="186">
        <f>+P89-M89</f>
        <v>0</v>
      </c>
      <c r="S89" s="122">
        <f>'Service Count Data'!X243</f>
        <v>0</v>
      </c>
      <c r="T89" s="185">
        <v>34.06</v>
      </c>
      <c r="U89" s="6">
        <f>+S89*T89</f>
        <v>0</v>
      </c>
      <c r="V89" s="6">
        <f>+S89</f>
        <v>0</v>
      </c>
      <c r="W89" s="185">
        <v>40.700000000000003</v>
      </c>
      <c r="X89" s="6">
        <f>+V89*W89</f>
        <v>0</v>
      </c>
      <c r="Y89" s="186">
        <f>+X89-U89</f>
        <v>0</v>
      </c>
      <c r="Z89" s="6"/>
      <c r="AA89" s="6">
        <f>+I89+Q89+Y89</f>
        <v>0</v>
      </c>
    </row>
    <row r="90" spans="1:29">
      <c r="A90" t="s">
        <v>528</v>
      </c>
      <c r="C90" s="122">
        <f>'Service Count Data'!X247</f>
        <v>0</v>
      </c>
      <c r="D90" s="243">
        <v>21.32</v>
      </c>
      <c r="E90" s="6">
        <f>+C90*D90</f>
        <v>0</v>
      </c>
      <c r="F90" s="122">
        <f>+C90</f>
        <v>0</v>
      </c>
      <c r="G90" s="185">
        <v>21.32</v>
      </c>
      <c r="H90" s="6">
        <f>+F90*G90</f>
        <v>0</v>
      </c>
      <c r="I90" s="186">
        <f>+H90-E90</f>
        <v>0</v>
      </c>
      <c r="K90" s="122">
        <f>'Service Count Data'!X248</f>
        <v>0</v>
      </c>
      <c r="L90" s="185">
        <v>20.7</v>
      </c>
      <c r="M90" s="6">
        <f>+K90*L90</f>
        <v>0</v>
      </c>
      <c r="N90" s="6">
        <f>+K90</f>
        <v>0</v>
      </c>
      <c r="O90" s="185">
        <v>16.28</v>
      </c>
      <c r="P90" s="6">
        <f>+N90*O90</f>
        <v>0</v>
      </c>
      <c r="Q90" s="186">
        <f>+P90-M90</f>
        <v>0</v>
      </c>
      <c r="S90" s="122">
        <f>'Service Count Data'!X249</f>
        <v>0</v>
      </c>
      <c r="T90" s="185">
        <v>20.7</v>
      </c>
      <c r="U90" s="6">
        <f>+S90*T90</f>
        <v>0</v>
      </c>
      <c r="V90" s="6">
        <f>+S90</f>
        <v>0</v>
      </c>
      <c r="W90" s="185">
        <v>16.28</v>
      </c>
      <c r="X90" s="6">
        <f>+V90*W90</f>
        <v>0</v>
      </c>
      <c r="Y90" s="186">
        <f>+X90-U90</f>
        <v>0</v>
      </c>
      <c r="Z90" s="6"/>
      <c r="AA90" s="6">
        <f>+I90+Q90+Y90</f>
        <v>0</v>
      </c>
    </row>
    <row r="91" spans="1:29" ht="13.5" thickBot="1">
      <c r="A91" t="s">
        <v>527</v>
      </c>
      <c r="C91" s="122">
        <f>'Service Count Data'!X250</f>
        <v>0</v>
      </c>
      <c r="D91" s="242">
        <v>74</v>
      </c>
      <c r="E91" s="7">
        <f>+C91*D91</f>
        <v>0</v>
      </c>
      <c r="F91" s="175">
        <f>+C91</f>
        <v>0</v>
      </c>
      <c r="G91" s="185">
        <v>81.5</v>
      </c>
      <c r="H91" s="7">
        <f>+F91*G91</f>
        <v>0</v>
      </c>
      <c r="I91" s="183">
        <f>+H91-E91</f>
        <v>0</v>
      </c>
      <c r="K91" s="122">
        <f>'Service Count Data'!X251</f>
        <v>0</v>
      </c>
      <c r="L91" s="185">
        <v>74</v>
      </c>
      <c r="M91" s="7">
        <f>+K91*L91</f>
        <v>0</v>
      </c>
      <c r="N91" s="7">
        <f>+K91</f>
        <v>0</v>
      </c>
      <c r="O91" s="185">
        <v>81.5</v>
      </c>
      <c r="P91" s="7">
        <f>+N91*O91</f>
        <v>0</v>
      </c>
      <c r="Q91" s="183">
        <f>+P91-M91</f>
        <v>0</v>
      </c>
      <c r="S91" s="122">
        <f>'Service Count Data'!X252</f>
        <v>0</v>
      </c>
      <c r="T91" s="185">
        <v>74</v>
      </c>
      <c r="U91" s="7">
        <f>+S91*T91</f>
        <v>0</v>
      </c>
      <c r="V91" s="7">
        <f>+S91</f>
        <v>0</v>
      </c>
      <c r="W91" s="185">
        <v>81.5</v>
      </c>
      <c r="X91" s="7">
        <f>+V91*W91</f>
        <v>0</v>
      </c>
      <c r="Y91" s="183">
        <f>+X91-U91</f>
        <v>0</v>
      </c>
      <c r="Z91" s="82"/>
      <c r="AA91" s="6">
        <f>+I91+Q91+Y91</f>
        <v>0</v>
      </c>
      <c r="AB91" s="7">
        <f>SUM(AA89:AA91)</f>
        <v>0</v>
      </c>
    </row>
    <row r="92" spans="1:29">
      <c r="F92" s="122"/>
      <c r="G92" s="56"/>
      <c r="I92" s="134"/>
      <c r="L92" s="56"/>
      <c r="O92" s="56"/>
      <c r="Q92" s="134"/>
      <c r="T92" s="56"/>
      <c r="W92" s="56"/>
      <c r="Y92" s="181"/>
      <c r="Z92" s="18"/>
    </row>
    <row r="93" spans="1:29">
      <c r="C93" s="6">
        <f>SUM(C89:C91)</f>
        <v>0</v>
      </c>
      <c r="E93" s="56">
        <f>SUM(E89:E91)</f>
        <v>0</v>
      </c>
      <c r="F93" s="122">
        <f>SUM(F89:F91)</f>
        <v>0</v>
      </c>
      <c r="G93" s="56"/>
      <c r="H93" s="56">
        <f>SUM(H89:H91)</f>
        <v>0</v>
      </c>
      <c r="I93" s="179">
        <f>SUM(I89:I91)</f>
        <v>0</v>
      </c>
      <c r="J93" s="10"/>
      <c r="K93" s="6">
        <f>SUM(K89:K91)</f>
        <v>0</v>
      </c>
      <c r="L93" s="56"/>
      <c r="M93" s="56">
        <f>SUM(M89:M91)</f>
        <v>0</v>
      </c>
      <c r="N93" s="6">
        <f>SUM(N89:N91)</f>
        <v>0</v>
      </c>
      <c r="O93" s="56"/>
      <c r="P93" s="56">
        <f>SUM(P89:P91)</f>
        <v>0</v>
      </c>
      <c r="Q93" s="179">
        <f>SUM(Q89:Q91)</f>
        <v>0</v>
      </c>
      <c r="R93" s="10"/>
      <c r="S93" s="6">
        <f>SUM(S89:S91)</f>
        <v>0</v>
      </c>
      <c r="T93" s="56"/>
      <c r="U93" s="56">
        <f>SUM(U89:U91)</f>
        <v>0</v>
      </c>
      <c r="V93" s="6">
        <f>SUM(V89:V91)</f>
        <v>0</v>
      </c>
      <c r="W93" s="56"/>
      <c r="X93" s="56">
        <f>SUM(X89:X91)</f>
        <v>0</v>
      </c>
      <c r="Y93" s="179">
        <f>SUM(Y89:Y91)</f>
        <v>0</v>
      </c>
      <c r="Z93" s="56"/>
      <c r="AB93" s="56">
        <f>SUM(AA89:AA91)</f>
        <v>0</v>
      </c>
    </row>
    <row r="94" spans="1:29">
      <c r="F94" s="122"/>
    </row>
    <row r="95" spans="1:29">
      <c r="AB95" s="82"/>
    </row>
    <row r="96" spans="1:29">
      <c r="AB96" s="18"/>
    </row>
    <row r="97" spans="28:29">
      <c r="AB97" s="241"/>
      <c r="AC97" s="139"/>
    </row>
    <row r="98" spans="28:29">
      <c r="AB98" s="18"/>
    </row>
    <row r="99" spans="28:29">
      <c r="AB99" s="18"/>
    </row>
  </sheetData>
  <mergeCells count="6">
    <mergeCell ref="S5:U5"/>
    <mergeCell ref="V5:X5"/>
    <mergeCell ref="C5:E5"/>
    <mergeCell ref="F5:H5"/>
    <mergeCell ref="K5:M5"/>
    <mergeCell ref="N5:P5"/>
  </mergeCells>
  <pageMargins left="0.17" right="0.17" top="0.24" bottom="0.23" header="0.25" footer="0.27"/>
  <pageSetup scale="48" fitToHeight="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workbookViewId="0">
      <selection activeCell="D4" sqref="D4"/>
    </sheetView>
  </sheetViews>
  <sheetFormatPr defaultRowHeight="12.75"/>
  <cols>
    <col min="1" max="1" width="17.7109375" customWidth="1"/>
    <col min="2" max="2" width="8" customWidth="1"/>
    <col min="3" max="3" width="9.28515625" customWidth="1"/>
    <col min="4" max="4" width="7.85546875" customWidth="1"/>
    <col min="6" max="6" width="8.85546875" customWidth="1"/>
    <col min="7" max="7" width="10.140625" customWidth="1"/>
    <col min="8" max="8" width="8" customWidth="1"/>
    <col min="10" max="10" width="8.140625" customWidth="1"/>
    <col min="12" max="12" width="2.42578125" customWidth="1"/>
    <col min="13" max="13" width="13" customWidth="1"/>
    <col min="15" max="15" width="11" customWidth="1"/>
    <col min="16" max="16" width="11.28515625" customWidth="1"/>
    <col min="17" max="17" width="11.140625" customWidth="1"/>
    <col min="18" max="18" width="11.42578125" customWidth="1"/>
  </cols>
  <sheetData>
    <row r="1" spans="1:18">
      <c r="A1" t="str">
        <f>+'City Contracts'!A1</f>
        <v>Zippy Disposal Service, Inc.</v>
      </c>
    </row>
    <row r="2" spans="1:18">
      <c r="E2" s="693"/>
    </row>
    <row r="3" spans="1:18">
      <c r="A3" t="s">
        <v>666</v>
      </c>
      <c r="D3" s="693" t="s">
        <v>1414</v>
      </c>
      <c r="E3" s="693" t="s">
        <v>702</v>
      </c>
    </row>
    <row r="5" spans="1:18">
      <c r="A5" s="692" t="s">
        <v>1386</v>
      </c>
    </row>
    <row r="7" spans="1:18">
      <c r="A7" s="127" t="s">
        <v>665</v>
      </c>
      <c r="G7" s="127" t="s">
        <v>664</v>
      </c>
      <c r="M7" s="127" t="s">
        <v>663</v>
      </c>
    </row>
    <row r="8" spans="1:18">
      <c r="A8" s="2"/>
      <c r="B8" s="2"/>
      <c r="C8" s="2"/>
      <c r="D8" s="2" t="s">
        <v>657</v>
      </c>
      <c r="E8" s="2" t="s">
        <v>662</v>
      </c>
      <c r="F8" s="2"/>
      <c r="G8" s="2"/>
      <c r="H8" s="2"/>
      <c r="I8" s="2"/>
      <c r="J8" s="2" t="s">
        <v>657</v>
      </c>
      <c r="K8" s="2"/>
      <c r="L8" s="2"/>
      <c r="M8" s="2"/>
      <c r="N8" s="2"/>
      <c r="O8" s="2"/>
      <c r="P8" s="2" t="s">
        <v>657</v>
      </c>
      <c r="Q8" s="2"/>
      <c r="R8" s="2"/>
    </row>
    <row r="9" spans="1:18" ht="13.5" thickBot="1">
      <c r="A9" s="263" t="s">
        <v>597</v>
      </c>
      <c r="B9" s="20" t="s">
        <v>656</v>
      </c>
      <c r="C9" s="20" t="s">
        <v>586</v>
      </c>
      <c r="D9" s="20" t="s">
        <v>655</v>
      </c>
      <c r="E9" s="20" t="s">
        <v>661</v>
      </c>
      <c r="F9" s="2"/>
      <c r="G9" s="263" t="s">
        <v>597</v>
      </c>
      <c r="H9" s="20" t="s">
        <v>656</v>
      </c>
      <c r="I9" s="20" t="s">
        <v>586</v>
      </c>
      <c r="J9" s="20" t="s">
        <v>655</v>
      </c>
      <c r="K9" s="2"/>
      <c r="L9" s="2"/>
      <c r="M9" s="263" t="s">
        <v>597</v>
      </c>
      <c r="N9" s="20" t="s">
        <v>656</v>
      </c>
      <c r="O9" s="20" t="s">
        <v>586</v>
      </c>
      <c r="P9" s="20" t="s">
        <v>655</v>
      </c>
      <c r="Q9" s="93"/>
      <c r="R9" s="128"/>
    </row>
    <row r="11" spans="1:18">
      <c r="A11" t="s">
        <v>519</v>
      </c>
      <c r="B11" s="200">
        <v>0</v>
      </c>
      <c r="C11" s="53">
        <v>0</v>
      </c>
      <c r="D11" s="53">
        <f t="shared" ref="D11:D22" si="0">IF(+B11=0,0,C11/B11)</f>
        <v>0</v>
      </c>
      <c r="E11" s="53"/>
      <c r="G11" t="str">
        <f t="shared" ref="G11:G22" si="1">+A11</f>
        <v>January</v>
      </c>
      <c r="H11" s="200">
        <v>0</v>
      </c>
      <c r="I11" s="53">
        <v>0</v>
      </c>
      <c r="J11" s="53">
        <f t="shared" ref="J11:J22" si="2">IF(+H11=0,0,I11/H11)</f>
        <v>0</v>
      </c>
      <c r="M11" t="str">
        <f t="shared" ref="M11:M22" si="3">+G11</f>
        <v>January</v>
      </c>
      <c r="N11" s="200">
        <v>59</v>
      </c>
      <c r="O11" s="53">
        <v>171.9</v>
      </c>
      <c r="P11" s="53">
        <f t="shared" ref="P11:P18" si="4">IF(+N11=0,0,O11/N11)</f>
        <v>2.9135593220338984</v>
      </c>
      <c r="R11" s="53"/>
    </row>
    <row r="12" spans="1:18">
      <c r="A12" t="s">
        <v>518</v>
      </c>
      <c r="B12" s="200">
        <v>0</v>
      </c>
      <c r="C12" s="53">
        <v>0</v>
      </c>
      <c r="D12" s="53">
        <f t="shared" si="0"/>
        <v>0</v>
      </c>
      <c r="E12" s="53"/>
      <c r="G12" t="str">
        <f t="shared" si="1"/>
        <v>February</v>
      </c>
      <c r="H12" s="200">
        <v>0</v>
      </c>
      <c r="I12" s="53">
        <v>0</v>
      </c>
      <c r="J12" s="53">
        <f t="shared" si="2"/>
        <v>0</v>
      </c>
      <c r="M12" t="str">
        <f t="shared" si="3"/>
        <v>February</v>
      </c>
      <c r="N12" s="200">
        <v>20</v>
      </c>
      <c r="O12" s="53">
        <v>60</v>
      </c>
      <c r="P12" s="53">
        <f t="shared" si="4"/>
        <v>3</v>
      </c>
      <c r="R12" s="53"/>
    </row>
    <row r="13" spans="1:18">
      <c r="A13" s="18" t="s">
        <v>517</v>
      </c>
      <c r="B13" s="200">
        <v>0</v>
      </c>
      <c r="C13" s="53">
        <v>0</v>
      </c>
      <c r="D13" s="53">
        <f t="shared" si="0"/>
        <v>0</v>
      </c>
      <c r="E13" s="53"/>
      <c r="G13" t="str">
        <f t="shared" si="1"/>
        <v>March</v>
      </c>
      <c r="H13" s="200">
        <v>0</v>
      </c>
      <c r="I13" s="53">
        <v>0</v>
      </c>
      <c r="J13" s="53">
        <f t="shared" si="2"/>
        <v>0</v>
      </c>
      <c r="M13" t="str">
        <f t="shared" si="3"/>
        <v>March</v>
      </c>
      <c r="N13" s="200">
        <v>57</v>
      </c>
      <c r="O13" s="53">
        <v>164.49</v>
      </c>
      <c r="P13" s="53">
        <f t="shared" si="4"/>
        <v>2.8857894736842109</v>
      </c>
      <c r="R13" s="53"/>
    </row>
    <row r="14" spans="1:18">
      <c r="A14" t="s">
        <v>516</v>
      </c>
      <c r="B14" s="200">
        <v>0</v>
      </c>
      <c r="C14" s="53">
        <v>0</v>
      </c>
      <c r="D14" s="53">
        <f t="shared" si="0"/>
        <v>0</v>
      </c>
      <c r="E14" s="53"/>
      <c r="G14" t="str">
        <f t="shared" si="1"/>
        <v>April</v>
      </c>
      <c r="H14" s="200">
        <v>0</v>
      </c>
      <c r="I14" s="53">
        <v>0</v>
      </c>
      <c r="J14" s="53">
        <f t="shared" si="2"/>
        <v>0</v>
      </c>
      <c r="M14" t="str">
        <f t="shared" si="3"/>
        <v>April</v>
      </c>
      <c r="N14" s="200">
        <v>0</v>
      </c>
      <c r="O14" s="53">
        <v>0</v>
      </c>
      <c r="P14" s="53">
        <f t="shared" si="4"/>
        <v>0</v>
      </c>
      <c r="R14" s="53"/>
    </row>
    <row r="15" spans="1:18">
      <c r="A15" t="s">
        <v>515</v>
      </c>
      <c r="B15" s="200">
        <v>0</v>
      </c>
      <c r="C15" s="53">
        <v>0</v>
      </c>
      <c r="D15" s="53">
        <f t="shared" si="0"/>
        <v>0</v>
      </c>
      <c r="E15" s="53"/>
      <c r="G15" t="str">
        <f t="shared" si="1"/>
        <v>May</v>
      </c>
      <c r="H15" s="200">
        <v>0</v>
      </c>
      <c r="I15" s="53">
        <v>0</v>
      </c>
      <c r="J15" s="53">
        <f t="shared" si="2"/>
        <v>0</v>
      </c>
      <c r="M15" t="str">
        <f t="shared" si="3"/>
        <v>May</v>
      </c>
      <c r="N15" s="200">
        <v>0</v>
      </c>
      <c r="O15" s="53">
        <v>0</v>
      </c>
      <c r="P15" s="53">
        <f t="shared" si="4"/>
        <v>0</v>
      </c>
      <c r="R15" s="53"/>
    </row>
    <row r="16" spans="1:18">
      <c r="A16" s="18" t="s">
        <v>514</v>
      </c>
      <c r="B16" s="200">
        <v>0</v>
      </c>
      <c r="C16" s="53">
        <v>0</v>
      </c>
      <c r="D16" s="53">
        <f t="shared" si="0"/>
        <v>0</v>
      </c>
      <c r="E16" s="53"/>
      <c r="G16" t="str">
        <f t="shared" si="1"/>
        <v>June</v>
      </c>
      <c r="H16" s="200">
        <v>0</v>
      </c>
      <c r="I16" s="53">
        <v>0</v>
      </c>
      <c r="J16" s="53">
        <f t="shared" si="2"/>
        <v>0</v>
      </c>
      <c r="M16" t="str">
        <f t="shared" si="3"/>
        <v>June</v>
      </c>
      <c r="N16" s="200">
        <v>0</v>
      </c>
      <c r="O16" s="53">
        <v>0</v>
      </c>
      <c r="P16" s="53">
        <f t="shared" si="4"/>
        <v>0</v>
      </c>
      <c r="R16" s="53"/>
    </row>
    <row r="17" spans="1:19">
      <c r="A17" t="s">
        <v>513</v>
      </c>
      <c r="B17" s="200">
        <v>0</v>
      </c>
      <c r="C17" s="53">
        <v>0</v>
      </c>
      <c r="D17" s="53">
        <f t="shared" si="0"/>
        <v>0</v>
      </c>
      <c r="E17" s="53"/>
      <c r="G17" t="str">
        <f t="shared" si="1"/>
        <v>July</v>
      </c>
      <c r="H17" s="200">
        <v>0</v>
      </c>
      <c r="I17" s="53">
        <v>0</v>
      </c>
      <c r="J17" s="53">
        <f t="shared" si="2"/>
        <v>0</v>
      </c>
      <c r="M17" t="str">
        <f t="shared" si="3"/>
        <v>July</v>
      </c>
      <c r="N17" s="200">
        <v>0</v>
      </c>
      <c r="O17" s="53">
        <v>0</v>
      </c>
      <c r="P17" s="53">
        <f t="shared" si="4"/>
        <v>0</v>
      </c>
      <c r="R17" s="53"/>
    </row>
    <row r="18" spans="1:19">
      <c r="A18" t="s">
        <v>512</v>
      </c>
      <c r="B18" s="200">
        <v>0</v>
      </c>
      <c r="C18" s="53">
        <v>0</v>
      </c>
      <c r="D18" s="53">
        <f t="shared" si="0"/>
        <v>0</v>
      </c>
      <c r="E18" s="53"/>
      <c r="G18" t="str">
        <f t="shared" si="1"/>
        <v>August</v>
      </c>
      <c r="H18" s="200">
        <v>0</v>
      </c>
      <c r="I18" s="53">
        <v>0</v>
      </c>
      <c r="J18" s="53">
        <f t="shared" si="2"/>
        <v>0</v>
      </c>
      <c r="M18" t="str">
        <f t="shared" si="3"/>
        <v>August</v>
      </c>
      <c r="N18" s="200">
        <v>0</v>
      </c>
      <c r="O18" s="53">
        <v>0</v>
      </c>
      <c r="P18" s="53">
        <f t="shared" si="4"/>
        <v>0</v>
      </c>
      <c r="R18" s="53"/>
    </row>
    <row r="19" spans="1:19">
      <c r="A19" s="18" t="s">
        <v>511</v>
      </c>
      <c r="B19" s="200">
        <v>0</v>
      </c>
      <c r="C19" s="53">
        <v>0</v>
      </c>
      <c r="D19" s="53">
        <f t="shared" si="0"/>
        <v>0</v>
      </c>
      <c r="E19" s="53">
        <v>0</v>
      </c>
      <c r="G19" t="str">
        <f t="shared" si="1"/>
        <v>September</v>
      </c>
      <c r="H19" s="200">
        <v>0</v>
      </c>
      <c r="I19" s="53">
        <v>0</v>
      </c>
      <c r="J19" s="53">
        <f t="shared" si="2"/>
        <v>0</v>
      </c>
      <c r="M19" t="str">
        <f t="shared" si="3"/>
        <v>September</v>
      </c>
      <c r="N19" s="200">
        <v>0</v>
      </c>
      <c r="O19" s="53">
        <v>0</v>
      </c>
      <c r="P19" s="53">
        <f t="shared" ref="P19:P22" si="5">IF(+N19=0,0,O19/N19)</f>
        <v>0</v>
      </c>
      <c r="R19" s="53"/>
    </row>
    <row r="20" spans="1:19">
      <c r="A20" t="s">
        <v>510</v>
      </c>
      <c r="B20" s="200">
        <v>0</v>
      </c>
      <c r="C20" s="53">
        <v>0</v>
      </c>
      <c r="D20" s="53">
        <f t="shared" si="0"/>
        <v>0</v>
      </c>
      <c r="E20" s="53"/>
      <c r="G20" t="str">
        <f t="shared" si="1"/>
        <v>October</v>
      </c>
      <c r="H20" s="200">
        <v>0</v>
      </c>
      <c r="I20" s="53">
        <v>0</v>
      </c>
      <c r="J20" s="53">
        <f t="shared" si="2"/>
        <v>0</v>
      </c>
      <c r="M20" t="str">
        <f t="shared" si="3"/>
        <v>October</v>
      </c>
      <c r="N20" s="200">
        <v>0</v>
      </c>
      <c r="O20" s="53">
        <v>0</v>
      </c>
      <c r="P20" s="53">
        <f t="shared" si="5"/>
        <v>0</v>
      </c>
      <c r="R20" s="53"/>
    </row>
    <row r="21" spans="1:19">
      <c r="A21" t="s">
        <v>509</v>
      </c>
      <c r="B21" s="200">
        <v>0</v>
      </c>
      <c r="C21" s="53">
        <v>0</v>
      </c>
      <c r="D21" s="53">
        <f t="shared" si="0"/>
        <v>0</v>
      </c>
      <c r="E21" s="53"/>
      <c r="G21" t="str">
        <f t="shared" si="1"/>
        <v>November</v>
      </c>
      <c r="H21" s="200">
        <v>0</v>
      </c>
      <c r="I21" s="53">
        <v>0</v>
      </c>
      <c r="J21" s="53">
        <f t="shared" si="2"/>
        <v>0</v>
      </c>
      <c r="M21" t="str">
        <f t="shared" si="3"/>
        <v>November</v>
      </c>
      <c r="N21" s="200">
        <v>0</v>
      </c>
      <c r="O21" s="53">
        <v>0</v>
      </c>
      <c r="P21" s="53">
        <f t="shared" si="5"/>
        <v>0</v>
      </c>
      <c r="R21" s="53"/>
    </row>
    <row r="22" spans="1:19" ht="13.5" thickBot="1">
      <c r="A22" s="5" t="s">
        <v>508</v>
      </c>
      <c r="B22" s="265">
        <v>0</v>
      </c>
      <c r="C22" s="225">
        <v>0</v>
      </c>
      <c r="D22" s="225">
        <f t="shared" si="0"/>
        <v>0</v>
      </c>
      <c r="E22" s="225"/>
      <c r="G22" t="str">
        <f t="shared" si="1"/>
        <v>December</v>
      </c>
      <c r="H22" s="265">
        <v>0</v>
      </c>
      <c r="I22" s="225">
        <v>0</v>
      </c>
      <c r="J22" s="225">
        <f t="shared" si="2"/>
        <v>0</v>
      </c>
      <c r="M22" t="str">
        <f t="shared" si="3"/>
        <v>December</v>
      </c>
      <c r="N22" s="260">
        <v>132</v>
      </c>
      <c r="O22" s="259">
        <v>348.3</v>
      </c>
      <c r="P22" s="225">
        <f t="shared" si="5"/>
        <v>2.6386363636363637</v>
      </c>
      <c r="Q22" s="18"/>
      <c r="R22" s="258"/>
    </row>
    <row r="23" spans="1:19">
      <c r="B23" s="200"/>
      <c r="C23" s="53"/>
      <c r="H23" s="200"/>
      <c r="I23" s="53"/>
      <c r="J23" s="53"/>
      <c r="N23" s="200"/>
      <c r="O23" s="53"/>
    </row>
    <row r="24" spans="1:19">
      <c r="A24" t="s">
        <v>623</v>
      </c>
      <c r="B24" s="200">
        <f>SUM(B11:B22)</f>
        <v>0</v>
      </c>
      <c r="C24" s="53">
        <f>SUM(C11:C22)</f>
        <v>0</v>
      </c>
      <c r="D24" s="53" t="e">
        <f>+C24/B24</f>
        <v>#DIV/0!</v>
      </c>
      <c r="E24" s="53">
        <f>SUM(E11:E22)</f>
        <v>0</v>
      </c>
      <c r="H24" s="200">
        <f>SUM(H11:H22)</f>
        <v>0</v>
      </c>
      <c r="I24" s="53">
        <f>SUM(I11:I22)</f>
        <v>0</v>
      </c>
      <c r="J24" s="53" t="e">
        <f>+I24/H24</f>
        <v>#DIV/0!</v>
      </c>
      <c r="N24" s="200">
        <f>SUM(N11:N22)</f>
        <v>268</v>
      </c>
      <c r="O24" s="53">
        <f>SUM(O11:O22)</f>
        <v>744.69</v>
      </c>
      <c r="P24" s="53">
        <f>+O24/N24</f>
        <v>2.7786940298507465</v>
      </c>
      <c r="Q24" s="53"/>
      <c r="R24" s="258"/>
    </row>
    <row r="25" spans="1:19">
      <c r="B25" s="200"/>
      <c r="C25" s="53"/>
      <c r="H25" s="200"/>
      <c r="I25" s="53"/>
      <c r="J25" s="53"/>
      <c r="N25" s="200"/>
      <c r="O25" s="53"/>
    </row>
    <row r="26" spans="1:19">
      <c r="A26" s="18"/>
      <c r="B26" s="18"/>
      <c r="C26" s="18"/>
      <c r="D26" s="18"/>
      <c r="E26" s="18"/>
      <c r="F26" s="18"/>
      <c r="G26" s="18"/>
      <c r="H26" s="18"/>
      <c r="I26" s="18"/>
      <c r="J26" s="18"/>
      <c r="K26" s="18"/>
      <c r="L26" s="18"/>
      <c r="M26" s="18"/>
      <c r="N26" s="18"/>
      <c r="O26" s="18"/>
      <c r="P26" s="18"/>
      <c r="Q26" s="18"/>
      <c r="R26" s="18"/>
      <c r="S26" s="18"/>
    </row>
    <row r="29" spans="1:19">
      <c r="A29" s="127" t="s">
        <v>660</v>
      </c>
    </row>
    <row r="30" spans="1:19">
      <c r="B30" s="264" t="s">
        <v>659</v>
      </c>
      <c r="C30" s="264"/>
      <c r="D30" s="264"/>
      <c r="E30" s="264" t="s">
        <v>658</v>
      </c>
      <c r="F30" s="264"/>
      <c r="G30" s="264"/>
      <c r="H30" s="745" t="s">
        <v>340</v>
      </c>
      <c r="I30" s="744"/>
      <c r="J30" s="744"/>
    </row>
    <row r="31" spans="1:19">
      <c r="A31" s="2"/>
      <c r="B31" s="2"/>
      <c r="C31" s="2"/>
      <c r="D31" s="2" t="s">
        <v>657</v>
      </c>
      <c r="E31" s="2"/>
      <c r="F31" s="2"/>
      <c r="G31" s="2" t="s">
        <v>657</v>
      </c>
      <c r="H31" s="2"/>
      <c r="I31" s="2"/>
      <c r="J31" s="2" t="s">
        <v>657</v>
      </c>
    </row>
    <row r="32" spans="1:19" ht="13.5" thickBot="1">
      <c r="A32" s="263" t="s">
        <v>597</v>
      </c>
      <c r="B32" s="20" t="s">
        <v>656</v>
      </c>
      <c r="C32" s="20" t="s">
        <v>586</v>
      </c>
      <c r="D32" s="20" t="s">
        <v>655</v>
      </c>
      <c r="E32" s="20" t="s">
        <v>656</v>
      </c>
      <c r="F32" s="20" t="s">
        <v>586</v>
      </c>
      <c r="G32" s="20" t="s">
        <v>655</v>
      </c>
      <c r="H32" s="20" t="s">
        <v>656</v>
      </c>
      <c r="I32" s="20" t="s">
        <v>586</v>
      </c>
      <c r="J32" s="20" t="s">
        <v>655</v>
      </c>
    </row>
    <row r="33" spans="1:18">
      <c r="N33" t="s">
        <v>327</v>
      </c>
    </row>
    <row r="34" spans="1:18">
      <c r="A34" s="262" t="s">
        <v>654</v>
      </c>
      <c r="B34" s="200">
        <v>680</v>
      </c>
      <c r="C34" s="53">
        <v>2007.79</v>
      </c>
      <c r="D34" s="53">
        <f t="shared" ref="D34:D51" si="6">IF(+B34=0,0,C34/B34)</f>
        <v>2.9526323529411762</v>
      </c>
      <c r="E34" s="200">
        <v>160</v>
      </c>
      <c r="F34" s="53">
        <v>482.63</v>
      </c>
      <c r="G34" s="53">
        <f t="shared" ref="G34:G51" si="7">IF(+E34=0,0,F34/E34)</f>
        <v>3.0164374999999999</v>
      </c>
      <c r="H34" s="200">
        <v>16</v>
      </c>
      <c r="I34" s="53">
        <v>49.04</v>
      </c>
      <c r="J34" s="53">
        <f t="shared" ref="J34:J51" si="8">IF(+H34=0,0,I34/H34)</f>
        <v>3.0649999999999999</v>
      </c>
      <c r="K34" s="53">
        <f t="shared" ref="K34:K51" si="9">+C34+F34+I34</f>
        <v>2539.46</v>
      </c>
      <c r="L34" s="53"/>
    </row>
    <row r="35" spans="1:18">
      <c r="A35" s="262" t="s">
        <v>653</v>
      </c>
      <c r="B35" s="200">
        <v>731</v>
      </c>
      <c r="C35" s="53">
        <v>2165.64</v>
      </c>
      <c r="D35" s="53">
        <f t="shared" si="6"/>
        <v>2.9625718194254445</v>
      </c>
      <c r="E35" s="200">
        <v>201</v>
      </c>
      <c r="F35" s="53">
        <v>599.99</v>
      </c>
      <c r="G35" s="53">
        <f t="shared" si="7"/>
        <v>2.9850248756218907</v>
      </c>
      <c r="H35" s="200">
        <v>32</v>
      </c>
      <c r="I35" s="53">
        <v>95.67</v>
      </c>
      <c r="J35" s="53">
        <f t="shared" si="8"/>
        <v>2.9896875000000001</v>
      </c>
      <c r="K35" s="53">
        <f t="shared" si="9"/>
        <v>2861.3</v>
      </c>
      <c r="L35" s="53"/>
    </row>
    <row r="36" spans="1:18">
      <c r="A36" s="1" t="s">
        <v>652</v>
      </c>
      <c r="B36" s="200">
        <v>619</v>
      </c>
      <c r="C36" s="53">
        <v>2057.06</v>
      </c>
      <c r="D36" s="53">
        <f t="shared" si="6"/>
        <v>3.3231987075928915</v>
      </c>
      <c r="E36" s="200">
        <v>188</v>
      </c>
      <c r="F36" s="53">
        <v>554.59</v>
      </c>
      <c r="G36" s="53">
        <f t="shared" si="7"/>
        <v>2.9499468085106386</v>
      </c>
      <c r="H36" s="200">
        <v>14</v>
      </c>
      <c r="I36" s="53">
        <v>42.97</v>
      </c>
      <c r="J36" s="53">
        <f t="shared" si="8"/>
        <v>3.0692857142857144</v>
      </c>
      <c r="K36" s="53">
        <f t="shared" si="9"/>
        <v>2654.62</v>
      </c>
      <c r="L36" s="53"/>
    </row>
    <row r="37" spans="1:18">
      <c r="A37" s="1" t="s">
        <v>651</v>
      </c>
      <c r="B37" s="200">
        <v>598</v>
      </c>
      <c r="C37" s="53">
        <v>1660.83</v>
      </c>
      <c r="D37" s="53">
        <f t="shared" si="6"/>
        <v>2.777307692307692</v>
      </c>
      <c r="E37" s="200">
        <v>176</v>
      </c>
      <c r="F37" s="53">
        <v>498.56</v>
      </c>
      <c r="G37" s="53">
        <f t="shared" si="7"/>
        <v>2.8327272727272725</v>
      </c>
      <c r="H37" s="200">
        <v>43</v>
      </c>
      <c r="I37" s="53">
        <v>123.92</v>
      </c>
      <c r="J37" s="53">
        <f t="shared" si="8"/>
        <v>2.8818604651162789</v>
      </c>
      <c r="K37" s="53">
        <f t="shared" si="9"/>
        <v>2283.31</v>
      </c>
      <c r="L37" s="53"/>
    </row>
    <row r="38" spans="1:18">
      <c r="A38" s="1" t="s">
        <v>650</v>
      </c>
      <c r="B38" s="200">
        <v>616</v>
      </c>
      <c r="C38" s="53">
        <v>1700.24</v>
      </c>
      <c r="D38" s="53">
        <f t="shared" si="6"/>
        <v>2.76012987012987</v>
      </c>
      <c r="E38" s="200">
        <v>190</v>
      </c>
      <c r="F38" s="53">
        <v>521.35</v>
      </c>
      <c r="G38" s="53">
        <f t="shared" si="7"/>
        <v>2.7439473684210527</v>
      </c>
      <c r="H38" s="200">
        <v>16</v>
      </c>
      <c r="I38" s="53">
        <v>44.49</v>
      </c>
      <c r="J38" s="53">
        <f t="shared" si="8"/>
        <v>2.7806250000000001</v>
      </c>
      <c r="K38" s="53">
        <f t="shared" si="9"/>
        <v>2266.08</v>
      </c>
      <c r="L38" s="53"/>
      <c r="R38" s="2" t="s">
        <v>648</v>
      </c>
    </row>
    <row r="39" spans="1:18">
      <c r="A39" s="1" t="s">
        <v>649</v>
      </c>
      <c r="B39" s="200">
        <v>767</v>
      </c>
      <c r="C39" s="53">
        <v>2025.65</v>
      </c>
      <c r="D39" s="53">
        <f t="shared" si="6"/>
        <v>2.6410039113428945</v>
      </c>
      <c r="E39" s="200">
        <v>177</v>
      </c>
      <c r="F39" s="53">
        <v>479.73</v>
      </c>
      <c r="G39" s="53">
        <f t="shared" si="7"/>
        <v>2.7103389830508475</v>
      </c>
      <c r="H39" s="200">
        <v>32</v>
      </c>
      <c r="I39" s="53">
        <v>87.66</v>
      </c>
      <c r="J39" s="53">
        <f t="shared" si="8"/>
        <v>2.7393749999999999</v>
      </c>
      <c r="K39" s="53">
        <f t="shared" si="9"/>
        <v>2593.04</v>
      </c>
      <c r="L39" s="53"/>
      <c r="P39" s="2" t="s">
        <v>648</v>
      </c>
      <c r="Q39" s="2" t="s">
        <v>648</v>
      </c>
      <c r="R39" t="s">
        <v>340</v>
      </c>
    </row>
    <row r="40" spans="1:18" ht="13.5" thickBot="1">
      <c r="A40" s="1" t="s">
        <v>647</v>
      </c>
      <c r="B40" s="200">
        <v>747</v>
      </c>
      <c r="C40" s="53">
        <v>1899.85</v>
      </c>
      <c r="D40" s="53">
        <f t="shared" si="6"/>
        <v>2.5433065595716196</v>
      </c>
      <c r="E40" s="200">
        <v>172</v>
      </c>
      <c r="F40" s="53">
        <v>439.98</v>
      </c>
      <c r="G40" s="53">
        <f t="shared" si="7"/>
        <v>2.5580232558139535</v>
      </c>
      <c r="H40" s="200">
        <v>29</v>
      </c>
      <c r="I40" s="53">
        <v>75.62</v>
      </c>
      <c r="J40" s="53">
        <f t="shared" si="8"/>
        <v>2.6075862068965519</v>
      </c>
      <c r="K40" s="53">
        <f t="shared" si="9"/>
        <v>2415.4499999999998</v>
      </c>
      <c r="L40" s="53"/>
      <c r="P40" s="5"/>
      <c r="Q40" s="20" t="s">
        <v>263</v>
      </c>
      <c r="R40" s="20" t="s">
        <v>341</v>
      </c>
    </row>
    <row r="41" spans="1:18">
      <c r="A41" s="1" t="s">
        <v>646</v>
      </c>
      <c r="B41" s="200">
        <v>807</v>
      </c>
      <c r="C41" s="53">
        <v>1869.41</v>
      </c>
      <c r="D41" s="53">
        <f t="shared" si="6"/>
        <v>2.3164931846344485</v>
      </c>
      <c r="E41" s="200">
        <v>196</v>
      </c>
      <c r="F41" s="53">
        <v>470.33</v>
      </c>
      <c r="G41" s="53">
        <f t="shared" si="7"/>
        <v>2.3996428571428572</v>
      </c>
      <c r="H41" s="200">
        <v>43</v>
      </c>
      <c r="I41" s="53">
        <v>101.76</v>
      </c>
      <c r="J41" s="53">
        <f t="shared" si="8"/>
        <v>2.3665116279069767</v>
      </c>
      <c r="K41" s="53">
        <f t="shared" si="9"/>
        <v>2441.5000000000005</v>
      </c>
      <c r="L41" s="53"/>
    </row>
    <row r="42" spans="1:18">
      <c r="A42" s="1" t="s">
        <v>645</v>
      </c>
      <c r="B42" s="200">
        <v>775</v>
      </c>
      <c r="C42" s="53">
        <v>1630.2</v>
      </c>
      <c r="D42" s="53">
        <f t="shared" si="6"/>
        <v>2.1034838709677421</v>
      </c>
      <c r="E42" s="200">
        <v>183</v>
      </c>
      <c r="F42" s="53">
        <v>400.5</v>
      </c>
      <c r="G42" s="53">
        <f t="shared" si="7"/>
        <v>2.1885245901639343</v>
      </c>
      <c r="H42" s="200">
        <v>64</v>
      </c>
      <c r="I42" s="53">
        <v>137.97999999999999</v>
      </c>
      <c r="J42" s="53">
        <f t="shared" si="8"/>
        <v>2.1559374999999998</v>
      </c>
      <c r="K42" s="53">
        <f t="shared" si="9"/>
        <v>2168.6799999999998</v>
      </c>
      <c r="L42" s="53"/>
      <c r="M42" t="s">
        <v>644</v>
      </c>
      <c r="P42" s="53">
        <f>+C24+I24+O24+C59</f>
        <v>50459.37</v>
      </c>
      <c r="Q42" s="53">
        <f>+F59</f>
        <v>13077.730000000001</v>
      </c>
      <c r="R42" s="53">
        <f>+I59</f>
        <v>1737.85</v>
      </c>
    </row>
    <row r="43" spans="1:18">
      <c r="A43" s="1" t="s">
        <v>643</v>
      </c>
      <c r="B43" s="200">
        <v>769</v>
      </c>
      <c r="C43" s="53">
        <v>1528.21</v>
      </c>
      <c r="D43" s="53">
        <f t="shared" si="6"/>
        <v>1.9872691807542262</v>
      </c>
      <c r="E43" s="200">
        <v>256</v>
      </c>
      <c r="F43" s="53">
        <v>533.35</v>
      </c>
      <c r="G43" s="53">
        <f t="shared" si="7"/>
        <v>2.0833984375000001</v>
      </c>
      <c r="H43" s="200">
        <v>34</v>
      </c>
      <c r="I43" s="53">
        <v>68.98</v>
      </c>
      <c r="J43" s="53">
        <f t="shared" si="8"/>
        <v>2.0288235294117647</v>
      </c>
      <c r="K43" s="53">
        <f t="shared" si="9"/>
        <v>2130.54</v>
      </c>
      <c r="L43" s="53"/>
    </row>
    <row r="44" spans="1:18">
      <c r="A44" s="255" t="s">
        <v>642</v>
      </c>
      <c r="B44" s="200">
        <v>904</v>
      </c>
      <c r="C44" s="53">
        <v>1829.14</v>
      </c>
      <c r="D44" s="53">
        <f t="shared" si="6"/>
        <v>2.0233849557522126</v>
      </c>
      <c r="E44" s="200">
        <v>183</v>
      </c>
      <c r="F44" s="53">
        <v>390.86</v>
      </c>
      <c r="G44" s="53">
        <f t="shared" si="7"/>
        <v>2.1358469945355192</v>
      </c>
      <c r="H44" s="200">
        <v>34</v>
      </c>
      <c r="I44" s="53">
        <v>74.28</v>
      </c>
      <c r="J44" s="53">
        <f t="shared" si="8"/>
        <v>2.1847058823529411</v>
      </c>
      <c r="K44" s="53">
        <f t="shared" si="9"/>
        <v>2294.2800000000002</v>
      </c>
      <c r="L44" s="53"/>
      <c r="M44" s="83"/>
      <c r="P44" s="53">
        <v>0</v>
      </c>
      <c r="Q44" s="53">
        <f>+G24</f>
        <v>0</v>
      </c>
      <c r="R44" s="53">
        <f>+H24</f>
        <v>0</v>
      </c>
    </row>
    <row r="45" spans="1:18">
      <c r="A45" s="255" t="s">
        <v>641</v>
      </c>
      <c r="B45" s="200">
        <v>855</v>
      </c>
      <c r="C45" s="53">
        <v>1939.41</v>
      </c>
      <c r="D45" s="53">
        <f t="shared" si="6"/>
        <v>2.2683157894736845</v>
      </c>
      <c r="E45" s="200">
        <v>221</v>
      </c>
      <c r="F45" s="53">
        <v>500.61</v>
      </c>
      <c r="G45" s="53">
        <f t="shared" si="7"/>
        <v>2.2652036199095025</v>
      </c>
      <c r="H45" s="200">
        <v>13</v>
      </c>
      <c r="I45" s="53">
        <v>29.26</v>
      </c>
      <c r="J45" s="53">
        <f t="shared" si="8"/>
        <v>2.2507692307692309</v>
      </c>
      <c r="K45" s="53">
        <f t="shared" si="9"/>
        <v>2469.2800000000002</v>
      </c>
      <c r="L45" s="53"/>
      <c r="M45" t="s">
        <v>640</v>
      </c>
      <c r="P45" s="53">
        <v>873.87</v>
      </c>
      <c r="Q45" s="53">
        <v>0</v>
      </c>
      <c r="R45" s="53">
        <v>0</v>
      </c>
    </row>
    <row r="46" spans="1:18">
      <c r="A46" s="1" t="s">
        <v>639</v>
      </c>
      <c r="B46" s="200">
        <v>1080</v>
      </c>
      <c r="C46" s="53">
        <v>2369.15</v>
      </c>
      <c r="D46" s="53">
        <f t="shared" si="6"/>
        <v>2.1936574074074073</v>
      </c>
      <c r="E46" s="200">
        <v>261</v>
      </c>
      <c r="F46" s="53">
        <v>598.53</v>
      </c>
      <c r="G46" s="53">
        <f t="shared" si="7"/>
        <v>2.2932183908045976</v>
      </c>
      <c r="H46" s="200">
        <v>34</v>
      </c>
      <c r="I46" s="53">
        <v>76.069999999999993</v>
      </c>
      <c r="J46" s="53">
        <f t="shared" si="8"/>
        <v>2.2373529411764705</v>
      </c>
      <c r="K46" s="53">
        <f t="shared" si="9"/>
        <v>3043.7500000000005</v>
      </c>
      <c r="L46" s="53"/>
      <c r="M46" t="s">
        <v>638</v>
      </c>
      <c r="P46" s="53">
        <v>1064.45</v>
      </c>
      <c r="Q46" s="53">
        <v>0</v>
      </c>
      <c r="R46" s="53">
        <v>0</v>
      </c>
    </row>
    <row r="47" spans="1:18">
      <c r="A47" s="1" t="s">
        <v>637</v>
      </c>
      <c r="B47" s="200">
        <v>1252</v>
      </c>
      <c r="C47" s="53">
        <v>2786.14</v>
      </c>
      <c r="D47" s="53">
        <f t="shared" si="6"/>
        <v>2.2253514376996804</v>
      </c>
      <c r="E47" s="200">
        <v>305</v>
      </c>
      <c r="F47" s="53">
        <v>716.55</v>
      </c>
      <c r="G47" s="53">
        <f t="shared" si="7"/>
        <v>2.349344262295082</v>
      </c>
      <c r="H47" s="200">
        <v>15</v>
      </c>
      <c r="I47" s="53">
        <v>34.18</v>
      </c>
      <c r="J47" s="53">
        <f t="shared" si="8"/>
        <v>2.2786666666666666</v>
      </c>
      <c r="K47" s="53">
        <f t="shared" si="9"/>
        <v>3536.8699999999994</v>
      </c>
      <c r="L47" s="53"/>
      <c r="N47" s="83"/>
      <c r="P47" s="84">
        <v>0</v>
      </c>
      <c r="Q47" s="53">
        <v>0</v>
      </c>
      <c r="R47" s="53">
        <v>0</v>
      </c>
    </row>
    <row r="48" spans="1:18">
      <c r="A48" s="1" t="s">
        <v>636</v>
      </c>
      <c r="B48" s="200">
        <v>1003</v>
      </c>
      <c r="C48" s="53">
        <v>2276.4899999999998</v>
      </c>
      <c r="D48" s="53">
        <f t="shared" si="6"/>
        <v>2.2696809571286138</v>
      </c>
      <c r="E48" s="200">
        <v>265</v>
      </c>
      <c r="F48" s="53">
        <v>631.74</v>
      </c>
      <c r="G48" s="53">
        <f t="shared" si="7"/>
        <v>2.3839245283018866</v>
      </c>
      <c r="H48" s="200">
        <v>31.84</v>
      </c>
      <c r="I48" s="53">
        <v>74.3</v>
      </c>
      <c r="J48" s="53">
        <f t="shared" si="8"/>
        <v>2.333542713567839</v>
      </c>
      <c r="K48" s="53">
        <f t="shared" si="9"/>
        <v>2982.5299999999997</v>
      </c>
      <c r="L48" s="53"/>
      <c r="M48" t="s">
        <v>635</v>
      </c>
      <c r="P48" s="53">
        <v>6406.39</v>
      </c>
      <c r="Q48" s="53">
        <v>0</v>
      </c>
      <c r="R48" s="53">
        <v>0</v>
      </c>
    </row>
    <row r="49" spans="1:18">
      <c r="A49" s="1" t="s">
        <v>634</v>
      </c>
      <c r="B49" s="200">
        <v>966</v>
      </c>
      <c r="C49" s="53">
        <v>2171.5700000000002</v>
      </c>
      <c r="D49" s="53">
        <f t="shared" si="6"/>
        <v>2.2480020703933747</v>
      </c>
      <c r="E49" s="200">
        <v>206</v>
      </c>
      <c r="F49" s="53">
        <v>485.04</v>
      </c>
      <c r="G49" s="53">
        <f t="shared" si="7"/>
        <v>2.3545631067961166</v>
      </c>
      <c r="H49" s="200">
        <v>18</v>
      </c>
      <c r="I49" s="53">
        <v>41.6</v>
      </c>
      <c r="J49" s="53">
        <f t="shared" si="8"/>
        <v>2.3111111111111113</v>
      </c>
      <c r="K49" s="53">
        <f t="shared" si="9"/>
        <v>2698.21</v>
      </c>
      <c r="L49" s="53"/>
      <c r="M49" t="s">
        <v>633</v>
      </c>
      <c r="P49" s="53">
        <v>0</v>
      </c>
      <c r="Q49" s="53">
        <v>0</v>
      </c>
      <c r="R49" s="53">
        <v>0</v>
      </c>
    </row>
    <row r="50" spans="1:18" ht="13.5" thickBot="1">
      <c r="A50" s="1" t="s">
        <v>632</v>
      </c>
      <c r="B50" s="204">
        <v>1200</v>
      </c>
      <c r="C50" s="197">
        <v>2714.29</v>
      </c>
      <c r="D50" s="197">
        <f t="shared" si="6"/>
        <v>2.2619083333333334</v>
      </c>
      <c r="E50" s="204">
        <v>240</v>
      </c>
      <c r="F50" s="197">
        <v>567.22</v>
      </c>
      <c r="G50" s="197">
        <f t="shared" si="7"/>
        <v>2.3634166666666667</v>
      </c>
      <c r="H50" s="204">
        <v>31</v>
      </c>
      <c r="I50" s="197">
        <v>71.650000000000006</v>
      </c>
      <c r="J50" s="53">
        <f t="shared" si="8"/>
        <v>2.3112903225806454</v>
      </c>
      <c r="K50" s="53">
        <f t="shared" si="9"/>
        <v>3353.1600000000003</v>
      </c>
      <c r="L50" s="53"/>
      <c r="P50" s="225"/>
      <c r="Q50" s="225"/>
      <c r="R50" s="225"/>
    </row>
    <row r="51" spans="1:18">
      <c r="A51" s="255" t="s">
        <v>631</v>
      </c>
      <c r="B51" s="677">
        <v>1012</v>
      </c>
      <c r="C51" s="198">
        <v>2225.75</v>
      </c>
      <c r="D51" s="198">
        <f t="shared" si="6"/>
        <v>2.1993577075098814</v>
      </c>
      <c r="E51" s="677">
        <v>236</v>
      </c>
      <c r="F51" s="198">
        <v>539.59</v>
      </c>
      <c r="G51" s="198">
        <f t="shared" si="7"/>
        <v>2.2863983050847461</v>
      </c>
      <c r="H51" s="677">
        <v>37</v>
      </c>
      <c r="I51" s="198">
        <v>82.12</v>
      </c>
      <c r="J51" s="258">
        <f t="shared" si="8"/>
        <v>2.2194594594594594</v>
      </c>
      <c r="K51" s="53">
        <f t="shared" si="9"/>
        <v>2847.46</v>
      </c>
      <c r="L51" s="53"/>
      <c r="M51" t="s">
        <v>2</v>
      </c>
      <c r="P51" s="53">
        <f>SUM(P42:P49)</f>
        <v>58804.08</v>
      </c>
      <c r="Q51" s="53">
        <f>SUM(Q42:Q49)</f>
        <v>13077.730000000001</v>
      </c>
      <c r="R51" s="53">
        <f>SUM(R42:R49)</f>
        <v>1737.85</v>
      </c>
    </row>
    <row r="52" spans="1:18">
      <c r="A52" s="1" t="s">
        <v>630</v>
      </c>
      <c r="B52" s="200">
        <v>1100</v>
      </c>
      <c r="C52" s="53">
        <v>2432.9</v>
      </c>
      <c r="D52" s="53">
        <f t="shared" ref="D52:D57" si="10">IF(+B52=0,0,C52/B52)</f>
        <v>2.211727272727273</v>
      </c>
      <c r="E52" s="200">
        <v>261</v>
      </c>
      <c r="F52" s="53">
        <v>593.41999999999996</v>
      </c>
      <c r="G52" s="53">
        <f t="shared" ref="G52:G57" si="11">IF(+E52=0,0,F52/E52)</f>
        <v>2.2736398467432948</v>
      </c>
      <c r="H52" s="200">
        <v>30</v>
      </c>
      <c r="I52" s="53">
        <v>66.37</v>
      </c>
      <c r="J52" s="53">
        <f t="shared" ref="J52:J57" si="12">IF(+H52=0,0,I52/H52)</f>
        <v>2.2123333333333335</v>
      </c>
      <c r="K52" s="53">
        <f t="shared" ref="K52:K57" si="13">+C52+F52+I52</f>
        <v>3092.69</v>
      </c>
      <c r="L52" s="53"/>
      <c r="P52" s="53"/>
      <c r="Q52" s="53"/>
      <c r="R52" s="53"/>
    </row>
    <row r="53" spans="1:18" ht="13.5" thickBot="1">
      <c r="A53" s="1" t="s">
        <v>629</v>
      </c>
      <c r="B53" s="200">
        <v>910</v>
      </c>
      <c r="C53" s="53">
        <v>2079.9299999999998</v>
      </c>
      <c r="D53" s="53">
        <f t="shared" si="10"/>
        <v>2.2856373626373623</v>
      </c>
      <c r="E53" s="200">
        <v>273</v>
      </c>
      <c r="F53" s="53">
        <v>642.69000000000005</v>
      </c>
      <c r="G53" s="53">
        <f t="shared" si="11"/>
        <v>2.3541758241758242</v>
      </c>
      <c r="H53" s="200">
        <v>34</v>
      </c>
      <c r="I53" s="53">
        <v>80.849999999999994</v>
      </c>
      <c r="J53" s="53">
        <f t="shared" si="12"/>
        <v>2.3779411764705882</v>
      </c>
      <c r="K53" s="53">
        <f t="shared" si="13"/>
        <v>2803.47</v>
      </c>
      <c r="L53" s="53"/>
      <c r="M53" t="s">
        <v>85</v>
      </c>
      <c r="P53" s="225">
        <f>'Results of Operations Staff '!C45</f>
        <v>58804.080000000009</v>
      </c>
      <c r="Q53" s="225">
        <f>'Results of Operations Staff '!C46</f>
        <v>13077.73</v>
      </c>
      <c r="R53" s="225">
        <f>'Results of Operations Staff '!C47</f>
        <v>1737.8500000000004</v>
      </c>
    </row>
    <row r="54" spans="1:18">
      <c r="A54" s="1" t="s">
        <v>628</v>
      </c>
      <c r="B54" s="200">
        <v>884</v>
      </c>
      <c r="C54" s="53">
        <v>2197.8200000000002</v>
      </c>
      <c r="D54" s="53">
        <f t="shared" si="10"/>
        <v>2.486221719457014</v>
      </c>
      <c r="E54" s="200">
        <v>248</v>
      </c>
      <c r="F54" s="53">
        <v>633.61</v>
      </c>
      <c r="G54" s="53">
        <f t="shared" si="11"/>
        <v>2.5548790322580648</v>
      </c>
      <c r="H54" s="200">
        <v>19</v>
      </c>
      <c r="I54" s="53">
        <v>49.71</v>
      </c>
      <c r="J54" s="53">
        <f t="shared" si="12"/>
        <v>2.6163157894736844</v>
      </c>
      <c r="K54" s="53">
        <f t="shared" si="13"/>
        <v>2881.1400000000003</v>
      </c>
      <c r="L54" s="53"/>
      <c r="P54" s="53"/>
      <c r="Q54" s="53"/>
      <c r="R54" s="53"/>
    </row>
    <row r="55" spans="1:18" ht="13.5" thickBot="1">
      <c r="A55" s="1" t="s">
        <v>627</v>
      </c>
      <c r="B55" s="200">
        <v>785</v>
      </c>
      <c r="C55" s="53">
        <v>2052.9499999999998</v>
      </c>
      <c r="D55" s="53">
        <f t="shared" si="10"/>
        <v>2.6152229299363055</v>
      </c>
      <c r="E55" s="200">
        <v>197</v>
      </c>
      <c r="F55" s="53">
        <v>524.71</v>
      </c>
      <c r="G55" s="53">
        <f t="shared" si="11"/>
        <v>2.6635025380710662</v>
      </c>
      <c r="H55" s="200">
        <v>38</v>
      </c>
      <c r="I55" s="53">
        <v>102.47</v>
      </c>
      <c r="J55" s="53">
        <f t="shared" si="12"/>
        <v>2.6965789473684212</v>
      </c>
      <c r="K55" s="53">
        <f t="shared" si="13"/>
        <v>2680.1299999999997</v>
      </c>
      <c r="L55" s="53"/>
      <c r="M55" t="s">
        <v>624</v>
      </c>
      <c r="P55" s="261">
        <f>ROUND(+P51-P53,2)</f>
        <v>0</v>
      </c>
      <c r="Q55" s="261">
        <f>ROUND(+Q51-Q53,2)</f>
        <v>0</v>
      </c>
      <c r="R55" s="261">
        <f>ROUND(+R51-R53,2)</f>
        <v>0</v>
      </c>
    </row>
    <row r="56" spans="1:18" ht="13.5" thickTop="1">
      <c r="A56" s="255" t="s">
        <v>626</v>
      </c>
      <c r="B56" s="204">
        <v>790</v>
      </c>
      <c r="C56" s="197">
        <v>2082.7600000000002</v>
      </c>
      <c r="D56" s="197">
        <f t="shared" si="10"/>
        <v>2.6364050632911393</v>
      </c>
      <c r="E56" s="204">
        <v>254</v>
      </c>
      <c r="F56" s="197">
        <v>677.58</v>
      </c>
      <c r="G56" s="197">
        <f t="shared" si="11"/>
        <v>2.6676377952755908</v>
      </c>
      <c r="H56" s="204">
        <v>17</v>
      </c>
      <c r="I56" s="197">
        <v>45.04</v>
      </c>
      <c r="J56" s="53">
        <f t="shared" si="12"/>
        <v>2.6494117647058824</v>
      </c>
      <c r="K56" s="53">
        <f t="shared" si="13"/>
        <v>2805.38</v>
      </c>
      <c r="L56" s="53"/>
    </row>
    <row r="57" spans="1:18" ht="13.5" thickBot="1">
      <c r="A57" s="255" t="s">
        <v>625</v>
      </c>
      <c r="B57" s="260">
        <v>778</v>
      </c>
      <c r="C57" s="259">
        <v>2011.5</v>
      </c>
      <c r="D57" s="259">
        <f t="shared" si="10"/>
        <v>2.5854755784061698</v>
      </c>
      <c r="E57" s="260">
        <v>225</v>
      </c>
      <c r="F57" s="259">
        <v>594.57000000000005</v>
      </c>
      <c r="G57" s="259">
        <f t="shared" si="11"/>
        <v>2.6425333333333336</v>
      </c>
      <c r="H57" s="260">
        <v>31</v>
      </c>
      <c r="I57" s="259">
        <v>81.86</v>
      </c>
      <c r="J57" s="225">
        <f t="shared" si="12"/>
        <v>2.6406451612903226</v>
      </c>
      <c r="K57" s="53">
        <f t="shared" si="13"/>
        <v>2687.9300000000003</v>
      </c>
      <c r="L57" s="53"/>
      <c r="M57" t="s">
        <v>624</v>
      </c>
      <c r="P57">
        <f>IF(P55+Q55=0,Q55,"err")</f>
        <v>0</v>
      </c>
    </row>
    <row r="58" spans="1:18">
      <c r="B58" s="200"/>
      <c r="C58" s="53"/>
      <c r="E58" s="200"/>
      <c r="F58" s="53"/>
      <c r="H58" s="200"/>
      <c r="I58" s="53"/>
    </row>
    <row r="59" spans="1:18">
      <c r="A59" t="s">
        <v>623</v>
      </c>
      <c r="B59" s="200">
        <f>SUM(B34:B57)</f>
        <v>20628</v>
      </c>
      <c r="C59" s="53">
        <f>SUM(C34:C57)</f>
        <v>49714.68</v>
      </c>
      <c r="D59" s="53">
        <f>+C59/B59</f>
        <v>2.4100581733566027</v>
      </c>
      <c r="E59" s="200">
        <f>SUM(E34:E57)</f>
        <v>5274</v>
      </c>
      <c r="F59" s="53">
        <f>SUM(F34:F57)</f>
        <v>13077.730000000001</v>
      </c>
      <c r="G59" s="53">
        <f>+F59/E59</f>
        <v>2.4796605991657188</v>
      </c>
      <c r="H59" s="200">
        <f>SUM(H34:H57)</f>
        <v>705.83999999999992</v>
      </c>
      <c r="I59" s="53">
        <f>SUM(I34:I57)</f>
        <v>1737.85</v>
      </c>
      <c r="J59" s="53">
        <f>+I59/H59</f>
        <v>2.4621018927802338</v>
      </c>
    </row>
    <row r="60" spans="1:18">
      <c r="B60" s="200"/>
      <c r="C60" s="53"/>
      <c r="E60" s="200"/>
      <c r="F60" s="53"/>
      <c r="H60" s="200"/>
      <c r="I60" s="53"/>
    </row>
    <row r="61" spans="1:18">
      <c r="A61" s="18"/>
      <c r="B61" s="256"/>
      <c r="C61" s="258"/>
      <c r="D61" s="258"/>
      <c r="E61" s="256"/>
      <c r="F61" s="258"/>
      <c r="G61" s="258"/>
      <c r="H61" s="256"/>
      <c r="I61" s="258"/>
      <c r="J61" s="258"/>
    </row>
    <row r="62" spans="1:18">
      <c r="A62" s="18"/>
      <c r="B62" s="256"/>
      <c r="C62" s="258"/>
      <c r="D62" s="258"/>
      <c r="E62" s="256"/>
      <c r="F62" s="258"/>
      <c r="G62" s="258"/>
      <c r="H62" s="18"/>
    </row>
    <row r="63" spans="1:18">
      <c r="A63" s="18"/>
      <c r="B63" s="256"/>
      <c r="C63" s="258"/>
      <c r="D63" s="258"/>
      <c r="E63" s="256"/>
      <c r="F63" s="258"/>
      <c r="G63" s="258"/>
      <c r="H63" s="18"/>
    </row>
    <row r="64" spans="1:18">
      <c r="A64" s="1"/>
      <c r="B64" s="256"/>
      <c r="C64" s="258"/>
      <c r="D64" s="18"/>
      <c r="E64" s="256"/>
      <c r="F64" s="258"/>
      <c r="G64" s="18"/>
      <c r="H64" s="18"/>
    </row>
    <row r="65" spans="1:8">
      <c r="A65" s="1"/>
      <c r="B65" s="256"/>
      <c r="C65" s="256"/>
      <c r="D65" s="258"/>
      <c r="E65" s="256"/>
      <c r="F65" s="256"/>
      <c r="G65" s="258"/>
      <c r="H65" s="18"/>
    </row>
    <row r="66" spans="1:8">
      <c r="A66" s="1"/>
      <c r="B66" s="18"/>
      <c r="C66" s="18"/>
      <c r="D66" s="18"/>
      <c r="E66" s="18"/>
      <c r="F66" s="18"/>
      <c r="G66" s="18"/>
      <c r="H66" s="18"/>
    </row>
    <row r="67" spans="1:8">
      <c r="A67" s="1"/>
      <c r="B67" s="18"/>
      <c r="C67" s="18"/>
      <c r="D67" s="258"/>
      <c r="E67" s="18"/>
      <c r="F67" s="18"/>
      <c r="G67" s="258"/>
      <c r="H67" s="18"/>
    </row>
    <row r="68" spans="1:8">
      <c r="A68" s="255"/>
      <c r="B68" s="18"/>
      <c r="C68" s="257"/>
      <c r="D68" s="256"/>
      <c r="E68" s="18"/>
      <c r="F68" s="257"/>
      <c r="G68" s="256"/>
      <c r="H68" s="18"/>
    </row>
    <row r="69" spans="1:8">
      <c r="A69" s="255"/>
      <c r="B69" s="18"/>
      <c r="C69" s="18"/>
      <c r="D69" s="18"/>
      <c r="E69" s="18"/>
      <c r="F69" s="18"/>
      <c r="G69" s="18"/>
      <c r="H69" s="18"/>
    </row>
    <row r="70" spans="1:8">
      <c r="H70" s="18"/>
    </row>
    <row r="71" spans="1:8">
      <c r="H71" s="18"/>
    </row>
    <row r="72" spans="1:8">
      <c r="H72" s="18"/>
    </row>
    <row r="73" spans="1:8">
      <c r="H73" s="18"/>
    </row>
    <row r="74" spans="1:8">
      <c r="H74" s="18"/>
    </row>
    <row r="75" spans="1:8">
      <c r="H75" s="18"/>
    </row>
    <row r="76" spans="1:8">
      <c r="A76" s="18"/>
      <c r="B76" s="18"/>
      <c r="C76" s="18"/>
      <c r="D76" s="18"/>
      <c r="E76" s="18"/>
      <c r="F76" s="18"/>
      <c r="G76" s="18"/>
      <c r="H76" s="18"/>
    </row>
  </sheetData>
  <mergeCells count="1">
    <mergeCell ref="H30:J30"/>
  </mergeCells>
  <pageMargins left="0.22" right="0.25" top="0.23" bottom="0.31" header="0.2" footer="0.28999999999999998"/>
  <pageSetup scale="78" orientation="landscape" horizontalDpi="4294967293" verticalDpi="4294967293"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opLeftCell="A4" workbookViewId="0">
      <selection activeCell="A6" sqref="A6"/>
    </sheetView>
  </sheetViews>
  <sheetFormatPr defaultRowHeight="12.75"/>
  <cols>
    <col min="1" max="1" width="18.42578125" customWidth="1"/>
    <col min="15" max="15" width="10.7109375" customWidth="1"/>
    <col min="18" max="18" width="10.140625" customWidth="1"/>
  </cols>
  <sheetData>
    <row r="1" spans="1:17">
      <c r="A1" t="str">
        <f>+'City Contracts'!A1</f>
        <v>Zippy Disposal Service, Inc.</v>
      </c>
    </row>
    <row r="3" spans="1:17">
      <c r="A3" t="s">
        <v>676</v>
      </c>
      <c r="D3" s="693" t="s">
        <v>1414</v>
      </c>
      <c r="E3" s="693" t="s">
        <v>702</v>
      </c>
    </row>
    <row r="5" spans="1:17">
      <c r="A5" s="692" t="s">
        <v>1386</v>
      </c>
    </row>
    <row r="7" spans="1:17">
      <c r="A7" s="127" t="s">
        <v>665</v>
      </c>
      <c r="G7" s="127" t="s">
        <v>675</v>
      </c>
      <c r="L7" s="127" t="s">
        <v>663</v>
      </c>
    </row>
    <row r="8" spans="1:17">
      <c r="A8" s="2"/>
      <c r="B8" s="2"/>
      <c r="C8" s="2"/>
      <c r="D8" s="2" t="s">
        <v>657</v>
      </c>
      <c r="E8" s="2" t="s">
        <v>662</v>
      </c>
      <c r="F8" s="2"/>
      <c r="G8" s="2"/>
      <c r="H8" s="2"/>
      <c r="I8" s="2"/>
      <c r="J8" s="2" t="s">
        <v>657</v>
      </c>
      <c r="K8" s="2"/>
      <c r="L8" s="2"/>
      <c r="M8" s="2"/>
      <c r="N8" s="2"/>
      <c r="O8" s="2" t="s">
        <v>657</v>
      </c>
      <c r="P8" s="2"/>
      <c r="Q8" s="2"/>
    </row>
    <row r="9" spans="1:17" ht="13.5" thickBot="1">
      <c r="A9" s="263" t="s">
        <v>597</v>
      </c>
      <c r="B9" s="20" t="s">
        <v>656</v>
      </c>
      <c r="C9" s="20" t="s">
        <v>586</v>
      </c>
      <c r="D9" s="20" t="s">
        <v>655</v>
      </c>
      <c r="E9" s="20" t="s">
        <v>661</v>
      </c>
      <c r="F9" s="2"/>
      <c r="G9" s="263" t="s">
        <v>597</v>
      </c>
      <c r="H9" s="20" t="s">
        <v>656</v>
      </c>
      <c r="I9" s="20" t="s">
        <v>586</v>
      </c>
      <c r="J9" s="20" t="s">
        <v>655</v>
      </c>
      <c r="K9" s="2"/>
      <c r="L9" s="263" t="s">
        <v>597</v>
      </c>
      <c r="M9" s="20" t="s">
        <v>656</v>
      </c>
      <c r="N9" s="20" t="s">
        <v>586</v>
      </c>
      <c r="O9" s="20" t="s">
        <v>655</v>
      </c>
      <c r="P9" s="93"/>
      <c r="Q9" s="128"/>
    </row>
    <row r="11" spans="1:17">
      <c r="A11" s="200" t="str">
        <f>'Fuel Summary'!A11</f>
        <v>January</v>
      </c>
      <c r="B11" s="200">
        <f>'Fuel Summary'!B11</f>
        <v>0</v>
      </c>
      <c r="C11" s="53">
        <f>'Fuel Summary'!C11</f>
        <v>0</v>
      </c>
      <c r="D11" s="53">
        <f t="shared" ref="D11:D22" si="0">IF(+B11=0,0,C11/B11)</f>
        <v>0</v>
      </c>
      <c r="E11" s="53"/>
      <c r="G11" t="str">
        <f t="shared" ref="G11:G22" si="1">+A11</f>
        <v>January</v>
      </c>
      <c r="H11" s="200">
        <f>'Fuel Summary'!H11</f>
        <v>0</v>
      </c>
      <c r="I11" s="53">
        <f>'Fuel Summary'!I11</f>
        <v>0</v>
      </c>
      <c r="J11" s="53">
        <f t="shared" ref="J11:J22" si="2">IF(+H11=0,0,I11/H11)</f>
        <v>0</v>
      </c>
      <c r="L11" t="str">
        <f t="shared" ref="L11:L22" si="3">+G11</f>
        <v>January</v>
      </c>
      <c r="M11" s="200">
        <f>'Fuel Summary'!N11</f>
        <v>59</v>
      </c>
      <c r="N11" s="53">
        <f>'Fuel Summary'!O11</f>
        <v>171.9</v>
      </c>
      <c r="O11" s="53">
        <f t="shared" ref="O11:O22" si="4">IF(+M11=0,0,N11/M11)</f>
        <v>2.9135593220338984</v>
      </c>
      <c r="Q11" s="53"/>
    </row>
    <row r="12" spans="1:17">
      <c r="A12" s="200" t="str">
        <f>'Fuel Summary'!A12</f>
        <v>February</v>
      </c>
      <c r="B12" s="200">
        <f>'Fuel Summary'!B12</f>
        <v>0</v>
      </c>
      <c r="C12" s="53">
        <f>'Fuel Summary'!C12</f>
        <v>0</v>
      </c>
      <c r="D12" s="53">
        <f t="shared" si="0"/>
        <v>0</v>
      </c>
      <c r="E12" s="53"/>
      <c r="G12" t="str">
        <f t="shared" si="1"/>
        <v>February</v>
      </c>
      <c r="H12" s="200">
        <f>'Fuel Summary'!H12</f>
        <v>0</v>
      </c>
      <c r="I12" s="53">
        <f>'Fuel Summary'!I12</f>
        <v>0</v>
      </c>
      <c r="J12" s="53">
        <f t="shared" si="2"/>
        <v>0</v>
      </c>
      <c r="L12" t="str">
        <f t="shared" si="3"/>
        <v>February</v>
      </c>
      <c r="M12" s="200">
        <f>'Fuel Summary'!N12</f>
        <v>20</v>
      </c>
      <c r="N12" s="53">
        <f>'Fuel Summary'!O12</f>
        <v>60</v>
      </c>
      <c r="O12" s="53">
        <f t="shared" si="4"/>
        <v>3</v>
      </c>
      <c r="Q12" s="53"/>
    </row>
    <row r="13" spans="1:17">
      <c r="A13" s="200" t="str">
        <f>'Fuel Summary'!A13</f>
        <v>March</v>
      </c>
      <c r="B13" s="200">
        <f>'Fuel Summary'!B13</f>
        <v>0</v>
      </c>
      <c r="C13" s="53">
        <f>'Fuel Summary'!C13</f>
        <v>0</v>
      </c>
      <c r="D13" s="53">
        <f t="shared" si="0"/>
        <v>0</v>
      </c>
      <c r="E13" s="53"/>
      <c r="G13" t="str">
        <f t="shared" si="1"/>
        <v>March</v>
      </c>
      <c r="H13" s="200">
        <f>'Fuel Summary'!H13</f>
        <v>0</v>
      </c>
      <c r="I13" s="53">
        <f>'Fuel Summary'!I13</f>
        <v>0</v>
      </c>
      <c r="J13" s="53">
        <f t="shared" si="2"/>
        <v>0</v>
      </c>
      <c r="L13" t="str">
        <f t="shared" si="3"/>
        <v>March</v>
      </c>
      <c r="M13" s="200">
        <f>'Fuel Summary'!N13</f>
        <v>57</v>
      </c>
      <c r="N13" s="53">
        <f>'Fuel Summary'!O13</f>
        <v>164.49</v>
      </c>
      <c r="O13" s="53">
        <f t="shared" si="4"/>
        <v>2.8857894736842109</v>
      </c>
      <c r="Q13" s="53"/>
    </row>
    <row r="14" spans="1:17">
      <c r="A14" s="200" t="str">
        <f>'Fuel Summary'!A14</f>
        <v>April</v>
      </c>
      <c r="B14" s="200">
        <f>'Fuel Summary'!B14</f>
        <v>0</v>
      </c>
      <c r="C14" s="53">
        <f>'Fuel Summary'!C14</f>
        <v>0</v>
      </c>
      <c r="D14" s="53">
        <f t="shared" si="0"/>
        <v>0</v>
      </c>
      <c r="E14" s="53"/>
      <c r="G14" t="str">
        <f t="shared" si="1"/>
        <v>April</v>
      </c>
      <c r="H14" s="200">
        <f>'Fuel Summary'!H14</f>
        <v>0</v>
      </c>
      <c r="I14" s="53">
        <f>'Fuel Summary'!I14</f>
        <v>0</v>
      </c>
      <c r="J14" s="53">
        <f t="shared" si="2"/>
        <v>0</v>
      </c>
      <c r="L14" t="str">
        <f t="shared" si="3"/>
        <v>April</v>
      </c>
      <c r="M14" s="200">
        <f>'Fuel Summary'!N14</f>
        <v>0</v>
      </c>
      <c r="N14" s="53">
        <f>'Fuel Summary'!O14</f>
        <v>0</v>
      </c>
      <c r="O14" s="53">
        <f t="shared" si="4"/>
        <v>0</v>
      </c>
      <c r="Q14" s="53"/>
    </row>
    <row r="15" spans="1:17">
      <c r="A15" s="200" t="str">
        <f>'Fuel Summary'!A15</f>
        <v>May</v>
      </c>
      <c r="B15" s="200">
        <f>'Fuel Summary'!B15</f>
        <v>0</v>
      </c>
      <c r="C15" s="53">
        <f>'Fuel Summary'!C15</f>
        <v>0</v>
      </c>
      <c r="D15" s="53">
        <f t="shared" si="0"/>
        <v>0</v>
      </c>
      <c r="E15" s="53"/>
      <c r="G15" t="str">
        <f t="shared" si="1"/>
        <v>May</v>
      </c>
      <c r="H15" s="200">
        <f>'Fuel Summary'!H15</f>
        <v>0</v>
      </c>
      <c r="I15" s="53">
        <f>'Fuel Summary'!I15</f>
        <v>0</v>
      </c>
      <c r="J15" s="53">
        <f t="shared" si="2"/>
        <v>0</v>
      </c>
      <c r="L15" t="str">
        <f t="shared" si="3"/>
        <v>May</v>
      </c>
      <c r="M15" s="200">
        <f>'Fuel Summary'!N15</f>
        <v>0</v>
      </c>
      <c r="N15" s="53">
        <f>'Fuel Summary'!O15</f>
        <v>0</v>
      </c>
      <c r="O15" s="53">
        <f t="shared" si="4"/>
        <v>0</v>
      </c>
      <c r="Q15" s="53"/>
    </row>
    <row r="16" spans="1:17">
      <c r="A16" s="200" t="str">
        <f>'Fuel Summary'!A16</f>
        <v>June</v>
      </c>
      <c r="B16" s="200">
        <f>'Fuel Summary'!B16</f>
        <v>0</v>
      </c>
      <c r="C16" s="53">
        <f>'Fuel Summary'!C16</f>
        <v>0</v>
      </c>
      <c r="D16" s="53">
        <f t="shared" si="0"/>
        <v>0</v>
      </c>
      <c r="E16" s="53"/>
      <c r="G16" t="str">
        <f t="shared" si="1"/>
        <v>June</v>
      </c>
      <c r="H16" s="200">
        <f>'Fuel Summary'!H16</f>
        <v>0</v>
      </c>
      <c r="I16" s="53">
        <f>'Fuel Summary'!I16</f>
        <v>0</v>
      </c>
      <c r="J16" s="53">
        <f t="shared" si="2"/>
        <v>0</v>
      </c>
      <c r="L16" t="str">
        <f t="shared" si="3"/>
        <v>June</v>
      </c>
      <c r="M16" s="200">
        <f>'Fuel Summary'!N16</f>
        <v>0</v>
      </c>
      <c r="N16" s="53">
        <f>'Fuel Summary'!O16</f>
        <v>0</v>
      </c>
      <c r="O16" s="53">
        <f t="shared" si="4"/>
        <v>0</v>
      </c>
      <c r="Q16" s="53"/>
    </row>
    <row r="17" spans="1:17">
      <c r="A17" s="200" t="str">
        <f>'Fuel Summary'!A17</f>
        <v>July</v>
      </c>
      <c r="B17" s="200">
        <f>'Fuel Summary'!B17</f>
        <v>0</v>
      </c>
      <c r="C17" s="53">
        <f>'Fuel Summary'!C17</f>
        <v>0</v>
      </c>
      <c r="D17" s="53">
        <f t="shared" si="0"/>
        <v>0</v>
      </c>
      <c r="E17" s="53"/>
      <c r="G17" t="str">
        <f t="shared" si="1"/>
        <v>July</v>
      </c>
      <c r="H17" s="200">
        <f>'Fuel Summary'!H17</f>
        <v>0</v>
      </c>
      <c r="I17" s="53">
        <f>'Fuel Summary'!I17</f>
        <v>0</v>
      </c>
      <c r="J17" s="53">
        <f t="shared" si="2"/>
        <v>0</v>
      </c>
      <c r="L17" t="str">
        <f t="shared" si="3"/>
        <v>July</v>
      </c>
      <c r="M17" s="200">
        <f>'Fuel Summary'!N17</f>
        <v>0</v>
      </c>
      <c r="N17" s="53">
        <f>'Fuel Summary'!O17</f>
        <v>0</v>
      </c>
      <c r="O17" s="53">
        <f t="shared" si="4"/>
        <v>0</v>
      </c>
      <c r="Q17" s="53"/>
    </row>
    <row r="18" spans="1:17">
      <c r="A18" s="200" t="str">
        <f>'Fuel Summary'!A18</f>
        <v>August</v>
      </c>
      <c r="B18" s="200">
        <f>'Fuel Summary'!B18</f>
        <v>0</v>
      </c>
      <c r="C18" s="53">
        <f>'Fuel Summary'!C18</f>
        <v>0</v>
      </c>
      <c r="D18" s="53">
        <f t="shared" si="0"/>
        <v>0</v>
      </c>
      <c r="E18" s="53"/>
      <c r="G18" t="str">
        <f t="shared" si="1"/>
        <v>August</v>
      </c>
      <c r="H18" s="200">
        <f>'Fuel Summary'!H18</f>
        <v>0</v>
      </c>
      <c r="I18" s="53">
        <f>'Fuel Summary'!I18</f>
        <v>0</v>
      </c>
      <c r="J18" s="53">
        <f t="shared" si="2"/>
        <v>0</v>
      </c>
      <c r="L18" t="str">
        <f t="shared" si="3"/>
        <v>August</v>
      </c>
      <c r="M18" s="200">
        <f>'Fuel Summary'!N18</f>
        <v>0</v>
      </c>
      <c r="N18" s="53">
        <f>'Fuel Summary'!O18</f>
        <v>0</v>
      </c>
      <c r="O18" s="53">
        <f t="shared" si="4"/>
        <v>0</v>
      </c>
      <c r="Q18" s="53"/>
    </row>
    <row r="19" spans="1:17">
      <c r="A19" s="200" t="str">
        <f>'Fuel Summary'!A19</f>
        <v>September</v>
      </c>
      <c r="B19" s="200">
        <f>'Fuel Summary'!B19</f>
        <v>0</v>
      </c>
      <c r="C19" s="53">
        <f>'Fuel Summary'!C19</f>
        <v>0</v>
      </c>
      <c r="D19" s="53">
        <f t="shared" si="0"/>
        <v>0</v>
      </c>
      <c r="E19" s="53">
        <v>0</v>
      </c>
      <c r="G19" t="str">
        <f t="shared" si="1"/>
        <v>September</v>
      </c>
      <c r="H19" s="200">
        <f>'Fuel Summary'!H19</f>
        <v>0</v>
      </c>
      <c r="I19" s="53">
        <f>'Fuel Summary'!I19</f>
        <v>0</v>
      </c>
      <c r="J19" s="53">
        <f t="shared" si="2"/>
        <v>0</v>
      </c>
      <c r="L19" t="str">
        <f t="shared" si="3"/>
        <v>September</v>
      </c>
      <c r="M19" s="200">
        <f>'Fuel Summary'!N19</f>
        <v>0</v>
      </c>
      <c r="N19" s="53">
        <f>'Fuel Summary'!O19</f>
        <v>0</v>
      </c>
      <c r="O19" s="53">
        <f t="shared" si="4"/>
        <v>0</v>
      </c>
      <c r="Q19" s="53"/>
    </row>
    <row r="20" spans="1:17">
      <c r="A20" s="200" t="str">
        <f>'Fuel Summary'!A20</f>
        <v>October</v>
      </c>
      <c r="B20" s="200">
        <f>'Fuel Summary'!B20</f>
        <v>0</v>
      </c>
      <c r="C20" s="53">
        <f>'Fuel Summary'!C20</f>
        <v>0</v>
      </c>
      <c r="D20" s="53">
        <f t="shared" si="0"/>
        <v>0</v>
      </c>
      <c r="E20" s="53"/>
      <c r="G20" t="str">
        <f t="shared" si="1"/>
        <v>October</v>
      </c>
      <c r="H20" s="200">
        <f>'Fuel Summary'!H20</f>
        <v>0</v>
      </c>
      <c r="I20" s="53">
        <f>'Fuel Summary'!I20</f>
        <v>0</v>
      </c>
      <c r="J20" s="53">
        <f t="shared" si="2"/>
        <v>0</v>
      </c>
      <c r="L20" t="str">
        <f t="shared" si="3"/>
        <v>October</v>
      </c>
      <c r="M20" s="200">
        <f>'Fuel Summary'!N20</f>
        <v>0</v>
      </c>
      <c r="N20" s="53">
        <f>'Fuel Summary'!O20</f>
        <v>0</v>
      </c>
      <c r="O20" s="53">
        <f t="shared" si="4"/>
        <v>0</v>
      </c>
      <c r="Q20" s="53"/>
    </row>
    <row r="21" spans="1:17">
      <c r="A21" s="200" t="str">
        <f>'Fuel Summary'!A21</f>
        <v>November</v>
      </c>
      <c r="B21" s="200">
        <f>'Fuel Summary'!B21</f>
        <v>0</v>
      </c>
      <c r="C21" s="53">
        <f>'Fuel Summary'!C21</f>
        <v>0</v>
      </c>
      <c r="D21" s="53">
        <f t="shared" si="0"/>
        <v>0</v>
      </c>
      <c r="E21" s="53"/>
      <c r="G21" t="str">
        <f t="shared" si="1"/>
        <v>November</v>
      </c>
      <c r="H21" s="200">
        <f>'Fuel Summary'!H21</f>
        <v>0</v>
      </c>
      <c r="I21" s="53">
        <f>'Fuel Summary'!I21</f>
        <v>0</v>
      </c>
      <c r="J21" s="53">
        <f t="shared" si="2"/>
        <v>0</v>
      </c>
      <c r="L21" t="str">
        <f t="shared" si="3"/>
        <v>November</v>
      </c>
      <c r="M21" s="200">
        <f>'Fuel Summary'!N21</f>
        <v>0</v>
      </c>
      <c r="N21" s="53">
        <f>'Fuel Summary'!O21</f>
        <v>0</v>
      </c>
      <c r="O21" s="53">
        <f t="shared" si="4"/>
        <v>0</v>
      </c>
      <c r="Q21" s="53"/>
    </row>
    <row r="22" spans="1:17" ht="13.5" thickBot="1">
      <c r="A22" s="265" t="str">
        <f>'Fuel Summary'!A22</f>
        <v>December</v>
      </c>
      <c r="B22" s="265">
        <f>'Fuel Summary'!B22</f>
        <v>0</v>
      </c>
      <c r="C22" s="225">
        <f>'Fuel Summary'!C22</f>
        <v>0</v>
      </c>
      <c r="D22" s="225">
        <f t="shared" si="0"/>
        <v>0</v>
      </c>
      <c r="E22" s="225"/>
      <c r="G22" t="str">
        <f t="shared" si="1"/>
        <v>December</v>
      </c>
      <c r="H22" s="265">
        <f>'Fuel Summary'!H22</f>
        <v>0</v>
      </c>
      <c r="I22" s="225">
        <f>'Fuel Summary'!I22</f>
        <v>0</v>
      </c>
      <c r="J22" s="225">
        <f t="shared" si="2"/>
        <v>0</v>
      </c>
      <c r="L22" t="str">
        <f t="shared" si="3"/>
        <v>December</v>
      </c>
      <c r="M22" s="265">
        <f>'Fuel Summary'!N22</f>
        <v>132</v>
      </c>
      <c r="N22" s="225">
        <f>'Fuel Summary'!O22</f>
        <v>348.3</v>
      </c>
      <c r="O22" s="225">
        <f t="shared" si="4"/>
        <v>2.6386363636363637</v>
      </c>
      <c r="P22" s="18"/>
      <c r="Q22" s="258"/>
    </row>
    <row r="23" spans="1:17">
      <c r="B23" s="200"/>
      <c r="C23" s="53"/>
      <c r="H23" s="200"/>
      <c r="I23" s="53"/>
      <c r="J23" s="53"/>
      <c r="M23" s="200"/>
      <c r="N23" s="53"/>
    </row>
    <row r="24" spans="1:17" ht="13.5" thickBot="1">
      <c r="A24" s="13" t="s">
        <v>623</v>
      </c>
      <c r="B24" s="266">
        <f>SUM(B11:B22)</f>
        <v>0</v>
      </c>
      <c r="C24" s="261">
        <f>SUM(C11:C22)</f>
        <v>0</v>
      </c>
      <c r="D24" s="261" t="e">
        <f>+C24/B24</f>
        <v>#DIV/0!</v>
      </c>
      <c r="E24" s="261">
        <f>SUM(E11:E22)</f>
        <v>0</v>
      </c>
      <c r="G24" s="13"/>
      <c r="H24" s="266">
        <f>SUM(H11:H22)</f>
        <v>0</v>
      </c>
      <c r="I24" s="261">
        <f>SUM(I11:I22)</f>
        <v>0</v>
      </c>
      <c r="J24" s="261" t="e">
        <f>+I24/H24</f>
        <v>#DIV/0!</v>
      </c>
      <c r="L24" s="13"/>
      <c r="M24" s="266">
        <f>SUM(M11:M22)</f>
        <v>268</v>
      </c>
      <c r="N24" s="261">
        <f>SUM(N11:N22)</f>
        <v>744.69</v>
      </c>
      <c r="O24" s="261">
        <f>+N24/M24</f>
        <v>2.7786940298507465</v>
      </c>
      <c r="P24" s="53"/>
      <c r="Q24" s="258"/>
    </row>
    <row r="25" spans="1:17" ht="13.5" thickTop="1">
      <c r="B25" s="200"/>
      <c r="C25" s="53"/>
      <c r="H25" s="200"/>
      <c r="I25" s="53"/>
      <c r="J25" s="53"/>
      <c r="M25" s="200"/>
      <c r="N25" s="53"/>
    </row>
    <row r="26" spans="1:17">
      <c r="A26" t="s">
        <v>519</v>
      </c>
      <c r="B26" s="200">
        <v>0</v>
      </c>
      <c r="C26" s="53">
        <v>0</v>
      </c>
      <c r="D26" s="53">
        <f>IF(+B26=0,0,C26/B26)</f>
        <v>0</v>
      </c>
      <c r="E26" s="53"/>
      <c r="G26" t="str">
        <f>+A26</f>
        <v>January</v>
      </c>
      <c r="H26" s="200">
        <v>0</v>
      </c>
      <c r="I26" s="53">
        <v>0</v>
      </c>
      <c r="J26" s="53">
        <f>IF(+H26=0,0,I26/H26)</f>
        <v>0</v>
      </c>
      <c r="L26" t="str">
        <f>+G26</f>
        <v>January</v>
      </c>
      <c r="M26" s="200">
        <v>0</v>
      </c>
      <c r="N26" s="53">
        <v>0</v>
      </c>
      <c r="O26" s="53">
        <f>IF(+M26=0,0,N26/M26)</f>
        <v>0</v>
      </c>
    </row>
    <row r="27" spans="1:17">
      <c r="A27" t="s">
        <v>518</v>
      </c>
      <c r="B27" s="200">
        <v>0</v>
      </c>
      <c r="C27" s="53">
        <v>0</v>
      </c>
      <c r="D27" s="53">
        <f>IF(+B27=0,0,C27/B27)</f>
        <v>0</v>
      </c>
      <c r="E27" s="53"/>
      <c r="G27" t="str">
        <f>+A27</f>
        <v>February</v>
      </c>
      <c r="H27" s="200">
        <v>0</v>
      </c>
      <c r="I27" s="53">
        <v>0</v>
      </c>
      <c r="J27" s="53">
        <f>IF(+H27=0,0,I27/H27)</f>
        <v>0</v>
      </c>
      <c r="L27" s="18" t="str">
        <f>+G27</f>
        <v>February</v>
      </c>
      <c r="M27" s="200">
        <v>0</v>
      </c>
      <c r="N27" s="53">
        <v>0</v>
      </c>
      <c r="O27" s="53">
        <f>IF(+M27=0,0,N27/M27)</f>
        <v>0</v>
      </c>
    </row>
    <row r="28" spans="1:17" ht="13.5" thickBot="1">
      <c r="A28" s="5" t="s">
        <v>517</v>
      </c>
      <c r="B28" s="265"/>
      <c r="C28" s="225">
        <v>0</v>
      </c>
      <c r="D28" s="225">
        <f>IF(+B28=0,0,C28/B28)</f>
        <v>0</v>
      </c>
      <c r="E28" s="225"/>
      <c r="G28" s="5" t="str">
        <f>+A28</f>
        <v>March</v>
      </c>
      <c r="H28" s="265">
        <v>0</v>
      </c>
      <c r="I28" s="225">
        <v>0</v>
      </c>
      <c r="J28" s="225">
        <f>IF(+H28=0,0,I28/H28)</f>
        <v>0</v>
      </c>
      <c r="K28" s="18"/>
      <c r="L28" s="5" t="str">
        <f>+G28</f>
        <v>March</v>
      </c>
      <c r="M28" s="265">
        <v>0</v>
      </c>
      <c r="N28" s="225">
        <v>0</v>
      </c>
      <c r="O28" s="225">
        <f>IF(+M28=0,0,N28/M28)</f>
        <v>0</v>
      </c>
      <c r="P28" s="18"/>
      <c r="Q28" s="18"/>
    </row>
    <row r="30" spans="1:17" ht="13.5" thickBot="1">
      <c r="A30" s="13" t="s">
        <v>669</v>
      </c>
      <c r="B30" s="266">
        <f>+SUM(B13:B22)+SUM(B26:B27)</f>
        <v>0</v>
      </c>
      <c r="C30" s="261">
        <f>+SUM(C13:C22)+SUM(C26:C27)</f>
        <v>0</v>
      </c>
      <c r="D30" s="261" t="e">
        <f>+C30/B30</f>
        <v>#DIV/0!</v>
      </c>
      <c r="E30" s="13"/>
      <c r="G30" s="13"/>
      <c r="H30" s="266">
        <f>+SUM(H13:H22)+SUM(H26:H27)</f>
        <v>0</v>
      </c>
      <c r="I30" s="261">
        <f>+SUM(I13:I22)+SUM(I26:I27)</f>
        <v>0</v>
      </c>
      <c r="J30" s="261" t="e">
        <f>+I30/H30</f>
        <v>#DIV/0!</v>
      </c>
      <c r="L30" s="13"/>
      <c r="M30" s="266">
        <f>M24</f>
        <v>268</v>
      </c>
      <c r="N30" s="261">
        <f>N24</f>
        <v>744.69</v>
      </c>
      <c r="O30" s="261">
        <f>+N30/M30</f>
        <v>2.7786940298507465</v>
      </c>
    </row>
    <row r="31" spans="1:17" ht="13.5" thickTop="1"/>
    <row r="32" spans="1:17">
      <c r="A32" s="127" t="s">
        <v>660</v>
      </c>
    </row>
    <row r="33" spans="1:18">
      <c r="B33" s="264" t="s">
        <v>659</v>
      </c>
      <c r="C33" s="264"/>
      <c r="D33" s="264"/>
      <c r="E33" s="264" t="s">
        <v>658</v>
      </c>
      <c r="F33" s="264"/>
      <c r="G33" s="264"/>
      <c r="H33" s="270" t="s">
        <v>340</v>
      </c>
      <c r="I33" s="270"/>
      <c r="J33" s="264"/>
    </row>
    <row r="34" spans="1:18">
      <c r="A34" s="2"/>
      <c r="B34" s="2"/>
      <c r="C34" s="2"/>
      <c r="D34" s="2" t="s">
        <v>657</v>
      </c>
      <c r="E34" s="2"/>
      <c r="F34" s="2"/>
      <c r="G34" s="2" t="s">
        <v>657</v>
      </c>
      <c r="H34" s="2"/>
      <c r="I34" s="2"/>
      <c r="J34" s="2" t="s">
        <v>657</v>
      </c>
    </row>
    <row r="35" spans="1:18" ht="13.5" thickBot="1">
      <c r="A35" s="263" t="s">
        <v>597</v>
      </c>
      <c r="B35" s="20" t="s">
        <v>656</v>
      </c>
      <c r="C35" s="20" t="s">
        <v>586</v>
      </c>
      <c r="D35" s="20" t="s">
        <v>655</v>
      </c>
      <c r="E35" s="20" t="s">
        <v>656</v>
      </c>
      <c r="F35" s="20" t="s">
        <v>586</v>
      </c>
      <c r="G35" s="20" t="s">
        <v>655</v>
      </c>
      <c r="H35" s="20" t="s">
        <v>656</v>
      </c>
      <c r="I35" s="20" t="s">
        <v>586</v>
      </c>
      <c r="J35" s="20" t="s">
        <v>655</v>
      </c>
    </row>
    <row r="36" spans="1:18">
      <c r="P36" s="2" t="s">
        <v>648</v>
      </c>
      <c r="Q36" s="2" t="s">
        <v>648</v>
      </c>
      <c r="R36" s="2" t="s">
        <v>648</v>
      </c>
    </row>
    <row r="37" spans="1:18" ht="13.5" thickBot="1">
      <c r="A37" s="200" t="str">
        <f>'Fuel Summary'!A34</f>
        <v>January 15</v>
      </c>
      <c r="B37" s="200">
        <f>'Fuel Summary'!B34</f>
        <v>680</v>
      </c>
      <c r="C37" s="53">
        <f>'Fuel Summary'!C34</f>
        <v>2007.79</v>
      </c>
      <c r="D37" s="53">
        <f t="shared" ref="D37:D42" si="5">IF(+B37=0,0,C37/B37)</f>
        <v>2.9526323529411762</v>
      </c>
      <c r="E37" s="200">
        <f>'Fuel Summary'!E34</f>
        <v>160</v>
      </c>
      <c r="F37" s="53">
        <f>'Fuel Summary'!F34</f>
        <v>482.63</v>
      </c>
      <c r="G37" s="53">
        <f t="shared" ref="G37:G42" si="6">IF(+E37=0,0,F37/E37)</f>
        <v>3.0164374999999999</v>
      </c>
      <c r="H37" s="200">
        <f>'Fuel Summary'!H34</f>
        <v>16</v>
      </c>
      <c r="I37" s="53">
        <f>'Fuel Summary'!I34</f>
        <v>49.04</v>
      </c>
      <c r="J37" s="53">
        <f t="shared" ref="J37:J42" si="7">IF(+H37=0,0,I37/H37)</f>
        <v>3.0649999999999999</v>
      </c>
      <c r="K37" s="53">
        <f t="shared" ref="K37:K42" si="8">+C37+F37</f>
        <v>2490.42</v>
      </c>
      <c r="P37" s="5"/>
      <c r="Q37" s="20" t="s">
        <v>263</v>
      </c>
      <c r="R37" s="92" t="s">
        <v>340</v>
      </c>
    </row>
    <row r="38" spans="1:18">
      <c r="A38" s="200" t="str">
        <f>'Fuel Summary'!A35</f>
        <v>January 31</v>
      </c>
      <c r="B38" s="200">
        <f>'Fuel Summary'!B35</f>
        <v>731</v>
      </c>
      <c r="C38" s="53">
        <f>'Fuel Summary'!C35</f>
        <v>2165.64</v>
      </c>
      <c r="D38" s="53">
        <f t="shared" si="5"/>
        <v>2.9625718194254445</v>
      </c>
      <c r="E38" s="200">
        <f>'Fuel Summary'!E35</f>
        <v>201</v>
      </c>
      <c r="F38" s="53">
        <f>'Fuel Summary'!F35</f>
        <v>599.99</v>
      </c>
      <c r="G38" s="53">
        <f t="shared" si="6"/>
        <v>2.9850248756218907</v>
      </c>
      <c r="H38" s="200">
        <f>'Fuel Summary'!H35</f>
        <v>32</v>
      </c>
      <c r="I38" s="53">
        <f>'Fuel Summary'!I35</f>
        <v>95.67</v>
      </c>
      <c r="J38" s="53">
        <f t="shared" si="7"/>
        <v>2.9896875000000001</v>
      </c>
      <c r="K38" s="53">
        <f t="shared" si="8"/>
        <v>2765.63</v>
      </c>
    </row>
    <row r="39" spans="1:18">
      <c r="A39" s="200" t="str">
        <f>'Fuel Summary'!A36</f>
        <v>February 15</v>
      </c>
      <c r="B39" s="200">
        <f>'Fuel Summary'!B36</f>
        <v>619</v>
      </c>
      <c r="C39" s="53">
        <f>'Fuel Summary'!C36</f>
        <v>2057.06</v>
      </c>
      <c r="D39" s="53">
        <f t="shared" si="5"/>
        <v>3.3231987075928915</v>
      </c>
      <c r="E39" s="200">
        <f>'Fuel Summary'!E36</f>
        <v>188</v>
      </c>
      <c r="F39" s="53">
        <f>'Fuel Summary'!F36</f>
        <v>554.59</v>
      </c>
      <c r="G39" s="53">
        <f t="shared" si="6"/>
        <v>2.9499468085106386</v>
      </c>
      <c r="H39" s="200">
        <f>'Fuel Summary'!H36</f>
        <v>14</v>
      </c>
      <c r="I39" s="53">
        <f>'Fuel Summary'!I36</f>
        <v>42.97</v>
      </c>
      <c r="J39" s="53">
        <f t="shared" si="7"/>
        <v>3.0692857142857144</v>
      </c>
      <c r="K39" s="53">
        <f t="shared" si="8"/>
        <v>2611.65</v>
      </c>
      <c r="L39" t="s">
        <v>644</v>
      </c>
      <c r="P39" s="53">
        <f>+C24+I24+N24+C62</f>
        <v>50459.37</v>
      </c>
      <c r="Q39" s="53">
        <f>+F62</f>
        <v>13077.730000000001</v>
      </c>
      <c r="R39" s="53">
        <f>I62</f>
        <v>1737.85</v>
      </c>
    </row>
    <row r="40" spans="1:18">
      <c r="A40" s="200" t="str">
        <f>'Fuel Summary'!A37</f>
        <v>February 28</v>
      </c>
      <c r="B40" s="200">
        <f>'Fuel Summary'!B37</f>
        <v>598</v>
      </c>
      <c r="C40" s="53">
        <f>'Fuel Summary'!C37</f>
        <v>1660.83</v>
      </c>
      <c r="D40" s="53">
        <f t="shared" si="5"/>
        <v>2.777307692307692</v>
      </c>
      <c r="E40" s="200">
        <f>'Fuel Summary'!E37</f>
        <v>176</v>
      </c>
      <c r="F40" s="53">
        <f>'Fuel Summary'!F37</f>
        <v>498.56</v>
      </c>
      <c r="G40" s="53">
        <f t="shared" si="6"/>
        <v>2.8327272727272725</v>
      </c>
      <c r="H40" s="200">
        <f>'Fuel Summary'!H37</f>
        <v>43</v>
      </c>
      <c r="I40" s="53">
        <f>'Fuel Summary'!I37</f>
        <v>123.92</v>
      </c>
      <c r="J40" s="53">
        <f t="shared" si="7"/>
        <v>2.8818604651162789</v>
      </c>
      <c r="K40" s="53">
        <f t="shared" si="8"/>
        <v>2159.39</v>
      </c>
    </row>
    <row r="41" spans="1:18">
      <c r="A41" s="200" t="str">
        <f>'Fuel Summary'!A38</f>
        <v>March 15</v>
      </c>
      <c r="B41" s="200">
        <f>'Fuel Summary'!B38</f>
        <v>616</v>
      </c>
      <c r="C41" s="53">
        <f>'Fuel Summary'!C38</f>
        <v>1700.24</v>
      </c>
      <c r="D41" s="53">
        <f t="shared" si="5"/>
        <v>2.76012987012987</v>
      </c>
      <c r="E41" s="200">
        <f>'Fuel Summary'!E38</f>
        <v>190</v>
      </c>
      <c r="F41" s="53">
        <f>'Fuel Summary'!F38</f>
        <v>521.35</v>
      </c>
      <c r="G41" s="53">
        <f t="shared" si="6"/>
        <v>2.7439473684210527</v>
      </c>
      <c r="H41" s="200">
        <f>'Fuel Summary'!H38</f>
        <v>16</v>
      </c>
      <c r="I41" s="53">
        <f>'Fuel Summary'!I38</f>
        <v>44.49</v>
      </c>
      <c r="J41" s="53">
        <f t="shared" si="7"/>
        <v>2.7806250000000001</v>
      </c>
      <c r="K41" s="53">
        <f t="shared" si="8"/>
        <v>2221.59</v>
      </c>
      <c r="L41">
        <f>+'Fuel Summary'!M44</f>
        <v>0</v>
      </c>
      <c r="P41" s="53">
        <f>'Fuel Summary'!P44</f>
        <v>0</v>
      </c>
      <c r="Q41" s="53">
        <f>+'Fuel Summary'!Q44</f>
        <v>0</v>
      </c>
      <c r="R41" s="53">
        <f>+'Fuel Summary'!R45</f>
        <v>0</v>
      </c>
    </row>
    <row r="42" spans="1:18">
      <c r="A42" s="200" t="str">
        <f>'Fuel Summary'!A39</f>
        <v>March 31</v>
      </c>
      <c r="B42" s="200">
        <f>'Fuel Summary'!B39</f>
        <v>767</v>
      </c>
      <c r="C42" s="53">
        <f>'Fuel Summary'!C39</f>
        <v>2025.65</v>
      </c>
      <c r="D42" s="53">
        <f t="shared" si="5"/>
        <v>2.6410039113428945</v>
      </c>
      <c r="E42" s="200">
        <f>'Fuel Summary'!E39</f>
        <v>177</v>
      </c>
      <c r="F42" s="53">
        <f>'Fuel Summary'!F39</f>
        <v>479.73</v>
      </c>
      <c r="G42" s="53">
        <f t="shared" si="6"/>
        <v>2.7103389830508475</v>
      </c>
      <c r="H42" s="200">
        <f>'Fuel Summary'!H39</f>
        <v>32</v>
      </c>
      <c r="I42" s="53">
        <f>'Fuel Summary'!I39</f>
        <v>87.66</v>
      </c>
      <c r="J42" s="53">
        <f t="shared" si="7"/>
        <v>2.7393749999999999</v>
      </c>
      <c r="K42" s="53">
        <f t="shared" si="8"/>
        <v>2505.38</v>
      </c>
      <c r="L42" t="str">
        <f>+'Fuel Summary'!M45</f>
        <v>Green Petroleum-oil</v>
      </c>
      <c r="P42" s="53">
        <f>'Fuel Summary'!P45</f>
        <v>873.87</v>
      </c>
      <c r="Q42" s="53">
        <f>+'Fuel Summary'!Q45</f>
        <v>0</v>
      </c>
      <c r="R42" s="53">
        <f>+'Fuel Summary'!R46</f>
        <v>0</v>
      </c>
    </row>
    <row r="43" spans="1:18">
      <c r="A43" s="200" t="str">
        <f>'Fuel Summary'!A40</f>
        <v>April 15</v>
      </c>
      <c r="B43" s="200">
        <f>'Fuel Summary'!B40</f>
        <v>747</v>
      </c>
      <c r="C43" s="53">
        <f>'Fuel Summary'!C40</f>
        <v>1899.85</v>
      </c>
      <c r="D43" s="53">
        <f t="shared" ref="D43:D60" si="9">IF(+B43=0,0,C43/B43)</f>
        <v>2.5433065595716196</v>
      </c>
      <c r="E43" s="200">
        <f>'Fuel Summary'!E40</f>
        <v>172</v>
      </c>
      <c r="F43" s="53">
        <f>'Fuel Summary'!F40</f>
        <v>439.98</v>
      </c>
      <c r="G43" s="53">
        <f t="shared" ref="G43:G60" si="10">IF(+E43=0,0,F43/E43)</f>
        <v>2.5580232558139535</v>
      </c>
      <c r="H43" s="200">
        <f>'Fuel Summary'!H40</f>
        <v>29</v>
      </c>
      <c r="I43" s="53">
        <f>'Fuel Summary'!I40</f>
        <v>75.62</v>
      </c>
      <c r="J43" s="53">
        <f t="shared" ref="J43:J60" si="11">IF(+H43=0,0,I43/H43)</f>
        <v>2.6075862068965519</v>
      </c>
      <c r="K43" s="53">
        <f t="shared" ref="K43:K60" si="12">+C43+F43</f>
        <v>2339.83</v>
      </c>
      <c r="L43" t="str">
        <f>+'Fuel Summary'!M46</f>
        <v>AMEX- Gas</v>
      </c>
      <c r="P43" s="53">
        <f>'Fuel Summary'!P46</f>
        <v>1064.45</v>
      </c>
      <c r="Q43" s="53">
        <f>+'Fuel Summary'!Q46</f>
        <v>0</v>
      </c>
      <c r="R43" s="53">
        <f>+'Fuel Summary'!R47</f>
        <v>0</v>
      </c>
    </row>
    <row r="44" spans="1:18">
      <c r="A44" s="200" t="str">
        <f>'Fuel Summary'!A41</f>
        <v>April 30</v>
      </c>
      <c r="B44" s="200">
        <f>'Fuel Summary'!B41</f>
        <v>807</v>
      </c>
      <c r="C44" s="53">
        <f>'Fuel Summary'!C41</f>
        <v>1869.41</v>
      </c>
      <c r="D44" s="53">
        <f t="shared" si="9"/>
        <v>2.3164931846344485</v>
      </c>
      <c r="E44" s="200">
        <f>'Fuel Summary'!E41</f>
        <v>196</v>
      </c>
      <c r="F44" s="53">
        <f>'Fuel Summary'!F41</f>
        <v>470.33</v>
      </c>
      <c r="G44" s="53">
        <f t="shared" si="10"/>
        <v>2.3996428571428572</v>
      </c>
      <c r="H44" s="200">
        <f>'Fuel Summary'!H41</f>
        <v>43</v>
      </c>
      <c r="I44" s="53">
        <f>'Fuel Summary'!I41</f>
        <v>101.76</v>
      </c>
      <c r="J44" s="53">
        <f t="shared" si="11"/>
        <v>2.3665116279069767</v>
      </c>
      <c r="K44" s="53">
        <f t="shared" si="12"/>
        <v>2339.7400000000002</v>
      </c>
      <c r="L44" t="str">
        <f>+'Fuel Summary'!M48</f>
        <v>Certified Laboratories</v>
      </c>
      <c r="P44" s="53">
        <f>'Fuel Summary'!P48</f>
        <v>6406.39</v>
      </c>
      <c r="Q44" s="53">
        <f>+'Fuel Summary'!Q48</f>
        <v>0</v>
      </c>
      <c r="R44" s="53">
        <f>+'Fuel Summary'!R48</f>
        <v>0</v>
      </c>
    </row>
    <row r="45" spans="1:18">
      <c r="A45" s="200" t="str">
        <f>'Fuel Summary'!A42</f>
        <v>May 15</v>
      </c>
      <c r="B45" s="200">
        <f>'Fuel Summary'!B42</f>
        <v>775</v>
      </c>
      <c r="C45" s="53">
        <f>'Fuel Summary'!C42</f>
        <v>1630.2</v>
      </c>
      <c r="D45" s="53">
        <f t="shared" si="9"/>
        <v>2.1034838709677421</v>
      </c>
      <c r="E45" s="200">
        <f>'Fuel Summary'!E42</f>
        <v>183</v>
      </c>
      <c r="F45" s="53">
        <f>'Fuel Summary'!F42</f>
        <v>400.5</v>
      </c>
      <c r="G45" s="53">
        <f t="shared" si="10"/>
        <v>2.1885245901639343</v>
      </c>
      <c r="H45" s="200">
        <f>'Fuel Summary'!H42</f>
        <v>64</v>
      </c>
      <c r="I45" s="53">
        <f>'Fuel Summary'!I42</f>
        <v>137.97999999999999</v>
      </c>
      <c r="J45" s="53">
        <f t="shared" si="11"/>
        <v>2.1559374999999998</v>
      </c>
      <c r="K45" s="53">
        <f t="shared" si="12"/>
        <v>2030.7</v>
      </c>
      <c r="L45" t="str">
        <f>+'Fuel Summary'!M49</f>
        <v>Employee reimbursement</v>
      </c>
      <c r="P45" s="53">
        <f>'Fuel Summary'!P49</f>
        <v>0</v>
      </c>
      <c r="Q45" s="53">
        <f>+'Fuel Summary'!Q49</f>
        <v>0</v>
      </c>
      <c r="R45" s="53">
        <f>+'Fuel Summary'!R49</f>
        <v>0</v>
      </c>
    </row>
    <row r="46" spans="1:18" ht="13.5" thickBot="1">
      <c r="A46" s="200" t="str">
        <f>'Fuel Summary'!A43</f>
        <v>May 31</v>
      </c>
      <c r="B46" s="200">
        <f>'Fuel Summary'!B43</f>
        <v>769</v>
      </c>
      <c r="C46" s="53">
        <f>'Fuel Summary'!C43</f>
        <v>1528.21</v>
      </c>
      <c r="D46" s="53">
        <f t="shared" si="9"/>
        <v>1.9872691807542262</v>
      </c>
      <c r="E46" s="200">
        <f>'Fuel Summary'!E43</f>
        <v>256</v>
      </c>
      <c r="F46" s="53">
        <f>'Fuel Summary'!F43</f>
        <v>533.35</v>
      </c>
      <c r="G46" s="53">
        <f t="shared" si="10"/>
        <v>2.0833984375000001</v>
      </c>
      <c r="H46" s="200">
        <f>'Fuel Summary'!H43</f>
        <v>34</v>
      </c>
      <c r="I46" s="53">
        <f>'Fuel Summary'!I43</f>
        <v>68.98</v>
      </c>
      <c r="J46" s="53">
        <f t="shared" si="11"/>
        <v>2.0288235294117647</v>
      </c>
      <c r="K46" s="53">
        <f t="shared" si="12"/>
        <v>2061.56</v>
      </c>
      <c r="P46" s="225"/>
      <c r="Q46" s="225"/>
      <c r="R46" s="225"/>
    </row>
    <row r="47" spans="1:18">
      <c r="A47" s="200" t="str">
        <f>'Fuel Summary'!A44</f>
        <v>June 15</v>
      </c>
      <c r="B47" s="200">
        <f>'Fuel Summary'!B44</f>
        <v>904</v>
      </c>
      <c r="C47" s="53">
        <f>'Fuel Summary'!C44</f>
        <v>1829.14</v>
      </c>
      <c r="D47" s="53">
        <f t="shared" si="9"/>
        <v>2.0233849557522126</v>
      </c>
      <c r="E47" s="200">
        <f>'Fuel Summary'!E44</f>
        <v>183</v>
      </c>
      <c r="F47" s="53">
        <f>'Fuel Summary'!F44</f>
        <v>390.86</v>
      </c>
      <c r="G47" s="53">
        <f t="shared" si="10"/>
        <v>2.1358469945355192</v>
      </c>
      <c r="H47" s="200">
        <f>'Fuel Summary'!H44</f>
        <v>34</v>
      </c>
      <c r="I47" s="53">
        <f>'Fuel Summary'!I44</f>
        <v>74.28</v>
      </c>
      <c r="J47" s="53">
        <f t="shared" si="11"/>
        <v>2.1847058823529411</v>
      </c>
      <c r="K47" s="53">
        <f t="shared" si="12"/>
        <v>2220</v>
      </c>
      <c r="L47" t="s">
        <v>2</v>
      </c>
      <c r="P47" s="53">
        <f>SUM(P39:P45)</f>
        <v>58804.08</v>
      </c>
      <c r="Q47" s="53">
        <f>SUM(Q39:Q45)</f>
        <v>13077.730000000001</v>
      </c>
      <c r="R47" s="53">
        <f>SUM(R39:R45)</f>
        <v>1737.85</v>
      </c>
    </row>
    <row r="48" spans="1:18">
      <c r="A48" s="200" t="str">
        <f>'Fuel Summary'!A45</f>
        <v>June 30</v>
      </c>
      <c r="B48" s="200">
        <f>'Fuel Summary'!B45</f>
        <v>855</v>
      </c>
      <c r="C48" s="53">
        <f>'Fuel Summary'!C45</f>
        <v>1939.41</v>
      </c>
      <c r="D48" s="53">
        <f t="shared" si="9"/>
        <v>2.2683157894736845</v>
      </c>
      <c r="E48" s="200">
        <f>'Fuel Summary'!E45</f>
        <v>221</v>
      </c>
      <c r="F48" s="53">
        <f>'Fuel Summary'!F45</f>
        <v>500.61</v>
      </c>
      <c r="G48" s="53">
        <f t="shared" si="10"/>
        <v>2.2652036199095025</v>
      </c>
      <c r="H48" s="200">
        <f>'Fuel Summary'!H45</f>
        <v>13</v>
      </c>
      <c r="I48" s="53">
        <f>'Fuel Summary'!I45</f>
        <v>29.26</v>
      </c>
      <c r="J48" s="53">
        <f t="shared" si="11"/>
        <v>2.2507692307692309</v>
      </c>
      <c r="K48" s="53">
        <f t="shared" si="12"/>
        <v>2440.02</v>
      </c>
      <c r="P48" s="53"/>
      <c r="Q48" s="53"/>
      <c r="R48" s="53"/>
    </row>
    <row r="49" spans="1:18" ht="13.5" thickBot="1">
      <c r="A49" s="200" t="str">
        <f>'Fuel Summary'!A46</f>
        <v>July 15</v>
      </c>
      <c r="B49" s="200">
        <f>'Fuel Summary'!B46</f>
        <v>1080</v>
      </c>
      <c r="C49" s="53">
        <f>'Fuel Summary'!C46</f>
        <v>2369.15</v>
      </c>
      <c r="D49" s="53">
        <f t="shared" si="9"/>
        <v>2.1936574074074073</v>
      </c>
      <c r="E49" s="200">
        <f>'Fuel Summary'!E46</f>
        <v>261</v>
      </c>
      <c r="F49" s="53">
        <f>'Fuel Summary'!F46</f>
        <v>598.53</v>
      </c>
      <c r="G49" s="53">
        <f t="shared" si="10"/>
        <v>2.2932183908045976</v>
      </c>
      <c r="H49" s="200">
        <f>'Fuel Summary'!H46</f>
        <v>34</v>
      </c>
      <c r="I49" s="53">
        <f>'Fuel Summary'!I46</f>
        <v>76.069999999999993</v>
      </c>
      <c r="J49" s="53">
        <f t="shared" si="11"/>
        <v>2.2373529411764705</v>
      </c>
      <c r="K49" s="53">
        <f t="shared" si="12"/>
        <v>2967.6800000000003</v>
      </c>
      <c r="L49" t="s">
        <v>85</v>
      </c>
      <c r="P49" s="225">
        <f>+'Monthy Income Statements'!$O$44</f>
        <v>58804.080000000009</v>
      </c>
      <c r="Q49" s="225">
        <f>+'Monthy Income Statements'!$O$45</f>
        <v>13077.73</v>
      </c>
      <c r="R49" s="225">
        <f>+'Monthy Income Statements'!$O$46</f>
        <v>1737.8500000000004</v>
      </c>
    </row>
    <row r="50" spans="1:18">
      <c r="A50" s="200" t="str">
        <f>'Fuel Summary'!A47</f>
        <v>July 31</v>
      </c>
      <c r="B50" s="200">
        <f>'Fuel Summary'!B47</f>
        <v>1252</v>
      </c>
      <c r="C50" s="53">
        <f>'Fuel Summary'!C47</f>
        <v>2786.14</v>
      </c>
      <c r="D50" s="53">
        <f t="shared" si="9"/>
        <v>2.2253514376996804</v>
      </c>
      <c r="E50" s="200">
        <f>'Fuel Summary'!E47</f>
        <v>305</v>
      </c>
      <c r="F50" s="53">
        <f>'Fuel Summary'!F47</f>
        <v>716.55</v>
      </c>
      <c r="G50" s="53">
        <f t="shared" si="10"/>
        <v>2.349344262295082</v>
      </c>
      <c r="H50" s="200">
        <f>'Fuel Summary'!H47</f>
        <v>15</v>
      </c>
      <c r="I50" s="53">
        <f>'Fuel Summary'!I47</f>
        <v>34.18</v>
      </c>
      <c r="J50" s="53">
        <f t="shared" si="11"/>
        <v>2.2786666666666666</v>
      </c>
      <c r="K50" s="53">
        <f t="shared" si="12"/>
        <v>3502.6899999999996</v>
      </c>
      <c r="P50" s="53"/>
      <c r="Q50" s="53"/>
      <c r="R50" s="53"/>
    </row>
    <row r="51" spans="1:18" ht="13.5" thickBot="1">
      <c r="A51" s="200" t="str">
        <f>'Fuel Summary'!A48</f>
        <v>August 15</v>
      </c>
      <c r="B51" s="200">
        <f>'Fuel Summary'!B48</f>
        <v>1003</v>
      </c>
      <c r="C51" s="53">
        <f>'Fuel Summary'!C48</f>
        <v>2276.4899999999998</v>
      </c>
      <c r="D51" s="53">
        <f t="shared" si="9"/>
        <v>2.2696809571286138</v>
      </c>
      <c r="E51" s="200">
        <f>'Fuel Summary'!E48</f>
        <v>265</v>
      </c>
      <c r="F51" s="53">
        <f>'Fuel Summary'!F48</f>
        <v>631.74</v>
      </c>
      <c r="G51" s="53">
        <f t="shared" si="10"/>
        <v>2.3839245283018866</v>
      </c>
      <c r="H51" s="200">
        <f>'Fuel Summary'!H48</f>
        <v>31.84</v>
      </c>
      <c r="I51" s="53">
        <f>'Fuel Summary'!I48</f>
        <v>74.3</v>
      </c>
      <c r="J51" s="53">
        <f t="shared" si="11"/>
        <v>2.333542713567839</v>
      </c>
      <c r="K51" s="53">
        <f t="shared" si="12"/>
        <v>2908.2299999999996</v>
      </c>
      <c r="L51" t="s">
        <v>624</v>
      </c>
      <c r="P51" s="261">
        <f>ROUND(+P47-P49,2)</f>
        <v>0</v>
      </c>
      <c r="Q51" s="261">
        <f>ROUND(+Q47-Q49,2)</f>
        <v>0</v>
      </c>
      <c r="R51" s="261">
        <f>ROUND(+R47-R49,2)</f>
        <v>0</v>
      </c>
    </row>
    <row r="52" spans="1:18" ht="13.5" thickTop="1">
      <c r="A52" s="200" t="str">
        <f>'Fuel Summary'!A49</f>
        <v>August 31</v>
      </c>
      <c r="B52" s="200">
        <f>'Fuel Summary'!B49</f>
        <v>966</v>
      </c>
      <c r="C52" s="53">
        <f>'Fuel Summary'!C49</f>
        <v>2171.5700000000002</v>
      </c>
      <c r="D52" s="53">
        <f t="shared" si="9"/>
        <v>2.2480020703933747</v>
      </c>
      <c r="E52" s="200">
        <f>'Fuel Summary'!E49</f>
        <v>206</v>
      </c>
      <c r="F52" s="53">
        <f>'Fuel Summary'!F49</f>
        <v>485.04</v>
      </c>
      <c r="G52" s="53">
        <f t="shared" si="10"/>
        <v>2.3545631067961166</v>
      </c>
      <c r="H52" s="200">
        <f>'Fuel Summary'!H49</f>
        <v>18</v>
      </c>
      <c r="I52" s="53">
        <f>'Fuel Summary'!I49</f>
        <v>41.6</v>
      </c>
      <c r="J52" s="53">
        <f t="shared" si="11"/>
        <v>2.3111111111111113</v>
      </c>
      <c r="K52" s="53">
        <f t="shared" si="12"/>
        <v>2656.61</v>
      </c>
    </row>
    <row r="53" spans="1:18">
      <c r="A53" s="200" t="str">
        <f>'Fuel Summary'!A50</f>
        <v>September 15</v>
      </c>
      <c r="B53" s="200">
        <f>'Fuel Summary'!B50</f>
        <v>1200</v>
      </c>
      <c r="C53" s="53">
        <f>'Fuel Summary'!C50</f>
        <v>2714.29</v>
      </c>
      <c r="D53" s="53">
        <f t="shared" si="9"/>
        <v>2.2619083333333334</v>
      </c>
      <c r="E53" s="200">
        <f>'Fuel Summary'!E50</f>
        <v>240</v>
      </c>
      <c r="F53" s="53">
        <f>'Fuel Summary'!F50</f>
        <v>567.22</v>
      </c>
      <c r="G53" s="53">
        <f t="shared" si="10"/>
        <v>2.3634166666666667</v>
      </c>
      <c r="H53" s="200">
        <f>'Fuel Summary'!H50</f>
        <v>31</v>
      </c>
      <c r="I53" s="53">
        <f>'Fuel Summary'!I50</f>
        <v>71.650000000000006</v>
      </c>
      <c r="J53" s="53">
        <f t="shared" si="11"/>
        <v>2.3112903225806454</v>
      </c>
      <c r="K53" s="53">
        <f t="shared" si="12"/>
        <v>3281.51</v>
      </c>
      <c r="L53" t="s">
        <v>624</v>
      </c>
      <c r="P53">
        <f>IF(P51+Q51=0,Q51,"err")</f>
        <v>0</v>
      </c>
    </row>
    <row r="54" spans="1:18">
      <c r="A54" s="200" t="str">
        <f>'Fuel Summary'!A51</f>
        <v>September 30</v>
      </c>
      <c r="B54" s="200">
        <f>'Fuel Summary'!B51</f>
        <v>1012</v>
      </c>
      <c r="C54" s="53">
        <f>'Fuel Summary'!C51</f>
        <v>2225.75</v>
      </c>
      <c r="D54" s="53">
        <f t="shared" si="9"/>
        <v>2.1993577075098814</v>
      </c>
      <c r="E54" s="200">
        <f>'Fuel Summary'!E51</f>
        <v>236</v>
      </c>
      <c r="F54" s="53">
        <f>'Fuel Summary'!F51</f>
        <v>539.59</v>
      </c>
      <c r="G54" s="53">
        <f t="shared" si="10"/>
        <v>2.2863983050847461</v>
      </c>
      <c r="H54" s="200">
        <f>'Fuel Summary'!H51</f>
        <v>37</v>
      </c>
      <c r="I54" s="53">
        <f>'Fuel Summary'!I51</f>
        <v>82.12</v>
      </c>
      <c r="J54" s="53">
        <f t="shared" si="11"/>
        <v>2.2194594594594594</v>
      </c>
      <c r="K54" s="53">
        <f t="shared" si="12"/>
        <v>2765.34</v>
      </c>
    </row>
    <row r="55" spans="1:18">
      <c r="A55" s="200" t="str">
        <f>'Fuel Summary'!A52</f>
        <v>October 15</v>
      </c>
      <c r="B55" s="200">
        <f>'Fuel Summary'!B52</f>
        <v>1100</v>
      </c>
      <c r="C55" s="53">
        <f>'Fuel Summary'!C52</f>
        <v>2432.9</v>
      </c>
      <c r="D55" s="53">
        <f t="shared" si="9"/>
        <v>2.211727272727273</v>
      </c>
      <c r="E55" s="200">
        <f>'Fuel Summary'!E52</f>
        <v>261</v>
      </c>
      <c r="F55" s="53">
        <f>'Fuel Summary'!F52</f>
        <v>593.41999999999996</v>
      </c>
      <c r="G55" s="53">
        <f t="shared" si="10"/>
        <v>2.2736398467432948</v>
      </c>
      <c r="H55" s="200">
        <f>'Fuel Summary'!H52</f>
        <v>30</v>
      </c>
      <c r="I55" s="53">
        <f>'Fuel Summary'!I52</f>
        <v>66.37</v>
      </c>
      <c r="J55" s="53">
        <f t="shared" si="11"/>
        <v>2.2123333333333335</v>
      </c>
      <c r="K55" s="53">
        <f t="shared" si="12"/>
        <v>3026.32</v>
      </c>
    </row>
    <row r="56" spans="1:18">
      <c r="A56" s="200" t="str">
        <f>'Fuel Summary'!A53</f>
        <v>October 31</v>
      </c>
      <c r="B56" s="200">
        <f>'Fuel Summary'!B53</f>
        <v>910</v>
      </c>
      <c r="C56" s="53">
        <f>'Fuel Summary'!C53</f>
        <v>2079.9299999999998</v>
      </c>
      <c r="D56" s="53">
        <f t="shared" si="9"/>
        <v>2.2856373626373623</v>
      </c>
      <c r="E56" s="200">
        <f>'Fuel Summary'!E53</f>
        <v>273</v>
      </c>
      <c r="F56" s="53">
        <f>'Fuel Summary'!F53</f>
        <v>642.69000000000005</v>
      </c>
      <c r="G56" s="53">
        <f t="shared" si="10"/>
        <v>2.3541758241758242</v>
      </c>
      <c r="H56" s="200">
        <f>'Fuel Summary'!H53</f>
        <v>34</v>
      </c>
      <c r="I56" s="53">
        <f>'Fuel Summary'!I53</f>
        <v>80.849999999999994</v>
      </c>
      <c r="J56" s="53">
        <f t="shared" si="11"/>
        <v>2.3779411764705882</v>
      </c>
      <c r="K56" s="53">
        <f t="shared" si="12"/>
        <v>2722.62</v>
      </c>
    </row>
    <row r="57" spans="1:18">
      <c r="A57" s="200" t="str">
        <f>'Fuel Summary'!A54</f>
        <v>November 15</v>
      </c>
      <c r="B57" s="200">
        <f>'Fuel Summary'!B54</f>
        <v>884</v>
      </c>
      <c r="C57" s="53">
        <f>'Fuel Summary'!C54</f>
        <v>2197.8200000000002</v>
      </c>
      <c r="D57" s="53">
        <f t="shared" si="9"/>
        <v>2.486221719457014</v>
      </c>
      <c r="E57" s="200">
        <f>'Fuel Summary'!E54</f>
        <v>248</v>
      </c>
      <c r="F57" s="53">
        <f>'Fuel Summary'!F54</f>
        <v>633.61</v>
      </c>
      <c r="G57" s="53">
        <f t="shared" si="10"/>
        <v>2.5548790322580648</v>
      </c>
      <c r="H57" s="200">
        <f>'Fuel Summary'!H54</f>
        <v>19</v>
      </c>
      <c r="I57" s="53">
        <f>'Fuel Summary'!I54</f>
        <v>49.71</v>
      </c>
      <c r="J57" s="53">
        <f t="shared" si="11"/>
        <v>2.6163157894736844</v>
      </c>
      <c r="K57" s="53">
        <f t="shared" si="12"/>
        <v>2831.4300000000003</v>
      </c>
      <c r="L57" s="127" t="s">
        <v>674</v>
      </c>
      <c r="Q57" s="2" t="s">
        <v>657</v>
      </c>
    </row>
    <row r="58" spans="1:18">
      <c r="A58" s="200" t="str">
        <f>'Fuel Summary'!A55</f>
        <v>November 30</v>
      </c>
      <c r="B58" s="200">
        <f>'Fuel Summary'!B55</f>
        <v>785</v>
      </c>
      <c r="C58" s="53">
        <f>'Fuel Summary'!C55</f>
        <v>2052.9499999999998</v>
      </c>
      <c r="D58" s="53">
        <f t="shared" si="9"/>
        <v>2.6152229299363055</v>
      </c>
      <c r="E58" s="200">
        <f>'Fuel Summary'!E55</f>
        <v>197</v>
      </c>
      <c r="F58" s="53">
        <f>'Fuel Summary'!F55</f>
        <v>524.71</v>
      </c>
      <c r="G58" s="53">
        <f t="shared" si="10"/>
        <v>2.6635025380710662</v>
      </c>
      <c r="H58" s="200">
        <f>'Fuel Summary'!H55</f>
        <v>38</v>
      </c>
      <c r="I58" s="53">
        <f>'Fuel Summary'!I55</f>
        <v>102.47</v>
      </c>
      <c r="J58" s="53">
        <f t="shared" si="11"/>
        <v>2.6965789473684212</v>
      </c>
      <c r="K58" s="53">
        <f t="shared" si="12"/>
        <v>2577.66</v>
      </c>
      <c r="O58" t="s">
        <v>108</v>
      </c>
      <c r="P58" s="2" t="s">
        <v>656</v>
      </c>
      <c r="Q58" s="2" t="s">
        <v>655</v>
      </c>
    </row>
    <row r="59" spans="1:18">
      <c r="A59" s="200" t="str">
        <f>'Fuel Summary'!A56</f>
        <v>December 15</v>
      </c>
      <c r="B59" s="200">
        <f>'Fuel Summary'!B56</f>
        <v>790</v>
      </c>
      <c r="C59" s="53">
        <f>'Fuel Summary'!C56</f>
        <v>2082.7600000000002</v>
      </c>
      <c r="D59" s="53">
        <f t="shared" si="9"/>
        <v>2.6364050632911393</v>
      </c>
      <c r="E59" s="200">
        <f>'Fuel Summary'!E56</f>
        <v>254</v>
      </c>
      <c r="F59" s="53">
        <f>'Fuel Summary'!F56</f>
        <v>677.58</v>
      </c>
      <c r="G59" s="53">
        <f t="shared" si="10"/>
        <v>2.6676377952755908</v>
      </c>
      <c r="H59" s="200">
        <f>'Fuel Summary'!H56</f>
        <v>17</v>
      </c>
      <c r="I59" s="53">
        <f>'Fuel Summary'!I56</f>
        <v>45.04</v>
      </c>
      <c r="J59" s="53">
        <f t="shared" si="11"/>
        <v>2.6494117647058824</v>
      </c>
      <c r="K59" s="53">
        <f t="shared" si="12"/>
        <v>2760.34</v>
      </c>
      <c r="L59" s="127" t="s">
        <v>673</v>
      </c>
    </row>
    <row r="60" spans="1:18" ht="13.5" thickBot="1">
      <c r="A60" s="200" t="str">
        <f>'Fuel Summary'!A57</f>
        <v>December 31</v>
      </c>
      <c r="B60" s="265">
        <f>'Fuel Summary'!B57</f>
        <v>778</v>
      </c>
      <c r="C60" s="225">
        <f>'Fuel Summary'!C57</f>
        <v>2011.5</v>
      </c>
      <c r="D60" s="225">
        <f t="shared" si="9"/>
        <v>2.5854755784061698</v>
      </c>
      <c r="E60" s="265">
        <f>'Fuel Summary'!E57</f>
        <v>225</v>
      </c>
      <c r="F60" s="225">
        <f>'Fuel Summary'!F57</f>
        <v>594.57000000000005</v>
      </c>
      <c r="G60" s="225">
        <f t="shared" si="10"/>
        <v>2.6425333333333336</v>
      </c>
      <c r="H60" s="265">
        <f>'Fuel Summary'!H57</f>
        <v>31</v>
      </c>
      <c r="I60" s="225">
        <f>'Fuel Summary'!I57</f>
        <v>81.86</v>
      </c>
      <c r="J60" s="225">
        <f t="shared" si="11"/>
        <v>2.6406451612903226</v>
      </c>
      <c r="K60" s="53">
        <f t="shared" si="12"/>
        <v>2606.0700000000002</v>
      </c>
      <c r="L60" t="s">
        <v>623</v>
      </c>
      <c r="O60" s="53">
        <f>+C24+I24+N24+C62</f>
        <v>50459.37</v>
      </c>
      <c r="P60" s="200">
        <f>+B24+H24+M24+B62</f>
        <v>20896</v>
      </c>
      <c r="Q60" s="227">
        <f>+O60/P60</f>
        <v>2.4147860834609496</v>
      </c>
    </row>
    <row r="61" spans="1:18" ht="13.5" thickBot="1">
      <c r="B61" s="200"/>
      <c r="C61" s="53"/>
      <c r="E61" s="200"/>
      <c r="F61" s="53"/>
      <c r="H61" s="200"/>
      <c r="I61" s="53"/>
      <c r="L61" t="s">
        <v>670</v>
      </c>
      <c r="O61" s="53">
        <f>C30+I30+N30+C77</f>
        <v>50459.37</v>
      </c>
      <c r="P61" s="200">
        <f>+B30+H30+M30+B77</f>
        <v>20896</v>
      </c>
      <c r="Q61" s="267">
        <f>+O61/P61</f>
        <v>2.4147860834609496</v>
      </c>
    </row>
    <row r="62" spans="1:18" ht="13.5" thickBot="1">
      <c r="A62" s="13" t="s">
        <v>623</v>
      </c>
      <c r="B62" s="266">
        <f>SUM(B37:B60)</f>
        <v>20628</v>
      </c>
      <c r="C62" s="261">
        <f>SUM(C37:C60)</f>
        <v>49714.68</v>
      </c>
      <c r="D62" s="261">
        <f>+C62/B62</f>
        <v>2.4100581733566027</v>
      </c>
      <c r="E62" s="266">
        <f>SUM(E37:E60)</f>
        <v>5274</v>
      </c>
      <c r="F62" s="261">
        <f>SUM(F37:F60)</f>
        <v>13077.730000000001</v>
      </c>
      <c r="G62" s="261">
        <f>+F62/E62</f>
        <v>2.4796605991657188</v>
      </c>
      <c r="H62" s="266">
        <f>SUM(H37:H60)</f>
        <v>705.83999999999992</v>
      </c>
      <c r="I62" s="261">
        <f>SUM(I37:I60)</f>
        <v>1737.85</v>
      </c>
      <c r="J62" s="261">
        <f>+I62/H62</f>
        <v>2.4621018927802338</v>
      </c>
    </row>
    <row r="63" spans="1:18" ht="13.5" thickTop="1">
      <c r="B63" s="200"/>
      <c r="C63" s="53"/>
      <c r="E63" s="200"/>
      <c r="F63" s="53"/>
      <c r="H63" s="200"/>
      <c r="I63" s="53"/>
      <c r="M63" t="s">
        <v>668</v>
      </c>
      <c r="Q63" s="63">
        <f>+Q61-Q60</f>
        <v>0</v>
      </c>
    </row>
    <row r="64" spans="1:18" ht="13.5" thickBot="1">
      <c r="A64" s="262" t="s">
        <v>654</v>
      </c>
      <c r="B64" s="200">
        <v>0</v>
      </c>
      <c r="C64" s="53">
        <v>0</v>
      </c>
      <c r="D64" s="53">
        <f t="shared" ref="D64:D75" si="13">IF(+B64=0,0,C64/B64)</f>
        <v>0</v>
      </c>
      <c r="E64" s="200">
        <v>0</v>
      </c>
      <c r="F64" s="53">
        <v>0</v>
      </c>
      <c r="G64" s="53">
        <f t="shared" ref="G64:G75" si="14">IF(+E64=0,0,F64/E64)</f>
        <v>0</v>
      </c>
      <c r="H64" s="200">
        <v>0</v>
      </c>
      <c r="I64" s="53">
        <v>0</v>
      </c>
      <c r="J64" s="53">
        <f t="shared" ref="J64:J75" si="15">IF(+H64=0,0,I64/H64)</f>
        <v>0</v>
      </c>
      <c r="K64" s="53">
        <f t="shared" ref="K64:K75" si="16">+C64+F64</f>
        <v>0</v>
      </c>
      <c r="M64" t="s">
        <v>667</v>
      </c>
      <c r="Q64" s="265">
        <f>+P60</f>
        <v>20896</v>
      </c>
    </row>
    <row r="65" spans="1:17">
      <c r="A65" s="262" t="s">
        <v>653</v>
      </c>
      <c r="B65" s="200">
        <v>0</v>
      </c>
      <c r="C65" s="53">
        <v>0</v>
      </c>
      <c r="D65" s="53">
        <f t="shared" si="13"/>
        <v>0</v>
      </c>
      <c r="E65" s="200">
        <v>0</v>
      </c>
      <c r="F65" s="53">
        <v>0</v>
      </c>
      <c r="G65" s="53">
        <f t="shared" si="14"/>
        <v>0</v>
      </c>
      <c r="H65" s="200">
        <v>0</v>
      </c>
      <c r="I65" s="53">
        <v>0</v>
      </c>
      <c r="J65" s="53">
        <f t="shared" si="15"/>
        <v>0</v>
      </c>
      <c r="K65" s="53">
        <f t="shared" si="16"/>
        <v>0</v>
      </c>
    </row>
    <row r="66" spans="1:17" ht="13.5" thickBot="1">
      <c r="A66" s="262" t="s">
        <v>652</v>
      </c>
      <c r="B66" s="200">
        <v>0</v>
      </c>
      <c r="C66" s="53">
        <v>0</v>
      </c>
      <c r="D66" s="53">
        <f t="shared" si="13"/>
        <v>0</v>
      </c>
      <c r="E66" s="200">
        <v>0</v>
      </c>
      <c r="F66" s="53">
        <v>0</v>
      </c>
      <c r="G66" s="53">
        <f t="shared" si="14"/>
        <v>0</v>
      </c>
      <c r="H66" s="200">
        <v>0</v>
      </c>
      <c r="I66" s="53">
        <v>0</v>
      </c>
      <c r="J66" s="53">
        <f t="shared" si="15"/>
        <v>0</v>
      </c>
      <c r="K66" s="53">
        <f t="shared" si="16"/>
        <v>0</v>
      </c>
      <c r="M66" t="s">
        <v>594</v>
      </c>
      <c r="Q66" s="224">
        <f>+Q64*Q63</f>
        <v>0</v>
      </c>
    </row>
    <row r="67" spans="1:17" ht="13.5" thickTop="1">
      <c r="A67" s="262" t="s">
        <v>651</v>
      </c>
      <c r="B67" s="200">
        <v>0</v>
      </c>
      <c r="C67" s="53">
        <v>0</v>
      </c>
      <c r="D67" s="53">
        <f t="shared" si="13"/>
        <v>0</v>
      </c>
      <c r="E67" s="200">
        <v>0</v>
      </c>
      <c r="F67" s="53">
        <v>0</v>
      </c>
      <c r="G67" s="53">
        <f t="shared" si="14"/>
        <v>0</v>
      </c>
      <c r="H67" s="200">
        <v>0</v>
      </c>
      <c r="I67" s="53">
        <v>0</v>
      </c>
      <c r="J67" s="53">
        <f t="shared" si="15"/>
        <v>0</v>
      </c>
      <c r="K67" s="53">
        <f t="shared" si="16"/>
        <v>0</v>
      </c>
    </row>
    <row r="68" spans="1:17">
      <c r="A68" s="269" t="s">
        <v>650</v>
      </c>
      <c r="B68" s="200">
        <v>0</v>
      </c>
      <c r="C68" s="53">
        <v>0</v>
      </c>
      <c r="D68" s="53">
        <f t="shared" si="13"/>
        <v>0</v>
      </c>
      <c r="E68" s="200">
        <v>0</v>
      </c>
      <c r="F68" s="53">
        <v>0</v>
      </c>
      <c r="G68" s="53">
        <f t="shared" si="14"/>
        <v>0</v>
      </c>
      <c r="H68" s="200">
        <v>0</v>
      </c>
      <c r="I68" s="53">
        <v>0</v>
      </c>
      <c r="J68" s="53">
        <f t="shared" si="15"/>
        <v>0</v>
      </c>
      <c r="K68" s="53">
        <f t="shared" si="16"/>
        <v>0</v>
      </c>
      <c r="L68" s="127" t="s">
        <v>672</v>
      </c>
    </row>
    <row r="69" spans="1:17">
      <c r="A69" s="269" t="s">
        <v>649</v>
      </c>
      <c r="B69" s="200">
        <v>0</v>
      </c>
      <c r="C69" s="53">
        <v>0</v>
      </c>
      <c r="D69" s="53">
        <f t="shared" si="13"/>
        <v>0</v>
      </c>
      <c r="E69" s="200">
        <v>0</v>
      </c>
      <c r="F69" s="53">
        <v>0</v>
      </c>
      <c r="G69" s="53">
        <f t="shared" si="14"/>
        <v>0</v>
      </c>
      <c r="H69" s="200">
        <v>0</v>
      </c>
      <c r="I69" s="53">
        <v>0</v>
      </c>
      <c r="J69" s="53">
        <f t="shared" si="15"/>
        <v>0</v>
      </c>
      <c r="K69" s="53">
        <f t="shared" si="16"/>
        <v>0</v>
      </c>
      <c r="L69" s="127"/>
    </row>
    <row r="70" spans="1:17">
      <c r="A70" s="269" t="s">
        <v>647</v>
      </c>
      <c r="B70" s="200">
        <v>0</v>
      </c>
      <c r="C70" s="53">
        <v>0</v>
      </c>
      <c r="D70" s="53">
        <f t="shared" si="13"/>
        <v>0</v>
      </c>
      <c r="E70" s="200">
        <v>0</v>
      </c>
      <c r="F70" s="53">
        <v>0</v>
      </c>
      <c r="G70" s="53">
        <f t="shared" si="14"/>
        <v>0</v>
      </c>
      <c r="H70" s="200">
        <v>0</v>
      </c>
      <c r="I70" s="53">
        <v>0</v>
      </c>
      <c r="J70" s="53">
        <f t="shared" si="15"/>
        <v>0</v>
      </c>
      <c r="K70" s="53">
        <f t="shared" si="16"/>
        <v>0</v>
      </c>
      <c r="L70" s="127"/>
    </row>
    <row r="71" spans="1:17">
      <c r="A71" s="269" t="s">
        <v>671</v>
      </c>
      <c r="B71" s="200">
        <v>0</v>
      </c>
      <c r="C71" s="53">
        <v>0</v>
      </c>
      <c r="D71" s="53">
        <f t="shared" si="13"/>
        <v>0</v>
      </c>
      <c r="E71" s="200">
        <v>0</v>
      </c>
      <c r="F71" s="53">
        <v>0</v>
      </c>
      <c r="G71" s="53">
        <f t="shared" si="14"/>
        <v>0</v>
      </c>
      <c r="H71" s="200">
        <v>0</v>
      </c>
      <c r="I71" s="53">
        <v>0</v>
      </c>
      <c r="J71" s="53">
        <f t="shared" si="15"/>
        <v>0</v>
      </c>
      <c r="K71" s="53">
        <f t="shared" si="16"/>
        <v>0</v>
      </c>
      <c r="L71" s="127"/>
    </row>
    <row r="72" spans="1:17">
      <c r="A72" s="269" t="s">
        <v>645</v>
      </c>
      <c r="B72" s="200">
        <v>0</v>
      </c>
      <c r="C72" s="53">
        <v>0</v>
      </c>
      <c r="D72" s="53">
        <f t="shared" si="13"/>
        <v>0</v>
      </c>
      <c r="E72" s="200">
        <v>0</v>
      </c>
      <c r="F72" s="53">
        <v>0</v>
      </c>
      <c r="G72" s="53">
        <f t="shared" si="14"/>
        <v>0</v>
      </c>
      <c r="H72" s="200">
        <v>0</v>
      </c>
      <c r="I72" s="53">
        <v>0</v>
      </c>
      <c r="J72" s="53">
        <f t="shared" si="15"/>
        <v>0</v>
      </c>
      <c r="K72" s="53">
        <f t="shared" si="16"/>
        <v>0</v>
      </c>
      <c r="L72" s="127"/>
    </row>
    <row r="73" spans="1:17">
      <c r="A73" s="269" t="s">
        <v>643</v>
      </c>
      <c r="B73" s="200">
        <v>0</v>
      </c>
      <c r="C73" s="53">
        <v>0</v>
      </c>
      <c r="D73" s="53">
        <f t="shared" si="13"/>
        <v>0</v>
      </c>
      <c r="E73" s="200">
        <v>0</v>
      </c>
      <c r="F73" s="53">
        <v>0</v>
      </c>
      <c r="G73" s="53">
        <f t="shared" si="14"/>
        <v>0</v>
      </c>
      <c r="H73" s="200">
        <v>0</v>
      </c>
      <c r="I73" s="53">
        <v>0</v>
      </c>
      <c r="J73" s="53">
        <f t="shared" si="15"/>
        <v>0</v>
      </c>
      <c r="K73" s="53">
        <f t="shared" si="16"/>
        <v>0</v>
      </c>
      <c r="L73" s="127"/>
    </row>
    <row r="74" spans="1:17">
      <c r="A74" s="262" t="s">
        <v>642</v>
      </c>
      <c r="B74" s="200">
        <v>0</v>
      </c>
      <c r="C74" s="53">
        <v>0</v>
      </c>
      <c r="D74" s="53">
        <f t="shared" si="13"/>
        <v>0</v>
      </c>
      <c r="E74" s="200">
        <v>0</v>
      </c>
      <c r="F74" s="53">
        <v>0</v>
      </c>
      <c r="G74" s="53">
        <f t="shared" si="14"/>
        <v>0</v>
      </c>
      <c r="H74" s="200">
        <v>0</v>
      </c>
      <c r="I74" s="53">
        <v>0</v>
      </c>
      <c r="J74" s="53">
        <f t="shared" si="15"/>
        <v>0</v>
      </c>
      <c r="K74" s="53">
        <f t="shared" si="16"/>
        <v>0</v>
      </c>
      <c r="L74" t="s">
        <v>623</v>
      </c>
      <c r="O74" s="53">
        <f>+F62</f>
        <v>13077.730000000001</v>
      </c>
      <c r="P74" s="200">
        <f>+E62</f>
        <v>5274</v>
      </c>
      <c r="Q74" s="227">
        <f>+O74/P74</f>
        <v>2.4796605991657188</v>
      </c>
    </row>
    <row r="75" spans="1:17" ht="13.5" thickBot="1">
      <c r="A75" s="268" t="s">
        <v>641</v>
      </c>
      <c r="B75" s="265">
        <v>0</v>
      </c>
      <c r="C75" s="225">
        <v>0</v>
      </c>
      <c r="D75" s="225">
        <f t="shared" si="13"/>
        <v>0</v>
      </c>
      <c r="E75" s="265">
        <v>0</v>
      </c>
      <c r="F75" s="225">
        <v>0</v>
      </c>
      <c r="G75" s="225">
        <f t="shared" si="14"/>
        <v>0</v>
      </c>
      <c r="H75" s="265">
        <v>0</v>
      </c>
      <c r="I75" s="225">
        <v>0</v>
      </c>
      <c r="J75" s="225">
        <f t="shared" si="15"/>
        <v>0</v>
      </c>
      <c r="K75" s="53">
        <f t="shared" si="16"/>
        <v>0</v>
      </c>
      <c r="L75" t="s">
        <v>670</v>
      </c>
      <c r="O75" s="53">
        <f>+F77</f>
        <v>13077.730000000001</v>
      </c>
      <c r="P75" s="200">
        <f>+E77</f>
        <v>5274</v>
      </c>
      <c r="Q75" s="267">
        <f>+O75/P75</f>
        <v>2.4796605991657188</v>
      </c>
    </row>
    <row r="76" spans="1:17">
      <c r="A76" s="18"/>
      <c r="B76" s="18"/>
      <c r="C76" s="18"/>
      <c r="D76" s="258"/>
      <c r="E76" s="18"/>
      <c r="F76" s="18"/>
      <c r="G76" s="258"/>
      <c r="H76" s="18"/>
      <c r="I76" s="18"/>
      <c r="J76" s="258"/>
    </row>
    <row r="77" spans="1:17" ht="13.5" thickBot="1">
      <c r="A77" s="13" t="s">
        <v>669</v>
      </c>
      <c r="B77" s="266">
        <f>B62</f>
        <v>20628</v>
      </c>
      <c r="C77" s="261">
        <f>C62</f>
        <v>49714.68</v>
      </c>
      <c r="D77" s="261">
        <f>+C77/B77</f>
        <v>2.4100581733566027</v>
      </c>
      <c r="E77" s="266">
        <f>E62</f>
        <v>5274</v>
      </c>
      <c r="F77" s="261">
        <f>F62</f>
        <v>13077.730000000001</v>
      </c>
      <c r="G77" s="261">
        <f>+F77/E77</f>
        <v>2.4796605991657188</v>
      </c>
      <c r="H77" s="266">
        <f>H62</f>
        <v>705.83999999999992</v>
      </c>
      <c r="I77" s="261">
        <f>I62</f>
        <v>1737.85</v>
      </c>
      <c r="J77" s="261">
        <f>+I77/H77</f>
        <v>2.4621018927802338</v>
      </c>
      <c r="M77" t="s">
        <v>668</v>
      </c>
      <c r="Q77" s="63">
        <f>+Q75-Q74</f>
        <v>0</v>
      </c>
    </row>
    <row r="78" spans="1:17" ht="14.25" thickTop="1" thickBot="1">
      <c r="A78" s="18"/>
      <c r="B78" s="18"/>
      <c r="C78" s="18"/>
      <c r="D78" s="18"/>
      <c r="E78" s="18"/>
      <c r="F78" s="18"/>
      <c r="G78" s="18"/>
      <c r="H78" s="18"/>
      <c r="I78" s="18"/>
      <c r="J78" s="18"/>
      <c r="M78" t="s">
        <v>667</v>
      </c>
      <c r="Q78" s="265">
        <f>+P74</f>
        <v>5274</v>
      </c>
    </row>
    <row r="79" spans="1:17">
      <c r="H79" s="18"/>
    </row>
    <row r="80" spans="1:17" ht="13.5" thickBot="1">
      <c r="M80" t="s">
        <v>594</v>
      </c>
      <c r="Q80" s="224">
        <f>+Q78*Q77</f>
        <v>0</v>
      </c>
    </row>
    <row r="81" ht="13.5" thickTop="1"/>
  </sheetData>
  <pageMargins left="0.21" right="0.39" top="0.24" bottom="0.24" header="0.26" footer="0.23"/>
  <pageSetup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U114"/>
  <sheetViews>
    <sheetView zoomScaleNormal="100" workbookViewId="0">
      <pane xSplit="2" ySplit="8" topLeftCell="C78" activePane="bottomRight" state="frozen"/>
      <selection pane="topRight" activeCell="C1" sqref="C1"/>
      <selection pane="bottomLeft" activeCell="A9" sqref="A9"/>
      <selection pane="bottomRight" activeCell="F4" sqref="F4"/>
    </sheetView>
  </sheetViews>
  <sheetFormatPr defaultRowHeight="12.75"/>
  <cols>
    <col min="1" max="1" width="5.28515625" customWidth="1"/>
    <col min="2" max="2" width="27.42578125" customWidth="1"/>
    <col min="3" max="3" width="14.42578125" customWidth="1"/>
    <col min="4" max="4" width="4.85546875" customWidth="1"/>
    <col min="5" max="5" width="13.28515625" customWidth="1"/>
    <col min="6" max="6" width="14.140625" customWidth="1"/>
    <col min="7" max="7" width="5.42578125" customWidth="1"/>
    <col min="8" max="8" width="11.140625" customWidth="1"/>
    <col min="9" max="9" width="8.5703125" customWidth="1"/>
    <col min="10" max="10" width="14.28515625" customWidth="1"/>
    <col min="11" max="13" width="13" customWidth="1"/>
    <col min="14" max="14" width="14.28515625" customWidth="1"/>
    <col min="15" max="15" width="11.28515625" customWidth="1"/>
    <col min="16" max="16" width="13" customWidth="1"/>
    <col min="19" max="20" width="10.42578125" customWidth="1"/>
    <col min="21" max="21" width="10.7109375" customWidth="1"/>
  </cols>
  <sheetData>
    <row r="1" spans="1:21">
      <c r="A1" t="s">
        <v>0</v>
      </c>
    </row>
    <row r="3" spans="1:21">
      <c r="A3" t="s">
        <v>254</v>
      </c>
      <c r="C3" s="693" t="s">
        <v>1414</v>
      </c>
      <c r="D3" s="693" t="s">
        <v>702</v>
      </c>
    </row>
    <row r="4" spans="1:21">
      <c r="O4">
        <f>+O21/(N21-N15)</f>
        <v>0</v>
      </c>
    </row>
    <row r="5" spans="1:21">
      <c r="A5" s="722" t="s">
        <v>1372</v>
      </c>
      <c r="N5" s="115" t="s">
        <v>89</v>
      </c>
    </row>
    <row r="6" spans="1:21">
      <c r="A6" s="1"/>
      <c r="I6" s="2" t="s">
        <v>91</v>
      </c>
      <c r="L6" s="2" t="s">
        <v>91</v>
      </c>
      <c r="M6" s="2" t="s">
        <v>91</v>
      </c>
      <c r="N6" s="115" t="s">
        <v>97</v>
      </c>
      <c r="O6" s="2" t="s">
        <v>98</v>
      </c>
      <c r="P6" s="2" t="s">
        <v>101</v>
      </c>
    </row>
    <row r="7" spans="1:21">
      <c r="C7" s="2" t="s">
        <v>85</v>
      </c>
      <c r="E7" s="2" t="s">
        <v>86</v>
      </c>
      <c r="F7" s="2" t="s">
        <v>85</v>
      </c>
      <c r="H7" s="2" t="s">
        <v>89</v>
      </c>
      <c r="I7" s="90" t="s">
        <v>92</v>
      </c>
      <c r="J7" s="2" t="s">
        <v>89</v>
      </c>
      <c r="K7" s="2" t="s">
        <v>95</v>
      </c>
      <c r="L7" s="90" t="s">
        <v>338</v>
      </c>
      <c r="M7" s="90" t="s">
        <v>340</v>
      </c>
      <c r="N7" s="116" t="s">
        <v>343</v>
      </c>
      <c r="O7" s="2" t="s">
        <v>99</v>
      </c>
      <c r="P7" s="2" t="s">
        <v>102</v>
      </c>
    </row>
    <row r="8" spans="1:21" ht="13.5" thickBot="1">
      <c r="C8" s="723">
        <v>44196</v>
      </c>
      <c r="D8" s="9"/>
      <c r="E8" s="4" t="s">
        <v>87</v>
      </c>
      <c r="F8" s="4" t="s">
        <v>88</v>
      </c>
      <c r="G8" s="9"/>
      <c r="H8" s="9" t="s">
        <v>90</v>
      </c>
      <c r="I8" s="91" t="s">
        <v>93</v>
      </c>
      <c r="J8" s="4" t="s">
        <v>94</v>
      </c>
      <c r="K8" s="4" t="s">
        <v>96</v>
      </c>
      <c r="L8" s="91" t="s">
        <v>339</v>
      </c>
      <c r="M8" s="91" t="s">
        <v>339</v>
      </c>
      <c r="N8" s="117" t="s">
        <v>96</v>
      </c>
      <c r="O8" s="4" t="s">
        <v>100</v>
      </c>
      <c r="P8" s="4" t="s">
        <v>100</v>
      </c>
      <c r="S8" s="68" t="s">
        <v>298</v>
      </c>
    </row>
    <row r="9" spans="1:21" ht="13.5" thickTop="1">
      <c r="N9" s="118"/>
    </row>
    <row r="10" spans="1:21">
      <c r="A10" t="s">
        <v>3</v>
      </c>
      <c r="N10" s="118"/>
    </row>
    <row r="11" spans="1:21">
      <c r="A11">
        <v>3100</v>
      </c>
      <c r="B11" t="s">
        <v>5</v>
      </c>
      <c r="C11" s="112">
        <f>+'Monthy Income Statements'!O10</f>
        <v>1870785.01</v>
      </c>
      <c r="E11" s="112"/>
      <c r="F11" s="112">
        <f t="shared" ref="F11:F19" si="0">+C11+E11</f>
        <v>1870785.01</v>
      </c>
      <c r="G11">
        <v>9</v>
      </c>
      <c r="H11" s="112">
        <f>+'Proforma AJEs'!H54</f>
        <v>0</v>
      </c>
      <c r="J11" s="112">
        <f t="shared" ref="J11:J19" si="1">+F11+H11+I11</f>
        <v>1870785.01</v>
      </c>
      <c r="K11" s="112"/>
      <c r="L11" s="112"/>
      <c r="M11" s="112"/>
      <c r="N11" s="119">
        <f>+J11+K11+L11+M11</f>
        <v>1870785.01</v>
      </c>
      <c r="O11" s="112">
        <f>+SUM(S11:U11)</f>
        <v>0</v>
      </c>
      <c r="P11" s="112">
        <f t="shared" ref="P11:P19" si="2">+N11+O11</f>
        <v>1870785.01</v>
      </c>
      <c r="S11" s="6">
        <f>IF('Results of Operations Regulated'!$E$1=0,0,'Results of Operations Regulated'!$E$11)</f>
        <v>0</v>
      </c>
      <c r="T11" s="6">
        <f>IF('Results of Operations Regulated'!$H$1=0,0,'Results of Operations Regulated'!$H$11)</f>
        <v>0</v>
      </c>
      <c r="U11" s="6">
        <f>IF('Results of Operations Regulated'!$K$1=0,0,'Results of Operations Regulated'!$K$11)</f>
        <v>0</v>
      </c>
    </row>
    <row r="12" spans="1:21">
      <c r="A12">
        <v>3112</v>
      </c>
      <c r="B12" t="s">
        <v>6</v>
      </c>
      <c r="C12" s="112">
        <f>+'Monthy Income Statements'!O11</f>
        <v>238465.85</v>
      </c>
      <c r="E12" s="112"/>
      <c r="F12" s="112">
        <f t="shared" si="0"/>
        <v>238465.85</v>
      </c>
      <c r="G12">
        <v>6</v>
      </c>
      <c r="H12" s="112">
        <f>+'Proforma AJEs'!H38</f>
        <v>0</v>
      </c>
      <c r="J12" s="112">
        <f t="shared" si="1"/>
        <v>238465.85</v>
      </c>
      <c r="K12" s="112">
        <f>-'Cost Allocations-Contracts'!I13</f>
        <v>-238465.85</v>
      </c>
      <c r="L12" s="112"/>
      <c r="M12" s="112"/>
      <c r="N12" s="119">
        <f t="shared" ref="N12:N18" si="3">+J12+K12+L12+M12</f>
        <v>0</v>
      </c>
      <c r="O12" s="112"/>
      <c r="P12" s="112">
        <f t="shared" si="2"/>
        <v>0</v>
      </c>
    </row>
    <row r="13" spans="1:21">
      <c r="A13">
        <v>3114</v>
      </c>
      <c r="B13" t="s">
        <v>7</v>
      </c>
      <c r="C13" s="112">
        <f>+'Monthy Income Statements'!O12</f>
        <v>104963.68999999999</v>
      </c>
      <c r="E13" s="112"/>
      <c r="F13" s="112">
        <f t="shared" si="0"/>
        <v>104963.68999999999</v>
      </c>
      <c r="G13">
        <v>6</v>
      </c>
      <c r="H13" s="112">
        <f>+'Proforma AJEs'!H39</f>
        <v>0</v>
      </c>
      <c r="J13" s="112">
        <f t="shared" si="1"/>
        <v>104963.68999999999</v>
      </c>
      <c r="K13" s="112">
        <f>-'Cost Allocations-Contracts'!L14</f>
        <v>-104963.68999999999</v>
      </c>
      <c r="L13" s="112"/>
      <c r="M13" s="112"/>
      <c r="N13" s="119">
        <f t="shared" si="3"/>
        <v>0</v>
      </c>
      <c r="O13" s="112"/>
      <c r="P13" s="112">
        <f t="shared" si="2"/>
        <v>0</v>
      </c>
    </row>
    <row r="14" spans="1:21">
      <c r="A14">
        <v>3300</v>
      </c>
      <c r="B14" t="s">
        <v>8</v>
      </c>
      <c r="C14" s="112">
        <f>+'Monthy Income Statements'!O13</f>
        <v>242661.77999999997</v>
      </c>
      <c r="E14" s="112"/>
      <c r="F14" s="112">
        <f t="shared" si="0"/>
        <v>242661.77999999997</v>
      </c>
      <c r="G14">
        <v>9</v>
      </c>
      <c r="H14" s="112">
        <f>+'Proforma AJEs'!H60</f>
        <v>0</v>
      </c>
      <c r="J14" s="112">
        <f t="shared" si="1"/>
        <v>242661.77999999997</v>
      </c>
      <c r="K14" s="112"/>
      <c r="L14" s="112"/>
      <c r="M14" s="112"/>
      <c r="N14" s="119">
        <f t="shared" si="3"/>
        <v>242661.77999999997</v>
      </c>
      <c r="O14" s="112">
        <f>+SUM(S14:U14)</f>
        <v>0</v>
      </c>
      <c r="P14" s="112">
        <f t="shared" si="2"/>
        <v>242661.77999999997</v>
      </c>
      <c r="S14" s="6">
        <f>IF('Results of Operations Regulated'!$E$1=0,0,'Results of Operations Regulated'!$E$14)</f>
        <v>0</v>
      </c>
      <c r="T14" s="6">
        <f>IF('Results of Operations Regulated'!$H$1=0,0,'Results of Operations Regulated'!$H$14)</f>
        <v>0</v>
      </c>
      <c r="U14" s="6">
        <f>IF('Results of Operations Regulated'!$K$1=0,0,'Results of Operations Regulated'!$K$14)</f>
        <v>0</v>
      </c>
    </row>
    <row r="15" spans="1:21">
      <c r="A15">
        <v>3310</v>
      </c>
      <c r="B15" t="s">
        <v>9</v>
      </c>
      <c r="C15" s="112">
        <f>+'Monthy Income Statements'!O14</f>
        <v>325201.94999999995</v>
      </c>
      <c r="D15">
        <v>4</v>
      </c>
      <c r="E15" s="112">
        <f>-'Restating AJEs'!I36</f>
        <v>-887.10999999991327</v>
      </c>
      <c r="F15" s="112">
        <f t="shared" si="0"/>
        <v>324314.84000000003</v>
      </c>
      <c r="H15" s="112"/>
      <c r="J15" s="112">
        <f t="shared" si="1"/>
        <v>324314.84000000003</v>
      </c>
      <c r="K15" s="112"/>
      <c r="L15" s="112"/>
      <c r="M15" s="112"/>
      <c r="N15" s="119">
        <f t="shared" si="3"/>
        <v>324314.84000000003</v>
      </c>
      <c r="O15" s="112"/>
      <c r="P15" s="112">
        <f t="shared" si="2"/>
        <v>324314.84000000003</v>
      </c>
    </row>
    <row r="16" spans="1:21">
      <c r="A16">
        <v>3410</v>
      </c>
      <c r="B16" t="s">
        <v>328</v>
      </c>
      <c r="C16" s="112">
        <f>+'Monthy Income Statements'!O15</f>
        <v>60443.009999999995</v>
      </c>
      <c r="E16" s="112"/>
      <c r="F16" s="112">
        <f t="shared" si="0"/>
        <v>60443.009999999995</v>
      </c>
      <c r="H16" s="112"/>
      <c r="J16" s="112">
        <f t="shared" si="1"/>
        <v>60443.009999999995</v>
      </c>
      <c r="K16" s="112"/>
      <c r="L16" s="112"/>
      <c r="M16" s="112">
        <f>-'Cost Allocations-Recycle'!M17</f>
        <v>-60443.009999999995</v>
      </c>
      <c r="N16" s="119">
        <f t="shared" si="3"/>
        <v>0</v>
      </c>
      <c r="O16" s="112"/>
      <c r="P16" s="112">
        <f t="shared" si="2"/>
        <v>0</v>
      </c>
    </row>
    <row r="17" spans="1:16">
      <c r="A17">
        <v>3450</v>
      </c>
      <c r="B17" t="s">
        <v>329</v>
      </c>
      <c r="C17" s="112">
        <f>+'Monthy Income Statements'!O16</f>
        <v>32792</v>
      </c>
      <c r="E17" s="112"/>
      <c r="F17" s="112">
        <f t="shared" si="0"/>
        <v>32792</v>
      </c>
      <c r="H17" s="112"/>
      <c r="J17" s="112">
        <f t="shared" si="1"/>
        <v>32792</v>
      </c>
      <c r="K17" s="112"/>
      <c r="L17" s="112">
        <f>-'Cost Allocations-Recycle'!J18</f>
        <v>-32792</v>
      </c>
      <c r="M17" s="112"/>
      <c r="N17" s="119">
        <f t="shared" si="3"/>
        <v>0</v>
      </c>
      <c r="O17" s="112"/>
      <c r="P17" s="112">
        <f t="shared" si="2"/>
        <v>0</v>
      </c>
    </row>
    <row r="18" spans="1:16">
      <c r="A18">
        <v>3460</v>
      </c>
      <c r="B18" t="s">
        <v>10</v>
      </c>
      <c r="C18" s="112">
        <f>+'Monthy Income Statements'!O17</f>
        <v>0</v>
      </c>
      <c r="E18" s="112"/>
      <c r="F18" s="112">
        <f t="shared" si="0"/>
        <v>0</v>
      </c>
      <c r="H18" s="112"/>
      <c r="J18" s="112">
        <f t="shared" si="1"/>
        <v>0</v>
      </c>
      <c r="K18" s="112"/>
      <c r="L18" s="112"/>
      <c r="M18" s="112"/>
      <c r="N18" s="119">
        <f t="shared" si="3"/>
        <v>0</v>
      </c>
      <c r="O18" s="112"/>
      <c r="P18" s="112">
        <f t="shared" si="2"/>
        <v>0</v>
      </c>
    </row>
    <row r="19" spans="1:16" ht="13.5" thickBot="1">
      <c r="A19">
        <v>3500</v>
      </c>
      <c r="B19" t="s">
        <v>11</v>
      </c>
      <c r="C19" s="113">
        <f>+'Monthy Income Statements'!O18</f>
        <v>0</v>
      </c>
      <c r="D19" s="5"/>
      <c r="E19" s="113"/>
      <c r="F19" s="113">
        <f t="shared" si="0"/>
        <v>0</v>
      </c>
      <c r="G19" s="5"/>
      <c r="H19" s="113"/>
      <c r="I19" s="48">
        <v>0</v>
      </c>
      <c r="J19" s="113">
        <f t="shared" si="1"/>
        <v>0</v>
      </c>
      <c r="K19" s="113"/>
      <c r="L19" s="113"/>
      <c r="M19" s="113"/>
      <c r="N19" s="120">
        <f>+J19+K19+L19+M19</f>
        <v>0</v>
      </c>
      <c r="O19" s="113"/>
      <c r="P19" s="113">
        <f t="shared" si="2"/>
        <v>0</v>
      </c>
    </row>
    <row r="20" spans="1:16">
      <c r="C20" s="112"/>
      <c r="E20" s="112"/>
      <c r="F20" s="112"/>
      <c r="H20" s="112"/>
      <c r="J20" s="112"/>
      <c r="K20" s="112"/>
      <c r="L20" s="112"/>
      <c r="M20" s="112"/>
      <c r="N20" s="119"/>
      <c r="O20" s="112"/>
      <c r="P20" s="112"/>
    </row>
    <row r="21" spans="1:16" ht="13.5" thickBot="1">
      <c r="B21" t="s">
        <v>4</v>
      </c>
      <c r="C21" s="113">
        <f>SUM(C11:C19)</f>
        <v>2875313.2899999991</v>
      </c>
      <c r="D21" s="5"/>
      <c r="E21" s="113">
        <f>SUM(E11:E19)</f>
        <v>-887.10999999991327</v>
      </c>
      <c r="F21" s="113">
        <f>SUM(F11:F19)</f>
        <v>2874426.1799999992</v>
      </c>
      <c r="G21" s="5"/>
      <c r="H21" s="113">
        <f t="shared" ref="H21:P21" si="4">SUM(H11:H19)</f>
        <v>0</v>
      </c>
      <c r="I21" s="7">
        <f t="shared" si="4"/>
        <v>0</v>
      </c>
      <c r="J21" s="113">
        <f t="shared" si="4"/>
        <v>2874426.1799999992</v>
      </c>
      <c r="K21" s="113">
        <f t="shared" si="4"/>
        <v>-343429.54</v>
      </c>
      <c r="L21" s="113">
        <f t="shared" si="4"/>
        <v>-32792</v>
      </c>
      <c r="M21" s="113">
        <f t="shared" si="4"/>
        <v>-60443.009999999995</v>
      </c>
      <c r="N21" s="120">
        <f t="shared" si="4"/>
        <v>2437761.63</v>
      </c>
      <c r="O21" s="113">
        <f t="shared" si="4"/>
        <v>0</v>
      </c>
      <c r="P21" s="113">
        <f t="shared" si="4"/>
        <v>2437761.63</v>
      </c>
    </row>
    <row r="22" spans="1:16">
      <c r="C22" s="112"/>
      <c r="E22" s="112"/>
      <c r="F22" s="112"/>
      <c r="H22" s="112"/>
      <c r="J22" s="112"/>
      <c r="K22" s="112"/>
      <c r="L22" s="112"/>
      <c r="M22" s="112"/>
      <c r="N22" s="119"/>
      <c r="O22" s="112"/>
      <c r="P22" s="112"/>
    </row>
    <row r="23" spans="1:16">
      <c r="A23" t="s">
        <v>12</v>
      </c>
      <c r="C23" s="112"/>
      <c r="E23" s="112"/>
      <c r="F23" s="112"/>
      <c r="H23" s="112"/>
      <c r="J23" s="112"/>
      <c r="K23" s="112"/>
      <c r="L23" s="112"/>
      <c r="M23" s="112"/>
      <c r="N23" s="119"/>
      <c r="O23" s="112"/>
      <c r="P23" s="112"/>
    </row>
    <row r="24" spans="1:16">
      <c r="A24" t="s">
        <v>13</v>
      </c>
      <c r="C24" s="112"/>
      <c r="E24" s="112"/>
      <c r="F24" s="112"/>
      <c r="H24" s="112"/>
      <c r="J24" s="112"/>
      <c r="K24" s="112"/>
      <c r="L24" s="112"/>
      <c r="M24" s="112"/>
      <c r="N24" s="119"/>
      <c r="O24" s="112"/>
      <c r="P24" s="112"/>
    </row>
    <row r="25" spans="1:16">
      <c r="A25">
        <v>4116</v>
      </c>
      <c r="B25" t="s">
        <v>29</v>
      </c>
      <c r="C25" s="112">
        <f>+'Monthy Income Statements'!O24</f>
        <v>83193.929999999993</v>
      </c>
      <c r="E25" s="112"/>
      <c r="F25" s="112">
        <f t="shared" ref="F25:F38" si="5">+C25+E25</f>
        <v>83193.929999999993</v>
      </c>
      <c r="H25" s="112"/>
      <c r="J25" s="112">
        <f t="shared" ref="J25:J38" si="6">+F25+H25+I25</f>
        <v>83193.929999999993</v>
      </c>
      <c r="K25" s="112">
        <f>-'Cost Allocations-Contracts'!I26-'Cost Allocations-Contracts'!L26</f>
        <v>-10916.076303952794</v>
      </c>
      <c r="L25" s="112">
        <f>-'Cost Allocations-Recycle'!J26</f>
        <v>-2399.8286072967926</v>
      </c>
      <c r="M25" s="112">
        <f>-'Cost Allocations-Recycle'!M26</f>
        <v>0</v>
      </c>
      <c r="N25" s="119">
        <f>+J25+K25+L25+M25</f>
        <v>69878.025088750408</v>
      </c>
      <c r="O25" s="112"/>
      <c r="P25" s="112">
        <f t="shared" ref="P25:P96" si="7">+N25+O25</f>
        <v>69878.025088750408</v>
      </c>
    </row>
    <row r="26" spans="1:16">
      <c r="A26">
        <v>4117</v>
      </c>
      <c r="B26" t="s">
        <v>278</v>
      </c>
      <c r="C26" s="112">
        <f>+'Monthy Income Statements'!O25</f>
        <v>2615</v>
      </c>
      <c r="E26" s="112"/>
      <c r="F26" s="112">
        <f>+C26+E26</f>
        <v>2615</v>
      </c>
      <c r="H26" s="112"/>
      <c r="J26" s="112">
        <f t="shared" si="6"/>
        <v>2615</v>
      </c>
      <c r="K26" s="112">
        <f>-'Cost Allocations-Contracts'!I27-'Cost Allocations-Contracts'!L27</f>
        <v>0</v>
      </c>
      <c r="L26" s="112">
        <f>-'Cost Allocations-Recycle'!J27</f>
        <v>0</v>
      </c>
      <c r="M26" s="112">
        <f>-'Cost Allocations-Recycle'!M27</f>
        <v>0</v>
      </c>
      <c r="N26" s="119">
        <f t="shared" ref="N26:N91" si="8">+J26+K26+L26+M26</f>
        <v>2615</v>
      </c>
      <c r="O26" s="112"/>
      <c r="P26" s="112">
        <f>+N26+O26</f>
        <v>2615</v>
      </c>
    </row>
    <row r="27" spans="1:16">
      <c r="A27">
        <v>4118</v>
      </c>
      <c r="B27" t="s">
        <v>30</v>
      </c>
      <c r="C27" s="112">
        <f>+'Monthy Income Statements'!O26</f>
        <v>15025</v>
      </c>
      <c r="E27" s="112"/>
      <c r="F27" s="112">
        <f t="shared" si="5"/>
        <v>15025</v>
      </c>
      <c r="H27" s="112"/>
      <c r="J27" s="112">
        <f t="shared" si="6"/>
        <v>15025</v>
      </c>
      <c r="K27" s="112">
        <f>-'Cost Allocations-Contracts'!I28-'Cost Allocations-Contracts'!L28</f>
        <v>-1291.4279112754159</v>
      </c>
      <c r="L27" s="112">
        <f>-'Cost Allocations-Recycle'!J28</f>
        <v>0</v>
      </c>
      <c r="M27" s="112">
        <f>-'Cost Allocations-Recycle'!M28</f>
        <v>0</v>
      </c>
      <c r="N27" s="119">
        <f t="shared" si="8"/>
        <v>13733.572088724584</v>
      </c>
      <c r="O27" s="112"/>
      <c r="P27" s="112">
        <f t="shared" si="7"/>
        <v>13733.572088724584</v>
      </c>
    </row>
    <row r="28" spans="1:16">
      <c r="A28">
        <v>4120</v>
      </c>
      <c r="B28" t="s">
        <v>279</v>
      </c>
      <c r="C28" s="112">
        <f>+'Monthy Income Statements'!O27</f>
        <v>338</v>
      </c>
      <c r="E28" s="112"/>
      <c r="F28" s="112">
        <f>+C28+E28</f>
        <v>338</v>
      </c>
      <c r="H28" s="112"/>
      <c r="J28" s="112">
        <f t="shared" si="6"/>
        <v>338</v>
      </c>
      <c r="K28" s="112">
        <f>-'Cost Allocations-Contracts'!I29-'Cost Allocations-Contracts'!L29</f>
        <v>0</v>
      </c>
      <c r="L28" s="112">
        <f>-'Cost Allocations-Recycle'!J29</f>
        <v>0</v>
      </c>
      <c r="M28" s="112">
        <f>-'Cost Allocations-Recycle'!M29</f>
        <v>0</v>
      </c>
      <c r="N28" s="119">
        <f t="shared" si="8"/>
        <v>338</v>
      </c>
      <c r="O28" s="112"/>
      <c r="P28" s="112">
        <f>+N28+O28</f>
        <v>338</v>
      </c>
    </row>
    <row r="29" spans="1:16">
      <c r="A29">
        <v>4122</v>
      </c>
      <c r="B29" t="s">
        <v>330</v>
      </c>
      <c r="C29" s="112">
        <f>+'Monthy Income Statements'!O28</f>
        <v>7783.5</v>
      </c>
      <c r="E29" s="112"/>
      <c r="F29" s="112">
        <f>+C29+E29</f>
        <v>7783.5</v>
      </c>
      <c r="H29" s="112"/>
      <c r="J29" s="112">
        <f t="shared" si="6"/>
        <v>7783.5</v>
      </c>
      <c r="K29" s="112">
        <f>-'Cost Allocations-Contracts'!I30-'Cost Allocations-Contracts'!L30</f>
        <v>0</v>
      </c>
      <c r="L29" s="112">
        <f>-'Cost Allocations-Recycle'!J30</f>
        <v>0</v>
      </c>
      <c r="M29" s="112">
        <f>-'Cost Allocations-Recycle'!M30</f>
        <v>-7783.5</v>
      </c>
      <c r="N29" s="119">
        <f t="shared" si="8"/>
        <v>0</v>
      </c>
      <c r="O29" s="112"/>
      <c r="P29" s="112">
        <f>+N29+O29</f>
        <v>0</v>
      </c>
    </row>
    <row r="30" spans="1:16">
      <c r="A30">
        <v>4132</v>
      </c>
      <c r="B30" t="s">
        <v>31</v>
      </c>
      <c r="C30" s="112">
        <f>+'Monthy Income Statements'!O29</f>
        <v>40504.65</v>
      </c>
      <c r="E30" s="112"/>
      <c r="F30" s="112">
        <f t="shared" si="5"/>
        <v>40504.65</v>
      </c>
      <c r="H30" s="112"/>
      <c r="J30" s="112">
        <f t="shared" si="6"/>
        <v>40504.65</v>
      </c>
      <c r="K30" s="112">
        <f>-'Cost Allocations-Contracts'!I31-'Cost Allocations-Contracts'!L31</f>
        <v>-5314.7128650479854</v>
      </c>
      <c r="L30" s="112">
        <f>-'Cost Allocations-Recycle'!J31</f>
        <v>-1168.4051684845763</v>
      </c>
      <c r="M30" s="112">
        <f>-'Cost Allocations-Recycle'!M31</f>
        <v>0</v>
      </c>
      <c r="N30" s="119">
        <f t="shared" si="8"/>
        <v>34021.531966467439</v>
      </c>
      <c r="O30" s="112"/>
      <c r="P30" s="112">
        <f t="shared" si="7"/>
        <v>34021.531966467439</v>
      </c>
    </row>
    <row r="31" spans="1:16">
      <c r="A31">
        <v>4133</v>
      </c>
      <c r="B31" t="s">
        <v>280</v>
      </c>
      <c r="C31" s="112">
        <f>+'Monthy Income Statements'!O30</f>
        <v>4755.2</v>
      </c>
      <c r="E31" s="112"/>
      <c r="F31" s="112">
        <f>+C31+E31</f>
        <v>4755.2</v>
      </c>
      <c r="H31" s="112"/>
      <c r="J31" s="112">
        <f t="shared" si="6"/>
        <v>4755.2</v>
      </c>
      <c r="K31" s="112">
        <f>-'Cost Allocations-Contracts'!I32-'Cost Allocations-Contracts'!L32</f>
        <v>0</v>
      </c>
      <c r="L31" s="112">
        <f>-'Cost Allocations-Recycle'!J32</f>
        <v>0</v>
      </c>
      <c r="M31" s="112">
        <f>-'Cost Allocations-Recycle'!M32</f>
        <v>0</v>
      </c>
      <c r="N31" s="119">
        <f t="shared" si="8"/>
        <v>4755.2</v>
      </c>
      <c r="O31" s="112"/>
      <c r="P31" s="112">
        <f>+N31+O31</f>
        <v>4755.2</v>
      </c>
    </row>
    <row r="32" spans="1:16">
      <c r="A32">
        <v>4134</v>
      </c>
      <c r="B32" t="s">
        <v>32</v>
      </c>
      <c r="C32" s="112">
        <f>+'Monthy Income Statements'!O31</f>
        <v>10268.18</v>
      </c>
      <c r="E32" s="112"/>
      <c r="F32" s="112">
        <f t="shared" si="5"/>
        <v>10268.18</v>
      </c>
      <c r="H32" s="112"/>
      <c r="J32" s="112">
        <f t="shared" si="6"/>
        <v>10268.18</v>
      </c>
      <c r="K32" s="112">
        <f>-'Cost Allocations-Contracts'!I33-'Cost Allocations-Contracts'!L33</f>
        <v>-882.56999999999994</v>
      </c>
      <c r="L32" s="112">
        <f>-'Cost Allocations-Recycle'!J33</f>
        <v>0</v>
      </c>
      <c r="M32" s="112">
        <f>-'Cost Allocations-Recycle'!M33</f>
        <v>0</v>
      </c>
      <c r="N32" s="119">
        <f t="shared" si="8"/>
        <v>9385.61</v>
      </c>
      <c r="O32" s="112"/>
      <c r="P32" s="112">
        <f t="shared" si="7"/>
        <v>9385.61</v>
      </c>
    </row>
    <row r="33" spans="1:16">
      <c r="A33">
        <v>4136</v>
      </c>
      <c r="B33" t="s">
        <v>281</v>
      </c>
      <c r="C33" s="112">
        <f>+'Monthy Income Statements'!O32</f>
        <v>0</v>
      </c>
      <c r="E33" s="112"/>
      <c r="F33" s="112">
        <f>+C33+E33</f>
        <v>0</v>
      </c>
      <c r="H33" s="112"/>
      <c r="J33" s="112">
        <f t="shared" si="6"/>
        <v>0</v>
      </c>
      <c r="K33" s="112">
        <f>-'Cost Allocations-Contracts'!I34-'Cost Allocations-Contracts'!L34</f>
        <v>0</v>
      </c>
      <c r="L33" s="112">
        <f>-'Cost Allocations-Recycle'!J34</f>
        <v>0</v>
      </c>
      <c r="M33" s="112">
        <f>-'Cost Allocations-Recycle'!M34</f>
        <v>0</v>
      </c>
      <c r="N33" s="119">
        <f t="shared" si="8"/>
        <v>0</v>
      </c>
      <c r="O33" s="112"/>
      <c r="P33" s="112">
        <f>+N33+O33</f>
        <v>0</v>
      </c>
    </row>
    <row r="34" spans="1:16">
      <c r="A34">
        <v>4138</v>
      </c>
      <c r="B34" t="s">
        <v>331</v>
      </c>
      <c r="C34" s="112">
        <f>+'Monthy Income Statements'!O33</f>
        <v>588.45000000000005</v>
      </c>
      <c r="E34" s="112"/>
      <c r="F34" s="112">
        <f>+C34+E34</f>
        <v>588.45000000000005</v>
      </c>
      <c r="H34" s="112"/>
      <c r="J34" s="112">
        <f t="shared" si="6"/>
        <v>588.45000000000005</v>
      </c>
      <c r="K34" s="112">
        <f>-'Cost Allocations-Contracts'!I35-'Cost Allocations-Contracts'!L35</f>
        <v>0</v>
      </c>
      <c r="L34" s="112">
        <f>-'Cost Allocations-Recycle'!J35</f>
        <v>0</v>
      </c>
      <c r="M34" s="112">
        <f>-'Cost Allocations-Recycle'!M35</f>
        <v>-588.45000000000005</v>
      </c>
      <c r="N34" s="119">
        <f t="shared" si="8"/>
        <v>0</v>
      </c>
      <c r="O34" s="112"/>
      <c r="P34" s="112">
        <f>+N34+O34</f>
        <v>0</v>
      </c>
    </row>
    <row r="35" spans="1:16">
      <c r="A35">
        <v>4160</v>
      </c>
      <c r="B35" t="s">
        <v>33</v>
      </c>
      <c r="C35" s="112">
        <f>+'Monthy Income Statements'!O34</f>
        <v>20948.329999999998</v>
      </c>
      <c r="E35" s="112"/>
      <c r="F35" s="112">
        <f t="shared" si="5"/>
        <v>20948.329999999998</v>
      </c>
      <c r="H35" s="112"/>
      <c r="J35" s="112">
        <f t="shared" si="6"/>
        <v>20948.329999999998</v>
      </c>
      <c r="K35" s="112">
        <f>-'Cost Allocations-Contracts'!I36-'Cost Allocations-Contracts'!L36</f>
        <v>-2540.0708927408564</v>
      </c>
      <c r="L35" s="112">
        <f>-'Cost Allocations-Recycle'!J36</f>
        <v>-608.41655110763793</v>
      </c>
      <c r="M35" s="112">
        <f>-'Cost Allocations-Recycle'!M36</f>
        <v>-1488.4254884618572</v>
      </c>
      <c r="N35" s="119">
        <f t="shared" si="8"/>
        <v>16311.417067689647</v>
      </c>
      <c r="O35" s="112"/>
      <c r="P35" s="112">
        <f t="shared" si="7"/>
        <v>16311.417067689647</v>
      </c>
    </row>
    <row r="36" spans="1:16">
      <c r="A36">
        <v>4162</v>
      </c>
      <c r="B36" t="s">
        <v>282</v>
      </c>
      <c r="C36" s="112">
        <f>+'Monthy Income Statements'!O35</f>
        <v>3649.63</v>
      </c>
      <c r="E36" s="112"/>
      <c r="F36" s="112">
        <f>+C36+E36</f>
        <v>3649.63</v>
      </c>
      <c r="H36" s="112"/>
      <c r="J36" s="112">
        <f t="shared" si="6"/>
        <v>3649.63</v>
      </c>
      <c r="K36" s="112">
        <f>-'Cost Allocations-Contracts'!I37-'Cost Allocations-Contracts'!L37</f>
        <v>0</v>
      </c>
      <c r="L36" s="112">
        <f>-'Cost Allocations-Recycle'!J37</f>
        <v>0</v>
      </c>
      <c r="M36" s="112">
        <f>-'Cost Allocations-Recycle'!M37</f>
        <v>0</v>
      </c>
      <c r="N36" s="119">
        <f t="shared" si="8"/>
        <v>3649.63</v>
      </c>
      <c r="O36" s="112"/>
      <c r="P36" s="112">
        <f>+N36+O36</f>
        <v>3649.63</v>
      </c>
    </row>
    <row r="37" spans="1:16">
      <c r="A37">
        <v>4164</v>
      </c>
      <c r="B37" t="s">
        <v>1304</v>
      </c>
      <c r="C37" s="112">
        <f>+'Monthy Income Statements'!O36</f>
        <v>0</v>
      </c>
      <c r="E37" s="112"/>
      <c r="F37" s="112">
        <f>+C37+E37</f>
        <v>0</v>
      </c>
      <c r="H37" s="112"/>
      <c r="J37" s="112">
        <f t="shared" ref="J37" si="9">+F37+H37+I37</f>
        <v>0</v>
      </c>
      <c r="K37" s="112"/>
      <c r="L37" s="112"/>
      <c r="M37" s="112">
        <f>-'Cost Allocations-Recycle'!M38</f>
        <v>0</v>
      </c>
      <c r="N37" s="119">
        <f t="shared" ref="N37" si="10">+J37+K37+L37+M37</f>
        <v>0</v>
      </c>
      <c r="O37" s="112"/>
      <c r="P37" s="112">
        <f>+N37+O37</f>
        <v>0</v>
      </c>
    </row>
    <row r="38" spans="1:16">
      <c r="A38">
        <v>4180</v>
      </c>
      <c r="B38" t="s">
        <v>34</v>
      </c>
      <c r="C38" s="112">
        <f>+'Monthy Income Statements'!O37</f>
        <v>19397.82</v>
      </c>
      <c r="E38" s="112"/>
      <c r="F38" s="112">
        <f t="shared" si="5"/>
        <v>19397.82</v>
      </c>
      <c r="H38" s="112"/>
      <c r="J38" s="112">
        <f t="shared" si="6"/>
        <v>19397.82</v>
      </c>
      <c r="K38" s="112">
        <f>-'Cost Allocations-Contracts'!I39-'Cost Allocations-Contracts'!L39</f>
        <v>-2545.2347695359695</v>
      </c>
      <c r="L38" s="112">
        <f>-'Cost Allocations-Recycle'!J39</f>
        <v>-559.55336351094206</v>
      </c>
      <c r="M38" s="112">
        <f>-'Cost Allocations-Recycle'!M39</f>
        <v>0</v>
      </c>
      <c r="N38" s="119">
        <f t="shared" si="8"/>
        <v>16293.031866953086</v>
      </c>
      <c r="O38" s="112"/>
      <c r="P38" s="112">
        <f t="shared" si="7"/>
        <v>16293.031866953086</v>
      </c>
    </row>
    <row r="39" spans="1:16">
      <c r="A39" t="s">
        <v>16</v>
      </c>
      <c r="C39" s="112"/>
      <c r="E39" s="112"/>
      <c r="F39" s="112"/>
      <c r="H39" s="112"/>
      <c r="J39" s="112"/>
      <c r="K39" s="112"/>
      <c r="L39" s="112"/>
      <c r="M39" s="112"/>
      <c r="N39" s="119"/>
      <c r="O39" s="112"/>
      <c r="P39" s="112"/>
    </row>
    <row r="40" spans="1:16">
      <c r="A40">
        <v>4210</v>
      </c>
      <c r="B40" t="s">
        <v>35</v>
      </c>
      <c r="C40" s="112">
        <f>+'Monthy Income Statements'!O39</f>
        <v>0</v>
      </c>
      <c r="E40" s="112"/>
      <c r="F40" s="112">
        <f t="shared" ref="F40:F48" si="11">+C40+E40</f>
        <v>0</v>
      </c>
      <c r="H40" s="112"/>
      <c r="J40" s="112">
        <f t="shared" ref="J40:J49" si="12">+F40+H40+I40</f>
        <v>0</v>
      </c>
      <c r="K40" s="112">
        <f>-'Cost Allocations-Contracts'!I41-'Cost Allocations-Contracts'!L41</f>
        <v>0</v>
      </c>
      <c r="L40" s="112">
        <f>-'Cost Allocations-Recycle'!J41</f>
        <v>0</v>
      </c>
      <c r="M40" s="112">
        <f>-'Cost Allocations-Recycle'!M41</f>
        <v>0</v>
      </c>
      <c r="N40" s="119">
        <f t="shared" si="8"/>
        <v>0</v>
      </c>
      <c r="O40" s="112"/>
      <c r="P40" s="112">
        <f t="shared" si="7"/>
        <v>0</v>
      </c>
    </row>
    <row r="41" spans="1:16">
      <c r="A41">
        <v>4213</v>
      </c>
      <c r="B41" t="s">
        <v>36</v>
      </c>
      <c r="C41" s="112">
        <f>+'Monthy Income Statements'!O40</f>
        <v>301117.20999999996</v>
      </c>
      <c r="E41" s="112"/>
      <c r="F41" s="112">
        <f t="shared" si="11"/>
        <v>301117.20999999996</v>
      </c>
      <c r="G41">
        <v>1</v>
      </c>
      <c r="H41" s="112">
        <f>+'Proforma AJEs'!H10</f>
        <v>14142.549999999992</v>
      </c>
      <c r="J41" s="112">
        <f t="shared" si="12"/>
        <v>315259.75999999995</v>
      </c>
      <c r="K41" s="112">
        <f>-'Cost Allocations-Contracts'!I42-'Cost Allocations-Contracts'!L42</f>
        <v>-41365.99383784183</v>
      </c>
      <c r="L41" s="112">
        <f>-'Cost Allocations-Recycle'!J42</f>
        <v>-7549.5686658483173</v>
      </c>
      <c r="M41" s="112">
        <f>-'Cost Allocations-Recycle'!M42</f>
        <v>0</v>
      </c>
      <c r="N41" s="119">
        <f t="shared" si="8"/>
        <v>266344.19749630976</v>
      </c>
      <c r="O41" s="112"/>
      <c r="P41" s="112">
        <f t="shared" si="7"/>
        <v>266344.19749630976</v>
      </c>
    </row>
    <row r="42" spans="1:16">
      <c r="A42">
        <v>4215</v>
      </c>
      <c r="B42" t="s">
        <v>37</v>
      </c>
      <c r="C42" s="112">
        <f>+'Monthy Income Statements'!O41</f>
        <v>29844.639999999999</v>
      </c>
      <c r="E42" s="112"/>
      <c r="F42" s="112">
        <f t="shared" si="11"/>
        <v>29844.639999999999</v>
      </c>
      <c r="G42">
        <v>1</v>
      </c>
      <c r="H42" s="112">
        <f>+'Proforma AJEs'!H11</f>
        <v>1393</v>
      </c>
      <c r="J42" s="112">
        <f t="shared" si="12"/>
        <v>31237.64</v>
      </c>
      <c r="K42" s="112">
        <f>-'Cost Allocations-Contracts'!I43-'Cost Allocations-Contracts'!L43</f>
        <v>0</v>
      </c>
      <c r="L42" s="112">
        <f>-'Cost Allocations-Recycle'!J43</f>
        <v>0</v>
      </c>
      <c r="M42" s="112">
        <f>-'Cost Allocations-Recycle'!M43</f>
        <v>0</v>
      </c>
      <c r="N42" s="119">
        <f t="shared" si="8"/>
        <v>31237.64</v>
      </c>
      <c r="O42" s="112"/>
      <c r="P42" s="112">
        <f t="shared" si="7"/>
        <v>31237.64</v>
      </c>
    </row>
    <row r="43" spans="1:16">
      <c r="A43">
        <v>4217</v>
      </c>
      <c r="B43" t="s">
        <v>285</v>
      </c>
      <c r="C43" s="112">
        <f>+'Monthy Income Statements'!O42</f>
        <v>13967.380000000001</v>
      </c>
      <c r="E43" s="112"/>
      <c r="F43" s="112">
        <f t="shared" si="11"/>
        <v>13967.380000000001</v>
      </c>
      <c r="H43" s="112"/>
      <c r="J43" s="112">
        <f t="shared" si="12"/>
        <v>13967.380000000001</v>
      </c>
      <c r="K43" s="112">
        <f>-'Cost Allocations-Contracts'!I44-'Cost Allocations-Contracts'!L44</f>
        <v>-1832.6936333733024</v>
      </c>
      <c r="L43" s="112">
        <f>-'Cost Allocations-Recycle'!J44</f>
        <v>0</v>
      </c>
      <c r="M43" s="112">
        <f>-'Cost Allocations-Recycle'!M44</f>
        <v>-604.3200207670892</v>
      </c>
      <c r="N43" s="119">
        <f t="shared" si="8"/>
        <v>11530.366345859609</v>
      </c>
      <c r="O43" s="112"/>
      <c r="P43" s="112">
        <f>+N43+O43</f>
        <v>11530.366345859609</v>
      </c>
    </row>
    <row r="44" spans="1:16">
      <c r="A44">
        <v>4222</v>
      </c>
      <c r="B44" t="s">
        <v>332</v>
      </c>
      <c r="C44" s="112">
        <f>+'Monthy Income Statements'!O43</f>
        <v>7804.25</v>
      </c>
      <c r="E44" s="112"/>
      <c r="F44" s="112">
        <f>+C44+E44</f>
        <v>7804.25</v>
      </c>
      <c r="H44" s="112"/>
      <c r="J44" s="112">
        <f t="shared" si="12"/>
        <v>7804.25</v>
      </c>
      <c r="K44" s="112">
        <f>-'Cost Allocations-Contracts'!I45-'Cost Allocations-Contracts'!L45</f>
        <v>0</v>
      </c>
      <c r="L44" s="112">
        <f>-'Cost Allocations-Recycle'!J45</f>
        <v>0</v>
      </c>
      <c r="M44" s="112">
        <f>-'Cost Allocations-Recycle'!M45</f>
        <v>-7804.25</v>
      </c>
      <c r="N44" s="119">
        <f t="shared" si="8"/>
        <v>0</v>
      </c>
      <c r="O44" s="112"/>
      <c r="P44" s="112">
        <f>+N44+O44</f>
        <v>0</v>
      </c>
    </row>
    <row r="45" spans="1:16">
      <c r="A45">
        <v>4240</v>
      </c>
      <c r="B45" t="s">
        <v>38</v>
      </c>
      <c r="C45" s="112">
        <f>+'Monthy Income Statements'!O44</f>
        <v>58804.080000000009</v>
      </c>
      <c r="D45">
        <v>3</v>
      </c>
      <c r="E45" s="112">
        <f>-E46</f>
        <v>0</v>
      </c>
      <c r="F45" s="112">
        <f t="shared" si="11"/>
        <v>58804.080000000009</v>
      </c>
      <c r="G45">
        <v>10</v>
      </c>
      <c r="H45" s="112">
        <f>+'Proforma AJEs'!H65</f>
        <v>0</v>
      </c>
      <c r="J45" s="112">
        <f t="shared" si="12"/>
        <v>58804.080000000009</v>
      </c>
      <c r="K45" s="112">
        <f>-'Cost Allocations-Contracts'!I46-'Cost Allocations-Contracts'!L46</f>
        <v>-7715.825232246445</v>
      </c>
      <c r="L45" s="112">
        <f>-'Cost Allocations-Recycle'!J46</f>
        <v>-1837.0712424366277</v>
      </c>
      <c r="M45" s="112">
        <f>-'Cost Allocations-Recycle'!M46</f>
        <v>0</v>
      </c>
      <c r="N45" s="119">
        <f t="shared" si="8"/>
        <v>49251.183525316934</v>
      </c>
      <c r="O45" s="112"/>
      <c r="P45" s="112">
        <f t="shared" si="7"/>
        <v>49251.183525316934</v>
      </c>
    </row>
    <row r="46" spans="1:16">
      <c r="A46">
        <v>4242</v>
      </c>
      <c r="B46" t="s">
        <v>283</v>
      </c>
      <c r="C46" s="112">
        <f>+'Monthy Income Statements'!O45</f>
        <v>13077.73</v>
      </c>
      <c r="D46">
        <v>3</v>
      </c>
      <c r="E46" s="112">
        <f>+'Restating AJEs'!I28</f>
        <v>0</v>
      </c>
      <c r="F46" s="112">
        <f t="shared" si="11"/>
        <v>13077.73</v>
      </c>
      <c r="G46">
        <v>10</v>
      </c>
      <c r="H46" s="112">
        <f>+'Proforma AJEs'!H67</f>
        <v>2.4796605991657188</v>
      </c>
      <c r="J46" s="112">
        <f t="shared" si="12"/>
        <v>13080.209660599165</v>
      </c>
      <c r="K46" s="112">
        <f>-'Cost Allocations-Contracts'!I47-'Cost Allocations-Contracts'!L47</f>
        <v>0</v>
      </c>
      <c r="L46" s="112">
        <f>-'Cost Allocations-Recycle'!J47</f>
        <v>0</v>
      </c>
      <c r="M46" s="112">
        <f>-'Cost Allocations-Recycle'!M47</f>
        <v>0</v>
      </c>
      <c r="N46" s="119">
        <f t="shared" si="8"/>
        <v>13080.209660599165</v>
      </c>
      <c r="O46" s="112"/>
      <c r="P46" s="112">
        <f>+N46+O46</f>
        <v>13080.209660599165</v>
      </c>
    </row>
    <row r="47" spans="1:16">
      <c r="A47">
        <v>4244</v>
      </c>
      <c r="B47" t="s">
        <v>333</v>
      </c>
      <c r="C47" s="112">
        <f>+'Monthy Income Statements'!O46</f>
        <v>1737.8500000000004</v>
      </c>
      <c r="E47" s="112"/>
      <c r="F47" s="112">
        <f>+C47+E47</f>
        <v>1737.8500000000004</v>
      </c>
      <c r="H47" s="112"/>
      <c r="J47" s="112">
        <f t="shared" si="12"/>
        <v>1737.8500000000004</v>
      </c>
      <c r="K47" s="112">
        <f>-'Cost Allocations-Contracts'!I48-'Cost Allocations-Contracts'!L48</f>
        <v>0</v>
      </c>
      <c r="L47" s="112">
        <f>-'Cost Allocations-Recycle'!J48</f>
        <v>0</v>
      </c>
      <c r="M47" s="112">
        <f>-'Cost Allocations-Recycle'!M48</f>
        <v>-1737.8500000000004</v>
      </c>
      <c r="N47" s="119">
        <f t="shared" si="8"/>
        <v>0</v>
      </c>
      <c r="O47" s="112"/>
      <c r="P47" s="112">
        <f>+N47+O47</f>
        <v>0</v>
      </c>
    </row>
    <row r="48" spans="1:16">
      <c r="A48">
        <v>4280</v>
      </c>
      <c r="B48" t="s">
        <v>39</v>
      </c>
      <c r="C48" s="112">
        <f>+'Monthy Income Statements'!O47</f>
        <v>7655.6</v>
      </c>
      <c r="E48" s="112"/>
      <c r="F48" s="112">
        <f t="shared" si="11"/>
        <v>7655.6</v>
      </c>
      <c r="H48" s="112"/>
      <c r="J48" s="112">
        <f t="shared" si="12"/>
        <v>7655.6</v>
      </c>
      <c r="K48" s="112">
        <f>-'Cost Allocations-Contracts'!I49-'Cost Allocations-Contracts'!L49</f>
        <v>-1004.5097491192087</v>
      </c>
      <c r="L48" s="112">
        <f>-'Cost Allocations-Recycle'!J49</f>
        <v>-183.32970207890915</v>
      </c>
      <c r="M48" s="112">
        <f>-'Cost Allocations-Recycle'!M49</f>
        <v>0</v>
      </c>
      <c r="N48" s="119">
        <f t="shared" si="8"/>
        <v>6467.7605488018826</v>
      </c>
      <c r="O48" s="112"/>
      <c r="P48" s="112">
        <f t="shared" si="7"/>
        <v>6467.7605488018826</v>
      </c>
    </row>
    <row r="49" spans="1:16">
      <c r="A49">
        <v>4282</v>
      </c>
      <c r="B49" t="s">
        <v>335</v>
      </c>
      <c r="C49" s="112">
        <f>+'Monthy Income Statements'!O48</f>
        <v>0</v>
      </c>
      <c r="E49" s="112"/>
      <c r="F49" s="112">
        <f>+C49+E49</f>
        <v>0</v>
      </c>
      <c r="H49" s="112"/>
      <c r="J49" s="112">
        <f t="shared" si="12"/>
        <v>0</v>
      </c>
      <c r="K49" s="112">
        <f>-'Cost Allocations-Contracts'!I50-'Cost Allocations-Contracts'!L50</f>
        <v>0</v>
      </c>
      <c r="L49" s="112">
        <f>-'Cost Allocations-Recycle'!J50</f>
        <v>0</v>
      </c>
      <c r="M49" s="112">
        <f>-'Cost Allocations-Recycle'!M50</f>
        <v>0</v>
      </c>
      <c r="N49" s="119">
        <f t="shared" si="8"/>
        <v>0</v>
      </c>
      <c r="O49" s="112"/>
      <c r="P49" s="112">
        <f>+N49+O49</f>
        <v>0</v>
      </c>
    </row>
    <row r="50" spans="1:16">
      <c r="A50" t="s">
        <v>17</v>
      </c>
      <c r="C50" s="112"/>
      <c r="E50" s="112"/>
      <c r="F50" s="112"/>
      <c r="H50" s="112"/>
      <c r="J50" s="112"/>
      <c r="K50" s="112"/>
      <c r="L50" s="112"/>
      <c r="M50" s="112"/>
      <c r="N50" s="119"/>
      <c r="O50" s="112"/>
      <c r="P50" s="112"/>
    </row>
    <row r="51" spans="1:16">
      <c r="A51">
        <v>4360</v>
      </c>
      <c r="B51" t="s">
        <v>40</v>
      </c>
      <c r="C51" s="112">
        <f>+'Monthy Income Statements'!O50</f>
        <v>426116.67</v>
      </c>
      <c r="E51" s="112"/>
      <c r="F51" s="112">
        <f>+C51+E51</f>
        <v>426116.67</v>
      </c>
      <c r="G51">
        <v>8</v>
      </c>
      <c r="H51" s="112">
        <f>+'Proforma AJEs'!H47</f>
        <v>997.77000000001863</v>
      </c>
      <c r="J51" s="112">
        <f>+F51+H51+I51</f>
        <v>427114.44</v>
      </c>
      <c r="K51" s="112">
        <f>-'Cost Allocations-Contracts'!I52-'Cost Allocations-Contracts'!L52</f>
        <v>-994.84402708018899</v>
      </c>
      <c r="L51" s="112">
        <f>-'Cost Allocations-Recycle'!J52</f>
        <v>0</v>
      </c>
      <c r="M51" s="112">
        <f>-'Cost Allocations-Recycle'!M52</f>
        <v>0</v>
      </c>
      <c r="N51" s="119">
        <f t="shared" si="8"/>
        <v>426119.59597291984</v>
      </c>
      <c r="O51" s="112"/>
      <c r="P51" s="112">
        <f t="shared" si="7"/>
        <v>426119.59597291984</v>
      </c>
    </row>
    <row r="52" spans="1:16">
      <c r="A52">
        <v>4361</v>
      </c>
      <c r="B52" t="s">
        <v>41</v>
      </c>
      <c r="C52" s="112">
        <f>+'Monthy Income Statements'!O51</f>
        <v>213487.51000000004</v>
      </c>
      <c r="E52" s="112"/>
      <c r="F52" s="112">
        <f>+C52+E52</f>
        <v>213487.51000000004</v>
      </c>
      <c r="H52" s="112"/>
      <c r="J52" s="112">
        <f>+F52+H52+I52</f>
        <v>213487.51000000004</v>
      </c>
      <c r="K52" s="112">
        <f>-'Cost Allocations-Contracts'!I53-'Cost Allocations-Contracts'!L53</f>
        <v>0</v>
      </c>
      <c r="L52" s="112">
        <f>-'Cost Allocations-Recycle'!J53</f>
        <v>0</v>
      </c>
      <c r="M52" s="112">
        <f>-'Cost Allocations-Recycle'!M53</f>
        <v>0</v>
      </c>
      <c r="N52" s="119">
        <f t="shared" si="8"/>
        <v>213487.51000000004</v>
      </c>
      <c r="O52" s="112"/>
      <c r="P52" s="112">
        <f t="shared" si="7"/>
        <v>213487.51000000004</v>
      </c>
    </row>
    <row r="53" spans="1:16">
      <c r="A53">
        <v>4362</v>
      </c>
      <c r="B53" t="s">
        <v>42</v>
      </c>
      <c r="C53" s="112">
        <f>+'Monthy Income Statements'!O52</f>
        <v>235042.99</v>
      </c>
      <c r="E53" s="112"/>
      <c r="F53" s="112">
        <f>+C53+E53</f>
        <v>235042.99</v>
      </c>
      <c r="G53">
        <v>8</v>
      </c>
      <c r="H53" s="112">
        <f>'Proforma AJEs'!H48</f>
        <v>0</v>
      </c>
      <c r="J53" s="112">
        <f>+F53+H53+I53</f>
        <v>235042.99</v>
      </c>
      <c r="K53" s="112">
        <f>-'Cost Allocations-Contracts'!I54-'Cost Allocations-Contracts'!L54</f>
        <v>-124309.62293711108</v>
      </c>
      <c r="L53" s="112">
        <f>-'Cost Allocations-Recycle'!J54</f>
        <v>0</v>
      </c>
      <c r="M53" s="112">
        <f>-'Cost Allocations-Recycle'!M54</f>
        <v>0</v>
      </c>
      <c r="N53" s="119">
        <f t="shared" si="8"/>
        <v>110733.36706288891</v>
      </c>
      <c r="O53" s="112"/>
      <c r="P53" s="112">
        <f t="shared" si="7"/>
        <v>110733.36706288891</v>
      </c>
    </row>
    <row r="54" spans="1:16">
      <c r="A54">
        <v>4363</v>
      </c>
      <c r="B54" t="s">
        <v>43</v>
      </c>
      <c r="C54" s="112">
        <f>+'Monthy Income Statements'!O53</f>
        <v>110827.33</v>
      </c>
      <c r="E54" s="112"/>
      <c r="F54" s="112">
        <f>+C54+E54</f>
        <v>110827.33</v>
      </c>
      <c r="H54" s="112"/>
      <c r="J54" s="112">
        <f>+F54+H54+I54</f>
        <v>110827.33</v>
      </c>
      <c r="K54" s="112">
        <f>-'Cost Allocations-Contracts'!I55-'Cost Allocations-Contracts'!L55</f>
        <v>0</v>
      </c>
      <c r="L54" s="112">
        <f>-'Cost Allocations-Recycle'!J55</f>
        <v>0</v>
      </c>
      <c r="M54" s="112">
        <f>-'Cost Allocations-Recycle'!M55</f>
        <v>0</v>
      </c>
      <c r="N54" s="119">
        <f t="shared" si="8"/>
        <v>110827.33</v>
      </c>
      <c r="O54" s="112"/>
      <c r="P54" s="112">
        <f t="shared" si="7"/>
        <v>110827.33</v>
      </c>
    </row>
    <row r="55" spans="1:16">
      <c r="A55">
        <v>4380</v>
      </c>
      <c r="B55" t="s">
        <v>336</v>
      </c>
      <c r="C55" s="112">
        <f>+'Monthy Income Statements'!O54</f>
        <v>11064.91</v>
      </c>
      <c r="D55">
        <v>4</v>
      </c>
      <c r="E55" s="112">
        <f>-'Restating AJEs'!I39</f>
        <v>-5477.5</v>
      </c>
      <c r="F55" s="112">
        <f>+C55+E55</f>
        <v>5587.41</v>
      </c>
      <c r="H55" s="112">
        <f>'Proforma AJEs'!H86</f>
        <v>0</v>
      </c>
      <c r="J55" s="112">
        <f>+F55+H55+I55</f>
        <v>5587.41</v>
      </c>
      <c r="K55" s="112">
        <f>-'Cost Allocations-Contracts'!I56-'Cost Allocations-Contracts'!L56</f>
        <v>0</v>
      </c>
      <c r="L55" s="112">
        <f>-'Cost Allocations-Recycle'!J56</f>
        <v>0</v>
      </c>
      <c r="M55" s="112">
        <f>-'Cost Allocations-Recycle'!M56</f>
        <v>-5587.41</v>
      </c>
      <c r="N55" s="119">
        <f t="shared" si="8"/>
        <v>0</v>
      </c>
      <c r="O55" s="112"/>
      <c r="P55" s="112">
        <f>+N55+O55</f>
        <v>0</v>
      </c>
    </row>
    <row r="56" spans="1:16">
      <c r="A56" t="s">
        <v>14</v>
      </c>
      <c r="C56" s="112"/>
      <c r="E56" s="112"/>
      <c r="F56" s="112"/>
      <c r="H56" s="112"/>
      <c r="J56" s="112"/>
      <c r="K56" s="112"/>
      <c r="L56" s="112"/>
      <c r="M56" s="112"/>
      <c r="N56" s="119"/>
      <c r="O56" s="112"/>
      <c r="P56" s="112"/>
    </row>
    <row r="57" spans="1:16">
      <c r="A57">
        <v>4430</v>
      </c>
      <c r="B57" t="s">
        <v>44</v>
      </c>
      <c r="C57" s="112">
        <f>+'Monthy Income Statements'!O56</f>
        <v>0</v>
      </c>
      <c r="E57" s="112"/>
      <c r="F57" s="112">
        <f>+C57+E57</f>
        <v>0</v>
      </c>
      <c r="H57" s="112"/>
      <c r="J57" s="112">
        <f>+F57+H57+I57</f>
        <v>0</v>
      </c>
      <c r="K57" s="112">
        <f>-'Cost Allocations-Contracts'!I58-'Cost Allocations-Contracts'!L58</f>
        <v>0</v>
      </c>
      <c r="L57" s="112">
        <f>-'Cost Allocations-Recycle'!J58</f>
        <v>0</v>
      </c>
      <c r="M57" s="112">
        <f>-'Cost Allocations-Recycle'!M58</f>
        <v>0</v>
      </c>
      <c r="N57" s="119">
        <f t="shared" si="8"/>
        <v>0</v>
      </c>
      <c r="O57" s="112"/>
      <c r="P57" s="112">
        <f t="shared" si="7"/>
        <v>0</v>
      </c>
    </row>
    <row r="58" spans="1:16">
      <c r="A58">
        <v>4450</v>
      </c>
      <c r="B58" t="s">
        <v>45</v>
      </c>
      <c r="C58" s="112">
        <f>+'Monthy Income Statements'!O57</f>
        <v>2130</v>
      </c>
      <c r="E58" s="112"/>
      <c r="F58" s="112">
        <f>+C58+E58</f>
        <v>2130</v>
      </c>
      <c r="G58">
        <v>5</v>
      </c>
      <c r="H58" s="112">
        <f>+'Proforma AJEs'!H33</f>
        <v>-600</v>
      </c>
      <c r="J58" s="112">
        <f>+F58+H58+I58</f>
        <v>1530</v>
      </c>
      <c r="K58" s="112">
        <f>-'Cost Allocations-Contracts'!I59-'Cost Allocations-Contracts'!L59</f>
        <v>0</v>
      </c>
      <c r="L58" s="112">
        <f>-'Cost Allocations-Recycle'!J59</f>
        <v>0</v>
      </c>
      <c r="M58" s="112">
        <f>-'Cost Allocations-Recycle'!M59</f>
        <v>0</v>
      </c>
      <c r="N58" s="119">
        <f t="shared" si="8"/>
        <v>1530</v>
      </c>
      <c r="O58" s="112"/>
      <c r="P58" s="112">
        <f t="shared" si="7"/>
        <v>1530</v>
      </c>
    </row>
    <row r="59" spans="1:16">
      <c r="A59" t="s">
        <v>15</v>
      </c>
      <c r="C59" s="112"/>
      <c r="E59" s="112"/>
      <c r="F59" s="112"/>
      <c r="H59" s="112"/>
      <c r="J59" s="112"/>
      <c r="K59" s="112"/>
      <c r="L59" s="112"/>
      <c r="M59" s="112"/>
      <c r="N59" s="119"/>
      <c r="O59" s="112"/>
      <c r="P59" s="112"/>
    </row>
    <row r="60" spans="1:16">
      <c r="A60">
        <v>4530</v>
      </c>
      <c r="B60" t="s">
        <v>46</v>
      </c>
      <c r="C60" s="112">
        <f>+'Monthy Income Statements'!O59</f>
        <v>66676.709999999992</v>
      </c>
      <c r="E60" s="112"/>
      <c r="F60" s="112">
        <f>+C60+E60</f>
        <v>66676.709999999992</v>
      </c>
      <c r="H60" s="112"/>
      <c r="J60" s="112">
        <f>+F60+H60+I60</f>
        <v>66676.709999999992</v>
      </c>
      <c r="K60" s="112">
        <f>-'Cost Allocations-Contracts'!I61-'Cost Allocations-Contracts'!L61</f>
        <v>-8748.8120113634759</v>
      </c>
      <c r="L60" s="112">
        <f>-'Cost Allocations-Recycle'!J61</f>
        <v>-1923.3696027875123</v>
      </c>
      <c r="M60" s="112">
        <f>-'Cost Allocations-Recycle'!M61</f>
        <v>0</v>
      </c>
      <c r="N60" s="119">
        <f t="shared" si="8"/>
        <v>56004.528385849</v>
      </c>
      <c r="O60" s="112"/>
      <c r="P60" s="112">
        <f t="shared" si="7"/>
        <v>56004.528385849</v>
      </c>
    </row>
    <row r="61" spans="1:16">
      <c r="A61">
        <v>4540</v>
      </c>
      <c r="B61" t="s">
        <v>47</v>
      </c>
      <c r="C61" s="112">
        <f>+'Monthy Income Statements'!O60</f>
        <v>23068.21</v>
      </c>
      <c r="E61" s="112"/>
      <c r="F61" s="112">
        <f>+C61+E61</f>
        <v>23068.21</v>
      </c>
      <c r="G61">
        <v>2</v>
      </c>
      <c r="H61" s="112">
        <f>+'Proforma AJEs'!H19</f>
        <v>-527.25720000000501</v>
      </c>
      <c r="J61" s="112">
        <f>+F61+H61+I61</f>
        <v>22540.952799999995</v>
      </c>
      <c r="K61" s="112">
        <f>-'Cost Allocations-Contracts'!I62-'Cost Allocations-Contracts'!L62</f>
        <v>-2957.6528086676312</v>
      </c>
      <c r="L61" s="112">
        <f>-'Cost Allocations-Recycle'!J62</f>
        <v>-650.22079573794304</v>
      </c>
      <c r="M61" s="112">
        <f>-'Cost Allocations-Recycle'!M62</f>
        <v>0</v>
      </c>
      <c r="N61" s="119">
        <f t="shared" si="8"/>
        <v>18933.079195594422</v>
      </c>
      <c r="O61" s="112"/>
      <c r="P61" s="112">
        <f t="shared" si="7"/>
        <v>18933.079195594422</v>
      </c>
    </row>
    <row r="62" spans="1:16">
      <c r="A62">
        <v>4580</v>
      </c>
      <c r="B62" t="s">
        <v>48</v>
      </c>
      <c r="C62" s="112">
        <f>+'Monthy Income Statements'!O61</f>
        <v>0</v>
      </c>
      <c r="E62" s="112"/>
      <c r="F62" s="112">
        <f>+C62+E62</f>
        <v>0</v>
      </c>
      <c r="H62" s="112"/>
      <c r="J62" s="112">
        <f>+F62+H62+I62</f>
        <v>0</v>
      </c>
      <c r="K62" s="112">
        <f>-'Cost Allocations-Contracts'!I63-'Cost Allocations-Contracts'!L63</f>
        <v>0</v>
      </c>
      <c r="L62" s="112">
        <f>-'Cost Allocations-Recycle'!J63</f>
        <v>0</v>
      </c>
      <c r="M62" s="112">
        <f>-'Cost Allocations-Recycle'!M63</f>
        <v>0</v>
      </c>
      <c r="N62" s="119">
        <f t="shared" si="8"/>
        <v>0</v>
      </c>
      <c r="O62" s="112"/>
      <c r="P62" s="112">
        <f t="shared" si="7"/>
        <v>0</v>
      </c>
    </row>
    <row r="63" spans="1:16">
      <c r="A63" t="s">
        <v>18</v>
      </c>
      <c r="C63" s="112"/>
      <c r="E63" s="112"/>
      <c r="F63" s="112"/>
      <c r="H63" s="112"/>
      <c r="J63" s="112"/>
      <c r="K63" s="112"/>
      <c r="L63" s="112"/>
      <c r="M63" s="112"/>
      <c r="N63" s="119"/>
      <c r="O63" s="112"/>
      <c r="P63" s="112"/>
    </row>
    <row r="64" spans="1:16">
      <c r="A64">
        <v>4611</v>
      </c>
      <c r="B64" t="s">
        <v>49</v>
      </c>
      <c r="C64" s="112">
        <f>+'Monthy Income Statements'!O63</f>
        <v>74116.66</v>
      </c>
      <c r="E64" s="112"/>
      <c r="F64" s="112">
        <f t="shared" ref="F64:F82" si="13">+C64+E64</f>
        <v>74116.66</v>
      </c>
      <c r="G64">
        <v>1</v>
      </c>
      <c r="H64" s="112">
        <f>+'Proforma AJEs'!H13</f>
        <v>1200</v>
      </c>
      <c r="J64" s="112">
        <f t="shared" ref="J64:J82" si="14">+F64+H64+I64</f>
        <v>75316.66</v>
      </c>
      <c r="K64" s="112">
        <f>-'Cost Allocations-Contracts'!I65-'Cost Allocations-Contracts'!L65</f>
        <v>-10717.532892840702</v>
      </c>
      <c r="L64" s="112">
        <f>-'Cost Allocations-Recycle'!J65</f>
        <v>-1694.2510395695533</v>
      </c>
      <c r="M64" s="112">
        <f>-'Cost Allocations-Recycle'!M65</f>
        <v>-3132.7283510240945</v>
      </c>
      <c r="N64" s="119">
        <f t="shared" si="8"/>
        <v>59772.147716565654</v>
      </c>
      <c r="O64" s="112"/>
      <c r="P64" s="112">
        <f t="shared" si="7"/>
        <v>59772.147716565654</v>
      </c>
    </row>
    <row r="65" spans="1:16">
      <c r="A65">
        <v>4612</v>
      </c>
      <c r="B65" t="s">
        <v>50</v>
      </c>
      <c r="C65" s="112">
        <f>+'Monthy Income Statements'!O64</f>
        <v>11708.92</v>
      </c>
      <c r="E65" s="112"/>
      <c r="F65" s="112">
        <f t="shared" si="13"/>
        <v>11708.92</v>
      </c>
      <c r="G65">
        <v>1</v>
      </c>
      <c r="H65" s="112">
        <f>+'Proforma AJEs'!H14</f>
        <v>36720</v>
      </c>
      <c r="J65" s="112">
        <f t="shared" si="14"/>
        <v>48428.92</v>
      </c>
      <c r="K65" s="112">
        <f>-'Cost Allocations-Contracts'!I66-'Cost Allocations-Contracts'!L66</f>
        <v>0</v>
      </c>
      <c r="L65" s="112">
        <f>-'Cost Allocations-Recycle'!J66</f>
        <v>-1270.1525814601498</v>
      </c>
      <c r="M65" s="112">
        <f>-'Cost Allocations-Recycle'!M66</f>
        <v>-2348.555738869477</v>
      </c>
      <c r="N65" s="119">
        <f t="shared" si="8"/>
        <v>44810.21167967037</v>
      </c>
      <c r="O65" s="112"/>
      <c r="P65" s="112">
        <f t="shared" si="7"/>
        <v>44810.21167967037</v>
      </c>
    </row>
    <row r="66" spans="1:16">
      <c r="A66">
        <v>4613</v>
      </c>
      <c r="B66" t="s">
        <v>51</v>
      </c>
      <c r="C66" s="112">
        <f>+'Monthy Income Statements'!O65</f>
        <v>114765.61</v>
      </c>
      <c r="E66" s="112"/>
      <c r="F66" s="112">
        <f t="shared" si="13"/>
        <v>114765.61</v>
      </c>
      <c r="G66">
        <v>1</v>
      </c>
      <c r="H66" s="112">
        <f>+'Proforma AJEs'!H15</f>
        <v>-6372</v>
      </c>
      <c r="J66" s="112">
        <f t="shared" si="14"/>
        <v>108393.61</v>
      </c>
      <c r="K66" s="112">
        <f>-'Cost Allocations-Contracts'!I67-'Cost Allocations-Contracts'!L67</f>
        <v>-15424.370657816569</v>
      </c>
      <c r="L66" s="112">
        <f>-'Cost Allocations-Recycle'!J67</f>
        <v>-2438.3182475855506</v>
      </c>
      <c r="M66" s="112">
        <f>-'Cost Allocations-Recycle'!M67</f>
        <v>-4508.5341691579097</v>
      </c>
      <c r="N66" s="119">
        <f t="shared" si="8"/>
        <v>86022.386925439961</v>
      </c>
      <c r="O66" s="112"/>
      <c r="P66" s="112">
        <f t="shared" si="7"/>
        <v>86022.386925439961</v>
      </c>
    </row>
    <row r="67" spans="1:16">
      <c r="A67">
        <v>4620</v>
      </c>
      <c r="B67" t="s">
        <v>52</v>
      </c>
      <c r="C67" s="112">
        <f>+'Monthy Income Statements'!O66</f>
        <v>30096.98</v>
      </c>
      <c r="E67" s="112"/>
      <c r="F67" s="112">
        <f t="shared" si="13"/>
        <v>30096.98</v>
      </c>
      <c r="H67" s="112"/>
      <c r="J67" s="112">
        <f t="shared" si="14"/>
        <v>30096.98</v>
      </c>
      <c r="K67" s="112">
        <f>-'Cost Allocations-Contracts'!I68-'Cost Allocations-Contracts'!L68</f>
        <v>-4282.789134902805</v>
      </c>
      <c r="L67" s="112">
        <f>-'Cost Allocations-Recycle'!J68</f>
        <v>-677.03267315497067</v>
      </c>
      <c r="M67" s="112">
        <f>-'Cost Allocations-Recycle'!M68</f>
        <v>-1251.8566612779316</v>
      </c>
      <c r="N67" s="119">
        <f t="shared" si="8"/>
        <v>23885.301530664292</v>
      </c>
      <c r="O67" s="112"/>
      <c r="P67" s="112">
        <f t="shared" si="7"/>
        <v>23885.301530664292</v>
      </c>
    </row>
    <row r="68" spans="1:16">
      <c r="A68">
        <v>4622</v>
      </c>
      <c r="B68" t="s">
        <v>53</v>
      </c>
      <c r="C68" s="112">
        <f>+'Monthy Income Statements'!O67</f>
        <v>0</v>
      </c>
      <c r="E68" s="112"/>
      <c r="F68" s="112">
        <f t="shared" si="13"/>
        <v>0</v>
      </c>
      <c r="H68" s="112"/>
      <c r="J68" s="112">
        <f t="shared" si="14"/>
        <v>0</v>
      </c>
      <c r="K68" s="112">
        <f>-'Cost Allocations-Contracts'!I69-'Cost Allocations-Contracts'!L69</f>
        <v>0</v>
      </c>
      <c r="L68" s="112">
        <f>-'Cost Allocations-Recycle'!J69</f>
        <v>0</v>
      </c>
      <c r="M68" s="112">
        <f>-'Cost Allocations-Recycle'!M69</f>
        <v>0</v>
      </c>
      <c r="N68" s="119">
        <f t="shared" si="8"/>
        <v>0</v>
      </c>
      <c r="O68" s="112"/>
      <c r="P68" s="112">
        <f t="shared" si="7"/>
        <v>0</v>
      </c>
    </row>
    <row r="69" spans="1:16">
      <c r="A69">
        <v>4624</v>
      </c>
      <c r="B69" t="s">
        <v>54</v>
      </c>
      <c r="C69" s="112">
        <f>+'Monthy Income Statements'!O68</f>
        <v>134.02000000000001</v>
      </c>
      <c r="E69" s="112"/>
      <c r="F69" s="112">
        <f t="shared" si="13"/>
        <v>134.02000000000001</v>
      </c>
      <c r="H69" s="112"/>
      <c r="J69" s="112">
        <f t="shared" si="14"/>
        <v>134.02000000000001</v>
      </c>
      <c r="K69" s="112">
        <f>-'Cost Allocations-Contracts'!I70-'Cost Allocations-Contracts'!L70</f>
        <v>-19.070996487344381</v>
      </c>
      <c r="L69" s="112">
        <f>-'Cost Allocations-Recycle'!J70</f>
        <v>-3.0147848341006029</v>
      </c>
      <c r="M69" s="112">
        <f>-'Cost Allocations-Recycle'!M70</f>
        <v>-5.5744406829013542</v>
      </c>
      <c r="N69" s="119">
        <f t="shared" si="8"/>
        <v>106.35977799565366</v>
      </c>
      <c r="O69" s="112"/>
      <c r="P69" s="112">
        <f t="shared" si="7"/>
        <v>106.35977799565366</v>
      </c>
    </row>
    <row r="70" spans="1:16">
      <c r="A70">
        <v>4625</v>
      </c>
      <c r="B70" t="s">
        <v>55</v>
      </c>
      <c r="C70" s="112">
        <f>+'Monthy Income Statements'!O69</f>
        <v>2951.18</v>
      </c>
      <c r="E70" s="112"/>
      <c r="F70" s="112">
        <f t="shared" si="13"/>
        <v>2951.18</v>
      </c>
      <c r="H70" s="112"/>
      <c r="J70" s="112">
        <f t="shared" si="14"/>
        <v>2951.18</v>
      </c>
      <c r="K70" s="112">
        <f>-'Cost Allocations-Contracts'!I71-'Cost Allocations-Contracts'!L71</f>
        <v>-419.95182370930439</v>
      </c>
      <c r="L70" s="112">
        <f>-'Cost Allocations-Recycle'!J71</f>
        <v>-66.386902751089508</v>
      </c>
      <c r="M70" s="112">
        <f>-'Cost Allocations-Recycle'!M71</f>
        <v>-122.75166284558138</v>
      </c>
      <c r="N70" s="119">
        <f t="shared" si="8"/>
        <v>2342.0896106940245</v>
      </c>
      <c r="O70" s="112"/>
      <c r="P70" s="112">
        <f t="shared" si="7"/>
        <v>2342.0896106940245</v>
      </c>
    </row>
    <row r="71" spans="1:16">
      <c r="A71">
        <v>4627</v>
      </c>
      <c r="B71" t="s">
        <v>56</v>
      </c>
      <c r="C71" s="112">
        <f>+'Monthy Income Statements'!O70</f>
        <v>1878.3</v>
      </c>
      <c r="E71" s="112"/>
      <c r="F71" s="112">
        <f t="shared" si="13"/>
        <v>1878.3</v>
      </c>
      <c r="H71" s="112"/>
      <c r="J71" s="112">
        <f t="shared" si="14"/>
        <v>1878.3</v>
      </c>
      <c r="K71" s="112">
        <f>-'Cost Allocations-Contracts'!I72-'Cost Allocations-Contracts'!L72</f>
        <v>-267.28139607654788</v>
      </c>
      <c r="L71" s="112">
        <f>-'Cost Allocations-Recycle'!J72</f>
        <v>-42.252427651777069</v>
      </c>
      <c r="M71" s="112">
        <f>-'Cost Allocations-Recycle'!M72</f>
        <v>-78.126189633589121</v>
      </c>
      <c r="N71" s="119">
        <f t="shared" si="8"/>
        <v>1490.6399866380859</v>
      </c>
      <c r="O71" s="112"/>
      <c r="P71" s="112">
        <f t="shared" si="7"/>
        <v>1490.6399866380859</v>
      </c>
    </row>
    <row r="72" spans="1:16">
      <c r="A72">
        <v>4628</v>
      </c>
      <c r="B72" t="s">
        <v>1353</v>
      </c>
      <c r="C72" s="112">
        <f>+'Monthy Income Statements'!O71</f>
        <v>10945.22</v>
      </c>
      <c r="E72" s="112"/>
      <c r="F72" s="112">
        <f t="shared" ref="F72" si="15">+C72+E72</f>
        <v>10945.22</v>
      </c>
      <c r="H72" s="112"/>
      <c r="J72" s="112">
        <f t="shared" ref="J72" si="16">+F72+H72+I72</f>
        <v>10945.22</v>
      </c>
      <c r="K72" s="112">
        <f>-'Cost Allocations-Contracts'!I73-'Cost Allocations-Contracts'!L73</f>
        <v>0</v>
      </c>
      <c r="L72" s="112">
        <f>-'Cost Allocations-Recycle'!J73</f>
        <v>-12.66965463559276</v>
      </c>
      <c r="M72" s="112">
        <f>-'Cost Allocations-Recycle'!M73</f>
        <v>-23.426626484283698</v>
      </c>
      <c r="N72" s="119">
        <f t="shared" ref="N72" si="17">+J72+K72+L72+M72</f>
        <v>10909.123718880122</v>
      </c>
      <c r="O72" s="112"/>
      <c r="P72" s="112">
        <f t="shared" ref="P72" si="18">+N72+O72</f>
        <v>10909.123718880122</v>
      </c>
    </row>
    <row r="73" spans="1:16">
      <c r="A73">
        <v>4630</v>
      </c>
      <c r="B73" t="s">
        <v>57</v>
      </c>
      <c r="C73" s="112">
        <f>+'Monthy Income Statements'!O72</f>
        <v>563.22</v>
      </c>
      <c r="E73" s="112"/>
      <c r="F73" s="112">
        <f t="shared" si="13"/>
        <v>563.22</v>
      </c>
      <c r="H73" s="112"/>
      <c r="J73" s="112">
        <f t="shared" si="14"/>
        <v>563.22</v>
      </c>
      <c r="K73" s="112">
        <f>-'Cost Allocations-Contracts'!I74-'Cost Allocations-Contracts'!L74</f>
        <v>-80.145997922713775</v>
      </c>
      <c r="L73" s="112">
        <f>-'Cost Allocations-Recycle'!J73</f>
        <v>-12.66965463559276</v>
      </c>
      <c r="M73" s="112">
        <f>-'Cost Allocations-Recycle'!M73</f>
        <v>-23.426626484283698</v>
      </c>
      <c r="N73" s="119">
        <f t="shared" si="8"/>
        <v>446.97772095740982</v>
      </c>
      <c r="O73" s="112"/>
      <c r="P73" s="112">
        <f t="shared" si="7"/>
        <v>446.97772095740982</v>
      </c>
    </row>
    <row r="74" spans="1:16">
      <c r="A74">
        <v>4640</v>
      </c>
      <c r="B74" t="s">
        <v>58</v>
      </c>
      <c r="C74" s="112">
        <f>+'Monthy Income Statements'!O73</f>
        <v>17256.570000000003</v>
      </c>
      <c r="E74" s="112"/>
      <c r="F74" s="112">
        <f t="shared" si="13"/>
        <v>17256.570000000003</v>
      </c>
      <c r="H74" s="112"/>
      <c r="J74" s="112">
        <f t="shared" si="14"/>
        <v>17256.570000000003</v>
      </c>
      <c r="K74" s="112">
        <f>-'Cost Allocations-Contracts'!I75-'Cost Allocations-Contracts'!L75</f>
        <v>-2455.603535693273</v>
      </c>
      <c r="L74" s="112">
        <f>-'Cost Allocations-Recycle'!J74</f>
        <v>-388.18717747049283</v>
      </c>
      <c r="M74" s="112">
        <f>-'Cost Allocations-Recycle'!M74</f>
        <v>-717.77142109636657</v>
      </c>
      <c r="N74" s="119">
        <f t="shared" si="8"/>
        <v>13695.007865739872</v>
      </c>
      <c r="O74" s="112"/>
      <c r="P74" s="112">
        <f t="shared" si="7"/>
        <v>13695.007865739872</v>
      </c>
    </row>
    <row r="75" spans="1:16">
      <c r="A75">
        <v>4650</v>
      </c>
      <c r="B75" t="s">
        <v>59</v>
      </c>
      <c r="C75" s="112">
        <f>+'Monthy Income Statements'!O74</f>
        <v>71695.320000000022</v>
      </c>
      <c r="E75" s="112"/>
      <c r="F75" s="112">
        <f t="shared" si="13"/>
        <v>71695.320000000022</v>
      </c>
      <c r="G75">
        <v>3</v>
      </c>
      <c r="H75" s="112">
        <f>+'Proforma AJEs'!H21</f>
        <v>11278.919999999984</v>
      </c>
      <c r="J75" s="112">
        <f t="shared" si="14"/>
        <v>82974.240000000005</v>
      </c>
      <c r="K75" s="112">
        <f>-'Cost Allocations-Contracts'!I76-'Cost Allocations-Contracts'!L76</f>
        <v>-11807.203697806815</v>
      </c>
      <c r="L75" s="112">
        <f>-'Cost Allocations-Recycle'!J75</f>
        <v>-1866.5085835921775</v>
      </c>
      <c r="M75" s="112">
        <f>-'Cost Allocations-Recycle'!M75</f>
        <v>-3451.238465071041</v>
      </c>
      <c r="N75" s="119">
        <f t="shared" si="8"/>
        <v>65849.289253529962</v>
      </c>
      <c r="O75" s="112"/>
      <c r="P75" s="112">
        <f t="shared" si="7"/>
        <v>65849.289253529962</v>
      </c>
    </row>
    <row r="76" spans="1:16">
      <c r="A76">
        <v>4652</v>
      </c>
      <c r="B76" t="s">
        <v>60</v>
      </c>
      <c r="C76" s="112">
        <f>+'Monthy Income Statements'!O75</f>
        <v>11897.100000000002</v>
      </c>
      <c r="E76" s="112"/>
      <c r="F76" s="112">
        <f t="shared" si="13"/>
        <v>11897.100000000002</v>
      </c>
      <c r="H76" s="112"/>
      <c r="J76" s="112">
        <f t="shared" si="14"/>
        <v>11897.100000000002</v>
      </c>
      <c r="K76" s="112">
        <f>-'Cost Allocations-Contracts'!I77-'Cost Allocations-Contracts'!L77</f>
        <v>-1692.9529347081393</v>
      </c>
      <c r="L76" s="112">
        <f>-'Cost Allocations-Recycle'!J76</f>
        <v>-267.62570250543416</v>
      </c>
      <c r="M76" s="112">
        <f>-'Cost Allocations-Recycle'!M76</f>
        <v>-494.84911392736689</v>
      </c>
      <c r="N76" s="119">
        <f t="shared" si="8"/>
        <v>9441.6722488590622</v>
      </c>
      <c r="O76" s="112"/>
      <c r="P76" s="112">
        <f t="shared" si="7"/>
        <v>9441.6722488590622</v>
      </c>
    </row>
    <row r="77" spans="1:16">
      <c r="A77">
        <v>4660</v>
      </c>
      <c r="B77" t="s">
        <v>61</v>
      </c>
      <c r="C77" s="112">
        <f>+'Monthy Income Statements'!O76</f>
        <v>0</v>
      </c>
      <c r="E77" s="112"/>
      <c r="F77" s="112">
        <f t="shared" si="13"/>
        <v>0</v>
      </c>
      <c r="H77" s="112"/>
      <c r="J77" s="112">
        <f t="shared" si="14"/>
        <v>0</v>
      </c>
      <c r="K77" s="112">
        <f>-'Cost Allocations-Contracts'!I78-'Cost Allocations-Contracts'!L78</f>
        <v>0</v>
      </c>
      <c r="L77" s="112">
        <f>-'Cost Allocations-Recycle'!J77</f>
        <v>0</v>
      </c>
      <c r="M77" s="112">
        <f>-'Cost Allocations-Recycle'!M77</f>
        <v>0</v>
      </c>
      <c r="N77" s="119">
        <f t="shared" si="8"/>
        <v>0</v>
      </c>
      <c r="O77" s="112"/>
      <c r="P77" s="112">
        <f t="shared" si="7"/>
        <v>0</v>
      </c>
    </row>
    <row r="78" spans="1:16">
      <c r="A78">
        <v>4670</v>
      </c>
      <c r="B78" t="s">
        <v>62</v>
      </c>
      <c r="C78" s="112">
        <f>+'Monthy Income Statements'!O77</f>
        <v>0</v>
      </c>
      <c r="E78" s="112"/>
      <c r="F78" s="112">
        <f t="shared" si="13"/>
        <v>0</v>
      </c>
      <c r="H78" s="112"/>
      <c r="J78" s="112">
        <f t="shared" si="14"/>
        <v>0</v>
      </c>
      <c r="K78" s="112">
        <f>-'Cost Allocations-Contracts'!I79-'Cost Allocations-Contracts'!L79</f>
        <v>0</v>
      </c>
      <c r="L78" s="112">
        <f>-'Cost Allocations-Recycle'!J78</f>
        <v>0</v>
      </c>
      <c r="M78" s="112">
        <f>-'Cost Allocations-Recycle'!M78</f>
        <v>0</v>
      </c>
      <c r="N78" s="119">
        <f t="shared" si="8"/>
        <v>0</v>
      </c>
      <c r="O78" s="112"/>
      <c r="P78" s="112">
        <f t="shared" si="7"/>
        <v>0</v>
      </c>
    </row>
    <row r="79" spans="1:16">
      <c r="A79">
        <v>4680</v>
      </c>
      <c r="B79" t="s">
        <v>63</v>
      </c>
      <c r="C79" s="112">
        <f>+'Monthy Income Statements'!O78</f>
        <v>11877.03</v>
      </c>
      <c r="E79" s="112"/>
      <c r="F79" s="112">
        <f t="shared" si="13"/>
        <v>11877.03</v>
      </c>
      <c r="H79" s="112"/>
      <c r="J79" s="112">
        <f t="shared" si="14"/>
        <v>11877.03</v>
      </c>
      <c r="K79" s="112">
        <f>-'Cost Allocations-Contracts'!I80-'Cost Allocations-Contracts'!L80</f>
        <v>0</v>
      </c>
      <c r="L79" s="112">
        <f>-'Cost Allocations-Recycle'!J79</f>
        <v>-311.50065528158882</v>
      </c>
      <c r="M79" s="112">
        <f>-'Cost Allocations-Recycle'!M79</f>
        <v>-575.97540823179509</v>
      </c>
      <c r="N79" s="119">
        <f t="shared" si="8"/>
        <v>10989.553936486616</v>
      </c>
      <c r="O79" s="112"/>
      <c r="P79" s="112">
        <f t="shared" si="7"/>
        <v>10989.553936486616</v>
      </c>
    </row>
    <row r="80" spans="1:16">
      <c r="A80">
        <v>4692</v>
      </c>
      <c r="B80" t="s">
        <v>64</v>
      </c>
      <c r="C80" s="112">
        <f>+'Monthy Income Statements'!O79</f>
        <v>11157.03</v>
      </c>
      <c r="E80" s="112"/>
      <c r="F80" s="112">
        <f t="shared" si="13"/>
        <v>11157.03</v>
      </c>
      <c r="G80">
        <v>4</v>
      </c>
      <c r="H80" s="112">
        <f>-'Proforma AJEs'!J30</f>
        <v>-1188</v>
      </c>
      <c r="J80" s="112">
        <f t="shared" si="14"/>
        <v>9969.0300000000007</v>
      </c>
      <c r="K80" s="112">
        <f>-'Cost Allocations-Contracts'!I81-'Cost Allocations-Contracts'!L81</f>
        <v>-1418.5892860187341</v>
      </c>
      <c r="L80" s="112">
        <f>-'Cost Allocations-Recycle'!J80</f>
        <v>-224.2536968713172</v>
      </c>
      <c r="M80" s="112">
        <f>-'Cost Allocations-Recycle'!M80</f>
        <v>-414.65278615926047</v>
      </c>
      <c r="N80" s="119">
        <f t="shared" si="8"/>
        <v>7911.5342309506887</v>
      </c>
      <c r="O80" s="112"/>
      <c r="P80" s="112">
        <f t="shared" si="7"/>
        <v>7911.5342309506887</v>
      </c>
    </row>
    <row r="81" spans="1:16">
      <c r="A81">
        <v>4694</v>
      </c>
      <c r="B81" t="s">
        <v>65</v>
      </c>
      <c r="C81" s="112">
        <f>+'Monthy Income Statements'!O80</f>
        <v>0</v>
      </c>
      <c r="E81" s="112"/>
      <c r="F81" s="112">
        <f t="shared" si="13"/>
        <v>0</v>
      </c>
      <c r="H81" s="112"/>
      <c r="J81" s="112">
        <f t="shared" si="14"/>
        <v>0</v>
      </c>
      <c r="K81" s="112">
        <f>-'Cost Allocations-Contracts'!I82-'Cost Allocations-Contracts'!L82</f>
        <v>0</v>
      </c>
      <c r="L81" s="112">
        <f>-'Cost Allocations-Recycle'!J81</f>
        <v>0</v>
      </c>
      <c r="M81" s="112">
        <f>-'Cost Allocations-Recycle'!M81</f>
        <v>0</v>
      </c>
      <c r="N81" s="119">
        <f t="shared" si="8"/>
        <v>0</v>
      </c>
      <c r="O81" s="112"/>
      <c r="P81" s="112">
        <f t="shared" si="7"/>
        <v>0</v>
      </c>
    </row>
    <row r="82" spans="1:16">
      <c r="A82">
        <v>4698</v>
      </c>
      <c r="B82" t="s">
        <v>66</v>
      </c>
      <c r="C82" s="112">
        <f>+'Monthy Income Statements'!O81</f>
        <v>240.11</v>
      </c>
      <c r="E82" s="112"/>
      <c r="F82" s="112">
        <f t="shared" si="13"/>
        <v>240.11</v>
      </c>
      <c r="H82" s="112"/>
      <c r="J82" s="112">
        <f t="shared" si="14"/>
        <v>240.11</v>
      </c>
      <c r="K82" s="112">
        <f>-'Cost Allocations-Contracts'!I83-'Cost Allocations-Contracts'!L83</f>
        <v>-34.167564293211896</v>
      </c>
      <c r="L82" s="112">
        <f>-'Cost Allocations-Recycle'!J82</f>
        <v>-5.4012832899260994</v>
      </c>
      <c r="M82" s="112">
        <f>-'Cost Allocations-Recycle'!M82</f>
        <v>-9.9871582776559045</v>
      </c>
      <c r="N82" s="119">
        <f t="shared" si="8"/>
        <v>190.55399413920608</v>
      </c>
      <c r="O82" s="112"/>
      <c r="P82" s="112">
        <f t="shared" si="7"/>
        <v>190.55399413920608</v>
      </c>
    </row>
    <row r="83" spans="1:16">
      <c r="A83" t="s">
        <v>19</v>
      </c>
      <c r="C83" s="112"/>
      <c r="E83" s="112"/>
      <c r="F83" s="112"/>
      <c r="H83" s="112"/>
      <c r="J83" s="112"/>
      <c r="K83" s="112"/>
      <c r="L83" s="112"/>
      <c r="M83" s="112"/>
      <c r="N83" s="119"/>
      <c r="O83" s="112"/>
      <c r="P83" s="112"/>
    </row>
    <row r="84" spans="1:16">
      <c r="A84">
        <v>5010</v>
      </c>
      <c r="B84" t="s">
        <v>67</v>
      </c>
      <c r="C84" s="112">
        <f>+'Monthy Income Statements'!O83</f>
        <v>0</v>
      </c>
      <c r="D84">
        <v>1</v>
      </c>
      <c r="E84" s="112">
        <f>-'Restating AJEs'!I13</f>
        <v>262508</v>
      </c>
      <c r="F84" s="112">
        <f>+C84+E84</f>
        <v>262508</v>
      </c>
      <c r="H84" s="112"/>
      <c r="J84" s="112">
        <f>+F84+H84+I84</f>
        <v>262508</v>
      </c>
      <c r="K84" s="112">
        <f>-'Cost Allocations-Contracts'!I85-'Cost Allocations-Contracts'!L85</f>
        <v>-33799.647114327425</v>
      </c>
      <c r="L84" s="112">
        <f>-'Cost Allocations-Recycle'!J84</f>
        <v>-168.69736581675937</v>
      </c>
      <c r="M84" s="112">
        <f>-'Cost Allocations-Recycle'!M84</f>
        <v>-3895.9246120943685</v>
      </c>
      <c r="N84" s="119">
        <f t="shared" si="8"/>
        <v>224643.73090776146</v>
      </c>
      <c r="O84" s="112"/>
      <c r="P84" s="112">
        <f t="shared" si="7"/>
        <v>224643.73090776146</v>
      </c>
    </row>
    <row r="85" spans="1:16">
      <c r="A85">
        <v>5100</v>
      </c>
      <c r="B85" t="s">
        <v>68</v>
      </c>
      <c r="C85" s="112">
        <f>+'Monthy Income Statements'!O84</f>
        <v>-40000</v>
      </c>
      <c r="D85">
        <v>2</v>
      </c>
      <c r="E85" s="112">
        <f>-'Restating AJEs'!I20</f>
        <v>39524</v>
      </c>
      <c r="F85" s="112">
        <f>+C85+E85</f>
        <v>-476</v>
      </c>
      <c r="G85">
        <v>13</v>
      </c>
      <c r="H85" s="112">
        <f>'Proforma AJEs'!H91</f>
        <v>-8681</v>
      </c>
      <c r="J85" s="112">
        <f>+F85+H85+I85</f>
        <v>-9157</v>
      </c>
      <c r="K85" s="112">
        <f>-'Cost Allocations-Contracts'!I86-'Cost Allocations-Contracts'!L86</f>
        <v>1179.0245197323366</v>
      </c>
      <c r="L85" s="112">
        <f>-'Cost Allocations-Recycle'!J85</f>
        <v>5.884627435293651</v>
      </c>
      <c r="M85" s="112">
        <f>-'Cost Allocations-Recycle'!M85</f>
        <v>135.900550356363</v>
      </c>
      <c r="N85" s="119">
        <f t="shared" si="8"/>
        <v>-7836.1903024760068</v>
      </c>
      <c r="O85" s="112"/>
      <c r="P85" s="112">
        <f t="shared" si="7"/>
        <v>-7836.1903024760068</v>
      </c>
    </row>
    <row r="86" spans="1:16">
      <c r="A86" t="s">
        <v>20</v>
      </c>
      <c r="C86" s="112"/>
      <c r="E86" s="112"/>
      <c r="F86" s="112"/>
      <c r="H86" s="112"/>
      <c r="J86" s="112"/>
      <c r="K86" s="112"/>
      <c r="L86" s="112"/>
      <c r="M86" s="112"/>
      <c r="N86" s="119"/>
      <c r="O86" s="112"/>
      <c r="P86" s="112"/>
    </row>
    <row r="87" spans="1:16">
      <c r="A87">
        <v>5151</v>
      </c>
      <c r="B87" t="s">
        <v>69</v>
      </c>
      <c r="C87" s="112">
        <f>+'Monthy Income Statements'!O86</f>
        <v>0</v>
      </c>
      <c r="E87" s="112"/>
      <c r="F87" s="112">
        <f>+C87+E87</f>
        <v>0</v>
      </c>
      <c r="H87" s="112"/>
      <c r="J87" s="112">
        <f>+F87+H87+I87</f>
        <v>0</v>
      </c>
      <c r="K87" s="112">
        <f>-'Cost Allocations-Contracts'!I88-'Cost Allocations-Contracts'!L88</f>
        <v>0</v>
      </c>
      <c r="L87" s="112"/>
      <c r="M87" s="112">
        <f>-'Cost Allocations-Recycle'!M87</f>
        <v>0</v>
      </c>
      <c r="N87" s="119">
        <f t="shared" si="8"/>
        <v>0</v>
      </c>
      <c r="O87" s="112"/>
      <c r="P87" s="112">
        <f t="shared" si="7"/>
        <v>0</v>
      </c>
    </row>
    <row r="88" spans="1:16">
      <c r="A88" t="s">
        <v>21</v>
      </c>
      <c r="C88" s="112"/>
      <c r="E88" s="112"/>
      <c r="F88" s="112"/>
      <c r="H88" s="112"/>
      <c r="J88" s="112"/>
      <c r="K88" s="112"/>
      <c r="L88" s="112"/>
      <c r="M88" s="112"/>
      <c r="N88" s="119"/>
      <c r="O88" s="112"/>
      <c r="P88" s="112"/>
    </row>
    <row r="89" spans="1:16">
      <c r="A89">
        <v>5220</v>
      </c>
      <c r="B89" t="s">
        <v>70</v>
      </c>
      <c r="C89" s="112">
        <f>+'Monthy Income Statements'!O88</f>
        <v>6540.25</v>
      </c>
      <c r="E89" s="112"/>
      <c r="F89" s="112">
        <f t="shared" ref="F89:F98" si="19">+C89+E89</f>
        <v>6540.25</v>
      </c>
      <c r="H89" s="112"/>
      <c r="J89" s="112">
        <f t="shared" ref="J89:J98" si="20">+F89+H89+I89</f>
        <v>6540.25</v>
      </c>
      <c r="K89" s="112">
        <f>-'Cost Allocations-Contracts'!I90-'Cost Allocations-Contracts'!L90</f>
        <v>-858.16198425687139</v>
      </c>
      <c r="L89" s="112">
        <f>-'Cost Allocations-Recycle'!J89</f>
        <v>-188.66134883726312</v>
      </c>
      <c r="M89" s="112">
        <f>-'Cost Allocations-Recycle'!M89</f>
        <v>0</v>
      </c>
      <c r="N89" s="119">
        <f t="shared" si="8"/>
        <v>5493.4266669058652</v>
      </c>
      <c r="O89" s="112"/>
      <c r="P89" s="112">
        <f t="shared" si="7"/>
        <v>5493.4266669058652</v>
      </c>
    </row>
    <row r="90" spans="1:16">
      <c r="A90">
        <v>5230</v>
      </c>
      <c r="B90" t="s">
        <v>71</v>
      </c>
      <c r="C90" s="112">
        <f>+'Monthy Income Statements'!O89</f>
        <v>2427.35</v>
      </c>
      <c r="E90" s="112"/>
      <c r="F90" s="112">
        <f t="shared" si="19"/>
        <v>2427.35</v>
      </c>
      <c r="H90" s="112"/>
      <c r="J90" s="112">
        <f t="shared" si="20"/>
        <v>2427.35</v>
      </c>
      <c r="K90" s="112">
        <f>-'Cost Allocations-Contracts'!I91-'Cost Allocations-Contracts'!L91</f>
        <v>-208.63544362292052</v>
      </c>
      <c r="L90" s="112">
        <f>-'Cost Allocations-Recycle'!J90</f>
        <v>0</v>
      </c>
      <c r="M90" s="112">
        <f>-'Cost Allocations-Recycle'!M90</f>
        <v>0</v>
      </c>
      <c r="N90" s="119">
        <f t="shared" si="8"/>
        <v>2218.7145563770796</v>
      </c>
      <c r="O90" s="112"/>
      <c r="P90" s="112">
        <f t="shared" si="7"/>
        <v>2218.7145563770796</v>
      </c>
    </row>
    <row r="91" spans="1:16">
      <c r="A91">
        <v>5240</v>
      </c>
      <c r="B91" t="s">
        <v>72</v>
      </c>
      <c r="C91" s="112">
        <f>+'Monthy Income Statements'!O90</f>
        <v>50664.69</v>
      </c>
      <c r="E91" s="112"/>
      <c r="F91" s="112">
        <f t="shared" si="19"/>
        <v>50664.69</v>
      </c>
      <c r="H91" s="112"/>
      <c r="J91" s="112">
        <f t="shared" si="20"/>
        <v>50664.69</v>
      </c>
      <c r="K91" s="112">
        <f>-'Cost Allocations-Contracts'!I92-'Cost Allocations-Contracts'!L92</f>
        <v>-6647.8362298320808</v>
      </c>
      <c r="L91" s="112">
        <f>-'Cost Allocations-Recycle'!J91</f>
        <v>-1174.4371143446679</v>
      </c>
      <c r="M91" s="112">
        <f>-'Cost Allocations-Recycle'!M91</f>
        <v>-2002.9144534061206</v>
      </c>
      <c r="N91" s="119">
        <f t="shared" si="8"/>
        <v>40839.502202417134</v>
      </c>
      <c r="O91" s="112"/>
      <c r="P91" s="112">
        <f t="shared" si="7"/>
        <v>40839.502202417134</v>
      </c>
    </row>
    <row r="92" spans="1:16">
      <c r="A92">
        <v>5241</v>
      </c>
      <c r="B92" t="s">
        <v>73</v>
      </c>
      <c r="C92" s="112">
        <f>+'Monthy Income Statements'!O91</f>
        <v>618.75</v>
      </c>
      <c r="E92" s="112"/>
      <c r="F92" s="112">
        <f t="shared" si="19"/>
        <v>618.75</v>
      </c>
      <c r="H92" s="112"/>
      <c r="J92" s="112">
        <f t="shared" si="20"/>
        <v>618.75</v>
      </c>
      <c r="K92" s="112">
        <f>-'Cost Allocations-Contracts'!I93-'Cost Allocations-Contracts'!L93</f>
        <v>-81.187680556391456</v>
      </c>
      <c r="L92" s="112">
        <f>-'Cost Allocations-Recycle'!J92</f>
        <v>-92.112714850562185</v>
      </c>
      <c r="M92" s="112">
        <f>-'Cost Allocations-Recycle'!M92</f>
        <v>-157.09132967891142</v>
      </c>
      <c r="N92" s="119">
        <f>+J92+K92+L92+M92</f>
        <v>288.358274914135</v>
      </c>
      <c r="O92" s="112"/>
      <c r="P92" s="112">
        <f t="shared" si="7"/>
        <v>288.358274914135</v>
      </c>
    </row>
    <row r="93" spans="1:16">
      <c r="A93">
        <v>5242</v>
      </c>
      <c r="B93" t="s">
        <v>74</v>
      </c>
      <c r="C93" s="112">
        <f>+'Monthy Income Statements'!O92</f>
        <v>622.97</v>
      </c>
      <c r="E93" s="112"/>
      <c r="F93" s="112">
        <f t="shared" si="19"/>
        <v>622.97</v>
      </c>
      <c r="G93">
        <v>11</v>
      </c>
      <c r="H93" s="112">
        <f>+'Proforma AJEs'!H71</f>
        <v>3443.445232</v>
      </c>
      <c r="J93" s="112">
        <f t="shared" si="20"/>
        <v>4066.4152320000003</v>
      </c>
      <c r="K93" s="112">
        <f>-'Cost Allocations-Contracts'!I94-'Cost Allocations-Contracts'!L94</f>
        <v>-533.56415493375425</v>
      </c>
      <c r="L93" s="112">
        <f>-'Cost Allocations-Recycle'!J93</f>
        <v>-19.957754884288473</v>
      </c>
      <c r="M93" s="112">
        <f>-'Cost Allocations-Recycle'!M93</f>
        <v>-34.036454763764141</v>
      </c>
      <c r="N93" s="119">
        <f>+J93+K93+L93+M93</f>
        <v>3478.8568674181934</v>
      </c>
      <c r="O93" s="112"/>
      <c r="P93" s="112">
        <f t="shared" si="7"/>
        <v>3478.8568674181934</v>
      </c>
    </row>
    <row r="94" spans="1:16">
      <c r="A94">
        <v>5260</v>
      </c>
      <c r="B94" t="s">
        <v>75</v>
      </c>
      <c r="C94" s="112">
        <f>+'Monthy Income Statements'!O93</f>
        <v>50840.360000000008</v>
      </c>
      <c r="E94" s="112"/>
      <c r="F94" s="112">
        <f t="shared" si="19"/>
        <v>50840.360000000008</v>
      </c>
      <c r="G94">
        <v>7</v>
      </c>
      <c r="H94" s="112">
        <f>'Proforma AJEs'!I44</f>
        <v>0</v>
      </c>
      <c r="J94" s="112">
        <f t="shared" si="20"/>
        <v>50840.360000000008</v>
      </c>
      <c r="K94" s="112">
        <f>-'Cost Allocations-Contracts'!I95-'Cost Allocations-Contracts'!L95</f>
        <v>-6074.2841718183936</v>
      </c>
      <c r="L94" s="112">
        <f>-'Cost Allocations-Recycle'!J94</f>
        <v>-579.99648650569998</v>
      </c>
      <c r="M94" s="112">
        <f>-'Cost Allocations-Recycle'!M94</f>
        <v>-1069.0635958108346</v>
      </c>
      <c r="N94" s="119">
        <f>+J94+K94+L94+M94</f>
        <v>43117.015745865087</v>
      </c>
      <c r="O94" s="112">
        <f>+O21*'General Data'!$E$10</f>
        <v>0</v>
      </c>
      <c r="P94" s="112">
        <f t="shared" si="7"/>
        <v>43117.015745865087</v>
      </c>
    </row>
    <row r="95" spans="1:16">
      <c r="A95">
        <v>5270</v>
      </c>
      <c r="B95" t="s">
        <v>76</v>
      </c>
      <c r="C95" s="112">
        <f>+'Monthy Income Statements'!O94</f>
        <v>7041.33</v>
      </c>
      <c r="E95" s="112"/>
      <c r="F95" s="112">
        <f t="shared" si="19"/>
        <v>7041.33</v>
      </c>
      <c r="H95" s="112"/>
      <c r="J95" s="112">
        <f t="shared" si="20"/>
        <v>7041.33</v>
      </c>
      <c r="K95" s="112">
        <f>-'Cost Allocations-Contracts'!I96-'Cost Allocations-Contracts'!L96</f>
        <v>0</v>
      </c>
      <c r="L95" s="112">
        <f>-'Cost Allocations-Recycle'!J95</f>
        <v>0</v>
      </c>
      <c r="M95" s="112">
        <f>-'Cost Allocations-Recycle'!M95</f>
        <v>0</v>
      </c>
      <c r="N95" s="119">
        <f>+J95+K95+L95+M95</f>
        <v>7041.33</v>
      </c>
      <c r="O95" s="112"/>
      <c r="P95" s="112">
        <f t="shared" si="7"/>
        <v>7041.33</v>
      </c>
    </row>
    <row r="96" spans="1:16">
      <c r="A96">
        <v>5290</v>
      </c>
      <c r="B96" t="s">
        <v>77</v>
      </c>
      <c r="C96" s="112">
        <f>+'Monthy Income Statements'!O95</f>
        <v>-22611.07</v>
      </c>
      <c r="E96" s="112"/>
      <c r="F96" s="112">
        <f t="shared" si="19"/>
        <v>-22611.07</v>
      </c>
      <c r="H96" s="112"/>
      <c r="J96" s="112">
        <f t="shared" si="20"/>
        <v>-22611.07</v>
      </c>
      <c r="K96" s="112">
        <f>-'Cost Allocations-Contracts'!I97-'Cost Allocations-Contracts'!L97</f>
        <v>2966.8530556738679</v>
      </c>
      <c r="L96" s="112">
        <f>-'Cost Allocations-Recycle'!J96</f>
        <v>652.24341039773321</v>
      </c>
      <c r="M96" s="112">
        <f>-'Cost Allocations-Recycle'!M96</f>
        <v>0</v>
      </c>
      <c r="N96" s="119">
        <f>+J96+K96+L96+M96</f>
        <v>-18991.973533928398</v>
      </c>
      <c r="O96" s="112"/>
      <c r="P96" s="112">
        <f t="shared" si="7"/>
        <v>-18991.973533928398</v>
      </c>
    </row>
    <row r="97" spans="1:16">
      <c r="A97" t="s">
        <v>22</v>
      </c>
      <c r="C97" s="112"/>
      <c r="E97" s="112"/>
      <c r="F97" s="112"/>
      <c r="H97" s="112"/>
      <c r="J97" s="112"/>
      <c r="K97" s="112"/>
      <c r="L97" s="112"/>
      <c r="M97" s="112"/>
      <c r="N97" s="119"/>
      <c r="O97" s="112"/>
      <c r="P97" s="112"/>
    </row>
    <row r="98" spans="1:16">
      <c r="A98">
        <v>5320</v>
      </c>
      <c r="B98" t="s">
        <v>78</v>
      </c>
      <c r="C98" s="112">
        <f>+'Monthy Income Statements'!O97</f>
        <v>83436</v>
      </c>
      <c r="E98" s="112"/>
      <c r="F98" s="112">
        <f t="shared" si="19"/>
        <v>83436</v>
      </c>
      <c r="G98">
        <v>12</v>
      </c>
      <c r="H98" s="112">
        <f>'Proforma AJEs'!H74</f>
        <v>2484</v>
      </c>
      <c r="J98" s="112">
        <f t="shared" si="20"/>
        <v>85920</v>
      </c>
      <c r="K98" s="112">
        <f>-'Cost Allocations-Contracts'!I99-'Cost Allocations-Contracts'!L99</f>
        <v>-12226.384257518497</v>
      </c>
      <c r="L98" s="112">
        <f>-'Cost Allocations-Recycle'!J98</f>
        <v>0</v>
      </c>
      <c r="M98" s="112">
        <f>-'Cost Allocations-Recycle'!M98</f>
        <v>0</v>
      </c>
      <c r="N98" s="119">
        <f>+J98+K98+L98+M98</f>
        <v>73693.615742481503</v>
      </c>
      <c r="O98" s="112"/>
      <c r="P98" s="112">
        <f>+N98+O98</f>
        <v>73693.615742481503</v>
      </c>
    </row>
    <row r="99" spans="1:16" ht="13.5" thickBot="1">
      <c r="A99">
        <v>5322</v>
      </c>
      <c r="B99" s="83" t="s">
        <v>371</v>
      </c>
      <c r="C99" s="113">
        <f>+'Monthy Income Statements'!O98</f>
        <v>28800</v>
      </c>
      <c r="D99" s="5"/>
      <c r="E99" s="113"/>
      <c r="F99" s="113">
        <f>+C99+E99</f>
        <v>28800</v>
      </c>
      <c r="G99" s="5">
        <v>12</v>
      </c>
      <c r="H99" s="113">
        <f>'Proforma AJEs'!H75</f>
        <v>0</v>
      </c>
      <c r="I99" s="5"/>
      <c r="J99" s="113">
        <f>+F99+H99+I99</f>
        <v>28800</v>
      </c>
      <c r="K99" s="113">
        <f>-'Cost Allocations-Contracts'!I100-'Cost Allocations-Contracts'!L100</f>
        <v>0</v>
      </c>
      <c r="L99" s="113">
        <f>-'Cost Allocations-Recycle'!J99</f>
        <v>-10129.345189108684</v>
      </c>
      <c r="M99" s="113">
        <f>-'Cost Allocations-Recycle'!M99</f>
        <v>-18670.654810891316</v>
      </c>
      <c r="N99" s="120">
        <f>+J99+K99+L99+M99</f>
        <v>0</v>
      </c>
      <c r="O99" s="113"/>
      <c r="P99" s="113">
        <f>+N99+O99</f>
        <v>0</v>
      </c>
    </row>
    <row r="100" spans="1:16">
      <c r="C100" s="112"/>
      <c r="E100" s="112"/>
      <c r="F100" s="112"/>
      <c r="H100" s="112"/>
      <c r="J100" s="112"/>
      <c r="K100" s="112"/>
      <c r="L100" s="112"/>
      <c r="M100" s="112"/>
      <c r="N100" s="119"/>
      <c r="O100" s="112"/>
      <c r="P100" s="112"/>
    </row>
    <row r="101" spans="1:16" ht="13.5" thickBot="1">
      <c r="B101" t="s">
        <v>23</v>
      </c>
      <c r="C101" s="113">
        <f>SUM(C25:C99)</f>
        <v>2271154.66</v>
      </c>
      <c r="D101" s="5"/>
      <c r="E101" s="113">
        <f>SUM(E25:E99)</f>
        <v>296554.5</v>
      </c>
      <c r="F101" s="113">
        <f>SUM(F25:F99)</f>
        <v>2567709.16</v>
      </c>
      <c r="G101" s="5"/>
      <c r="H101" s="113">
        <f t="shared" ref="H101:P101" si="21">SUM(H25:H99)</f>
        <v>54293.907692599154</v>
      </c>
      <c r="I101" s="7">
        <f t="shared" si="21"/>
        <v>0</v>
      </c>
      <c r="J101" s="113">
        <f t="shared" si="21"/>
        <v>2622003.0676925988</v>
      </c>
      <c r="K101" s="113">
        <f t="shared" si="21"/>
        <v>-317323.53035909246</v>
      </c>
      <c r="L101" s="113">
        <f t="shared" si="21"/>
        <v>-37855.068701093471</v>
      </c>
      <c r="M101" s="113">
        <f t="shared" si="21"/>
        <v>-68447.445034741453</v>
      </c>
      <c r="N101" s="120">
        <f t="shared" si="21"/>
        <v>2198377.0235976717</v>
      </c>
      <c r="O101" s="113">
        <f t="shared" si="21"/>
        <v>0</v>
      </c>
      <c r="P101" s="113">
        <f t="shared" si="21"/>
        <v>2198377.0235976717</v>
      </c>
    </row>
    <row r="102" spans="1:16">
      <c r="C102" s="112"/>
      <c r="E102" s="112"/>
      <c r="F102" s="112"/>
      <c r="H102" s="112"/>
      <c r="I102" s="6"/>
      <c r="J102" s="112"/>
      <c r="K102" s="112"/>
      <c r="L102" s="112"/>
      <c r="M102" s="112"/>
      <c r="N102" s="121"/>
      <c r="O102" s="112"/>
      <c r="P102" s="112"/>
    </row>
    <row r="103" spans="1:16" ht="13.5" thickBot="1">
      <c r="B103" t="s">
        <v>24</v>
      </c>
      <c r="C103" s="113">
        <f>+C21-C101</f>
        <v>604158.62999999896</v>
      </c>
      <c r="D103" s="5"/>
      <c r="E103" s="113">
        <f>+E21-E101</f>
        <v>-297441.60999999993</v>
      </c>
      <c r="F103" s="113">
        <f>+F21-F101</f>
        <v>306717.01999999909</v>
      </c>
      <c r="G103" s="5"/>
      <c r="H103" s="113">
        <f t="shared" ref="H103:P103" si="22">+H21-H101</f>
        <v>-54293.907692599154</v>
      </c>
      <c r="I103" s="7">
        <f t="shared" si="22"/>
        <v>0</v>
      </c>
      <c r="J103" s="113">
        <f t="shared" si="22"/>
        <v>252423.11230740044</v>
      </c>
      <c r="K103" s="113">
        <f t="shared" si="22"/>
        <v>-26106.009640907519</v>
      </c>
      <c r="L103" s="113">
        <f t="shared" si="22"/>
        <v>5063.0687010934707</v>
      </c>
      <c r="M103" s="113">
        <f t="shared" si="22"/>
        <v>8004.4350347414584</v>
      </c>
      <c r="N103" s="120">
        <f t="shared" si="22"/>
        <v>239384.60640232824</v>
      </c>
      <c r="O103" s="113">
        <f t="shared" si="22"/>
        <v>0</v>
      </c>
      <c r="P103" s="113">
        <f t="shared" si="22"/>
        <v>239384.60640232824</v>
      </c>
    </row>
    <row r="104" spans="1:16">
      <c r="C104" s="6"/>
      <c r="E104" s="6"/>
      <c r="F104" s="6"/>
      <c r="J104" s="6"/>
      <c r="N104" s="6"/>
    </row>
    <row r="105" spans="1:16">
      <c r="B105" t="s">
        <v>103</v>
      </c>
      <c r="C105" s="10">
        <f>+C101/C21</f>
        <v>0.78988076461052381</v>
      </c>
      <c r="E105" s="10"/>
      <c r="F105" s="10">
        <f>+F101/F21</f>
        <v>0.89329452183044089</v>
      </c>
      <c r="J105" s="10">
        <f>+J101/J21</f>
        <v>0.91218312925768008</v>
      </c>
      <c r="K105" s="10">
        <f>+K101/K21</f>
        <v>0.92398437932593824</v>
      </c>
      <c r="L105" s="10">
        <f>+L101/L21</f>
        <v>1.1543995090599375</v>
      </c>
      <c r="M105" s="10">
        <f>+M101/M21</f>
        <v>1.132429457678257</v>
      </c>
      <c r="N105" s="10">
        <f>+N101/N21</f>
        <v>0.9018014708836285</v>
      </c>
      <c r="P105" s="10">
        <f>+P101/P21</f>
        <v>0.9018014708836285</v>
      </c>
    </row>
    <row r="106" spans="1:16">
      <c r="C106" s="6"/>
    </row>
    <row r="107" spans="1:16">
      <c r="B107" t="s">
        <v>104</v>
      </c>
      <c r="C107" s="114">
        <f>'Depr Allocation'!AD18</f>
        <v>1057787.4103095238</v>
      </c>
      <c r="D107" s="112"/>
      <c r="E107" s="112"/>
      <c r="F107" s="112">
        <f>+C107</f>
        <v>1057787.4103095238</v>
      </c>
      <c r="G107" s="112"/>
      <c r="H107" s="112"/>
      <c r="I107" s="112"/>
      <c r="J107" s="112">
        <f>+F107</f>
        <v>1057787.4103095238</v>
      </c>
      <c r="K107" s="112">
        <f>J107*K108</f>
        <v>136197.14900285011</v>
      </c>
      <c r="L107" s="112">
        <f>(J107-K107)*L108</f>
        <v>679.77337724316328</v>
      </c>
      <c r="M107" s="112">
        <f>(J107-K107)*M108</f>
        <v>15698.797774499975</v>
      </c>
      <c r="N107" s="112">
        <f>+J107-K107-L107-M107</f>
        <v>905211.69015493058</v>
      </c>
      <c r="O107" s="112"/>
      <c r="P107" s="112">
        <f>+N107-O107</f>
        <v>905211.69015493058</v>
      </c>
    </row>
    <row r="108" spans="1:16">
      <c r="C108" s="6"/>
      <c r="K108" s="51">
        <f>+'Depr Allocation'!N14+'Depr Allocation'!N16</f>
        <v>0.12875663642375632</v>
      </c>
      <c r="L108" s="51">
        <f>'Depr Allocation'!N40</f>
        <v>7.3760911522583676E-4</v>
      </c>
      <c r="M108" s="51">
        <f>'Depr Allocation'!N38</f>
        <v>1.703446578552326E-2</v>
      </c>
      <c r="N108" s="10">
        <f>+N107/J107</f>
        <v>0.85575956126198616</v>
      </c>
    </row>
    <row r="109" spans="1:16">
      <c r="C109" s="6"/>
    </row>
    <row r="110" spans="1:16">
      <c r="C110" s="6"/>
    </row>
    <row r="111" spans="1:16">
      <c r="C111" s="6"/>
    </row>
    <row r="112" spans="1:16">
      <c r="C112" s="6"/>
    </row>
    <row r="113" spans="3:3">
      <c r="C113" s="6"/>
    </row>
    <row r="114" spans="3:3">
      <c r="C114" s="6"/>
    </row>
  </sheetData>
  <phoneticPr fontId="0" type="noConversion"/>
  <pageMargins left="0.25" right="0.42" top="0.5" bottom="0.5" header="0.5" footer="0.5"/>
  <pageSetup scale="68" fitToHeight="2" orientation="landscape" horizontalDpi="4294967293" verticalDpi="4294967293"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D4" sqref="D4"/>
    </sheetView>
  </sheetViews>
  <sheetFormatPr defaultRowHeight="12.75"/>
  <cols>
    <col min="1" max="1" width="19.28515625" customWidth="1"/>
    <col min="2" max="2" width="22" customWidth="1"/>
    <col min="3" max="3" width="12.42578125" customWidth="1"/>
    <col min="4" max="4" width="12.140625" customWidth="1"/>
    <col min="6" max="6" width="11.28515625" bestFit="1" customWidth="1"/>
  </cols>
  <sheetData>
    <row r="1" spans="1:5">
      <c r="A1" t="str">
        <f>+'Wage Summary'!A1</f>
        <v>Zippy Disposal Service, Inc.</v>
      </c>
    </row>
    <row r="3" spans="1:5">
      <c r="A3" t="s">
        <v>317</v>
      </c>
      <c r="D3" s="693" t="s">
        <v>1414</v>
      </c>
      <c r="E3" s="693" t="s">
        <v>702</v>
      </c>
    </row>
    <row r="5" spans="1:5">
      <c r="A5" s="160">
        <v>2020</v>
      </c>
    </row>
    <row r="12" spans="1:5">
      <c r="A12" t="str">
        <f>+'Wage Summary'!A10</f>
        <v>Name</v>
      </c>
      <c r="C12" s="2" t="str">
        <f>+'Wage Summary'!R9</f>
        <v>Proforma</v>
      </c>
      <c r="D12" s="2" t="s">
        <v>679</v>
      </c>
    </row>
    <row r="13" spans="1:5">
      <c r="C13" s="131" t="str">
        <f>+'Wage Summary'!R10</f>
        <v>Amount</v>
      </c>
      <c r="D13" s="131" t="s">
        <v>678</v>
      </c>
    </row>
    <row r="15" spans="1:5">
      <c r="A15" t="str">
        <f>+'Wage Summary'!A12</f>
        <v>Glen Austin</v>
      </c>
      <c r="C15" s="272">
        <f>+'Wage Summary'!R12</f>
        <v>108393.61</v>
      </c>
      <c r="D15" s="272">
        <f>IF(C15&gt;$F$38,$F$38,C15)</f>
        <v>56500</v>
      </c>
    </row>
    <row r="16" spans="1:5">
      <c r="A16" t="str">
        <f>+'Wage Summary'!A13</f>
        <v>Carrie Austin</v>
      </c>
      <c r="C16" s="272">
        <f>+'Wage Summary'!R13</f>
        <v>8555.66</v>
      </c>
      <c r="D16" s="720">
        <f t="shared" ref="D16:D34" si="0">IF(C16&gt;$F$38,$F$38,C16)</f>
        <v>8555.66</v>
      </c>
    </row>
    <row r="17" spans="1:4">
      <c r="A17" t="str">
        <f>+'Wage Summary'!A14</f>
        <v>Jack Austin</v>
      </c>
      <c r="C17" s="272">
        <f>+'Wage Summary'!R14</f>
        <v>2172.5100000000002</v>
      </c>
      <c r="D17" s="720">
        <f t="shared" si="0"/>
        <v>2172.5100000000002</v>
      </c>
    </row>
    <row r="18" spans="1:4">
      <c r="A18" t="str">
        <f>+'Wage Summary'!A15</f>
        <v>Narciso Cortes</v>
      </c>
      <c r="C18" s="272">
        <f>+'Wage Summary'!R15</f>
        <v>52935.98</v>
      </c>
      <c r="D18" s="720">
        <f t="shared" si="0"/>
        <v>52935.98</v>
      </c>
    </row>
    <row r="19" spans="1:4">
      <c r="A19" t="str">
        <f>+'Wage Summary'!A16</f>
        <v>Felipe De La Mora</v>
      </c>
      <c r="C19" s="272">
        <f>+'Wage Summary'!R16</f>
        <v>58593.16</v>
      </c>
      <c r="D19" s="720">
        <f t="shared" si="0"/>
        <v>56500</v>
      </c>
    </row>
    <row r="20" spans="1:4">
      <c r="A20" t="str">
        <f>+'Wage Summary'!A17</f>
        <v>Jackson Engstrom</v>
      </c>
      <c r="C20" s="272">
        <f>+'Wage Summary'!R17</f>
        <v>5025.5</v>
      </c>
      <c r="D20" s="720">
        <f t="shared" si="0"/>
        <v>5025.5</v>
      </c>
    </row>
    <row r="21" spans="1:4">
      <c r="A21" t="str">
        <f>+'Wage Summary'!A18</f>
        <v>Paul Hunter</v>
      </c>
      <c r="C21" s="272">
        <f>+'Wage Summary'!R18</f>
        <v>792.91</v>
      </c>
      <c r="D21" s="720">
        <f t="shared" si="0"/>
        <v>792.91</v>
      </c>
    </row>
    <row r="22" spans="1:4">
      <c r="A22" t="str">
        <f>+'Wage Summary'!A19</f>
        <v>Randy Lloyd</v>
      </c>
      <c r="C22" s="272">
        <f>+'Wage Summary'!R19</f>
        <v>29728.75</v>
      </c>
      <c r="D22" s="720">
        <f t="shared" si="0"/>
        <v>29728.75</v>
      </c>
    </row>
    <row r="23" spans="1:4">
      <c r="A23" t="str">
        <f>+'Wage Summary'!A20</f>
        <v>Mario Loera</v>
      </c>
      <c r="C23" s="272">
        <f>+'Wage Summary'!R20</f>
        <v>58005.850000000006</v>
      </c>
      <c r="D23" s="720">
        <f t="shared" si="0"/>
        <v>56500</v>
      </c>
    </row>
    <row r="24" spans="1:4">
      <c r="A24" t="str">
        <f>+'Wage Summary'!A21</f>
        <v>Roberto Anaya Luna</v>
      </c>
      <c r="C24" s="272">
        <f>+'Wage Summary'!R21</f>
        <v>54488.15</v>
      </c>
      <c r="D24" s="720">
        <f t="shared" si="0"/>
        <v>54488.15</v>
      </c>
    </row>
    <row r="25" spans="1:4">
      <c r="A25" t="str">
        <f>+'Wage Summary'!A22</f>
        <v>Jerry Mckinney</v>
      </c>
      <c r="C25" s="272">
        <f>+'Wage Summary'!R22</f>
        <v>94908.12999999999</v>
      </c>
      <c r="D25" s="720">
        <f t="shared" si="0"/>
        <v>56500</v>
      </c>
    </row>
    <row r="26" spans="1:4">
      <c r="A26" t="str">
        <f>+'Wage Summary'!A23</f>
        <v>Leo Miller</v>
      </c>
      <c r="C26" s="272">
        <f>+'Wage Summary'!R23</f>
        <v>74116.66</v>
      </c>
      <c r="D26" s="720">
        <f t="shared" si="0"/>
        <v>56500</v>
      </c>
    </row>
    <row r="27" spans="1:4">
      <c r="A27" t="str">
        <f>+'Wage Summary'!A24</f>
        <v>Polly Miller</v>
      </c>
      <c r="C27" s="272">
        <f>+'Wage Summary'!R24</f>
        <v>1200</v>
      </c>
      <c r="D27" s="720">
        <f t="shared" si="0"/>
        <v>1200</v>
      </c>
    </row>
    <row r="28" spans="1:4">
      <c r="A28" t="str">
        <f>+'Wage Summary'!A25</f>
        <v>Douglas Ramsey</v>
      </c>
      <c r="C28" s="272">
        <f>+'Wage Summary'!R25</f>
        <v>55101.33</v>
      </c>
      <c r="D28" s="720">
        <f t="shared" si="0"/>
        <v>55101.33</v>
      </c>
    </row>
    <row r="29" spans="1:4">
      <c r="A29" t="str">
        <f>+'Wage Summary'!A26</f>
        <v>Caitylyn Rinehart</v>
      </c>
      <c r="C29" s="272">
        <f>+'Wage Summary'!R26</f>
        <v>405</v>
      </c>
      <c r="D29" s="720">
        <f t="shared" si="0"/>
        <v>405</v>
      </c>
    </row>
    <row r="30" spans="1:4">
      <c r="A30" t="str">
        <f>+'Wage Summary'!A27</f>
        <v>Ryan Sargent</v>
      </c>
      <c r="C30" s="272">
        <f>+'Wage Summary'!R27</f>
        <v>11738.599999999999</v>
      </c>
      <c r="D30" s="720">
        <f t="shared" si="0"/>
        <v>11738.599999999999</v>
      </c>
    </row>
    <row r="31" spans="1:4">
      <c r="A31" t="str">
        <f>+'Wage Summary'!A28</f>
        <v>Allen Tilbury</v>
      </c>
      <c r="C31" s="272">
        <f>+'Wage Summary'!R28</f>
        <v>46834.85</v>
      </c>
      <c r="D31" s="720">
        <f t="shared" si="0"/>
        <v>46834.85</v>
      </c>
    </row>
    <row r="32" spans="1:4">
      <c r="A32" t="str">
        <f>+'Wage Summary'!A29</f>
        <v>Julie Cooper</v>
      </c>
      <c r="C32" s="272">
        <f>+'Wage Summary'!R29</f>
        <v>36720</v>
      </c>
      <c r="D32" s="720">
        <f t="shared" si="0"/>
        <v>36720</v>
      </c>
    </row>
    <row r="33" spans="1:7">
      <c r="A33" t="str">
        <f>+'Wage Summary'!A30</f>
        <v>Roberto Vejar</v>
      </c>
      <c r="C33" s="272">
        <f>+'Wage Summary'!R30</f>
        <v>5526.75</v>
      </c>
      <c r="D33" s="720">
        <f t="shared" si="0"/>
        <v>5526.75</v>
      </c>
    </row>
    <row r="34" spans="1:7">
      <c r="A34" t="str">
        <f>+'Wage Summary'!A31</f>
        <v>Terry Verellen</v>
      </c>
      <c r="C34" s="271">
        <f>+'Wage Summary'!R31</f>
        <v>4276.25</v>
      </c>
      <c r="D34" s="271">
        <f t="shared" si="0"/>
        <v>4276.25</v>
      </c>
    </row>
    <row r="35" spans="1:7">
      <c r="C35" s="53"/>
    </row>
    <row r="36" spans="1:7">
      <c r="C36" s="63">
        <f>SUM(C15:C34)</f>
        <v>709519.65</v>
      </c>
      <c r="D36" s="63">
        <f>SUM(D15:D34)</f>
        <v>598002.24</v>
      </c>
    </row>
    <row r="37" spans="1:7">
      <c r="C37" s="53"/>
    </row>
    <row r="38" spans="1:7">
      <c r="A38" s="83" t="s">
        <v>1326</v>
      </c>
      <c r="D38" s="42">
        <v>6.7999999999999996E-3</v>
      </c>
      <c r="F38" s="719">
        <v>56500</v>
      </c>
      <c r="G38" s="693" t="s">
        <v>1396</v>
      </c>
    </row>
    <row r="40" spans="1:7">
      <c r="A40" s="83" t="s">
        <v>1327</v>
      </c>
      <c r="D40" s="53">
        <f>+D36*D38</f>
        <v>4066.4152319999998</v>
      </c>
    </row>
    <row r="41" spans="1:7">
      <c r="D41" s="53"/>
    </row>
    <row r="42" spans="1:7">
      <c r="A42" t="s">
        <v>677</v>
      </c>
      <c r="D42" s="57">
        <f>'Results of Operations Staff '!C93</f>
        <v>622.97</v>
      </c>
    </row>
    <row r="43" spans="1:7">
      <c r="D43" s="53"/>
    </row>
    <row r="44" spans="1:7" ht="13.5" thickBot="1">
      <c r="A44" t="s">
        <v>578</v>
      </c>
      <c r="D44" s="224">
        <f>+D40-D42</f>
        <v>3443.445232</v>
      </c>
      <c r="E44" s="83" t="s">
        <v>1328</v>
      </c>
    </row>
    <row r="45" spans="1:7" ht="13.5" thickTop="1">
      <c r="D45" s="53"/>
    </row>
    <row r="46" spans="1:7">
      <c r="D46" s="53"/>
    </row>
  </sheetData>
  <pageMargins left="0.75" right="0.75" top="1" bottom="1" header="0.5" footer="0.5"/>
  <pageSetup orientation="portrait" horizontalDpi="4294967293" verticalDpi="4294967293"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J43" sqref="J43"/>
    </sheetView>
  </sheetViews>
  <sheetFormatPr defaultRowHeight="12.75"/>
  <cols>
    <col min="1" max="1" width="2.7109375" customWidth="1"/>
    <col min="5" max="5" width="12.140625" customWidth="1"/>
    <col min="6" max="6" width="11.7109375" customWidth="1"/>
    <col min="7" max="7" width="12.85546875" customWidth="1"/>
  </cols>
  <sheetData>
    <row r="1" spans="1:7">
      <c r="A1" t="str">
        <f>+'Wage Summary'!A1</f>
        <v>Zippy Disposal Service, Inc.</v>
      </c>
    </row>
    <row r="3" spans="1:7">
      <c r="A3" s="83" t="s">
        <v>690</v>
      </c>
      <c r="E3" s="693" t="s">
        <v>1414</v>
      </c>
      <c r="F3" s="693" t="s">
        <v>702</v>
      </c>
    </row>
    <row r="5" spans="1:7">
      <c r="A5" s="694" t="s">
        <v>1407</v>
      </c>
      <c r="B5" s="702"/>
    </row>
    <row r="11" spans="1:7">
      <c r="A11" s="83" t="s">
        <v>689</v>
      </c>
    </row>
    <row r="12" spans="1:7">
      <c r="E12">
        <v>2020</v>
      </c>
      <c r="F12">
        <v>2021</v>
      </c>
      <c r="G12" s="90" t="s">
        <v>688</v>
      </c>
    </row>
    <row r="13" spans="1:7">
      <c r="A13" s="83" t="s">
        <v>687</v>
      </c>
    </row>
    <row r="14" spans="1:7">
      <c r="B14" s="83" t="s">
        <v>686</v>
      </c>
      <c r="E14" s="233">
        <v>41112</v>
      </c>
      <c r="F14" s="233">
        <v>42336</v>
      </c>
      <c r="G14" s="47">
        <f>+F14-E14</f>
        <v>1224</v>
      </c>
    </row>
    <row r="15" spans="1:7">
      <c r="B15" s="83" t="s">
        <v>685</v>
      </c>
      <c r="E15" s="233">
        <v>13500</v>
      </c>
      <c r="F15" s="233">
        <v>13896</v>
      </c>
      <c r="G15" s="47">
        <f>+F15-E15</f>
        <v>396</v>
      </c>
    </row>
    <row r="16" spans="1:7">
      <c r="B16" s="83" t="s">
        <v>684</v>
      </c>
      <c r="E16" s="233">
        <v>18804</v>
      </c>
      <c r="F16" s="233">
        <v>19368</v>
      </c>
      <c r="G16" s="47">
        <f>+F16-E16</f>
        <v>564</v>
      </c>
    </row>
    <row r="17" spans="2:8">
      <c r="B17" s="83" t="s">
        <v>683</v>
      </c>
      <c r="E17" s="233">
        <v>10020</v>
      </c>
      <c r="F17" s="233">
        <v>10320</v>
      </c>
      <c r="G17" s="47">
        <f>+F17-E17</f>
        <v>300</v>
      </c>
    </row>
    <row r="18" spans="2:8">
      <c r="E18" s="274"/>
      <c r="F18" s="274"/>
      <c r="G18" s="76"/>
    </row>
    <row r="19" spans="2:8">
      <c r="E19" s="233">
        <f>SUM(E14:E18)</f>
        <v>83436</v>
      </c>
      <c r="F19" s="233">
        <f>SUM(F14:F18)</f>
        <v>85920</v>
      </c>
      <c r="G19" s="233">
        <f>SUM(G14:G18)</f>
        <v>2484</v>
      </c>
      <c r="H19" s="83" t="s">
        <v>578</v>
      </c>
    </row>
    <row r="20" spans="2:8">
      <c r="E20" s="233"/>
      <c r="F20" s="233"/>
      <c r="G20" s="233"/>
      <c r="H20" s="83"/>
    </row>
    <row r="21" spans="2:8">
      <c r="B21" s="83" t="s">
        <v>680</v>
      </c>
      <c r="E21" s="43"/>
      <c r="F21" s="43">
        <f>'Monthy Income Statements'!$O$97</f>
        <v>83436</v>
      </c>
    </row>
    <row r="22" spans="2:8">
      <c r="F22" s="233"/>
    </row>
    <row r="23" spans="2:8" ht="13.5" thickBot="1">
      <c r="B23" s="83" t="s">
        <v>251</v>
      </c>
      <c r="F23" s="691">
        <f>F19-F21</f>
        <v>2484</v>
      </c>
      <c r="G23" s="693" t="s">
        <v>1408</v>
      </c>
    </row>
    <row r="24" spans="2:8" ht="13.5" thickTop="1">
      <c r="E24" s="233"/>
      <c r="F24" s="233"/>
    </row>
    <row r="25" spans="2:8">
      <c r="E25" s="233"/>
      <c r="F25" s="233"/>
    </row>
    <row r="26" spans="2:8">
      <c r="E26" s="233"/>
      <c r="F26" s="233"/>
    </row>
    <row r="27" spans="2:8">
      <c r="E27">
        <v>2020</v>
      </c>
      <c r="F27">
        <v>2021</v>
      </c>
      <c r="G27" s="676" t="s">
        <v>688</v>
      </c>
    </row>
    <row r="28" spans="2:8">
      <c r="B28" s="83" t="s">
        <v>682</v>
      </c>
      <c r="E28" s="233"/>
      <c r="F28" s="233"/>
    </row>
    <row r="29" spans="2:8">
      <c r="B29" s="83" t="s">
        <v>681</v>
      </c>
      <c r="E29" s="233">
        <v>28800</v>
      </c>
      <c r="F29" s="233">
        <v>28800</v>
      </c>
      <c r="G29" s="47">
        <f>+F29-E29</f>
        <v>0</v>
      </c>
      <c r="H29" s="83" t="s">
        <v>578</v>
      </c>
    </row>
    <row r="30" spans="2:8">
      <c r="E30" s="274"/>
      <c r="F30" s="274"/>
      <c r="G30" s="76"/>
    </row>
    <row r="31" spans="2:8">
      <c r="E31" s="233">
        <f>E29</f>
        <v>28800</v>
      </c>
      <c r="F31" s="233">
        <f>F29</f>
        <v>28800</v>
      </c>
      <c r="G31" s="233">
        <f>SUM(G19:G29)</f>
        <v>2484</v>
      </c>
    </row>
    <row r="32" spans="2:8">
      <c r="E32" s="47"/>
    </row>
    <row r="33" spans="2:7">
      <c r="B33" s="83" t="s">
        <v>680</v>
      </c>
      <c r="F33" s="43">
        <f>'Monthy Income Statements'!$O$98</f>
        <v>28800</v>
      </c>
    </row>
    <row r="35" spans="2:7" ht="13.5" thickBot="1">
      <c r="B35" s="83" t="s">
        <v>251</v>
      </c>
      <c r="F35" s="273">
        <f>F31-F33</f>
        <v>0</v>
      </c>
      <c r="G35" s="693" t="s">
        <v>1408</v>
      </c>
    </row>
    <row r="36" spans="2:7" ht="13.5" thickTop="1"/>
    <row r="37" spans="2:7">
      <c r="B37" s="83" t="s">
        <v>1330</v>
      </c>
    </row>
    <row r="40" spans="2:7">
      <c r="B40" s="83"/>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2"/>
  <sheetViews>
    <sheetView tabSelected="1" topLeftCell="A13" workbookViewId="0">
      <selection activeCell="D70" sqref="D70"/>
    </sheetView>
  </sheetViews>
  <sheetFormatPr defaultRowHeight="12.75"/>
  <cols>
    <col min="1" max="1" width="10.140625" bestFit="1" customWidth="1"/>
    <col min="4" max="4" width="24.5703125" customWidth="1"/>
  </cols>
  <sheetData>
    <row r="1" spans="1:9">
      <c r="A1" t="s">
        <v>0</v>
      </c>
    </row>
    <row r="2" spans="1:9">
      <c r="A2" t="s">
        <v>741</v>
      </c>
      <c r="E2" t="s">
        <v>740</v>
      </c>
      <c r="F2" s="247" t="s">
        <v>739</v>
      </c>
    </row>
    <row r="3" spans="1:9">
      <c r="A3" s="222">
        <v>44196</v>
      </c>
      <c r="E3" t="s">
        <v>738</v>
      </c>
      <c r="F3" s="277" t="s">
        <v>737</v>
      </c>
    </row>
    <row r="4" spans="1:9">
      <c r="E4" t="s">
        <v>736</v>
      </c>
      <c r="F4" s="276" t="s">
        <v>735</v>
      </c>
    </row>
    <row r="5" spans="1:9">
      <c r="F5" s="275"/>
    </row>
    <row r="6" spans="1:9">
      <c r="F6" s="275"/>
    </row>
    <row r="7" spans="1:9">
      <c r="F7" s="275"/>
    </row>
    <row r="9" spans="1:9">
      <c r="A9" t="s">
        <v>734</v>
      </c>
      <c r="I9" t="s">
        <v>319</v>
      </c>
    </row>
    <row r="10" spans="1:9">
      <c r="B10" t="s">
        <v>733</v>
      </c>
      <c r="E10" s="693" t="str">
        <f>'General Data'!E3</f>
        <v>C</v>
      </c>
      <c r="F10" t="str">
        <f t="shared" ref="F10:F16" si="0">IF(E10="a",$F$2,IF(E10="p",$F$3,IF(E10="c",$F$4,"err")))</f>
        <v>Completed</v>
      </c>
    </row>
    <row r="11" spans="1:9">
      <c r="B11" s="83" t="s">
        <v>732</v>
      </c>
      <c r="E11" s="693" t="str">
        <f>'Monthly Data-Hours &amp; Miles'!E3</f>
        <v>C</v>
      </c>
      <c r="F11" t="str">
        <f t="shared" si="0"/>
        <v>Completed</v>
      </c>
    </row>
    <row r="12" spans="1:9">
      <c r="B12" s="83" t="s">
        <v>731</v>
      </c>
      <c r="E12" s="693" t="str">
        <f>'Monthly Data-Container Count'!E3</f>
        <v>C</v>
      </c>
      <c r="F12" t="str">
        <f t="shared" si="0"/>
        <v>Completed</v>
      </c>
    </row>
    <row r="13" spans="1:9">
      <c r="B13" s="83" t="s">
        <v>730</v>
      </c>
      <c r="E13" s="693" t="str">
        <f>'Monthly Data-Disposal Fees'!E3</f>
        <v>C</v>
      </c>
      <c r="F13" t="str">
        <f t="shared" si="0"/>
        <v>Completed</v>
      </c>
    </row>
    <row r="14" spans="1:9">
      <c r="B14" t="s">
        <v>729</v>
      </c>
      <c r="E14" s="693" t="str">
        <f>'Service Count Data'!E3</f>
        <v>C</v>
      </c>
      <c r="F14" t="str">
        <f t="shared" si="0"/>
        <v>Completed</v>
      </c>
    </row>
    <row r="15" spans="1:9">
      <c r="B15" t="s">
        <v>728</v>
      </c>
      <c r="E15" s="693" t="str">
        <f>'Pateros Service Counts'!F3</f>
        <v>C</v>
      </c>
      <c r="F15" t="str">
        <f t="shared" si="0"/>
        <v>Completed</v>
      </c>
    </row>
    <row r="16" spans="1:9">
      <c r="B16" t="s">
        <v>727</v>
      </c>
      <c r="E16" s="693" t="str">
        <f>'Bridgeport Service Counts'!G3</f>
        <v>C</v>
      </c>
      <c r="F16" t="str">
        <f t="shared" si="0"/>
        <v>Completed</v>
      </c>
    </row>
    <row r="19" spans="1:6">
      <c r="A19" t="s">
        <v>726</v>
      </c>
    </row>
    <row r="20" spans="1:6">
      <c r="B20" t="s">
        <v>725</v>
      </c>
      <c r="E20" s="693" t="str">
        <f>Lurito!F3</f>
        <v>C</v>
      </c>
      <c r="F20" t="str">
        <f t="shared" ref="F20:F35" si="1">IF(E20="a",$F$2,IF(E20="p",$F$3,IF(E20="c",$F$4,"err")))</f>
        <v>Completed</v>
      </c>
    </row>
    <row r="21" spans="1:6">
      <c r="B21" s="693" t="s">
        <v>1435</v>
      </c>
      <c r="E21" s="693" t="str">
        <f>'Results of Operations Staff '!D3</f>
        <v>C</v>
      </c>
      <c r="F21" t="str">
        <f t="shared" si="1"/>
        <v>Completed</v>
      </c>
    </row>
    <row r="22" spans="1:6">
      <c r="B22" s="693" t="s">
        <v>1436</v>
      </c>
      <c r="E22" s="693" t="str">
        <f>'Results of Operations Regulated'!D3</f>
        <v>C</v>
      </c>
      <c r="F22" t="str">
        <f t="shared" ref="F22:F23" si="2">IF(E22="a",$F$2,IF(E22="p",$F$3,IF(E22="c",$F$4,"err")))</f>
        <v>Completed</v>
      </c>
    </row>
    <row r="23" spans="1:6">
      <c r="B23" s="693" t="s">
        <v>1437</v>
      </c>
      <c r="E23" s="693" t="str">
        <f>'Staff Pro Forma'!D3</f>
        <v>C</v>
      </c>
      <c r="F23" t="str">
        <f t="shared" si="2"/>
        <v>Completed</v>
      </c>
    </row>
    <row r="24" spans="1:6">
      <c r="B24" t="s">
        <v>200</v>
      </c>
      <c r="E24" s="693" t="str">
        <f>'Restating AJEs'!E3</f>
        <v>C</v>
      </c>
      <c r="F24" t="str">
        <f>IF(E24="a",$F$2,IF(E24="p",$F$3,IF(E24="c",$F$4,"err")))</f>
        <v>Completed</v>
      </c>
    </row>
    <row r="25" spans="1:6">
      <c r="B25" t="s">
        <v>255</v>
      </c>
      <c r="E25" s="693" t="str">
        <f>'Proforma AJEs'!E3</f>
        <v>C</v>
      </c>
      <c r="F25" t="str">
        <f t="shared" si="1"/>
        <v>Completed</v>
      </c>
    </row>
    <row r="26" spans="1:6">
      <c r="B26" t="s">
        <v>710</v>
      </c>
      <c r="E26" s="693" t="str">
        <f>'Cost Allocations'!G3</f>
        <v>C</v>
      </c>
      <c r="F26" t="str">
        <f t="shared" si="1"/>
        <v>Completed</v>
      </c>
    </row>
    <row r="27" spans="1:6">
      <c r="B27" s="693" t="s">
        <v>1432</v>
      </c>
      <c r="E27" s="693" t="str">
        <f>'Cost Allocations-Contracts'!G3</f>
        <v>C</v>
      </c>
      <c r="F27" t="str">
        <f t="shared" ref="F27:F29" si="3">IF(E27="a",$F$2,IF(E27="p",$F$3,IF(E27="c",$F$4,"err")))</f>
        <v>Completed</v>
      </c>
    </row>
    <row r="28" spans="1:6">
      <c r="B28" s="693" t="s">
        <v>1433</v>
      </c>
      <c r="E28" s="693" t="str">
        <f>'Cost Allocations-Recycle'!E3</f>
        <v>C</v>
      </c>
      <c r="F28" t="str">
        <f t="shared" si="3"/>
        <v>Completed</v>
      </c>
    </row>
    <row r="29" spans="1:6">
      <c r="B29" s="693" t="s">
        <v>1434</v>
      </c>
      <c r="E29" s="693" t="str">
        <f>'Cost Allocations-Rolloff'!F3</f>
        <v>C</v>
      </c>
      <c r="F29" t="str">
        <f t="shared" si="3"/>
        <v>Completed</v>
      </c>
    </row>
    <row r="30" spans="1:6">
      <c r="B30" t="s">
        <v>708</v>
      </c>
      <c r="E30" s="693" t="str">
        <f>'Depr Allocation'!E3</f>
        <v>C</v>
      </c>
      <c r="F30" t="str">
        <f t="shared" si="1"/>
        <v>Completed</v>
      </c>
    </row>
    <row r="31" spans="1:6">
      <c r="B31" t="s">
        <v>707</v>
      </c>
      <c r="E31" s="693" t="str">
        <f>'Hours &amp; Miles'!G3</f>
        <v>C</v>
      </c>
      <c r="F31" t="str">
        <f t="shared" si="1"/>
        <v>Completed</v>
      </c>
    </row>
    <row r="32" spans="1:6">
      <c r="B32" t="s">
        <v>706</v>
      </c>
      <c r="E32" s="693" t="str">
        <f>'Container Count'!E3</f>
        <v>C</v>
      </c>
      <c r="F32" t="str">
        <f t="shared" si="1"/>
        <v>Completed</v>
      </c>
    </row>
    <row r="33" spans="1:8">
      <c r="B33" s="693" t="s">
        <v>1130</v>
      </c>
      <c r="E33" s="693" t="str">
        <f>DEPN2K!D2</f>
        <v>C</v>
      </c>
      <c r="F33" t="str">
        <f t="shared" si="1"/>
        <v>Completed</v>
      </c>
    </row>
    <row r="34" spans="1:8">
      <c r="B34" t="s">
        <v>724</v>
      </c>
      <c r="E34" s="693" t="str">
        <f>'Wutc Balance Sheet'!G2</f>
        <v>A</v>
      </c>
      <c r="F34" t="str">
        <f t="shared" si="1"/>
        <v>Awaiting Data</v>
      </c>
    </row>
    <row r="35" spans="1:8">
      <c r="B35" t="s">
        <v>723</v>
      </c>
      <c r="E35" s="693" t="str">
        <f>'Monthy Income Statements'!E3</f>
        <v>C</v>
      </c>
      <c r="F35" t="str">
        <f t="shared" si="1"/>
        <v>Completed</v>
      </c>
    </row>
    <row r="38" spans="1:8">
      <c r="A38" t="s">
        <v>674</v>
      </c>
    </row>
    <row r="39" spans="1:8">
      <c r="B39" t="s">
        <v>577</v>
      </c>
      <c r="E39" s="693" t="str">
        <f>'Wage Summary'!E3</f>
        <v>C</v>
      </c>
      <c r="F39" t="str">
        <f t="shared" ref="F39:F48" si="4">IF(E39="a",$F$2,IF(E39="p",$F$3,IF(E39="c",$F$4,"err")))</f>
        <v>Completed</v>
      </c>
    </row>
    <row r="40" spans="1:8">
      <c r="B40" t="s">
        <v>722</v>
      </c>
      <c r="E40" s="693" t="str">
        <f>'L&amp;I'!E3</f>
        <v>C</v>
      </c>
      <c r="F40" t="str">
        <f t="shared" si="4"/>
        <v>Completed</v>
      </c>
      <c r="H40" s="70"/>
    </row>
    <row r="41" spans="1:8">
      <c r="B41" t="s">
        <v>721</v>
      </c>
      <c r="E41" s="693" t="str">
        <f>'Health Insurance'!F3</f>
        <v>C</v>
      </c>
      <c r="F41" t="str">
        <f t="shared" si="4"/>
        <v>Completed</v>
      </c>
    </row>
    <row r="42" spans="1:8">
      <c r="B42" t="s">
        <v>720</v>
      </c>
      <c r="E42" s="693" t="str">
        <f>'City Contracts'!E3</f>
        <v>C</v>
      </c>
      <c r="F42" t="str">
        <f t="shared" si="4"/>
        <v>Completed</v>
      </c>
    </row>
    <row r="43" spans="1:8">
      <c r="B43" t="s">
        <v>612</v>
      </c>
      <c r="E43" s="693" t="str">
        <f>'Disposal Fees'!E3</f>
        <v>C</v>
      </c>
      <c r="F43" t="str">
        <f t="shared" si="4"/>
        <v>Completed</v>
      </c>
    </row>
    <row r="44" spans="1:8">
      <c r="B44" t="s">
        <v>719</v>
      </c>
      <c r="E44" s="83" t="str">
        <f>'Previous rate increases'!G2</f>
        <v>C</v>
      </c>
      <c r="F44" t="str">
        <f t="shared" si="4"/>
        <v>Completed</v>
      </c>
    </row>
    <row r="45" spans="1:8">
      <c r="B45" t="s">
        <v>666</v>
      </c>
      <c r="E45" s="693" t="str">
        <f>'Fuel Summary'!E3</f>
        <v>C</v>
      </c>
      <c r="F45" t="str">
        <f t="shared" si="4"/>
        <v>Completed</v>
      </c>
    </row>
    <row r="46" spans="1:8">
      <c r="B46" t="s">
        <v>718</v>
      </c>
      <c r="E46" s="693" t="str">
        <f>'Fuel Proforma'!E3</f>
        <v>C</v>
      </c>
      <c r="F46" t="str">
        <f t="shared" si="4"/>
        <v>Completed</v>
      </c>
    </row>
    <row r="47" spans="1:8">
      <c r="B47" t="s">
        <v>717</v>
      </c>
      <c r="E47" s="693" t="str">
        <f>'Employment Security'!E3</f>
        <v>C</v>
      </c>
      <c r="F47" t="str">
        <f t="shared" si="4"/>
        <v>Completed</v>
      </c>
      <c r="H47" s="83" t="s">
        <v>1329</v>
      </c>
    </row>
    <row r="48" spans="1:8">
      <c r="B48" s="693" t="s">
        <v>1406</v>
      </c>
      <c r="E48" t="str">
        <f>Rent!F3</f>
        <v>C</v>
      </c>
      <c r="F48" t="str">
        <f t="shared" si="4"/>
        <v>Completed</v>
      </c>
    </row>
    <row r="50" spans="1:6">
      <c r="A50" t="s">
        <v>302</v>
      </c>
    </row>
    <row r="51" spans="1:6">
      <c r="B51" t="s">
        <v>716</v>
      </c>
      <c r="E51" s="693" t="str">
        <f>'Priceout-Chelan'!F4</f>
        <v>A</v>
      </c>
      <c r="F51" t="str">
        <f t="shared" ref="F51:F65" si="5">IF(E51="a",$F$2,IF(E51="p",$F$3,IF(E51="c",$F$4,"err")))</f>
        <v>Awaiting Data</v>
      </c>
    </row>
    <row r="52" spans="1:6">
      <c r="B52" t="s">
        <v>715</v>
      </c>
      <c r="E52" s="693" t="str">
        <f>'Priceout-Douglas'!F4</f>
        <v>A</v>
      </c>
      <c r="F52" t="str">
        <f t="shared" si="5"/>
        <v>Awaiting Data</v>
      </c>
    </row>
    <row r="53" spans="1:6">
      <c r="B53" t="s">
        <v>714</v>
      </c>
      <c r="E53" s="693" t="str">
        <f>'Priceout-Okanogan'!F4</f>
        <v>A</v>
      </c>
      <c r="F53" t="str">
        <f t="shared" si="5"/>
        <v>Awaiting Data</v>
      </c>
    </row>
    <row r="54" spans="1:6">
      <c r="B54" t="s">
        <v>713</v>
      </c>
      <c r="E54" s="693" t="str">
        <f>'Lurito-Chelan'!E3</f>
        <v>C</v>
      </c>
      <c r="F54" t="str">
        <f t="shared" si="5"/>
        <v>Completed</v>
      </c>
    </row>
    <row r="55" spans="1:6">
      <c r="B55" t="s">
        <v>712</v>
      </c>
      <c r="E55" s="693" t="str">
        <f>'Lurito-Douglas'!E3</f>
        <v>C</v>
      </c>
      <c r="F55" t="str">
        <f t="shared" si="5"/>
        <v>Completed</v>
      </c>
    </row>
    <row r="56" spans="1:6">
      <c r="B56" t="s">
        <v>711</v>
      </c>
      <c r="E56" s="693" t="str">
        <f>'Lurito-Okanogan'!E3</f>
        <v>C</v>
      </c>
      <c r="F56" t="str">
        <f t="shared" si="5"/>
        <v>Completed</v>
      </c>
    </row>
    <row r="57" spans="1:6">
      <c r="B57" t="s">
        <v>254</v>
      </c>
      <c r="E57" s="693" t="str">
        <f>'Results of Operations Staff '!D3</f>
        <v>C</v>
      </c>
      <c r="F57" t="str">
        <f t="shared" si="5"/>
        <v>Completed</v>
      </c>
    </row>
    <row r="58" spans="1:6">
      <c r="B58" t="s">
        <v>710</v>
      </c>
      <c r="E58" s="693" t="str">
        <f>'Cost Allocations'!G3</f>
        <v>C</v>
      </c>
      <c r="F58" t="str">
        <f t="shared" si="5"/>
        <v>Completed</v>
      </c>
    </row>
    <row r="59" spans="1:6">
      <c r="B59" t="s">
        <v>709</v>
      </c>
      <c r="E59" s="693" t="str">
        <f>'Overhead Allocation'!F3</f>
        <v>C</v>
      </c>
      <c r="F59" t="str">
        <f t="shared" si="5"/>
        <v>Completed</v>
      </c>
    </row>
    <row r="60" spans="1:6">
      <c r="B60" t="s">
        <v>708</v>
      </c>
      <c r="E60" s="693" t="str">
        <f>'Depr Allocation by County'!E3</f>
        <v>C</v>
      </c>
      <c r="F60" t="str">
        <f t="shared" si="5"/>
        <v>Completed</v>
      </c>
    </row>
    <row r="61" spans="1:6">
      <c r="B61" t="s">
        <v>707</v>
      </c>
      <c r="E61" s="693" t="str">
        <f>'Hours &amp; Miles by County'!G3</f>
        <v>C</v>
      </c>
      <c r="F61" t="str">
        <f t="shared" si="5"/>
        <v>Completed</v>
      </c>
    </row>
    <row r="62" spans="1:6">
      <c r="B62" t="s">
        <v>706</v>
      </c>
      <c r="E62" s="693" t="str">
        <f>'Container Count by County'!E3</f>
        <v>C</v>
      </c>
      <c r="F62" t="str">
        <f t="shared" si="5"/>
        <v>Completed</v>
      </c>
    </row>
    <row r="63" spans="1:6">
      <c r="B63" t="s">
        <v>705</v>
      </c>
      <c r="E63" s="693" t="str">
        <f>'Drop Box Allocation'!E3</f>
        <v>C</v>
      </c>
      <c r="F63" t="str">
        <f t="shared" si="5"/>
        <v>Completed</v>
      </c>
    </row>
    <row r="64" spans="1:6">
      <c r="B64" t="s">
        <v>525</v>
      </c>
      <c r="E64" s="693" t="str">
        <f>'Disposal Fee Breakdown'!E3</f>
        <v>C</v>
      </c>
      <c r="F64" t="str">
        <f t="shared" si="5"/>
        <v>Completed</v>
      </c>
    </row>
    <row r="65" spans="1:6">
      <c r="B65" t="s">
        <v>704</v>
      </c>
      <c r="E65" s="693" t="str">
        <f>'Service Counts'!E2</f>
        <v>C</v>
      </c>
      <c r="F65" t="str">
        <f t="shared" si="5"/>
        <v>Completed</v>
      </c>
    </row>
    <row r="71" spans="1:6">
      <c r="A71" t="s">
        <v>703</v>
      </c>
    </row>
    <row r="72" spans="1:6">
      <c r="B72" t="s">
        <v>701</v>
      </c>
      <c r="E72" t="s">
        <v>691</v>
      </c>
      <c r="F72" t="str">
        <f>IF(E72="a",$F$2,IF(E72="p",$F$3,IF(E72="c",$F$4,"err")))</f>
        <v>Awaiting Data</v>
      </c>
    </row>
    <row r="73" spans="1:6">
      <c r="B73" t="s">
        <v>700</v>
      </c>
      <c r="E73" t="s">
        <v>691</v>
      </c>
      <c r="F73" t="str">
        <f>IF(E73="a",$F$2,IF(E73="p",$F$3,IF(E73="c",$F$4,"err")))</f>
        <v>Awaiting Data</v>
      </c>
    </row>
    <row r="74" spans="1:6">
      <c r="B74" s="127" t="s">
        <v>699</v>
      </c>
    </row>
    <row r="75" spans="1:6">
      <c r="B75" s="83" t="s">
        <v>698</v>
      </c>
    </row>
    <row r="76" spans="1:6">
      <c r="B76" t="s">
        <v>697</v>
      </c>
      <c r="E76" t="s">
        <v>691</v>
      </c>
      <c r="F76" t="str">
        <f t="shared" ref="F76:F81" si="6">IF(E76="a",$F$2,IF(E76="p",$F$3,IF(E76="c",$F$4,"err")))</f>
        <v>Awaiting Data</v>
      </c>
    </row>
    <row r="77" spans="1:6">
      <c r="B77" t="s">
        <v>696</v>
      </c>
      <c r="E77" t="s">
        <v>691</v>
      </c>
      <c r="F77" t="str">
        <f t="shared" si="6"/>
        <v>Awaiting Data</v>
      </c>
    </row>
    <row r="78" spans="1:6">
      <c r="B78" t="s">
        <v>695</v>
      </c>
      <c r="E78" t="s">
        <v>691</v>
      </c>
      <c r="F78" t="str">
        <f t="shared" si="6"/>
        <v>Awaiting Data</v>
      </c>
    </row>
    <row r="79" spans="1:6">
      <c r="B79" t="s">
        <v>694</v>
      </c>
      <c r="E79" t="s">
        <v>691</v>
      </c>
      <c r="F79" t="str">
        <f t="shared" si="6"/>
        <v>Awaiting Data</v>
      </c>
    </row>
    <row r="80" spans="1:6">
      <c r="B80" t="s">
        <v>693</v>
      </c>
      <c r="E80" t="s">
        <v>691</v>
      </c>
      <c r="F80" t="str">
        <f t="shared" si="6"/>
        <v>Awaiting Data</v>
      </c>
    </row>
    <row r="81" spans="2:6">
      <c r="B81" t="s">
        <v>692</v>
      </c>
      <c r="E81" t="s">
        <v>691</v>
      </c>
      <c r="F81" t="str">
        <f t="shared" si="6"/>
        <v>Awaiting Data</v>
      </c>
    </row>
    <row r="292" spans="14:14">
      <c r="N292" s="83" t="s">
        <v>549</v>
      </c>
    </row>
  </sheetData>
  <conditionalFormatting sqref="F39:F47 F10:F11 F14:F16 F51:F65 F20:F21 F30:F35 F24:F26 F72:F81">
    <cfRule type="cellIs" dxfId="14" priority="13" stopIfTrue="1" operator="equal">
      <formula>$F$2</formula>
    </cfRule>
    <cfRule type="cellIs" dxfId="13" priority="14" stopIfTrue="1" operator="equal">
      <formula>$F$3</formula>
    </cfRule>
    <cfRule type="cellIs" dxfId="12" priority="15" stopIfTrue="1" operator="equal">
      <formula>$F$4</formula>
    </cfRule>
  </conditionalFormatting>
  <conditionalFormatting sqref="F12:F13">
    <cfRule type="cellIs" dxfId="11" priority="10" stopIfTrue="1" operator="equal">
      <formula>$F$2</formula>
    </cfRule>
    <cfRule type="cellIs" dxfId="10" priority="11" stopIfTrue="1" operator="equal">
      <formula>$F$3</formula>
    </cfRule>
    <cfRule type="cellIs" dxfId="9" priority="12" stopIfTrue="1" operator="equal">
      <formula>$F$4</formula>
    </cfRule>
  </conditionalFormatting>
  <conditionalFormatting sqref="F48">
    <cfRule type="cellIs" dxfId="8" priority="7" stopIfTrue="1" operator="equal">
      <formula>$F$2</formula>
    </cfRule>
    <cfRule type="cellIs" dxfId="7" priority="8" stopIfTrue="1" operator="equal">
      <formula>$F$3</formula>
    </cfRule>
    <cfRule type="cellIs" dxfId="6" priority="9" stopIfTrue="1" operator="equal">
      <formula>$F$4</formula>
    </cfRule>
  </conditionalFormatting>
  <conditionalFormatting sqref="F27:F29">
    <cfRule type="cellIs" dxfId="5" priority="4" stopIfTrue="1" operator="equal">
      <formula>$F$2</formula>
    </cfRule>
    <cfRule type="cellIs" dxfId="4" priority="5" stopIfTrue="1" operator="equal">
      <formula>$F$3</formula>
    </cfRule>
    <cfRule type="cellIs" dxfId="3" priority="6" stopIfTrue="1" operator="equal">
      <formula>$F$4</formula>
    </cfRule>
  </conditionalFormatting>
  <conditionalFormatting sqref="F22:F23">
    <cfRule type="cellIs" dxfId="2" priority="1" stopIfTrue="1" operator="equal">
      <formula>$F$2</formula>
    </cfRule>
    <cfRule type="cellIs" dxfId="1" priority="2" stopIfTrue="1" operator="equal">
      <formula>$F$3</formula>
    </cfRule>
    <cfRule type="cellIs" dxfId="0" priority="3" stopIfTrue="1" operator="equal">
      <formula>$F$4</formula>
    </cfRule>
  </conditionalFormatting>
  <pageMargins left="0.24" right="0.23" top="0.45" bottom="0.48" header="0.45" footer="0.5"/>
  <pageSetup orientation="portrait" horizontalDpi="4294967293" verticalDpi="4294967293"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
  <sheetViews>
    <sheetView topLeftCell="A19" workbookViewId="0">
      <selection activeCell="A52" sqref="A52"/>
    </sheetView>
  </sheetViews>
  <sheetFormatPr defaultRowHeight="12.75"/>
  <cols>
    <col min="1" max="1" width="10.140625" bestFit="1" customWidth="1"/>
    <col min="3" max="3" width="10.42578125" customWidth="1"/>
    <col min="4" max="4" width="10.7109375" customWidth="1"/>
    <col min="5" max="5" width="11.28515625" customWidth="1"/>
    <col min="6" max="6" width="9.85546875" customWidth="1"/>
    <col min="7" max="7" width="11.28515625" customWidth="1"/>
    <col min="8" max="8" width="10" customWidth="1"/>
    <col min="9" max="12" width="10.85546875" customWidth="1"/>
    <col min="13" max="13" width="12.5703125" customWidth="1"/>
    <col min="14" max="14" width="11.28515625" customWidth="1"/>
  </cols>
  <sheetData>
    <row r="1" spans="1:5">
      <c r="A1" t="s">
        <v>0</v>
      </c>
    </row>
    <row r="3" spans="1:5">
      <c r="A3" t="s">
        <v>757</v>
      </c>
      <c r="D3" s="693" t="s">
        <v>1414</v>
      </c>
      <c r="E3" s="693" t="s">
        <v>702</v>
      </c>
    </row>
    <row r="5" spans="1:5">
      <c r="A5" s="690">
        <v>44196</v>
      </c>
    </row>
    <row r="8" spans="1:5">
      <c r="A8" s="127" t="s">
        <v>756</v>
      </c>
    </row>
    <row r="10" spans="1:5">
      <c r="A10" t="s">
        <v>755</v>
      </c>
      <c r="E10" s="247">
        <v>1.7500000000000002E-2</v>
      </c>
    </row>
    <row r="11" spans="1:5">
      <c r="A11" t="s">
        <v>754</v>
      </c>
      <c r="E11" s="247">
        <v>4.7100000000000003E-2</v>
      </c>
    </row>
    <row r="12" spans="1:5">
      <c r="E12" s="247"/>
    </row>
    <row r="13" spans="1:5">
      <c r="A13" t="s">
        <v>753</v>
      </c>
      <c r="E13" s="289">
        <v>3.5999999999999997E-2</v>
      </c>
    </row>
    <row r="17" spans="1:15">
      <c r="A17" s="127" t="s">
        <v>752</v>
      </c>
      <c r="B17" s="127"/>
      <c r="C17" s="127"/>
      <c r="D17" s="127"/>
    </row>
    <row r="20" spans="1:15">
      <c r="C20" s="2" t="s">
        <v>191</v>
      </c>
      <c r="D20" s="2" t="s">
        <v>263</v>
      </c>
      <c r="E20" s="2"/>
      <c r="F20" s="2"/>
      <c r="G20" s="2" t="s">
        <v>263</v>
      </c>
      <c r="H20" s="2" t="s">
        <v>194</v>
      </c>
      <c r="I20" s="2" t="s">
        <v>195</v>
      </c>
      <c r="J20" s="288" t="s">
        <v>751</v>
      </c>
      <c r="K20" s="288" t="s">
        <v>751</v>
      </c>
      <c r="L20" s="90" t="s">
        <v>750</v>
      </c>
      <c r="M20" s="2"/>
    </row>
    <row r="21" spans="1:15" ht="13.5" thickBot="1">
      <c r="C21" s="20" t="s">
        <v>192</v>
      </c>
      <c r="D21" s="20" t="s">
        <v>192</v>
      </c>
      <c r="E21" s="20" t="s">
        <v>193</v>
      </c>
      <c r="F21" s="20" t="s">
        <v>316</v>
      </c>
      <c r="G21" s="20" t="s">
        <v>193</v>
      </c>
      <c r="H21" s="20" t="s">
        <v>192</v>
      </c>
      <c r="I21" s="20" t="s">
        <v>192</v>
      </c>
      <c r="J21" s="287" t="s">
        <v>316</v>
      </c>
      <c r="K21" s="287" t="s">
        <v>192</v>
      </c>
      <c r="L21" s="92" t="s">
        <v>749</v>
      </c>
      <c r="M21" s="20" t="s">
        <v>2</v>
      </c>
    </row>
    <row r="22" spans="1:15">
      <c r="O22" s="286"/>
    </row>
    <row r="23" spans="1:15" ht="13.5" thickBot="1">
      <c r="A23" t="s">
        <v>748</v>
      </c>
      <c r="C23" s="285">
        <f>+DEPN2K!$T$51</f>
        <v>215827.32500000022</v>
      </c>
      <c r="D23" s="285">
        <f>+DEPN2K!$T$59</f>
        <v>1911.8000000000002</v>
      </c>
      <c r="E23" s="285">
        <f>+DEPN2K!$T$183</f>
        <v>12616.599999999995</v>
      </c>
      <c r="F23" s="285">
        <f>+DEPN2K!$T$208</f>
        <v>16562.083000000002</v>
      </c>
      <c r="G23" s="285">
        <f>+DEPN2K!$T$241</f>
        <v>6290.4499999999989</v>
      </c>
      <c r="H23" s="285">
        <f>+DEPN2K!$T$285</f>
        <v>5273.0833333333339</v>
      </c>
      <c r="I23" s="285">
        <f>+DEPN2K!$T$318</f>
        <v>442.40000000000134</v>
      </c>
      <c r="J23" s="285">
        <f>+DEPN2K!$T$248</f>
        <v>2969.2999999999997</v>
      </c>
      <c r="K23" s="285">
        <f>+DEPN2K!$T$255</f>
        <v>614.57142857142856</v>
      </c>
      <c r="L23" s="285">
        <f>+DEPN2K!$T$294</f>
        <v>0</v>
      </c>
      <c r="M23" s="166">
        <f>ROUND(SUM(C23:L23),0)</f>
        <v>262508</v>
      </c>
      <c r="N23" s="284" t="str">
        <f>+IF(M23=DEPN2K!$T$321,"OK","ERROR")</f>
        <v>OK</v>
      </c>
    </row>
    <row r="24" spans="1:15" ht="13.5" thickTop="1">
      <c r="B24" s="283" t="s">
        <v>747</v>
      </c>
      <c r="C24" s="283"/>
      <c r="D24" s="283"/>
      <c r="E24" s="283"/>
      <c r="F24" s="283"/>
    </row>
    <row r="26" spans="1:15">
      <c r="A26" t="s">
        <v>746</v>
      </c>
      <c r="D26" s="428">
        <f>DEPN2K!AB321</f>
        <v>1057787.4103095238</v>
      </c>
    </row>
    <row r="27" spans="1:15">
      <c r="D27" s="282"/>
    </row>
    <row r="30" spans="1:15">
      <c r="A30" s="127" t="s">
        <v>745</v>
      </c>
      <c r="B30" s="127"/>
      <c r="C30" s="127"/>
    </row>
    <row r="31" spans="1:15">
      <c r="A31" s="83" t="s">
        <v>743</v>
      </c>
    </row>
    <row r="33" spans="1:14">
      <c r="A33" t="s">
        <v>480</v>
      </c>
      <c r="D33" s="281">
        <v>2315</v>
      </c>
      <c r="E33" s="11">
        <f>+D33/D37</f>
        <v>0.86348377471092874</v>
      </c>
      <c r="G33" s="279"/>
    </row>
    <row r="34" spans="1:14">
      <c r="A34" t="s">
        <v>476</v>
      </c>
      <c r="D34" s="281">
        <v>188</v>
      </c>
      <c r="E34" s="11">
        <f>+D34/D37</f>
        <v>7.0123088399850805E-2</v>
      </c>
      <c r="G34" s="279"/>
    </row>
    <row r="35" spans="1:14">
      <c r="A35" t="s">
        <v>475</v>
      </c>
      <c r="D35" s="280">
        <v>178</v>
      </c>
      <c r="E35" s="162">
        <f>+D35/D37</f>
        <v>6.6393136889220439E-2</v>
      </c>
      <c r="G35" s="279"/>
      <c r="N35" s="247"/>
    </row>
    <row r="36" spans="1:14">
      <c r="D36" s="99"/>
      <c r="E36" s="11"/>
      <c r="G36" s="278"/>
    </row>
    <row r="37" spans="1:14" ht="13.5" thickBot="1">
      <c r="D37" s="163">
        <f>SUM(D33:D35)</f>
        <v>2681</v>
      </c>
      <c r="E37" s="14">
        <f>SUM(E33:E35)</f>
        <v>1</v>
      </c>
      <c r="G37" s="278"/>
    </row>
    <row r="38" spans="1:14" ht="13.5" thickTop="1">
      <c r="G38" s="18"/>
    </row>
    <row r="39" spans="1:14">
      <c r="G39" s="18"/>
    </row>
    <row r="40" spans="1:14">
      <c r="A40" s="127" t="s">
        <v>744</v>
      </c>
      <c r="B40" s="127"/>
      <c r="C40" s="127"/>
      <c r="D40" s="127"/>
      <c r="G40" s="236"/>
    </row>
    <row r="41" spans="1:14">
      <c r="A41" s="83" t="s">
        <v>743</v>
      </c>
      <c r="F41" s="90"/>
      <c r="G41" s="18"/>
    </row>
    <row r="42" spans="1:14">
      <c r="F42" s="90"/>
      <c r="G42" s="93" t="s">
        <v>477</v>
      </c>
      <c r="H42" s="731" t="s">
        <v>1441</v>
      </c>
      <c r="I42" s="731" t="s">
        <v>475</v>
      </c>
    </row>
    <row r="43" spans="1:14">
      <c r="A43" t="s">
        <v>742</v>
      </c>
      <c r="D43" s="281">
        <v>2263</v>
      </c>
      <c r="E43" s="10">
        <f>+D43/D49</f>
        <v>0.77659574468085102</v>
      </c>
      <c r="G43" s="279">
        <v>1987</v>
      </c>
      <c r="H43" s="279">
        <v>159</v>
      </c>
      <c r="I43" s="279">
        <v>117</v>
      </c>
    </row>
    <row r="44" spans="1:14">
      <c r="A44" t="s">
        <v>338</v>
      </c>
      <c r="D44" s="281">
        <v>357</v>
      </c>
      <c r="E44" s="10">
        <f>+D44/D49</f>
        <v>0.12251201098146877</v>
      </c>
      <c r="G44" s="279">
        <v>281</v>
      </c>
      <c r="H44" s="279">
        <v>26</v>
      </c>
      <c r="I44" s="279">
        <v>50</v>
      </c>
    </row>
    <row r="45" spans="1:14">
      <c r="A45" s="83" t="s">
        <v>311</v>
      </c>
      <c r="D45" s="281">
        <v>36</v>
      </c>
      <c r="E45" s="10">
        <f>+D45/D49</f>
        <v>1.2354152367879203E-2</v>
      </c>
      <c r="G45" s="279">
        <v>22</v>
      </c>
      <c r="H45" s="279">
        <v>3</v>
      </c>
      <c r="I45" s="279">
        <v>11</v>
      </c>
    </row>
    <row r="46" spans="1:14">
      <c r="A46" s="83" t="s">
        <v>328</v>
      </c>
      <c r="D46" s="281">
        <v>235</v>
      </c>
      <c r="E46" s="10">
        <f>+D46/D49</f>
        <v>8.0645161290322578E-2</v>
      </c>
      <c r="G46" s="279">
        <v>235</v>
      </c>
      <c r="H46" s="10"/>
    </row>
    <row r="47" spans="1:14">
      <c r="A47" s="83" t="s">
        <v>361</v>
      </c>
      <c r="D47" s="280">
        <v>23</v>
      </c>
      <c r="E47" s="42">
        <f>+D47/D49</f>
        <v>7.8929306794783809E-3</v>
      </c>
      <c r="G47" s="279">
        <v>23</v>
      </c>
      <c r="H47" s="171"/>
    </row>
    <row r="48" spans="1:14">
      <c r="D48" s="99"/>
      <c r="E48" s="11"/>
      <c r="G48" s="278"/>
      <c r="H48" s="96"/>
    </row>
    <row r="49" spans="4:8" ht="13.5" thickBot="1">
      <c r="D49" s="163">
        <f>SUM(D43:D47)</f>
        <v>2914</v>
      </c>
      <c r="E49" s="14">
        <f>SUM(E43:E47)</f>
        <v>1</v>
      </c>
      <c r="G49" s="278"/>
      <c r="H49" s="96"/>
    </row>
    <row r="50" spans="4:8" ht="13.5" thickTop="1">
      <c r="G50" s="18"/>
      <c r="H50" s="18"/>
    </row>
    <row r="51" spans="4:8">
      <c r="G51" s="18"/>
    </row>
  </sheetData>
  <pageMargins left="0.75" right="0.75" top="1" bottom="1" header="0.5" footer="0.5"/>
  <pageSetup scale="77" orientation="portrait" horizontalDpi="300" verticalDpi="300" r:id="rId1"/>
  <headerFooter alignWithMargins="0"/>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3"/>
  <sheetViews>
    <sheetView zoomScaleNormal="100" workbookViewId="0">
      <selection activeCell="O78" sqref="O78"/>
    </sheetView>
  </sheetViews>
  <sheetFormatPr defaultRowHeight="12.75"/>
  <cols>
    <col min="1" max="1" width="12.140625" customWidth="1"/>
    <col min="2" max="3" width="10.42578125" customWidth="1"/>
    <col min="4" max="4" width="10" customWidth="1"/>
    <col min="5" max="5" width="10.42578125" customWidth="1"/>
    <col min="6" max="6" width="10" customWidth="1"/>
    <col min="7" max="7" width="9.85546875" customWidth="1"/>
    <col min="8" max="9" width="10.140625" customWidth="1"/>
    <col min="10" max="13" width="10.42578125" customWidth="1"/>
    <col min="14" max="14" width="10.5703125" customWidth="1"/>
    <col min="15" max="15" width="10.140625" customWidth="1"/>
    <col min="16" max="16" width="10.85546875" customWidth="1"/>
    <col min="17" max="17" width="10.7109375" customWidth="1"/>
  </cols>
  <sheetData>
    <row r="1" spans="1:58">
      <c r="A1" t="s">
        <v>0</v>
      </c>
    </row>
    <row r="3" spans="1:58">
      <c r="A3" s="692" t="s">
        <v>1369</v>
      </c>
      <c r="C3" s="717"/>
      <c r="D3" s="693" t="s">
        <v>1422</v>
      </c>
      <c r="E3" s="708" t="s">
        <v>702</v>
      </c>
      <c r="F3" s="708"/>
      <c r="G3" s="196"/>
      <c r="H3" s="196"/>
    </row>
    <row r="5" spans="1:58">
      <c r="C5" s="127" t="s">
        <v>764</v>
      </c>
    </row>
    <row r="6" spans="1:58">
      <c r="A6" s="127" t="s">
        <v>763</v>
      </c>
    </row>
    <row r="7" spans="1:58">
      <c r="C7" s="696" t="s">
        <v>519</v>
      </c>
      <c r="D7" s="696" t="s">
        <v>518</v>
      </c>
      <c r="E7" s="696" t="s">
        <v>517</v>
      </c>
      <c r="F7" s="695" t="s">
        <v>516</v>
      </c>
      <c r="G7" s="695" t="s">
        <v>515</v>
      </c>
      <c r="H7" s="695" t="s">
        <v>514</v>
      </c>
      <c r="I7" s="695" t="s">
        <v>513</v>
      </c>
      <c r="J7" s="675" t="s">
        <v>512</v>
      </c>
      <c r="K7" s="695" t="s">
        <v>511</v>
      </c>
      <c r="L7" s="695" t="s">
        <v>762</v>
      </c>
      <c r="M7" s="695" t="s">
        <v>509</v>
      </c>
      <c r="N7" s="695" t="s">
        <v>508</v>
      </c>
      <c r="O7" s="2" t="s">
        <v>2</v>
      </c>
      <c r="P7" s="2" t="s">
        <v>107</v>
      </c>
    </row>
    <row r="9" spans="1:58">
      <c r="A9" s="16" t="s">
        <v>109</v>
      </c>
      <c r="C9" s="307">
        <v>181</v>
      </c>
      <c r="D9" s="307">
        <v>181</v>
      </c>
      <c r="E9" s="307">
        <v>231</v>
      </c>
      <c r="F9" s="307">
        <v>205</v>
      </c>
      <c r="G9" s="307">
        <v>228</v>
      </c>
      <c r="H9" s="307">
        <v>256</v>
      </c>
      <c r="I9" s="307">
        <v>220</v>
      </c>
      <c r="J9" s="307">
        <v>222</v>
      </c>
      <c r="K9" s="307">
        <v>290</v>
      </c>
      <c r="L9" s="307">
        <v>205</v>
      </c>
      <c r="M9" s="307">
        <v>203</v>
      </c>
      <c r="N9" s="307">
        <v>219</v>
      </c>
      <c r="O9" s="304">
        <f>SUM(C9:N9)</f>
        <v>2641</v>
      </c>
      <c r="P9" s="300">
        <f>+O9/O15</f>
        <v>0.13715917943391326</v>
      </c>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17"/>
      <c r="BA9" s="17"/>
      <c r="BB9" s="17"/>
      <c r="BC9" s="17"/>
      <c r="BD9" s="17"/>
      <c r="BE9" s="17"/>
      <c r="BF9" s="17"/>
    </row>
    <row r="10" spans="1:58">
      <c r="A10" s="16" t="s">
        <v>110</v>
      </c>
      <c r="C10" s="307">
        <v>68</v>
      </c>
      <c r="D10" s="307">
        <v>70</v>
      </c>
      <c r="E10" s="307">
        <v>89</v>
      </c>
      <c r="F10" s="307">
        <v>74</v>
      </c>
      <c r="G10" s="307">
        <v>83</v>
      </c>
      <c r="H10" s="307">
        <v>102</v>
      </c>
      <c r="I10" s="307">
        <v>88</v>
      </c>
      <c r="J10" s="307">
        <v>81</v>
      </c>
      <c r="K10" s="307">
        <v>108</v>
      </c>
      <c r="L10" s="307">
        <v>104</v>
      </c>
      <c r="M10" s="307">
        <v>81</v>
      </c>
      <c r="N10" s="307">
        <v>90</v>
      </c>
      <c r="O10" s="304">
        <f>SUM(C10:N10)</f>
        <v>1038</v>
      </c>
      <c r="P10" s="300">
        <f>+O10/O15</f>
        <v>5.390807582446118E-2</v>
      </c>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17"/>
      <c r="BA10" s="17"/>
      <c r="BB10" s="17"/>
      <c r="BC10" s="17"/>
      <c r="BD10" s="17"/>
      <c r="BE10" s="17"/>
      <c r="BF10" s="17"/>
    </row>
    <row r="11" spans="1:58">
      <c r="A11" s="16" t="s">
        <v>477</v>
      </c>
      <c r="C11" s="307">
        <v>723</v>
      </c>
      <c r="D11" s="307">
        <v>620</v>
      </c>
      <c r="E11" s="307">
        <v>712</v>
      </c>
      <c r="F11" s="307">
        <v>963</v>
      </c>
      <c r="G11" s="307">
        <v>974</v>
      </c>
      <c r="H11" s="307">
        <v>1148</v>
      </c>
      <c r="I11" s="307">
        <v>1520</v>
      </c>
      <c r="J11" s="307">
        <v>1416</v>
      </c>
      <c r="K11" s="307">
        <v>1182</v>
      </c>
      <c r="L11" s="307">
        <v>1100</v>
      </c>
      <c r="M11" s="307">
        <v>850</v>
      </c>
      <c r="N11" s="307">
        <v>857</v>
      </c>
      <c r="O11" s="304">
        <f>SUM(C11:N11)</f>
        <v>12065</v>
      </c>
      <c r="P11" s="300">
        <f>+O11/O15</f>
        <v>0.62659049597507144</v>
      </c>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17"/>
      <c r="BA11" s="17"/>
      <c r="BB11" s="17"/>
      <c r="BC11" s="17"/>
      <c r="BD11" s="17"/>
      <c r="BE11" s="17"/>
      <c r="BF11" s="17"/>
    </row>
    <row r="12" spans="1:58">
      <c r="A12" s="16" t="s">
        <v>476</v>
      </c>
      <c r="C12" s="307">
        <v>55</v>
      </c>
      <c r="D12" s="307">
        <v>46</v>
      </c>
      <c r="E12" s="307">
        <v>73</v>
      </c>
      <c r="F12" s="307">
        <v>66</v>
      </c>
      <c r="G12" s="307">
        <v>76</v>
      </c>
      <c r="H12" s="307">
        <v>103</v>
      </c>
      <c r="I12" s="307">
        <v>91</v>
      </c>
      <c r="J12" s="307">
        <v>78</v>
      </c>
      <c r="K12" s="307">
        <v>97</v>
      </c>
      <c r="L12" s="307">
        <v>88</v>
      </c>
      <c r="M12" s="307">
        <v>76</v>
      </c>
      <c r="N12" s="307">
        <v>72</v>
      </c>
      <c r="O12" s="304">
        <f>SUM(C12:N12)</f>
        <v>921</v>
      </c>
      <c r="P12" s="300">
        <f>+O12/O15</f>
        <v>4.7831732017657752E-2</v>
      </c>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17"/>
      <c r="BA12" s="17"/>
      <c r="BB12" s="17"/>
      <c r="BC12" s="17"/>
      <c r="BD12" s="17"/>
      <c r="BE12" s="17"/>
      <c r="BF12" s="17"/>
    </row>
    <row r="13" spans="1:58" ht="13.5" thickBot="1">
      <c r="A13" s="16" t="s">
        <v>475</v>
      </c>
      <c r="C13" s="306">
        <v>78</v>
      </c>
      <c r="D13" s="306">
        <v>90</v>
      </c>
      <c r="E13" s="306">
        <v>140</v>
      </c>
      <c r="F13" s="306">
        <v>139</v>
      </c>
      <c r="G13" s="306">
        <v>163</v>
      </c>
      <c r="H13" s="306">
        <v>314</v>
      </c>
      <c r="I13" s="306">
        <v>354</v>
      </c>
      <c r="J13" s="306">
        <v>334</v>
      </c>
      <c r="K13" s="306">
        <v>352</v>
      </c>
      <c r="L13" s="306">
        <v>301</v>
      </c>
      <c r="M13" s="306">
        <v>226</v>
      </c>
      <c r="N13" s="306">
        <v>99</v>
      </c>
      <c r="O13" s="302">
        <f>SUM(C13:N13)</f>
        <v>2590</v>
      </c>
      <c r="P13" s="298">
        <f>+O13/O15</f>
        <v>0.13451051674889639</v>
      </c>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17"/>
      <c r="BA13" s="17"/>
      <c r="BB13" s="17"/>
      <c r="BC13" s="17"/>
      <c r="BD13" s="17"/>
      <c r="BE13" s="17"/>
      <c r="BF13" s="17"/>
    </row>
    <row r="14" spans="1:58">
      <c r="A14" s="16"/>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17"/>
      <c r="BA14" s="17"/>
      <c r="BB14" s="17"/>
      <c r="BC14" s="17"/>
      <c r="BD14" s="17"/>
      <c r="BE14" s="17"/>
      <c r="BF14" s="17"/>
    </row>
    <row r="15" spans="1:58" ht="13.5" thickBot="1">
      <c r="A15" s="16" t="s">
        <v>2</v>
      </c>
      <c r="C15" s="302">
        <f t="shared" ref="C15:I15" si="0">SUM(C9:C13)</f>
        <v>1105</v>
      </c>
      <c r="D15" s="302">
        <f t="shared" si="0"/>
        <v>1007</v>
      </c>
      <c r="E15" s="302">
        <f t="shared" si="0"/>
        <v>1245</v>
      </c>
      <c r="F15" s="302">
        <f t="shared" si="0"/>
        <v>1447</v>
      </c>
      <c r="G15" s="302">
        <f t="shared" si="0"/>
        <v>1524</v>
      </c>
      <c r="H15" s="302">
        <f t="shared" si="0"/>
        <v>1923</v>
      </c>
      <c r="I15" s="302">
        <f t="shared" si="0"/>
        <v>2273</v>
      </c>
      <c r="J15" s="302">
        <f t="shared" ref="J15:P15" si="1">SUM(J9:J13)</f>
        <v>2131</v>
      </c>
      <c r="K15" s="302">
        <f t="shared" ref="K15" si="2">SUM(K9:K13)</f>
        <v>2029</v>
      </c>
      <c r="L15" s="302">
        <f t="shared" ref="L15:N15" si="3">SUM(L9:L13)</f>
        <v>1798</v>
      </c>
      <c r="M15" s="302">
        <f t="shared" si="3"/>
        <v>1436</v>
      </c>
      <c r="N15" s="302">
        <f t="shared" si="3"/>
        <v>1337</v>
      </c>
      <c r="O15" s="302">
        <f t="shared" si="1"/>
        <v>19255</v>
      </c>
      <c r="P15" s="298">
        <f t="shared" si="1"/>
        <v>1</v>
      </c>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17"/>
      <c r="BA15" s="17"/>
      <c r="BB15" s="17"/>
      <c r="BC15" s="17"/>
      <c r="BD15" s="17"/>
      <c r="BE15" s="17"/>
      <c r="BF15" s="17"/>
    </row>
    <row r="16" spans="1:58">
      <c r="A16" s="16"/>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row>
    <row r="17" spans="1:51">
      <c r="A17" s="16" t="s">
        <v>477</v>
      </c>
      <c r="C17" s="304">
        <f t="shared" ref="C17:I17" si="4">C11</f>
        <v>723</v>
      </c>
      <c r="D17" s="304">
        <f t="shared" si="4"/>
        <v>620</v>
      </c>
      <c r="E17" s="304">
        <f t="shared" si="4"/>
        <v>712</v>
      </c>
      <c r="F17" s="304">
        <f t="shared" si="4"/>
        <v>963</v>
      </c>
      <c r="G17" s="304">
        <f t="shared" si="4"/>
        <v>974</v>
      </c>
      <c r="H17" s="304">
        <f t="shared" si="4"/>
        <v>1148</v>
      </c>
      <c r="I17" s="304">
        <f t="shared" si="4"/>
        <v>1520</v>
      </c>
      <c r="J17" s="304">
        <f t="shared" ref="J17" si="5">J11</f>
        <v>1416</v>
      </c>
      <c r="K17" s="304">
        <f t="shared" ref="K17" si="6">K11</f>
        <v>1182</v>
      </c>
      <c r="L17" s="304">
        <f t="shared" ref="L17:N17" si="7">L11</f>
        <v>1100</v>
      </c>
      <c r="M17" s="304">
        <f t="shared" si="7"/>
        <v>850</v>
      </c>
      <c r="N17" s="304">
        <f t="shared" si="7"/>
        <v>857</v>
      </c>
      <c r="O17" s="304">
        <f>SUM(C17:N17)</f>
        <v>12065</v>
      </c>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row>
    <row r="18" spans="1:51">
      <c r="A18" s="160" t="s">
        <v>328</v>
      </c>
      <c r="C18" s="305">
        <v>18</v>
      </c>
      <c r="D18" s="305">
        <v>22</v>
      </c>
      <c r="E18" s="305">
        <v>20</v>
      </c>
      <c r="F18" s="305">
        <v>28</v>
      </c>
      <c r="G18" s="305">
        <v>24</v>
      </c>
      <c r="H18" s="305">
        <v>26</v>
      </c>
      <c r="I18" s="305">
        <v>29</v>
      </c>
      <c r="J18" s="305">
        <v>32</v>
      </c>
      <c r="K18" s="305">
        <v>31</v>
      </c>
      <c r="L18" s="305">
        <v>37</v>
      </c>
      <c r="M18" s="305">
        <v>22</v>
      </c>
      <c r="N18" s="305">
        <v>23</v>
      </c>
      <c r="O18" s="304">
        <f>SUM(C18:N18)</f>
        <v>312</v>
      </c>
      <c r="P18" s="295">
        <f>O18/O17</f>
        <v>2.5859925404061335E-2</v>
      </c>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row>
    <row r="19" spans="1:51" ht="13.5" thickBot="1">
      <c r="A19" s="160" t="s">
        <v>761</v>
      </c>
      <c r="C19" s="303">
        <v>28</v>
      </c>
      <c r="D19" s="303">
        <v>21</v>
      </c>
      <c r="E19" s="303">
        <v>11</v>
      </c>
      <c r="F19" s="303">
        <v>13</v>
      </c>
      <c r="G19" s="303">
        <v>29</v>
      </c>
      <c r="H19" s="303">
        <v>33</v>
      </c>
      <c r="I19" s="303">
        <v>55</v>
      </c>
      <c r="J19" s="303">
        <v>46</v>
      </c>
      <c r="K19" s="303">
        <v>42</v>
      </c>
      <c r="L19" s="303">
        <v>44</v>
      </c>
      <c r="M19" s="303">
        <v>29</v>
      </c>
      <c r="N19" s="303">
        <v>33</v>
      </c>
      <c r="O19" s="302">
        <f>SUM(C19:N19)</f>
        <v>384</v>
      </c>
      <c r="P19" s="293">
        <f>O19/O17</f>
        <v>3.1827600497306256E-2</v>
      </c>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row>
    <row r="20" spans="1:51">
      <c r="A20" s="160"/>
      <c r="C20" s="309"/>
      <c r="D20" s="309"/>
      <c r="E20" s="309"/>
      <c r="F20" s="309"/>
      <c r="G20" s="309"/>
      <c r="H20" s="309"/>
      <c r="I20" s="309"/>
      <c r="J20" s="309"/>
      <c r="K20" s="309"/>
      <c r="L20" s="309"/>
      <c r="M20" s="309"/>
      <c r="N20" s="309"/>
      <c r="O20" s="309"/>
      <c r="P20" s="308"/>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row>
    <row r="21" spans="1:51" ht="13.5" thickBot="1">
      <c r="A21" s="160" t="s">
        <v>760</v>
      </c>
      <c r="C21" s="302">
        <f t="shared" ref="C21:I21" si="8">C11-C18-C19</f>
        <v>677</v>
      </c>
      <c r="D21" s="302">
        <f t="shared" si="8"/>
        <v>577</v>
      </c>
      <c r="E21" s="302">
        <f t="shared" si="8"/>
        <v>681</v>
      </c>
      <c r="F21" s="302">
        <f t="shared" si="8"/>
        <v>922</v>
      </c>
      <c r="G21" s="302">
        <f t="shared" si="8"/>
        <v>921</v>
      </c>
      <c r="H21" s="302">
        <f t="shared" si="8"/>
        <v>1089</v>
      </c>
      <c r="I21" s="302">
        <f t="shared" si="8"/>
        <v>1436</v>
      </c>
      <c r="J21" s="302">
        <f t="shared" ref="J21:O21" si="9">J11-J18-J19</f>
        <v>1338</v>
      </c>
      <c r="K21" s="302">
        <f t="shared" ref="K21" si="10">K11-K18-K19</f>
        <v>1109</v>
      </c>
      <c r="L21" s="302">
        <f t="shared" ref="L21:N21" si="11">L11-L18-L19</f>
        <v>1019</v>
      </c>
      <c r="M21" s="302">
        <f t="shared" si="11"/>
        <v>799</v>
      </c>
      <c r="N21" s="302">
        <f t="shared" si="11"/>
        <v>801</v>
      </c>
      <c r="O21" s="302">
        <f t="shared" si="9"/>
        <v>11369</v>
      </c>
      <c r="P21" s="293">
        <f>O21/O17</f>
        <v>0.94231247409863239</v>
      </c>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row>
    <row r="22" spans="1:51">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row>
    <row r="23" spans="1:51">
      <c r="A23" s="127" t="s">
        <v>490</v>
      </c>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row>
    <row r="24" spans="1:51">
      <c r="C24" s="695" t="str">
        <f t="shared" ref="C24:I24" si="12">+C7</f>
        <v>January</v>
      </c>
      <c r="D24" s="695" t="str">
        <f t="shared" si="12"/>
        <v>February</v>
      </c>
      <c r="E24" s="695" t="str">
        <f t="shared" si="12"/>
        <v>March</v>
      </c>
      <c r="F24" s="695" t="str">
        <f t="shared" si="12"/>
        <v>April</v>
      </c>
      <c r="G24" s="695" t="str">
        <f t="shared" si="12"/>
        <v>May</v>
      </c>
      <c r="H24" s="695" t="str">
        <f t="shared" si="12"/>
        <v>June</v>
      </c>
      <c r="I24" s="695" t="str">
        <f t="shared" si="12"/>
        <v>July</v>
      </c>
      <c r="J24" s="2" t="str">
        <f t="shared" ref="J24" si="13">+J7</f>
        <v>August</v>
      </c>
      <c r="K24" s="695" t="str">
        <f t="shared" ref="K24" si="14">+K7</f>
        <v>September</v>
      </c>
      <c r="L24" s="695" t="str">
        <f t="shared" ref="L24:N24" si="15">+L7</f>
        <v xml:space="preserve">October </v>
      </c>
      <c r="M24" s="695" t="str">
        <f t="shared" si="15"/>
        <v>November</v>
      </c>
      <c r="N24" s="695" t="str">
        <f t="shared" si="15"/>
        <v>December</v>
      </c>
      <c r="O24" s="2" t="s">
        <v>2</v>
      </c>
      <c r="P24" s="2" t="s">
        <v>107</v>
      </c>
    </row>
    <row r="25" spans="1:51">
      <c r="C25" s="695"/>
      <c r="D25" s="695"/>
      <c r="E25" s="695"/>
      <c r="F25" s="695"/>
      <c r="G25" s="695"/>
    </row>
    <row r="26" spans="1:51">
      <c r="A26" s="16" t="s">
        <v>109</v>
      </c>
      <c r="C26" s="301">
        <v>59.1</v>
      </c>
      <c r="D26" s="301">
        <v>57.36</v>
      </c>
      <c r="E26" s="301">
        <v>68.3</v>
      </c>
      <c r="F26" s="301">
        <v>58.29</v>
      </c>
      <c r="G26" s="301">
        <v>62.74</v>
      </c>
      <c r="H26" s="301">
        <v>71.19</v>
      </c>
      <c r="I26" s="301">
        <v>59.2</v>
      </c>
      <c r="J26" s="301">
        <v>61.83</v>
      </c>
      <c r="K26" s="301">
        <v>84.16</v>
      </c>
      <c r="L26" s="301">
        <v>59.42</v>
      </c>
      <c r="M26" s="301">
        <v>60.25</v>
      </c>
      <c r="N26" s="301">
        <v>66.790000000000006</v>
      </c>
      <c r="O26" s="290">
        <f>SUM(C26:N26)</f>
        <v>768.62999999999988</v>
      </c>
      <c r="P26" s="300">
        <f>+O26/O32</f>
        <v>8.8962217417673212E-2</v>
      </c>
      <c r="Q26" s="290"/>
    </row>
    <row r="27" spans="1:51">
      <c r="A27" s="16" t="s">
        <v>110</v>
      </c>
      <c r="C27" s="301">
        <v>30.82</v>
      </c>
      <c r="D27" s="301">
        <v>27.03</v>
      </c>
      <c r="E27" s="301">
        <v>33.21</v>
      </c>
      <c r="F27" s="301">
        <v>28.18</v>
      </c>
      <c r="G27" s="301">
        <v>28.64</v>
      </c>
      <c r="H27" s="301">
        <v>32.770000000000003</v>
      </c>
      <c r="I27" s="301">
        <v>29.82</v>
      </c>
      <c r="J27" s="301">
        <v>28.85</v>
      </c>
      <c r="K27" s="301">
        <v>35.07</v>
      </c>
      <c r="L27" s="301">
        <v>28.9</v>
      </c>
      <c r="M27" s="301">
        <v>27.32</v>
      </c>
      <c r="N27" s="301">
        <v>34.43</v>
      </c>
      <c r="O27" s="290">
        <f>SUM(C27:N27)</f>
        <v>365.03999999999996</v>
      </c>
      <c r="P27" s="300">
        <f>+O27/O32</f>
        <v>4.2250195602757411E-2</v>
      </c>
      <c r="Q27" s="290"/>
    </row>
    <row r="28" spans="1:51">
      <c r="A28" s="16" t="s">
        <v>477</v>
      </c>
      <c r="C28" s="301">
        <v>427.28</v>
      </c>
      <c r="D28" s="301">
        <v>345.73</v>
      </c>
      <c r="E28" s="301">
        <v>373.58</v>
      </c>
      <c r="F28" s="301">
        <v>476.76</v>
      </c>
      <c r="G28" s="301">
        <v>456.5</v>
      </c>
      <c r="H28" s="301">
        <v>518.42999999999995</v>
      </c>
      <c r="I28" s="301">
        <v>644.54</v>
      </c>
      <c r="J28" s="301">
        <v>633.54999999999995</v>
      </c>
      <c r="K28" s="301">
        <v>558.6</v>
      </c>
      <c r="L28" s="301">
        <v>561.58000000000004</v>
      </c>
      <c r="M28" s="301">
        <v>453.75</v>
      </c>
      <c r="N28" s="301">
        <v>443.92</v>
      </c>
      <c r="O28" s="290">
        <f>SUM(C28:N28)</f>
        <v>5894.22</v>
      </c>
      <c r="P28" s="300">
        <f>+O28/O32</f>
        <v>0.68220454724327428</v>
      </c>
      <c r="Q28" s="290"/>
    </row>
    <row r="29" spans="1:51">
      <c r="A29" s="16" t="s">
        <v>476</v>
      </c>
      <c r="C29" s="301">
        <v>41.52</v>
      </c>
      <c r="D29" s="301">
        <v>39.06</v>
      </c>
      <c r="E29" s="301">
        <v>49.04</v>
      </c>
      <c r="F29" s="301">
        <v>40.61</v>
      </c>
      <c r="G29" s="301">
        <v>45.18</v>
      </c>
      <c r="H29" s="301">
        <v>50.3</v>
      </c>
      <c r="I29" s="301">
        <v>18.38</v>
      </c>
      <c r="J29" s="301">
        <v>41.11</v>
      </c>
      <c r="K29" s="301">
        <v>47.11</v>
      </c>
      <c r="L29" s="301">
        <v>48.86</v>
      </c>
      <c r="M29" s="301">
        <v>39.119999999999997</v>
      </c>
      <c r="N29" s="301">
        <v>44.1</v>
      </c>
      <c r="O29" s="290">
        <f>SUM(C29:N29)</f>
        <v>504.3900000000001</v>
      </c>
      <c r="P29" s="300">
        <f>+O29/O32</f>
        <v>5.8378742494178217E-2</v>
      </c>
      <c r="Q29" s="290"/>
    </row>
    <row r="30" spans="1:51" ht="13.5" thickBot="1">
      <c r="A30" s="16" t="s">
        <v>475</v>
      </c>
      <c r="C30" s="299">
        <v>57.73</v>
      </c>
      <c r="D30" s="299">
        <v>57.39</v>
      </c>
      <c r="E30" s="299">
        <v>73.11</v>
      </c>
      <c r="F30" s="299">
        <v>59.58</v>
      </c>
      <c r="G30" s="299">
        <v>66.8</v>
      </c>
      <c r="H30" s="299">
        <v>106.32</v>
      </c>
      <c r="I30" s="299">
        <v>143.78</v>
      </c>
      <c r="J30" s="299">
        <v>114.46</v>
      </c>
      <c r="K30" s="299">
        <v>136.44</v>
      </c>
      <c r="L30" s="299">
        <v>116.19</v>
      </c>
      <c r="M30" s="299">
        <v>104.62</v>
      </c>
      <c r="N30" s="299">
        <v>71.260000000000005</v>
      </c>
      <c r="O30" s="294">
        <f>SUM(C30:N30)</f>
        <v>1107.68</v>
      </c>
      <c r="P30" s="298">
        <f>+O30/O32</f>
        <v>0.12820429724211685</v>
      </c>
      <c r="Q30" s="290"/>
    </row>
    <row r="31" spans="1:51">
      <c r="A31" s="16"/>
      <c r="C31" s="290"/>
      <c r="D31" s="290"/>
      <c r="E31" s="290"/>
      <c r="F31" s="290"/>
      <c r="G31" s="290"/>
      <c r="H31" s="290"/>
      <c r="I31" s="290"/>
      <c r="J31" s="290"/>
      <c r="K31" s="290"/>
      <c r="L31" s="290"/>
      <c r="M31" s="290"/>
      <c r="N31" s="290"/>
      <c r="O31" s="290"/>
      <c r="P31" s="290"/>
      <c r="Q31" s="290"/>
    </row>
    <row r="32" spans="1:51" ht="13.5" thickBot="1">
      <c r="A32" s="16" t="s">
        <v>2</v>
      </c>
      <c r="C32" s="294">
        <f t="shared" ref="C32:I32" si="16">SUM(C26:C30)</f>
        <v>616.44999999999993</v>
      </c>
      <c r="D32" s="294">
        <f t="shared" si="16"/>
        <v>526.57000000000005</v>
      </c>
      <c r="E32" s="294">
        <f t="shared" si="16"/>
        <v>597.24</v>
      </c>
      <c r="F32" s="294">
        <f t="shared" si="16"/>
        <v>663.42000000000007</v>
      </c>
      <c r="G32" s="294">
        <f t="shared" si="16"/>
        <v>659.8599999999999</v>
      </c>
      <c r="H32" s="294">
        <f t="shared" si="16"/>
        <v>779.01</v>
      </c>
      <c r="I32" s="294">
        <f t="shared" si="16"/>
        <v>895.71999999999991</v>
      </c>
      <c r="J32" s="294">
        <f t="shared" ref="J32:P32" si="17">SUM(J26:J30)</f>
        <v>879.80000000000007</v>
      </c>
      <c r="K32" s="294">
        <f t="shared" ref="K32" si="18">SUM(K26:K30)</f>
        <v>861.38000000000011</v>
      </c>
      <c r="L32" s="294">
        <f t="shared" ref="L32:N32" si="19">SUM(L26:L30)</f>
        <v>814.95</v>
      </c>
      <c r="M32" s="294">
        <f t="shared" si="19"/>
        <v>685.06</v>
      </c>
      <c r="N32" s="294">
        <f t="shared" si="19"/>
        <v>660.5</v>
      </c>
      <c r="O32" s="294">
        <f t="shared" si="17"/>
        <v>8639.9600000000009</v>
      </c>
      <c r="P32" s="298">
        <f t="shared" si="17"/>
        <v>1</v>
      </c>
      <c r="Q32" s="290"/>
    </row>
    <row r="33" spans="1:17">
      <c r="A33" s="16"/>
      <c r="C33" s="34"/>
      <c r="D33" s="34"/>
      <c r="E33" s="34"/>
      <c r="F33" s="34"/>
      <c r="G33" s="34"/>
      <c r="H33" s="34"/>
      <c r="I33" s="34"/>
      <c r="J33" s="34"/>
      <c r="K33" s="34"/>
      <c r="L33" s="34"/>
      <c r="M33" s="34"/>
      <c r="N33" s="34"/>
      <c r="O33" s="34"/>
      <c r="P33" s="34"/>
      <c r="Q33" s="34"/>
    </row>
    <row r="34" spans="1:17">
      <c r="A34" s="160" t="s">
        <v>477</v>
      </c>
      <c r="C34" s="290">
        <f t="shared" ref="C34:I34" si="20">C28</f>
        <v>427.28</v>
      </c>
      <c r="D34" s="290">
        <f t="shared" si="20"/>
        <v>345.73</v>
      </c>
      <c r="E34" s="290">
        <f t="shared" si="20"/>
        <v>373.58</v>
      </c>
      <c r="F34" s="290">
        <f t="shared" si="20"/>
        <v>476.76</v>
      </c>
      <c r="G34" s="290">
        <f t="shared" si="20"/>
        <v>456.5</v>
      </c>
      <c r="H34" s="290">
        <f t="shared" si="20"/>
        <v>518.42999999999995</v>
      </c>
      <c r="I34" s="290">
        <f t="shared" si="20"/>
        <v>644.54</v>
      </c>
      <c r="J34" s="290">
        <f t="shared" ref="J34" si="21">J28</f>
        <v>633.54999999999995</v>
      </c>
      <c r="K34" s="290">
        <f t="shared" ref="K34" si="22">K28</f>
        <v>558.6</v>
      </c>
      <c r="L34" s="290">
        <f t="shared" ref="L34:N34" si="23">L28</f>
        <v>561.58000000000004</v>
      </c>
      <c r="M34" s="290">
        <f t="shared" si="23"/>
        <v>453.75</v>
      </c>
      <c r="N34" s="290">
        <f t="shared" si="23"/>
        <v>443.92</v>
      </c>
      <c r="O34" s="290">
        <f>SUM(C34:N34)</f>
        <v>5894.22</v>
      </c>
      <c r="P34" s="34"/>
      <c r="Q34" s="34"/>
    </row>
    <row r="35" spans="1:17">
      <c r="A35" s="160" t="s">
        <v>328</v>
      </c>
      <c r="C35" s="297">
        <v>27.5</v>
      </c>
      <c r="D35" s="297">
        <v>27.5</v>
      </c>
      <c r="E35" s="297">
        <v>30</v>
      </c>
      <c r="F35" s="297">
        <v>46</v>
      </c>
      <c r="G35" s="297">
        <v>39.5</v>
      </c>
      <c r="H35" s="297">
        <v>40</v>
      </c>
      <c r="I35" s="297">
        <v>39.5</v>
      </c>
      <c r="J35" s="297">
        <v>45.5</v>
      </c>
      <c r="K35" s="297">
        <v>43</v>
      </c>
      <c r="L35" s="297">
        <v>44.08</v>
      </c>
      <c r="M35" s="297">
        <v>35</v>
      </c>
      <c r="N35" s="297">
        <v>32.42</v>
      </c>
      <c r="O35" s="290">
        <f>SUM(C35:N35)</f>
        <v>450</v>
      </c>
      <c r="P35" s="295">
        <f>O35/O34</f>
        <v>7.634597962071317E-2</v>
      </c>
      <c r="Q35" s="34"/>
    </row>
    <row r="36" spans="1:17" ht="13.5" thickBot="1">
      <c r="A36" s="160" t="s">
        <v>761</v>
      </c>
      <c r="C36" s="296">
        <v>20.02</v>
      </c>
      <c r="D36" s="296">
        <v>14.21</v>
      </c>
      <c r="E36" s="296">
        <v>10.5</v>
      </c>
      <c r="F36" s="296">
        <v>14.25</v>
      </c>
      <c r="G36" s="296">
        <v>22.25</v>
      </c>
      <c r="H36" s="296">
        <v>20</v>
      </c>
      <c r="I36" s="296">
        <v>29.83</v>
      </c>
      <c r="J36" s="296">
        <v>26.42</v>
      </c>
      <c r="K36" s="296">
        <v>24</v>
      </c>
      <c r="L36" s="296">
        <v>26.75</v>
      </c>
      <c r="M36" s="296">
        <v>20</v>
      </c>
      <c r="N36" s="296">
        <v>21</v>
      </c>
      <c r="O36" s="294">
        <f>SUM(C36:N36)</f>
        <v>249.23000000000002</v>
      </c>
      <c r="P36" s="293">
        <f>O36/O34</f>
        <v>4.2283796668600764E-2</v>
      </c>
      <c r="Q36" s="34"/>
    </row>
    <row r="37" spans="1:17">
      <c r="A37" s="160"/>
      <c r="C37" s="34"/>
      <c r="D37" s="34"/>
      <c r="E37" s="34"/>
      <c r="F37" s="34"/>
      <c r="G37" s="34"/>
      <c r="H37" s="34"/>
      <c r="I37" s="34"/>
      <c r="J37" s="34"/>
      <c r="K37" s="34"/>
      <c r="L37" s="34"/>
      <c r="M37" s="34"/>
      <c r="N37" s="34"/>
      <c r="O37" s="34"/>
      <c r="P37" s="295"/>
      <c r="Q37" s="34"/>
    </row>
    <row r="38" spans="1:17" ht="13.5" thickBot="1">
      <c r="A38" s="160" t="s">
        <v>760</v>
      </c>
      <c r="C38" s="294">
        <f t="shared" ref="C38:I38" si="24">C28-C35-C36</f>
        <v>379.76</v>
      </c>
      <c r="D38" s="294">
        <f t="shared" si="24"/>
        <v>304.02000000000004</v>
      </c>
      <c r="E38" s="294">
        <f t="shared" si="24"/>
        <v>333.08</v>
      </c>
      <c r="F38" s="294">
        <f t="shared" si="24"/>
        <v>416.51</v>
      </c>
      <c r="G38" s="294">
        <f t="shared" si="24"/>
        <v>394.75</v>
      </c>
      <c r="H38" s="294">
        <f t="shared" si="24"/>
        <v>458.42999999999995</v>
      </c>
      <c r="I38" s="294">
        <f t="shared" si="24"/>
        <v>575.20999999999992</v>
      </c>
      <c r="J38" s="294">
        <f t="shared" ref="J38:O38" si="25">J28-J35-J36</f>
        <v>561.63</v>
      </c>
      <c r="K38" s="294">
        <f t="shared" ref="K38" si="26">K28-K35-K36</f>
        <v>491.6</v>
      </c>
      <c r="L38" s="294">
        <f t="shared" ref="L38:N38" si="27">L28-L35-L36</f>
        <v>490.75</v>
      </c>
      <c r="M38" s="294">
        <f t="shared" si="27"/>
        <v>398.75</v>
      </c>
      <c r="N38" s="294">
        <f t="shared" si="27"/>
        <v>390.5</v>
      </c>
      <c r="O38" s="294">
        <f t="shared" si="25"/>
        <v>5194.99</v>
      </c>
      <c r="P38" s="293">
        <f>O38/O34</f>
        <v>0.88137022371068596</v>
      </c>
    </row>
    <row r="40" spans="1:17">
      <c r="A40" s="127" t="s">
        <v>488</v>
      </c>
    </row>
    <row r="41" spans="1:17">
      <c r="C41" s="695" t="str">
        <f t="shared" ref="C41:I41" si="28">+C24</f>
        <v>January</v>
      </c>
      <c r="D41" s="695" t="str">
        <f t="shared" si="28"/>
        <v>February</v>
      </c>
      <c r="E41" s="695" t="str">
        <f t="shared" si="28"/>
        <v>March</v>
      </c>
      <c r="F41" s="695" t="str">
        <f t="shared" si="28"/>
        <v>April</v>
      </c>
      <c r="G41" s="695" t="str">
        <f t="shared" si="28"/>
        <v>May</v>
      </c>
      <c r="H41" s="695" t="str">
        <f t="shared" si="28"/>
        <v>June</v>
      </c>
      <c r="I41" s="695" t="str">
        <f t="shared" si="28"/>
        <v>July</v>
      </c>
      <c r="J41" s="2" t="str">
        <f t="shared" ref="J41" si="29">+J24</f>
        <v>August</v>
      </c>
      <c r="K41" s="695" t="str">
        <f t="shared" ref="K41" si="30">+K24</f>
        <v>September</v>
      </c>
      <c r="L41" s="695" t="str">
        <f t="shared" ref="L41:N41" si="31">+L24</f>
        <v xml:space="preserve">October </v>
      </c>
      <c r="M41" s="695" t="str">
        <f t="shared" si="31"/>
        <v>November</v>
      </c>
      <c r="N41" s="695" t="str">
        <f t="shared" si="31"/>
        <v>December</v>
      </c>
      <c r="O41" s="2" t="s">
        <v>2</v>
      </c>
      <c r="P41" s="2" t="s">
        <v>107</v>
      </c>
    </row>
    <row r="42" spans="1:17">
      <c r="C42" s="695"/>
      <c r="D42" s="695"/>
      <c r="E42" s="695"/>
      <c r="F42" s="695"/>
      <c r="G42" s="695"/>
    </row>
    <row r="43" spans="1:17">
      <c r="A43" s="16" t="s">
        <v>109</v>
      </c>
      <c r="C43" s="307">
        <v>482</v>
      </c>
      <c r="D43" s="307">
        <v>518</v>
      </c>
      <c r="E43" s="307">
        <v>626</v>
      </c>
      <c r="F43" s="307">
        <v>529</v>
      </c>
      <c r="G43" s="307">
        <v>547</v>
      </c>
      <c r="H43" s="307">
        <v>632</v>
      </c>
      <c r="I43" s="307">
        <v>541</v>
      </c>
      <c r="J43" s="307">
        <v>526</v>
      </c>
      <c r="K43" s="307">
        <v>795</v>
      </c>
      <c r="L43" s="307">
        <v>527</v>
      </c>
      <c r="M43" s="307">
        <v>483</v>
      </c>
      <c r="N43" s="307">
        <v>635</v>
      </c>
      <c r="O43" s="304">
        <f>SUM(C43:N43)</f>
        <v>6841</v>
      </c>
      <c r="P43" s="300">
        <f>+O43/O49</f>
        <v>8.0997880628470617E-2</v>
      </c>
      <c r="Q43" s="290"/>
    </row>
    <row r="44" spans="1:17">
      <c r="A44" s="16" t="s">
        <v>110</v>
      </c>
      <c r="C44" s="307">
        <v>324</v>
      </c>
      <c r="D44" s="307">
        <v>253</v>
      </c>
      <c r="E44" s="307">
        <v>304</v>
      </c>
      <c r="F44" s="307">
        <v>244</v>
      </c>
      <c r="G44" s="307">
        <v>282</v>
      </c>
      <c r="H44" s="307">
        <v>307</v>
      </c>
      <c r="I44" s="307">
        <v>273</v>
      </c>
      <c r="J44" s="307">
        <v>254</v>
      </c>
      <c r="K44" s="307">
        <v>315</v>
      </c>
      <c r="L44" s="307">
        <v>287</v>
      </c>
      <c r="M44" s="307">
        <v>270</v>
      </c>
      <c r="N44" s="307">
        <v>287</v>
      </c>
      <c r="O44" s="304">
        <f>SUM(C44:N44)</f>
        <v>3400</v>
      </c>
      <c r="P44" s="300">
        <f>+O44/O49</f>
        <v>4.0256218993831326E-2</v>
      </c>
      <c r="Q44" s="290"/>
    </row>
    <row r="45" spans="1:17">
      <c r="A45" s="16" t="s">
        <v>477</v>
      </c>
      <c r="C45" s="307">
        <v>3888</v>
      </c>
      <c r="D45" s="307">
        <v>3228</v>
      </c>
      <c r="E45" s="307">
        <v>3322</v>
      </c>
      <c r="F45" s="686">
        <v>4343</v>
      </c>
      <c r="G45" s="307">
        <v>4098</v>
      </c>
      <c r="H45" s="307">
        <v>4722</v>
      </c>
      <c r="I45" s="307">
        <v>5416</v>
      </c>
      <c r="J45" s="307">
        <v>5103</v>
      </c>
      <c r="K45" s="307">
        <v>4894</v>
      </c>
      <c r="L45" s="307">
        <v>4676</v>
      </c>
      <c r="M45" s="307">
        <v>3992</v>
      </c>
      <c r="N45" s="307">
        <v>4038</v>
      </c>
      <c r="O45" s="304">
        <f>SUM(C45:N45)</f>
        <v>51720</v>
      </c>
      <c r="P45" s="300">
        <f>+O45/O49</f>
        <v>0.61236813128263423</v>
      </c>
      <c r="Q45" s="290"/>
    </row>
    <row r="46" spans="1:17">
      <c r="A46" s="16" t="s">
        <v>476</v>
      </c>
      <c r="C46" s="307">
        <v>618</v>
      </c>
      <c r="D46" s="307">
        <v>594</v>
      </c>
      <c r="E46" s="307">
        <v>723</v>
      </c>
      <c r="F46" s="307">
        <v>585</v>
      </c>
      <c r="G46" s="307">
        <v>657</v>
      </c>
      <c r="H46" s="307">
        <v>624</v>
      </c>
      <c r="I46" s="307">
        <v>506</v>
      </c>
      <c r="J46" s="307">
        <v>459</v>
      </c>
      <c r="K46" s="307">
        <v>542</v>
      </c>
      <c r="L46" s="307">
        <v>549</v>
      </c>
      <c r="M46" s="307">
        <v>479</v>
      </c>
      <c r="N46" s="307">
        <v>555</v>
      </c>
      <c r="O46" s="304">
        <f>SUM(C46:N46)</f>
        <v>6891</v>
      </c>
      <c r="P46" s="300">
        <f>+O46/O49</f>
        <v>8.1589883848968134E-2</v>
      </c>
      <c r="Q46" s="290"/>
    </row>
    <row r="47" spans="1:17" ht="13.5" thickBot="1">
      <c r="A47" s="16" t="s">
        <v>475</v>
      </c>
      <c r="C47" s="306">
        <v>794</v>
      </c>
      <c r="D47" s="306">
        <v>842</v>
      </c>
      <c r="E47" s="306">
        <v>1024</v>
      </c>
      <c r="F47" s="306">
        <v>849</v>
      </c>
      <c r="G47" s="306">
        <v>935</v>
      </c>
      <c r="H47" s="306">
        <v>1481</v>
      </c>
      <c r="I47" s="306">
        <v>1623</v>
      </c>
      <c r="J47" s="306">
        <v>1661</v>
      </c>
      <c r="K47" s="306">
        <v>1969</v>
      </c>
      <c r="L47" s="306">
        <v>1765</v>
      </c>
      <c r="M47" s="306">
        <v>1490</v>
      </c>
      <c r="N47" s="306">
        <v>1174</v>
      </c>
      <c r="O47" s="302">
        <f>SUM(C47:N47)</f>
        <v>15607</v>
      </c>
      <c r="P47" s="298">
        <f>+O47/O49</f>
        <v>0.18478788524609574</v>
      </c>
      <c r="Q47" s="290"/>
    </row>
    <row r="48" spans="1:17">
      <c r="A48" s="16"/>
      <c r="C48" s="290"/>
      <c r="D48" s="290"/>
      <c r="E48" s="290"/>
      <c r="F48" s="290"/>
      <c r="G48" s="290"/>
      <c r="H48" s="290"/>
      <c r="I48" s="290"/>
      <c r="J48" s="290"/>
      <c r="K48" s="290"/>
      <c r="L48" s="290"/>
      <c r="M48" s="290"/>
      <c r="N48" s="290"/>
      <c r="O48" s="290"/>
      <c r="P48" s="290"/>
      <c r="Q48" s="290"/>
    </row>
    <row r="49" spans="1:17" ht="13.5" thickBot="1">
      <c r="A49" s="16" t="s">
        <v>2</v>
      </c>
      <c r="C49" s="294">
        <f t="shared" ref="C49:I49" si="32">SUM(C43:C47)</f>
        <v>6106</v>
      </c>
      <c r="D49" s="294">
        <f t="shared" si="32"/>
        <v>5435</v>
      </c>
      <c r="E49" s="294">
        <f t="shared" si="32"/>
        <v>5999</v>
      </c>
      <c r="F49" s="294">
        <f t="shared" si="32"/>
        <v>6550</v>
      </c>
      <c r="G49" s="294">
        <f t="shared" si="32"/>
        <v>6519</v>
      </c>
      <c r="H49" s="294">
        <f t="shared" si="32"/>
        <v>7766</v>
      </c>
      <c r="I49" s="294">
        <f t="shared" si="32"/>
        <v>8359</v>
      </c>
      <c r="J49" s="294">
        <f t="shared" ref="J49:P49" si="33">SUM(J43:J47)</f>
        <v>8003</v>
      </c>
      <c r="K49" s="294">
        <f t="shared" ref="K49" si="34">SUM(K43:K47)</f>
        <v>8515</v>
      </c>
      <c r="L49" s="294">
        <f t="shared" ref="L49:N49" si="35">SUM(L43:L47)</f>
        <v>7804</v>
      </c>
      <c r="M49" s="294">
        <f t="shared" si="35"/>
        <v>6714</v>
      </c>
      <c r="N49" s="294">
        <f t="shared" si="35"/>
        <v>6689</v>
      </c>
      <c r="O49" s="294">
        <f t="shared" si="33"/>
        <v>84459</v>
      </c>
      <c r="P49" s="298">
        <f t="shared" si="33"/>
        <v>1</v>
      </c>
      <c r="Q49" s="290"/>
    </row>
    <row r="50" spans="1:17">
      <c r="A50" s="16"/>
      <c r="C50" s="34"/>
      <c r="D50" s="34"/>
      <c r="E50" s="34"/>
      <c r="F50" s="34"/>
      <c r="G50" s="34"/>
      <c r="H50" s="34"/>
      <c r="I50" s="34"/>
      <c r="J50" s="34"/>
      <c r="K50" s="34"/>
      <c r="L50" s="34"/>
      <c r="M50" s="34"/>
      <c r="N50" s="34"/>
      <c r="O50" s="34"/>
      <c r="P50" s="34"/>
      <c r="Q50" s="34"/>
    </row>
    <row r="51" spans="1:17">
      <c r="A51" s="160" t="s">
        <v>477</v>
      </c>
      <c r="C51" s="304">
        <f t="shared" ref="C51:I51" si="36">C45</f>
        <v>3888</v>
      </c>
      <c r="D51" s="304">
        <f t="shared" si="36"/>
        <v>3228</v>
      </c>
      <c r="E51" s="304">
        <f t="shared" si="36"/>
        <v>3322</v>
      </c>
      <c r="F51" s="304">
        <f t="shared" si="36"/>
        <v>4343</v>
      </c>
      <c r="G51" s="304">
        <f t="shared" si="36"/>
        <v>4098</v>
      </c>
      <c r="H51" s="304">
        <f t="shared" si="36"/>
        <v>4722</v>
      </c>
      <c r="I51" s="304">
        <f t="shared" si="36"/>
        <v>5416</v>
      </c>
      <c r="J51" s="304">
        <f t="shared" ref="J51" si="37">J45</f>
        <v>5103</v>
      </c>
      <c r="K51" s="304">
        <f t="shared" ref="K51" si="38">K45</f>
        <v>4894</v>
      </c>
      <c r="L51" s="304">
        <f t="shared" ref="L51:N51" si="39">L45</f>
        <v>4676</v>
      </c>
      <c r="M51" s="304">
        <f t="shared" si="39"/>
        <v>3992</v>
      </c>
      <c r="N51" s="304">
        <f t="shared" si="39"/>
        <v>4038</v>
      </c>
      <c r="O51" s="304">
        <f>SUM(C51:N51)</f>
        <v>51720</v>
      </c>
      <c r="P51" s="34"/>
      <c r="Q51" s="34"/>
    </row>
    <row r="52" spans="1:17">
      <c r="A52" s="160" t="s">
        <v>328</v>
      </c>
      <c r="C52" s="305">
        <v>456</v>
      </c>
      <c r="D52" s="305">
        <v>421</v>
      </c>
      <c r="E52" s="305">
        <v>286</v>
      </c>
      <c r="F52" s="305">
        <v>527</v>
      </c>
      <c r="G52" s="305">
        <v>539</v>
      </c>
      <c r="H52" s="305">
        <v>561</v>
      </c>
      <c r="I52" s="305">
        <v>491</v>
      </c>
      <c r="J52" s="305">
        <v>568</v>
      </c>
      <c r="K52" s="305">
        <v>560</v>
      </c>
      <c r="L52" s="305">
        <v>573</v>
      </c>
      <c r="M52" s="305">
        <v>504</v>
      </c>
      <c r="N52" s="305">
        <v>515</v>
      </c>
      <c r="O52" s="304">
        <f>SUM(C52:N52)</f>
        <v>6001</v>
      </c>
      <c r="P52" s="295">
        <f>O52/O51</f>
        <v>0.11602861562258314</v>
      </c>
      <c r="Q52" s="34"/>
    </row>
    <row r="53" spans="1:17" ht="13.5" thickBot="1">
      <c r="A53" s="160" t="s">
        <v>761</v>
      </c>
      <c r="C53" s="303">
        <v>204</v>
      </c>
      <c r="D53" s="303">
        <v>161</v>
      </c>
      <c r="E53" s="303">
        <v>129</v>
      </c>
      <c r="F53" s="303">
        <v>182</v>
      </c>
      <c r="G53" s="303">
        <v>273</v>
      </c>
      <c r="H53" s="303">
        <v>197</v>
      </c>
      <c r="I53" s="303">
        <v>257</v>
      </c>
      <c r="J53" s="303">
        <v>182</v>
      </c>
      <c r="K53" s="303">
        <v>206</v>
      </c>
      <c r="L53" s="303">
        <v>247</v>
      </c>
      <c r="M53" s="303">
        <v>193</v>
      </c>
      <c r="N53" s="303">
        <v>222</v>
      </c>
      <c r="O53" s="302">
        <f>SUM(C53:N53)</f>
        <v>2453</v>
      </c>
      <c r="P53" s="293">
        <f>O53/O51</f>
        <v>4.7428460943542153E-2</v>
      </c>
      <c r="Q53" s="34"/>
    </row>
    <row r="54" spans="1:17">
      <c r="A54" s="160"/>
      <c r="C54" s="34"/>
      <c r="D54" s="34"/>
      <c r="E54" s="34"/>
      <c r="F54" s="34"/>
      <c r="G54" s="34"/>
      <c r="H54" s="34"/>
      <c r="I54" s="34"/>
      <c r="J54" s="34"/>
      <c r="K54" s="34"/>
      <c r="L54" s="34"/>
      <c r="M54" s="34"/>
      <c r="N54" s="34"/>
      <c r="O54" s="34"/>
      <c r="P54" s="295"/>
      <c r="Q54" s="34"/>
    </row>
    <row r="55" spans="1:17" ht="13.5" thickBot="1">
      <c r="A55" s="160" t="s">
        <v>760</v>
      </c>
      <c r="C55" s="302">
        <f t="shared" ref="C55:I55" si="40">C45-C52-C53</f>
        <v>3228</v>
      </c>
      <c r="D55" s="302">
        <f t="shared" si="40"/>
        <v>2646</v>
      </c>
      <c r="E55" s="302">
        <f t="shared" si="40"/>
        <v>2907</v>
      </c>
      <c r="F55" s="302">
        <f t="shared" si="40"/>
        <v>3634</v>
      </c>
      <c r="G55" s="302">
        <f t="shared" si="40"/>
        <v>3286</v>
      </c>
      <c r="H55" s="302">
        <f t="shared" si="40"/>
        <v>3964</v>
      </c>
      <c r="I55" s="302">
        <f t="shared" si="40"/>
        <v>4668</v>
      </c>
      <c r="J55" s="302">
        <f t="shared" ref="J55:O55" si="41">J45-J52-J53</f>
        <v>4353</v>
      </c>
      <c r="K55" s="302">
        <f t="shared" ref="K55" si="42">K45-K52-K53</f>
        <v>4128</v>
      </c>
      <c r="L55" s="302">
        <f t="shared" ref="L55:N55" si="43">L45-L52-L53</f>
        <v>3856</v>
      </c>
      <c r="M55" s="302">
        <f t="shared" si="43"/>
        <v>3295</v>
      </c>
      <c r="N55" s="302">
        <f t="shared" si="43"/>
        <v>3301</v>
      </c>
      <c r="O55" s="302">
        <f t="shared" si="41"/>
        <v>43266</v>
      </c>
      <c r="P55" s="293">
        <f>O55/O51</f>
        <v>0.83654292343387471</v>
      </c>
      <c r="Q55" s="34"/>
    </row>
    <row r="56" spans="1:17">
      <c r="C56" s="18"/>
      <c r="D56" s="18"/>
      <c r="E56" s="18"/>
    </row>
    <row r="58" spans="1:17">
      <c r="A58" s="127" t="s">
        <v>489</v>
      </c>
    </row>
    <row r="59" spans="1:17">
      <c r="C59" s="695" t="str">
        <f t="shared" ref="C59:I59" si="44">+C41</f>
        <v>January</v>
      </c>
      <c r="D59" s="695" t="str">
        <f t="shared" si="44"/>
        <v>February</v>
      </c>
      <c r="E59" s="695" t="str">
        <f t="shared" si="44"/>
        <v>March</v>
      </c>
      <c r="F59" s="695" t="str">
        <f t="shared" si="44"/>
        <v>April</v>
      </c>
      <c r="G59" s="695" t="str">
        <f t="shared" si="44"/>
        <v>May</v>
      </c>
      <c r="H59" s="695" t="str">
        <f t="shared" si="44"/>
        <v>June</v>
      </c>
      <c r="I59" s="695" t="str">
        <f t="shared" si="44"/>
        <v>July</v>
      </c>
      <c r="J59" s="2" t="str">
        <f t="shared" ref="J59" si="45">+J41</f>
        <v>August</v>
      </c>
      <c r="K59" s="695" t="str">
        <f t="shared" ref="K59" si="46">+K41</f>
        <v>September</v>
      </c>
      <c r="L59" s="695" t="str">
        <f t="shared" ref="L59:N59" si="47">+L41</f>
        <v xml:space="preserve">October </v>
      </c>
      <c r="M59" s="695" t="str">
        <f t="shared" si="47"/>
        <v>November</v>
      </c>
      <c r="N59" s="695" t="str">
        <f t="shared" si="47"/>
        <v>December</v>
      </c>
      <c r="O59" s="2" t="s">
        <v>2</v>
      </c>
      <c r="P59" s="2" t="s">
        <v>107</v>
      </c>
    </row>
    <row r="60" spans="1:17">
      <c r="C60" s="695"/>
      <c r="D60" s="695"/>
      <c r="E60" s="695"/>
      <c r="F60" s="695"/>
      <c r="G60" s="695"/>
    </row>
    <row r="61" spans="1:17">
      <c r="A61" s="16" t="s">
        <v>109</v>
      </c>
      <c r="C61" s="301">
        <v>65.900000000000006</v>
      </c>
      <c r="D61" s="301">
        <v>66.5</v>
      </c>
      <c r="E61" s="301">
        <v>76.5</v>
      </c>
      <c r="F61" s="301">
        <v>67.27</v>
      </c>
      <c r="G61" s="301">
        <v>75.73</v>
      </c>
      <c r="H61" s="301">
        <v>80.19</v>
      </c>
      <c r="I61" s="301">
        <v>69</v>
      </c>
      <c r="J61" s="301">
        <v>72.8</v>
      </c>
      <c r="K61" s="301">
        <v>102.59</v>
      </c>
      <c r="L61" s="301">
        <v>80.319999999999993</v>
      </c>
      <c r="M61" s="301">
        <v>74.680000000000007</v>
      </c>
      <c r="N61" s="301">
        <v>98.26</v>
      </c>
      <c r="O61" s="290">
        <f>SUM(C61:N61)</f>
        <v>929.74</v>
      </c>
      <c r="P61" s="300">
        <f>+O61/O67</f>
        <v>8.4003136994123553E-2</v>
      </c>
      <c r="Q61" s="290"/>
    </row>
    <row r="62" spans="1:17">
      <c r="A62" s="16" t="s">
        <v>110</v>
      </c>
      <c r="C62" s="301">
        <v>34.28</v>
      </c>
      <c r="D62" s="301">
        <v>31.75</v>
      </c>
      <c r="E62" s="301">
        <v>37.64</v>
      </c>
      <c r="F62" s="301">
        <v>33.380000000000003</v>
      </c>
      <c r="G62" s="301">
        <v>33.89</v>
      </c>
      <c r="H62" s="301">
        <v>36.71</v>
      </c>
      <c r="I62" s="301">
        <v>35.32</v>
      </c>
      <c r="J62" s="301">
        <v>34.21</v>
      </c>
      <c r="K62" s="301">
        <v>42.37</v>
      </c>
      <c r="L62" s="301">
        <v>39.11</v>
      </c>
      <c r="M62" s="301">
        <v>34.450000000000003</v>
      </c>
      <c r="N62" s="301">
        <v>51.68</v>
      </c>
      <c r="O62" s="290">
        <f>SUM(C62:N62)</f>
        <v>444.79</v>
      </c>
      <c r="P62" s="300">
        <f>+O62/O67</f>
        <v>4.0187316135281065E-2</v>
      </c>
      <c r="Q62" s="290"/>
    </row>
    <row r="63" spans="1:17">
      <c r="A63" s="16" t="s">
        <v>477</v>
      </c>
      <c r="C63" s="301">
        <v>533.78</v>
      </c>
      <c r="D63" s="301">
        <v>442.98</v>
      </c>
      <c r="E63" s="301">
        <v>466.58</v>
      </c>
      <c r="F63" s="301">
        <v>583.76</v>
      </c>
      <c r="G63" s="301">
        <v>551.5</v>
      </c>
      <c r="H63" s="301">
        <v>619.42999999999995</v>
      </c>
      <c r="I63" s="301">
        <v>748.04</v>
      </c>
      <c r="J63" s="301">
        <v>736.05</v>
      </c>
      <c r="K63" s="301">
        <v>681.6</v>
      </c>
      <c r="L63" s="301">
        <v>710.41</v>
      </c>
      <c r="M63" s="301">
        <v>580.16999999999996</v>
      </c>
      <c r="N63" s="301">
        <v>584.5</v>
      </c>
      <c r="O63" s="290">
        <f>SUM(C63:N63)</f>
        <v>7238.8</v>
      </c>
      <c r="P63" s="300">
        <f>+O63/O67</f>
        <v>0.65403436237341794</v>
      </c>
      <c r="Q63" s="290"/>
    </row>
    <row r="64" spans="1:17">
      <c r="A64" s="16" t="s">
        <v>476</v>
      </c>
      <c r="C64" s="301">
        <v>70.95</v>
      </c>
      <c r="D64" s="301">
        <v>71.87</v>
      </c>
      <c r="E64" s="301">
        <v>77.5</v>
      </c>
      <c r="F64" s="301">
        <v>73.05</v>
      </c>
      <c r="G64" s="301">
        <v>82.28</v>
      </c>
      <c r="H64" s="301">
        <v>88.34</v>
      </c>
      <c r="I64" s="301">
        <v>52.43</v>
      </c>
      <c r="J64" s="301">
        <v>74.89</v>
      </c>
      <c r="K64" s="301">
        <v>86.56</v>
      </c>
      <c r="L64" s="301">
        <v>88.3</v>
      </c>
      <c r="M64" s="301">
        <v>74.569999999999993</v>
      </c>
      <c r="N64" s="301">
        <v>78.28</v>
      </c>
      <c r="O64" s="290">
        <f>SUM(C64:N64)</f>
        <v>919.01999999999975</v>
      </c>
      <c r="P64" s="300">
        <f>+O64/O67</f>
        <v>8.3034571988232636E-2</v>
      </c>
      <c r="Q64" s="290"/>
    </row>
    <row r="65" spans="1:17" ht="13.5" thickBot="1">
      <c r="A65" s="16" t="s">
        <v>475</v>
      </c>
      <c r="C65" s="299">
        <v>78.540000000000006</v>
      </c>
      <c r="D65" s="299">
        <v>79.22</v>
      </c>
      <c r="E65" s="299">
        <v>92.53</v>
      </c>
      <c r="F65" s="299">
        <v>85.45</v>
      </c>
      <c r="G65" s="299">
        <v>96.46</v>
      </c>
      <c r="H65" s="299">
        <v>147.32</v>
      </c>
      <c r="I65" s="299">
        <v>184.94</v>
      </c>
      <c r="J65" s="299">
        <v>145.85</v>
      </c>
      <c r="K65" s="299">
        <v>181.05</v>
      </c>
      <c r="L65" s="299">
        <v>168.67</v>
      </c>
      <c r="M65" s="299">
        <v>161.93</v>
      </c>
      <c r="N65" s="299">
        <v>113.61</v>
      </c>
      <c r="O65" s="294">
        <f>SUM(C65:N65)</f>
        <v>1535.5700000000002</v>
      </c>
      <c r="P65" s="298">
        <f>+O65/O67</f>
        <v>0.13874061250894479</v>
      </c>
      <c r="Q65" s="290"/>
    </row>
    <row r="66" spans="1:17">
      <c r="A66" s="16"/>
      <c r="C66" s="290"/>
      <c r="D66" s="290"/>
      <c r="E66" s="290"/>
      <c r="F66" s="290"/>
      <c r="G66" s="290"/>
      <c r="H66" s="290"/>
      <c r="I66" s="290"/>
      <c r="J66" s="290"/>
      <c r="K66" s="290"/>
      <c r="L66" s="290"/>
      <c r="M66" s="290"/>
      <c r="N66" s="290"/>
      <c r="O66" s="290"/>
      <c r="P66" s="290"/>
      <c r="Q66" s="290"/>
    </row>
    <row r="67" spans="1:17" ht="13.5" thickBot="1">
      <c r="A67" s="16" t="s">
        <v>2</v>
      </c>
      <c r="C67" s="294">
        <f t="shared" ref="C67:I67" si="48">SUM(C61:C65)</f>
        <v>783.45</v>
      </c>
      <c r="D67" s="294">
        <f t="shared" si="48"/>
        <v>692.32</v>
      </c>
      <c r="E67" s="294">
        <f t="shared" si="48"/>
        <v>750.75</v>
      </c>
      <c r="F67" s="294">
        <f t="shared" si="48"/>
        <v>842.91</v>
      </c>
      <c r="G67" s="294">
        <f t="shared" si="48"/>
        <v>839.86</v>
      </c>
      <c r="H67" s="294">
        <f t="shared" si="48"/>
        <v>971.99</v>
      </c>
      <c r="I67" s="294">
        <f t="shared" si="48"/>
        <v>1089.7299999999998</v>
      </c>
      <c r="J67" s="294">
        <f t="shared" ref="J67:P67" si="49">SUM(J61:J65)</f>
        <v>1063.8</v>
      </c>
      <c r="K67" s="294">
        <f t="shared" ref="K67" si="50">SUM(K61:K65)</f>
        <v>1094.17</v>
      </c>
      <c r="L67" s="294">
        <f t="shared" ref="L67:N67" si="51">SUM(L61:L65)</f>
        <v>1086.81</v>
      </c>
      <c r="M67" s="294">
        <f t="shared" si="51"/>
        <v>925.8</v>
      </c>
      <c r="N67" s="294">
        <f t="shared" si="51"/>
        <v>926.33</v>
      </c>
      <c r="O67" s="294">
        <f t="shared" si="49"/>
        <v>11067.92</v>
      </c>
      <c r="P67" s="298">
        <f t="shared" si="49"/>
        <v>0.99999999999999989</v>
      </c>
      <c r="Q67" s="290"/>
    </row>
    <row r="68" spans="1:17">
      <c r="A68" s="16"/>
      <c r="C68" s="34"/>
      <c r="D68" s="34"/>
      <c r="E68" s="34"/>
      <c r="F68" s="34"/>
      <c r="G68" s="34"/>
      <c r="H68" s="34"/>
      <c r="I68" s="34"/>
      <c r="J68" s="34"/>
      <c r="K68" s="34"/>
      <c r="L68" s="34"/>
      <c r="M68" s="34"/>
      <c r="N68" s="34"/>
      <c r="O68" s="34"/>
      <c r="P68" s="34"/>
      <c r="Q68" s="34"/>
    </row>
    <row r="69" spans="1:17">
      <c r="A69" s="160" t="s">
        <v>477</v>
      </c>
      <c r="C69" s="290">
        <f t="shared" ref="C69:I69" si="52">C63</f>
        <v>533.78</v>
      </c>
      <c r="D69" s="290">
        <f t="shared" si="52"/>
        <v>442.98</v>
      </c>
      <c r="E69" s="290">
        <f t="shared" si="52"/>
        <v>466.58</v>
      </c>
      <c r="F69" s="290">
        <f t="shared" si="52"/>
        <v>583.76</v>
      </c>
      <c r="G69" s="290">
        <f t="shared" si="52"/>
        <v>551.5</v>
      </c>
      <c r="H69" s="290">
        <f t="shared" si="52"/>
        <v>619.42999999999995</v>
      </c>
      <c r="I69" s="290">
        <f t="shared" si="52"/>
        <v>748.04</v>
      </c>
      <c r="J69" s="290">
        <f t="shared" ref="J69" si="53">J63</f>
        <v>736.05</v>
      </c>
      <c r="K69" s="290">
        <f t="shared" ref="K69" si="54">K63</f>
        <v>681.6</v>
      </c>
      <c r="L69" s="290">
        <f t="shared" ref="L69:N69" si="55">L63</f>
        <v>710.41</v>
      </c>
      <c r="M69" s="290">
        <f t="shared" si="55"/>
        <v>580.16999999999996</v>
      </c>
      <c r="N69" s="290">
        <f t="shared" si="55"/>
        <v>584.5</v>
      </c>
      <c r="O69" s="290">
        <f>SUM(C69:N69)</f>
        <v>7238.8</v>
      </c>
      <c r="P69" s="34"/>
      <c r="Q69" s="34"/>
    </row>
    <row r="70" spans="1:17">
      <c r="A70" s="160" t="s">
        <v>328</v>
      </c>
      <c r="C70" s="297">
        <v>27.5</v>
      </c>
      <c r="D70" s="297">
        <v>27.5</v>
      </c>
      <c r="E70" s="297">
        <v>30</v>
      </c>
      <c r="F70" s="297">
        <v>46</v>
      </c>
      <c r="G70" s="297">
        <v>39.5</v>
      </c>
      <c r="H70" s="297">
        <v>40</v>
      </c>
      <c r="I70" s="297">
        <v>39.5</v>
      </c>
      <c r="J70" s="297">
        <v>45.5</v>
      </c>
      <c r="K70" s="297">
        <v>43</v>
      </c>
      <c r="L70" s="297">
        <v>56.66</v>
      </c>
      <c r="M70" s="297">
        <v>42.5</v>
      </c>
      <c r="N70" s="297">
        <v>32.42</v>
      </c>
      <c r="O70" s="290">
        <f>SUM(C70:N70)</f>
        <v>470.08</v>
      </c>
      <c r="P70" s="295">
        <f>O70/O69</f>
        <v>6.4938940155826935E-2</v>
      </c>
      <c r="Q70" s="34"/>
    </row>
    <row r="71" spans="1:17" ht="13.5" thickBot="1">
      <c r="A71" s="160" t="s">
        <v>761</v>
      </c>
      <c r="C71" s="296">
        <v>20.02</v>
      </c>
      <c r="D71" s="296">
        <v>14.21</v>
      </c>
      <c r="E71" s="296">
        <v>10.5</v>
      </c>
      <c r="F71" s="296">
        <v>14.25</v>
      </c>
      <c r="G71" s="296">
        <v>22.25</v>
      </c>
      <c r="H71" s="296">
        <v>20</v>
      </c>
      <c r="I71" s="296">
        <v>29.83</v>
      </c>
      <c r="J71" s="296">
        <v>26.42</v>
      </c>
      <c r="K71" s="296">
        <v>24</v>
      </c>
      <c r="L71" s="296">
        <v>26.75</v>
      </c>
      <c r="M71" s="296">
        <v>20</v>
      </c>
      <c r="N71" s="296">
        <v>26</v>
      </c>
      <c r="O71" s="294">
        <f>SUM(C71:N71)</f>
        <v>254.23000000000002</v>
      </c>
      <c r="P71" s="293">
        <f>O71/O69</f>
        <v>3.5120461955020173E-2</v>
      </c>
      <c r="Q71" s="34"/>
    </row>
    <row r="72" spans="1:17">
      <c r="A72" s="16"/>
      <c r="C72" s="34"/>
      <c r="D72" s="34"/>
      <c r="E72" s="34"/>
      <c r="F72" s="34"/>
      <c r="G72" s="34"/>
      <c r="H72" s="34"/>
      <c r="I72" s="34"/>
      <c r="J72" s="34"/>
      <c r="K72" s="34"/>
      <c r="L72" s="34"/>
      <c r="M72" s="34"/>
      <c r="N72" s="34"/>
      <c r="O72" s="34"/>
      <c r="P72" s="295"/>
      <c r="Q72" s="34"/>
    </row>
    <row r="73" spans="1:17" ht="13.5" thickBot="1">
      <c r="A73" s="160" t="s">
        <v>760</v>
      </c>
      <c r="C73" s="294">
        <f t="shared" ref="C73:I73" si="56">C63-C70-C71</f>
        <v>486.26</v>
      </c>
      <c r="D73" s="294">
        <f t="shared" si="56"/>
        <v>401.27000000000004</v>
      </c>
      <c r="E73" s="294">
        <f t="shared" si="56"/>
        <v>426.08</v>
      </c>
      <c r="F73" s="294">
        <f t="shared" si="56"/>
        <v>523.51</v>
      </c>
      <c r="G73" s="294">
        <f t="shared" si="56"/>
        <v>489.75</v>
      </c>
      <c r="H73" s="294">
        <f t="shared" si="56"/>
        <v>559.42999999999995</v>
      </c>
      <c r="I73" s="294">
        <f t="shared" si="56"/>
        <v>678.70999999999992</v>
      </c>
      <c r="J73" s="294">
        <f t="shared" ref="J73:O73" si="57">J63-J70-J71</f>
        <v>664.13</v>
      </c>
      <c r="K73" s="294">
        <f t="shared" ref="K73" si="58">K63-K70-K71</f>
        <v>614.6</v>
      </c>
      <c r="L73" s="294">
        <f t="shared" ref="L73:N73" si="59">L63-L70-L71</f>
        <v>627</v>
      </c>
      <c r="M73" s="294">
        <f t="shared" si="59"/>
        <v>517.66999999999996</v>
      </c>
      <c r="N73" s="294">
        <f t="shared" si="59"/>
        <v>526.08000000000004</v>
      </c>
      <c r="O73" s="294">
        <f t="shared" si="57"/>
        <v>6514.49</v>
      </c>
      <c r="P73" s="293">
        <f>O73/O69</f>
        <v>0.89994059788915282</v>
      </c>
      <c r="Q73" s="34"/>
    </row>
    <row r="74" spans="1:17">
      <c r="A74" s="16"/>
      <c r="C74" s="34"/>
      <c r="D74" s="34"/>
      <c r="E74" s="34"/>
      <c r="F74" s="34"/>
      <c r="G74" s="34"/>
      <c r="H74" s="34"/>
      <c r="I74" s="34"/>
      <c r="J74" s="34"/>
      <c r="K74" s="34"/>
      <c r="L74" s="34"/>
      <c r="M74" s="34"/>
      <c r="N74" s="34"/>
      <c r="O74" s="34"/>
      <c r="P74" s="34"/>
      <c r="Q74" s="34"/>
    </row>
    <row r="75" spans="1:17">
      <c r="A75" s="16"/>
      <c r="C75" s="34"/>
      <c r="D75" s="34"/>
      <c r="E75" s="34"/>
      <c r="F75" s="34"/>
      <c r="G75" s="34"/>
      <c r="H75" s="34"/>
      <c r="I75" s="34"/>
      <c r="J75" s="34"/>
      <c r="K75" s="34"/>
      <c r="L75" s="34"/>
      <c r="M75" s="34"/>
      <c r="N75" s="34"/>
      <c r="O75" s="34"/>
      <c r="P75" s="34"/>
      <c r="Q75" s="34"/>
    </row>
    <row r="76" spans="1:17">
      <c r="A76" s="16"/>
      <c r="C76" s="34"/>
      <c r="D76" s="34"/>
      <c r="E76" s="34"/>
      <c r="F76" s="34"/>
      <c r="G76" s="34"/>
      <c r="H76" s="34"/>
      <c r="I76" s="34"/>
      <c r="J76" s="34"/>
      <c r="K76" s="34"/>
      <c r="L76" s="34"/>
      <c r="M76" s="34"/>
      <c r="N76" s="34"/>
      <c r="O76" s="34"/>
      <c r="P76" s="34"/>
      <c r="Q76" s="34"/>
    </row>
    <row r="77" spans="1:17">
      <c r="C77" s="34"/>
      <c r="D77" s="34"/>
      <c r="E77" s="34"/>
      <c r="F77" s="34"/>
      <c r="G77" s="34"/>
    </row>
    <row r="78" spans="1:17">
      <c r="A78" s="127" t="s">
        <v>759</v>
      </c>
      <c r="C78" s="34"/>
      <c r="D78" s="34"/>
      <c r="E78" s="34"/>
      <c r="F78" s="34"/>
      <c r="G78" s="34"/>
      <c r="J78" t="s">
        <v>1361</v>
      </c>
      <c r="O78" s="684">
        <v>1411</v>
      </c>
    </row>
    <row r="79" spans="1:17">
      <c r="B79" s="83"/>
      <c r="C79" s="34"/>
      <c r="D79" s="34"/>
      <c r="E79" s="34"/>
      <c r="F79" s="34"/>
      <c r="G79" s="34"/>
    </row>
    <row r="80" spans="1:17">
      <c r="G80" s="173">
        <v>44196</v>
      </c>
      <c r="H80" s="173">
        <v>43830</v>
      </c>
    </row>
    <row r="81" spans="1:16">
      <c r="A81" s="127" t="s">
        <v>758</v>
      </c>
      <c r="E81" s="83" t="s">
        <v>1315</v>
      </c>
      <c r="G81" s="158">
        <v>200247</v>
      </c>
      <c r="H81" s="158">
        <v>172490</v>
      </c>
      <c r="I81">
        <f>+G81-H81</f>
        <v>27757</v>
      </c>
      <c r="O81" s="292">
        <f>+I83</f>
        <v>30687</v>
      </c>
      <c r="P81" s="693" t="s">
        <v>1439</v>
      </c>
    </row>
    <row r="82" spans="1:16">
      <c r="E82" s="83" t="s">
        <v>1314</v>
      </c>
      <c r="G82" s="158">
        <v>120275</v>
      </c>
      <c r="H82" s="158">
        <v>117345</v>
      </c>
      <c r="I82" s="76">
        <f>+G82-H82</f>
        <v>2930</v>
      </c>
    </row>
    <row r="83" spans="1:16">
      <c r="I83">
        <f>+I81+I82</f>
        <v>30687</v>
      </c>
    </row>
    <row r="86" spans="1:16">
      <c r="J86" t="s">
        <v>327</v>
      </c>
    </row>
    <row r="150" spans="18:45">
      <c r="R150" s="290"/>
    </row>
    <row r="151" spans="18:45">
      <c r="R151" s="290"/>
    </row>
    <row r="152" spans="18:45">
      <c r="R152" s="290"/>
    </row>
    <row r="153" spans="18:45">
      <c r="R153" s="290"/>
    </row>
    <row r="154" spans="18:45">
      <c r="R154" s="291"/>
      <c r="S154" s="18"/>
      <c r="T154" s="18"/>
      <c r="U154" s="18"/>
      <c r="V154" s="18"/>
      <c r="W154" s="18"/>
      <c r="X154" s="18"/>
      <c r="Y154" s="18"/>
      <c r="Z154" s="18"/>
      <c r="AA154" s="18"/>
      <c r="AB154" s="18"/>
      <c r="AC154" s="18"/>
      <c r="AD154" s="18"/>
      <c r="AE154" s="18"/>
      <c r="AF154" s="18"/>
      <c r="AG154" s="18"/>
      <c r="AH154" s="18"/>
      <c r="AI154" s="18"/>
      <c r="AJ154" s="18"/>
      <c r="AK154" s="18"/>
    </row>
    <row r="155" spans="18:45">
      <c r="R155" s="290"/>
    </row>
    <row r="156" spans="18:45">
      <c r="R156" s="291"/>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row>
    <row r="157" spans="18:45">
      <c r="R157" s="34"/>
    </row>
    <row r="166" spans="18:18">
      <c r="R166" s="290"/>
    </row>
    <row r="167" spans="18:18">
      <c r="R167" s="290"/>
    </row>
    <row r="168" spans="18:18">
      <c r="R168" s="290"/>
    </row>
    <row r="169" spans="18:18">
      <c r="R169" s="290"/>
    </row>
    <row r="170" spans="18:18">
      <c r="R170" s="290"/>
    </row>
    <row r="171" spans="18:18">
      <c r="R171" s="290"/>
    </row>
    <row r="172" spans="18:18">
      <c r="R172" s="290"/>
    </row>
    <row r="173" spans="18:18">
      <c r="R173" s="34"/>
    </row>
  </sheetData>
  <pageMargins left="0.25" right="0.25" top="0.25" bottom="0.25" header="0.5" footer="0.5"/>
  <pageSetup scale="82" fitToHeight="2" orientation="landscape" horizontalDpi="4294967293" verticalDpi="4294967293"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workbookViewId="0">
      <selection activeCell="D4" sqref="D4"/>
    </sheetView>
  </sheetViews>
  <sheetFormatPr defaultRowHeight="12.75"/>
  <sheetData>
    <row r="1" spans="1:24">
      <c r="A1" t="s">
        <v>0</v>
      </c>
    </row>
    <row r="2" spans="1:24">
      <c r="D2" s="693"/>
    </row>
    <row r="3" spans="1:24">
      <c r="A3" s="692" t="s">
        <v>1369</v>
      </c>
      <c r="D3" s="718" t="s">
        <v>1414</v>
      </c>
      <c r="E3" s="693" t="s">
        <v>702</v>
      </c>
    </row>
    <row r="9" spans="1:24">
      <c r="A9" s="127" t="s">
        <v>775</v>
      </c>
    </row>
    <row r="10" spans="1:24">
      <c r="A10" s="127"/>
    </row>
    <row r="11" spans="1:24" ht="13.5" thickBot="1">
      <c r="C11" s="5"/>
      <c r="D11" s="5"/>
      <c r="E11" s="5"/>
      <c r="F11" s="5"/>
      <c r="G11" s="5"/>
      <c r="H11" s="92"/>
      <c r="I11" s="92"/>
      <c r="J11" s="5"/>
      <c r="K11" s="5"/>
      <c r="L11" s="5"/>
      <c r="M11" s="5"/>
      <c r="N11" s="5"/>
      <c r="O11" s="5"/>
      <c r="P11" s="5"/>
      <c r="Q11" s="5"/>
      <c r="R11" s="5"/>
      <c r="S11" s="5"/>
      <c r="T11" s="5"/>
      <c r="U11" s="5"/>
    </row>
    <row r="12" spans="1:24">
      <c r="C12" s="2" t="s">
        <v>324</v>
      </c>
      <c r="D12" s="2" t="s">
        <v>295</v>
      </c>
      <c r="E12" s="2" t="s">
        <v>296</v>
      </c>
      <c r="F12" s="2" t="s">
        <v>2</v>
      </c>
      <c r="G12" s="93" t="s">
        <v>107</v>
      </c>
      <c r="H12" s="133" t="s">
        <v>296</v>
      </c>
      <c r="I12" s="93" t="s">
        <v>107</v>
      </c>
      <c r="J12" s="133" t="s">
        <v>774</v>
      </c>
      <c r="K12" s="2" t="s">
        <v>773</v>
      </c>
      <c r="L12" s="2" t="s">
        <v>772</v>
      </c>
      <c r="M12" s="2" t="s">
        <v>771</v>
      </c>
      <c r="N12" s="2" t="s">
        <v>770</v>
      </c>
      <c r="O12" s="2" t="s">
        <v>769</v>
      </c>
      <c r="P12" s="2" t="s">
        <v>768</v>
      </c>
      <c r="Q12" s="2" t="s">
        <v>767</v>
      </c>
      <c r="R12" s="2" t="s">
        <v>766</v>
      </c>
      <c r="S12" s="2" t="s">
        <v>765</v>
      </c>
      <c r="T12" s="2" t="s">
        <v>2</v>
      </c>
      <c r="U12" s="2" t="s">
        <v>107</v>
      </c>
    </row>
    <row r="13" spans="1:24" ht="13.5" thickBot="1">
      <c r="C13" s="20"/>
      <c r="D13" s="20"/>
      <c r="E13" s="20"/>
      <c r="F13" s="5"/>
      <c r="G13" s="5"/>
      <c r="H13" s="320" t="s">
        <v>341</v>
      </c>
      <c r="I13" s="5"/>
      <c r="J13" s="130"/>
      <c r="K13" s="20"/>
      <c r="L13" s="20"/>
      <c r="M13" s="20"/>
      <c r="N13" s="20"/>
      <c r="O13" s="20"/>
      <c r="P13" s="20"/>
      <c r="Q13" s="5"/>
      <c r="R13" s="5"/>
      <c r="S13" s="5"/>
      <c r="T13" s="5"/>
      <c r="U13" s="5"/>
    </row>
    <row r="14" spans="1:24">
      <c r="A14" s="16" t="s">
        <v>109</v>
      </c>
      <c r="C14" s="307">
        <v>0</v>
      </c>
      <c r="D14" s="307">
        <v>593</v>
      </c>
      <c r="E14" s="307">
        <v>48</v>
      </c>
      <c r="F14" s="304">
        <f>SUM(C14:E14)</f>
        <v>641</v>
      </c>
      <c r="G14" s="317">
        <f>+F14/F20</f>
        <v>0.15941308132305396</v>
      </c>
      <c r="H14" s="318"/>
      <c r="I14" s="317">
        <f>+H14/H20</f>
        <v>0</v>
      </c>
      <c r="J14" s="316"/>
      <c r="K14" s="307"/>
      <c r="L14" s="307"/>
      <c r="M14" s="307">
        <v>31</v>
      </c>
      <c r="N14" s="307"/>
      <c r="O14" s="307">
        <v>21</v>
      </c>
      <c r="P14" s="307"/>
      <c r="Q14" s="307">
        <v>9</v>
      </c>
      <c r="R14" s="307">
        <v>3</v>
      </c>
      <c r="S14" s="307"/>
      <c r="T14" s="304">
        <f>SUM(J14:S14)</f>
        <v>64</v>
      </c>
      <c r="U14" s="300">
        <f>+T14/T20</f>
        <v>5.6888888888888892E-2</v>
      </c>
      <c r="W14" s="22">
        <f>F14+H14+T14</f>
        <v>705</v>
      </c>
      <c r="X14" s="58">
        <f>W14/$W$20</f>
        <v>0.12555654496883348</v>
      </c>
    </row>
    <row r="15" spans="1:24">
      <c r="A15" s="16" t="s">
        <v>110</v>
      </c>
      <c r="C15" s="307">
        <v>0</v>
      </c>
      <c r="D15" s="307">
        <v>214</v>
      </c>
      <c r="E15" s="307">
        <v>29</v>
      </c>
      <c r="F15" s="304">
        <f>SUM(C15:E15)</f>
        <v>243</v>
      </c>
      <c r="G15" s="317">
        <f>+F15/F20</f>
        <v>6.0432728177070377E-2</v>
      </c>
      <c r="H15" s="318"/>
      <c r="I15" s="317">
        <f>+H15/H20</f>
        <v>0</v>
      </c>
      <c r="J15" s="316"/>
      <c r="K15" s="307"/>
      <c r="L15" s="307"/>
      <c r="M15" s="307">
        <v>12</v>
      </c>
      <c r="N15" s="307"/>
      <c r="O15" s="307">
        <v>15</v>
      </c>
      <c r="P15" s="307"/>
      <c r="Q15" s="307">
        <v>2</v>
      </c>
      <c r="R15" s="307">
        <v>0</v>
      </c>
      <c r="S15" s="307"/>
      <c r="T15" s="304">
        <f>SUM(J15:S15)</f>
        <v>29</v>
      </c>
      <c r="U15" s="300">
        <f>+T15/T20</f>
        <v>2.5777777777777778E-2</v>
      </c>
      <c r="W15" s="22">
        <f>F15+H15+T15</f>
        <v>272</v>
      </c>
      <c r="X15" s="58">
        <f>W15/$W$20</f>
        <v>4.8441674087266254E-2</v>
      </c>
    </row>
    <row r="16" spans="1:24">
      <c r="A16" s="16" t="s">
        <v>477</v>
      </c>
      <c r="C16" s="307">
        <v>764</v>
      </c>
      <c r="D16" s="307">
        <v>1282</v>
      </c>
      <c r="E16" s="307">
        <v>1091</v>
      </c>
      <c r="F16" s="304">
        <f>SUM(C16:E16)</f>
        <v>3137</v>
      </c>
      <c r="G16" s="317">
        <f>+F16/F20</f>
        <v>0.78015419049987567</v>
      </c>
      <c r="H16" s="319">
        <v>469</v>
      </c>
      <c r="I16" s="317">
        <f>+H16/H20</f>
        <v>1</v>
      </c>
      <c r="J16" s="316">
        <v>4</v>
      </c>
      <c r="K16" s="307">
        <v>13</v>
      </c>
      <c r="L16" s="307">
        <v>11</v>
      </c>
      <c r="M16" s="307">
        <v>357</v>
      </c>
      <c r="N16" s="307">
        <v>73</v>
      </c>
      <c r="O16" s="307">
        <v>278</v>
      </c>
      <c r="P16" s="307">
        <v>6</v>
      </c>
      <c r="Q16" s="307">
        <v>40</v>
      </c>
      <c r="R16" s="307">
        <v>50</v>
      </c>
      <c r="S16" s="307">
        <v>0</v>
      </c>
      <c r="T16" s="304">
        <f>SUM(J16:S16)</f>
        <v>832</v>
      </c>
      <c r="U16" s="300">
        <f>+T16/T20</f>
        <v>0.73955555555555552</v>
      </c>
      <c r="W16" s="22">
        <f>F16+H16+T16</f>
        <v>4438</v>
      </c>
      <c r="X16" s="58">
        <f>W16/$W$20</f>
        <v>0.7903829029385574</v>
      </c>
    </row>
    <row r="17" spans="1:24">
      <c r="A17" s="16" t="s">
        <v>476</v>
      </c>
      <c r="C17" s="307"/>
      <c r="D17" s="307"/>
      <c r="E17" s="307"/>
      <c r="F17" s="304">
        <f>SUM(D17:E17)</f>
        <v>0</v>
      </c>
      <c r="G17" s="317">
        <f>+F17/F20</f>
        <v>0</v>
      </c>
      <c r="H17" s="318"/>
      <c r="I17" s="317">
        <f>+H17/H20</f>
        <v>0</v>
      </c>
      <c r="J17" s="316"/>
      <c r="K17" s="307">
        <v>1</v>
      </c>
      <c r="L17" s="307">
        <v>2</v>
      </c>
      <c r="M17" s="307">
        <v>16</v>
      </c>
      <c r="N17" s="307"/>
      <c r="O17" s="307">
        <v>17</v>
      </c>
      <c r="P17" s="307">
        <v>1</v>
      </c>
      <c r="Q17" s="307">
        <v>8</v>
      </c>
      <c r="R17" s="307">
        <v>4</v>
      </c>
      <c r="S17" s="307"/>
      <c r="T17" s="304">
        <f>SUM(J17:S17)</f>
        <v>49</v>
      </c>
      <c r="U17" s="300">
        <f>+T17/T20</f>
        <v>4.3555555555555556E-2</v>
      </c>
      <c r="W17" s="22">
        <f>F17+H17+T17</f>
        <v>49</v>
      </c>
      <c r="X17" s="58">
        <f>W17/$W$20</f>
        <v>8.7266251113089933E-3</v>
      </c>
    </row>
    <row r="18" spans="1:24" ht="13.5" thickBot="1">
      <c r="A18" s="16" t="s">
        <v>475</v>
      </c>
      <c r="C18" s="306"/>
      <c r="D18" s="306"/>
      <c r="E18" s="306"/>
      <c r="F18" s="302">
        <f>SUM(D18:E18)</f>
        <v>0</v>
      </c>
      <c r="G18" s="298">
        <f>+F18/F20</f>
        <v>0</v>
      </c>
      <c r="H18" s="315"/>
      <c r="I18" s="298">
        <f>+H18/H20</f>
        <v>0</v>
      </c>
      <c r="J18" s="314"/>
      <c r="K18" s="306">
        <v>2</v>
      </c>
      <c r="L18" s="306">
        <v>10</v>
      </c>
      <c r="M18" s="306">
        <v>29</v>
      </c>
      <c r="N18" s="306"/>
      <c r="O18" s="306">
        <v>58</v>
      </c>
      <c r="P18" s="306"/>
      <c r="Q18" s="306">
        <v>12</v>
      </c>
      <c r="R18" s="306">
        <v>40</v>
      </c>
      <c r="S18" s="306"/>
      <c r="T18" s="302">
        <f>SUM(J18:S18)</f>
        <v>151</v>
      </c>
      <c r="U18" s="298">
        <f>+T18/T20</f>
        <v>0.13422222222222221</v>
      </c>
      <c r="W18" s="22">
        <f>F18+H18+T18</f>
        <v>151</v>
      </c>
      <c r="X18" s="58">
        <f>W18/$W$20</f>
        <v>2.6892252894033838E-2</v>
      </c>
    </row>
    <row r="19" spans="1:24">
      <c r="A19" s="16"/>
      <c r="C19" s="290"/>
      <c r="D19" s="290"/>
      <c r="E19" s="290"/>
      <c r="F19" s="290"/>
      <c r="G19" s="291"/>
      <c r="H19" s="313"/>
      <c r="I19" s="291"/>
      <c r="J19" s="313"/>
      <c r="K19" s="290"/>
      <c r="L19" s="290"/>
      <c r="M19" s="290"/>
      <c r="N19" s="290"/>
      <c r="O19" s="290"/>
      <c r="P19" s="290"/>
      <c r="Q19" s="290"/>
      <c r="R19" s="290"/>
      <c r="S19" s="290"/>
      <c r="T19" s="290"/>
      <c r="U19" s="290"/>
    </row>
    <row r="20" spans="1:24" ht="13.5" thickBot="1">
      <c r="A20" s="16" t="s">
        <v>2</v>
      </c>
      <c r="C20" s="311">
        <f t="shared" ref="C20:U20" si="0">SUM(C14:C18)</f>
        <v>764</v>
      </c>
      <c r="D20" s="311">
        <f t="shared" si="0"/>
        <v>2089</v>
      </c>
      <c r="E20" s="311">
        <f t="shared" si="0"/>
        <v>1168</v>
      </c>
      <c r="F20" s="311">
        <f t="shared" si="0"/>
        <v>4021</v>
      </c>
      <c r="G20" s="310">
        <f t="shared" si="0"/>
        <v>1</v>
      </c>
      <c r="H20" s="312">
        <f t="shared" si="0"/>
        <v>469</v>
      </c>
      <c r="I20" s="310">
        <f t="shared" si="0"/>
        <v>1</v>
      </c>
      <c r="J20" s="312">
        <f t="shared" si="0"/>
        <v>4</v>
      </c>
      <c r="K20" s="311">
        <f t="shared" si="0"/>
        <v>16</v>
      </c>
      <c r="L20" s="311">
        <f t="shared" si="0"/>
        <v>23</v>
      </c>
      <c r="M20" s="311">
        <f t="shared" si="0"/>
        <v>445</v>
      </c>
      <c r="N20" s="311">
        <f t="shared" si="0"/>
        <v>73</v>
      </c>
      <c r="O20" s="311">
        <f t="shared" si="0"/>
        <v>389</v>
      </c>
      <c r="P20" s="311">
        <f t="shared" si="0"/>
        <v>7</v>
      </c>
      <c r="Q20" s="311">
        <f t="shared" si="0"/>
        <v>71</v>
      </c>
      <c r="R20" s="311">
        <f t="shared" si="0"/>
        <v>97</v>
      </c>
      <c r="S20" s="311">
        <f t="shared" si="0"/>
        <v>0</v>
      </c>
      <c r="T20" s="311">
        <f t="shared" si="0"/>
        <v>1125</v>
      </c>
      <c r="U20" s="310">
        <f t="shared" si="0"/>
        <v>1</v>
      </c>
      <c r="W20" s="22">
        <f>SUM(W14:W18)</f>
        <v>5615</v>
      </c>
    </row>
    <row r="21" spans="1:24" ht="13.5" thickTop="1">
      <c r="A21" s="16"/>
      <c r="C21" s="34"/>
      <c r="D21" s="34"/>
      <c r="E21" s="34"/>
      <c r="F21" s="34"/>
      <c r="G21" s="34"/>
      <c r="H21" s="34"/>
      <c r="I21" s="34"/>
      <c r="J21" s="34"/>
      <c r="K21" s="34"/>
      <c r="L21" s="34"/>
      <c r="M21" s="34"/>
      <c r="N21" s="34"/>
      <c r="O21" s="34"/>
      <c r="P21" s="34"/>
      <c r="Q21" s="34"/>
      <c r="R21" s="34"/>
      <c r="S21" s="34"/>
      <c r="T21" s="34"/>
      <c r="U21" s="34"/>
    </row>
  </sheetData>
  <pageMargins left="0.7" right="0.7" top="0.75" bottom="0.75" header="0.3" footer="0.3"/>
  <pageSetup scale="56" orientation="landscape"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topLeftCell="A28" workbookViewId="0">
      <selection activeCell="G105" sqref="G105"/>
    </sheetView>
  </sheetViews>
  <sheetFormatPr defaultRowHeight="12.75"/>
  <cols>
    <col min="12" max="12" width="11.5703125" customWidth="1"/>
    <col min="13" max="13" width="9.85546875" customWidth="1"/>
    <col min="14" max="14" width="10.42578125" customWidth="1"/>
    <col min="15" max="15" width="10.28515625" customWidth="1"/>
    <col min="16" max="16" width="10.140625" customWidth="1"/>
    <col min="17" max="17" width="11.140625" customWidth="1"/>
    <col min="20" max="20" width="10.7109375" bestFit="1" customWidth="1"/>
  </cols>
  <sheetData>
    <row r="1" spans="1:17">
      <c r="A1" t="s">
        <v>0</v>
      </c>
    </row>
    <row r="3" spans="1:17">
      <c r="A3" s="692" t="s">
        <v>1370</v>
      </c>
      <c r="D3" s="718" t="s">
        <v>1414</v>
      </c>
      <c r="E3" s="693" t="s">
        <v>702</v>
      </c>
    </row>
    <row r="6" spans="1:17">
      <c r="A6" s="127" t="s">
        <v>524</v>
      </c>
      <c r="G6" s="196"/>
      <c r="H6" s="196"/>
      <c r="I6" s="196"/>
      <c r="J6" s="196"/>
    </row>
    <row r="7" spans="1:17">
      <c r="A7" t="s">
        <v>327</v>
      </c>
    </row>
    <row r="8" spans="1:17">
      <c r="A8" s="127" t="s">
        <v>523</v>
      </c>
      <c r="J8" s="127" t="s">
        <v>522</v>
      </c>
    </row>
    <row r="9" spans="1:17">
      <c r="A9" s="127"/>
      <c r="J9" s="127"/>
    </row>
    <row r="10" spans="1:17" ht="13.5" thickBot="1">
      <c r="C10" s="4" t="s">
        <v>477</v>
      </c>
      <c r="D10" s="4" t="s">
        <v>475</v>
      </c>
      <c r="E10" s="4" t="s">
        <v>476</v>
      </c>
      <c r="F10" s="4" t="s">
        <v>110</v>
      </c>
      <c r="G10" s="4" t="s">
        <v>113</v>
      </c>
      <c r="H10" s="4" t="s">
        <v>2</v>
      </c>
      <c r="L10" s="4" t="s">
        <v>477</v>
      </c>
      <c r="M10" s="4" t="s">
        <v>475</v>
      </c>
      <c r="N10" s="4" t="s">
        <v>476</v>
      </c>
      <c r="O10" s="4" t="s">
        <v>110</v>
      </c>
      <c r="P10" s="4" t="s">
        <v>113</v>
      </c>
      <c r="Q10" s="4" t="s">
        <v>2</v>
      </c>
    </row>
    <row r="11" spans="1:17" ht="13.5" thickTop="1">
      <c r="C11" s="93"/>
      <c r="D11" s="93"/>
      <c r="E11" s="93"/>
      <c r="F11" s="93"/>
      <c r="G11" s="93"/>
      <c r="H11" s="93"/>
      <c r="L11" s="93"/>
      <c r="M11" s="93"/>
      <c r="N11" s="93"/>
      <c r="O11" s="93"/>
      <c r="P11" s="93"/>
      <c r="Q11" s="93"/>
    </row>
    <row r="12" spans="1:17">
      <c r="A12" t="s">
        <v>519</v>
      </c>
      <c r="C12" s="323">
        <v>0</v>
      </c>
      <c r="D12" s="323">
        <v>72</v>
      </c>
      <c r="E12" s="323">
        <v>55</v>
      </c>
      <c r="F12" s="323">
        <v>68</v>
      </c>
      <c r="G12" s="323">
        <v>181</v>
      </c>
      <c r="H12" s="177">
        <f t="shared" ref="H12:H23" si="0">SUM(C12:G12)</f>
        <v>376</v>
      </c>
      <c r="J12" t="str">
        <f t="shared" ref="J12:J23" si="1">+A12</f>
        <v>January</v>
      </c>
      <c r="L12" s="322">
        <v>0</v>
      </c>
      <c r="M12" s="322">
        <v>2250.44</v>
      </c>
      <c r="N12" s="322">
        <v>1649.34</v>
      </c>
      <c r="O12" s="322">
        <v>2147.37</v>
      </c>
      <c r="P12" s="322">
        <v>5749.95</v>
      </c>
      <c r="Q12" s="6">
        <f t="shared" ref="Q12:Q23" si="2">SUM(L12:P12)</f>
        <v>11797.099999999999</v>
      </c>
    </row>
    <row r="13" spans="1:17">
      <c r="A13" t="s">
        <v>518</v>
      </c>
      <c r="C13" s="323">
        <v>0</v>
      </c>
      <c r="D13" s="323">
        <v>87</v>
      </c>
      <c r="E13" s="323">
        <v>46</v>
      </c>
      <c r="F13" s="323">
        <v>70</v>
      </c>
      <c r="G13" s="323">
        <v>181</v>
      </c>
      <c r="H13" s="177">
        <f t="shared" si="0"/>
        <v>384</v>
      </c>
      <c r="J13" t="str">
        <f t="shared" si="1"/>
        <v>February</v>
      </c>
      <c r="L13" s="322">
        <v>0</v>
      </c>
      <c r="M13" s="322">
        <v>2756.2</v>
      </c>
      <c r="N13" s="322">
        <v>1469.75</v>
      </c>
      <c r="O13" s="322">
        <v>2298.54</v>
      </c>
      <c r="P13" s="322">
        <v>6067.24</v>
      </c>
      <c r="Q13" s="6">
        <f t="shared" si="2"/>
        <v>12591.73</v>
      </c>
    </row>
    <row r="14" spans="1:17">
      <c r="A14" t="s">
        <v>517</v>
      </c>
      <c r="C14" s="237">
        <v>0</v>
      </c>
      <c r="D14" s="237">
        <v>135</v>
      </c>
      <c r="E14" s="237">
        <v>73</v>
      </c>
      <c r="F14" s="237">
        <v>89</v>
      </c>
      <c r="G14" s="237">
        <v>231</v>
      </c>
      <c r="H14" s="177">
        <f t="shared" si="0"/>
        <v>528</v>
      </c>
      <c r="J14" t="str">
        <f t="shared" si="1"/>
        <v>March</v>
      </c>
      <c r="L14" s="324">
        <v>0</v>
      </c>
      <c r="M14" s="324">
        <v>3795.35</v>
      </c>
      <c r="N14" s="324">
        <v>2210.0300000000002</v>
      </c>
      <c r="O14" s="324">
        <v>2688.75</v>
      </c>
      <c r="P14" s="324">
        <v>7778.63</v>
      </c>
      <c r="Q14" s="6">
        <f t="shared" si="2"/>
        <v>16472.760000000002</v>
      </c>
    </row>
    <row r="15" spans="1:17">
      <c r="A15" t="s">
        <v>516</v>
      </c>
      <c r="C15" s="323">
        <v>0</v>
      </c>
      <c r="D15" s="323">
        <v>134</v>
      </c>
      <c r="E15" s="323">
        <v>66</v>
      </c>
      <c r="F15" s="323">
        <v>74</v>
      </c>
      <c r="G15" s="323">
        <v>205</v>
      </c>
      <c r="H15" s="177">
        <f t="shared" si="0"/>
        <v>479</v>
      </c>
      <c r="J15" t="str">
        <f t="shared" si="1"/>
        <v>April</v>
      </c>
      <c r="L15" s="322">
        <v>0</v>
      </c>
      <c r="M15" s="322">
        <v>4154.76</v>
      </c>
      <c r="N15" s="322">
        <v>2064.61</v>
      </c>
      <c r="O15" s="322">
        <v>2406.29</v>
      </c>
      <c r="P15" s="322">
        <v>6904.55</v>
      </c>
      <c r="Q15" s="6">
        <f t="shared" si="2"/>
        <v>15530.21</v>
      </c>
    </row>
    <row r="16" spans="1:17">
      <c r="A16" t="s">
        <v>515</v>
      </c>
      <c r="C16" s="323">
        <v>0</v>
      </c>
      <c r="D16" s="323">
        <v>159</v>
      </c>
      <c r="E16" s="323">
        <v>76</v>
      </c>
      <c r="F16" s="323">
        <v>83</v>
      </c>
      <c r="G16" s="323">
        <v>228</v>
      </c>
      <c r="H16" s="177">
        <f t="shared" si="0"/>
        <v>546</v>
      </c>
      <c r="J16" t="str">
        <f t="shared" si="1"/>
        <v>May</v>
      </c>
      <c r="L16" s="322">
        <v>0</v>
      </c>
      <c r="M16" s="322">
        <v>5030.16</v>
      </c>
      <c r="N16" s="322">
        <v>2464.9</v>
      </c>
      <c r="O16" s="322">
        <v>2808.39</v>
      </c>
      <c r="P16" s="322">
        <v>7795.64</v>
      </c>
      <c r="Q16" s="6">
        <f t="shared" si="2"/>
        <v>18099.09</v>
      </c>
    </row>
    <row r="17" spans="1:20">
      <c r="A17" t="s">
        <v>514</v>
      </c>
      <c r="C17" s="323">
        <v>0</v>
      </c>
      <c r="D17" s="323">
        <v>290</v>
      </c>
      <c r="E17" s="323">
        <v>103</v>
      </c>
      <c r="F17" s="323">
        <v>102</v>
      </c>
      <c r="G17" s="323">
        <v>256</v>
      </c>
      <c r="H17" s="177">
        <f t="shared" si="0"/>
        <v>751</v>
      </c>
      <c r="J17" t="str">
        <f t="shared" si="1"/>
        <v>June</v>
      </c>
      <c r="L17" s="322">
        <v>0</v>
      </c>
      <c r="M17" s="322">
        <v>8758.6</v>
      </c>
      <c r="N17" s="322">
        <v>3131.58</v>
      </c>
      <c r="O17" s="322">
        <v>3491.16</v>
      </c>
      <c r="P17" s="322">
        <v>8951.27</v>
      </c>
      <c r="Q17" s="6">
        <f t="shared" si="2"/>
        <v>24332.61</v>
      </c>
    </row>
    <row r="18" spans="1:20">
      <c r="A18" t="s">
        <v>513</v>
      </c>
      <c r="C18" s="323">
        <v>0</v>
      </c>
      <c r="D18" s="323">
        <v>324</v>
      </c>
      <c r="E18" s="323">
        <v>91</v>
      </c>
      <c r="F18" s="323">
        <v>88</v>
      </c>
      <c r="G18" s="323">
        <v>220</v>
      </c>
      <c r="H18" s="177">
        <f t="shared" si="0"/>
        <v>723</v>
      </c>
      <c r="J18" t="str">
        <f t="shared" si="1"/>
        <v>July</v>
      </c>
      <c r="L18" s="322">
        <v>0</v>
      </c>
      <c r="M18" s="322">
        <v>10292.76</v>
      </c>
      <c r="N18" s="322">
        <v>2890.77</v>
      </c>
      <c r="O18" s="322">
        <v>2910.81</v>
      </c>
      <c r="P18" s="322">
        <v>7528.41</v>
      </c>
      <c r="Q18" s="6">
        <f t="shared" si="2"/>
        <v>23622.75</v>
      </c>
    </row>
    <row r="19" spans="1:20">
      <c r="A19" t="s">
        <v>512</v>
      </c>
      <c r="C19" s="323">
        <v>0</v>
      </c>
      <c r="D19" s="323">
        <v>317</v>
      </c>
      <c r="E19" s="323">
        <v>78</v>
      </c>
      <c r="F19" s="323">
        <v>81</v>
      </c>
      <c r="G19" s="323">
        <v>222</v>
      </c>
      <c r="H19" s="177">
        <f t="shared" si="0"/>
        <v>698</v>
      </c>
      <c r="J19" t="str">
        <f t="shared" si="1"/>
        <v>August</v>
      </c>
      <c r="L19" s="322">
        <v>0</v>
      </c>
      <c r="M19" s="322">
        <v>10787.96</v>
      </c>
      <c r="N19" s="322">
        <v>2771.57</v>
      </c>
      <c r="O19" s="322">
        <v>2794.77</v>
      </c>
      <c r="P19" s="322">
        <v>7785.98</v>
      </c>
      <c r="Q19" s="6">
        <f t="shared" si="2"/>
        <v>24140.28</v>
      </c>
    </row>
    <row r="20" spans="1:20">
      <c r="A20" t="s">
        <v>511</v>
      </c>
      <c r="C20" s="323">
        <v>0</v>
      </c>
      <c r="D20" s="323">
        <v>291</v>
      </c>
      <c r="E20" s="323">
        <v>97</v>
      </c>
      <c r="F20" s="323">
        <v>88</v>
      </c>
      <c r="G20" s="323">
        <v>290</v>
      </c>
      <c r="H20" s="177">
        <f t="shared" si="0"/>
        <v>766</v>
      </c>
      <c r="J20" t="str">
        <f t="shared" si="1"/>
        <v>September</v>
      </c>
      <c r="L20" s="322">
        <v>0</v>
      </c>
      <c r="M20" s="322">
        <v>10570.84</v>
      </c>
      <c r="N20" s="322">
        <v>3640.69</v>
      </c>
      <c r="O20" s="322">
        <v>3055.93</v>
      </c>
      <c r="P20" s="322">
        <v>10198.379999999999</v>
      </c>
      <c r="Q20" s="6">
        <f t="shared" si="2"/>
        <v>27465.839999999997</v>
      </c>
    </row>
    <row r="21" spans="1:20">
      <c r="A21" t="s">
        <v>510</v>
      </c>
      <c r="C21" s="323">
        <v>0</v>
      </c>
      <c r="D21" s="323">
        <v>301</v>
      </c>
      <c r="E21" s="323">
        <v>88</v>
      </c>
      <c r="F21" s="323">
        <v>104</v>
      </c>
      <c r="G21" s="323">
        <v>205</v>
      </c>
      <c r="H21" s="177">
        <f t="shared" si="0"/>
        <v>698</v>
      </c>
      <c r="J21" t="str">
        <f t="shared" si="1"/>
        <v>October</v>
      </c>
      <c r="L21" s="322">
        <v>0</v>
      </c>
      <c r="M21" s="322">
        <v>10611.18</v>
      </c>
      <c r="N21" s="322">
        <v>3181.58</v>
      </c>
      <c r="O21" s="322">
        <v>3685.26</v>
      </c>
      <c r="P21" s="322">
        <v>7261.68</v>
      </c>
      <c r="Q21" s="6">
        <f t="shared" si="2"/>
        <v>24739.7</v>
      </c>
    </row>
    <row r="22" spans="1:20">
      <c r="A22" t="s">
        <v>509</v>
      </c>
      <c r="C22" s="323">
        <v>0</v>
      </c>
      <c r="D22" s="323">
        <v>224</v>
      </c>
      <c r="E22" s="323">
        <v>76</v>
      </c>
      <c r="F22" s="323">
        <v>74</v>
      </c>
      <c r="G22" s="323">
        <v>203</v>
      </c>
      <c r="H22" s="177">
        <f t="shared" si="0"/>
        <v>577</v>
      </c>
      <c r="J22" t="str">
        <f t="shared" si="1"/>
        <v>November</v>
      </c>
      <c r="L22" s="322">
        <v>0</v>
      </c>
      <c r="M22" s="322">
        <v>8042.5</v>
      </c>
      <c r="N22" s="322">
        <v>2710.55</v>
      </c>
      <c r="O22" s="322">
        <v>2561.69</v>
      </c>
      <c r="P22" s="322">
        <v>7194.72</v>
      </c>
      <c r="Q22" s="6">
        <f t="shared" si="2"/>
        <v>20509.46</v>
      </c>
    </row>
    <row r="23" spans="1:20" ht="13.5" thickBot="1">
      <c r="A23" t="s">
        <v>508</v>
      </c>
      <c r="C23" s="321">
        <v>3</v>
      </c>
      <c r="D23" s="321">
        <v>95</v>
      </c>
      <c r="E23" s="321">
        <v>72</v>
      </c>
      <c r="F23" s="321">
        <v>90</v>
      </c>
      <c r="G23" s="321">
        <v>219</v>
      </c>
      <c r="H23" s="176">
        <f t="shared" si="0"/>
        <v>479</v>
      </c>
      <c r="J23" t="str">
        <f t="shared" si="1"/>
        <v>December</v>
      </c>
      <c r="L23" s="48">
        <v>82.67</v>
      </c>
      <c r="M23" s="48">
        <v>3179.31</v>
      </c>
      <c r="N23" s="48">
        <v>2486.11</v>
      </c>
      <c r="O23" s="48">
        <v>3037.67</v>
      </c>
      <c r="P23" s="48">
        <v>7488.14</v>
      </c>
      <c r="Q23" s="7">
        <f t="shared" si="2"/>
        <v>16273.900000000001</v>
      </c>
    </row>
    <row r="24" spans="1:20">
      <c r="C24" s="122"/>
      <c r="D24" s="122"/>
      <c r="E24" s="122"/>
      <c r="F24" s="122"/>
      <c r="G24" s="122"/>
      <c r="H24" s="122"/>
      <c r="L24" s="6"/>
      <c r="M24" s="6"/>
      <c r="N24" s="6"/>
      <c r="O24" s="6"/>
      <c r="P24" s="6"/>
      <c r="Q24" s="6"/>
    </row>
    <row r="25" spans="1:20" ht="13.5" thickBot="1">
      <c r="B25" t="s">
        <v>2</v>
      </c>
      <c r="C25" s="166">
        <f t="shared" ref="C25:H25" si="3">SUM(C12:C23)</f>
        <v>3</v>
      </c>
      <c r="D25" s="166">
        <f t="shared" si="3"/>
        <v>2429</v>
      </c>
      <c r="E25" s="166">
        <f t="shared" si="3"/>
        <v>921</v>
      </c>
      <c r="F25" s="166">
        <f t="shared" si="3"/>
        <v>1011</v>
      </c>
      <c r="G25" s="166">
        <f t="shared" si="3"/>
        <v>2641</v>
      </c>
      <c r="H25" s="166">
        <f t="shared" si="3"/>
        <v>7005</v>
      </c>
      <c r="K25" t="s">
        <v>2</v>
      </c>
      <c r="L25" s="8">
        <f t="shared" ref="L25:Q25" si="4">SUM(L12:L23)</f>
        <v>82.67</v>
      </c>
      <c r="M25" s="8">
        <f t="shared" si="4"/>
        <v>80230.06</v>
      </c>
      <c r="N25" s="8">
        <f t="shared" si="4"/>
        <v>30671.48</v>
      </c>
      <c r="O25" s="8">
        <f t="shared" si="4"/>
        <v>33886.630000000005</v>
      </c>
      <c r="P25" s="8">
        <f t="shared" si="4"/>
        <v>90704.590000000011</v>
      </c>
      <c r="Q25" s="8">
        <f t="shared" si="4"/>
        <v>235575.43</v>
      </c>
      <c r="T25" s="6"/>
    </row>
    <row r="26" spans="1:20" ht="13.5" thickTop="1"/>
    <row r="27" spans="1:20" ht="13.5" thickBot="1">
      <c r="C27" s="14">
        <f>+C25/H25</f>
        <v>4.2826552462526765E-4</v>
      </c>
      <c r="D27" s="14">
        <f>+D25/H25</f>
        <v>0.34675231977159171</v>
      </c>
      <c r="E27" s="14">
        <f>+E25/H25</f>
        <v>0.13147751605995717</v>
      </c>
      <c r="F27" s="14">
        <f>+F25/H25</f>
        <v>0.14432548179871521</v>
      </c>
      <c r="G27" s="14">
        <f>+G25/H25</f>
        <v>0.37701641684511061</v>
      </c>
      <c r="H27" s="14">
        <f>SUM(C27:G27)</f>
        <v>1</v>
      </c>
      <c r="L27" s="14">
        <f>+L25/Q25</f>
        <v>3.509279384526646E-4</v>
      </c>
      <c r="M27" s="14">
        <f>+M25/Q25</f>
        <v>0.34057057648159655</v>
      </c>
      <c r="N27" s="14">
        <f>+N25/Q25</f>
        <v>0.13019812804756423</v>
      </c>
      <c r="O27" s="14">
        <f>+O25/Q25</f>
        <v>0.14384619822194533</v>
      </c>
      <c r="P27" s="14">
        <f>+P25/Q25</f>
        <v>0.38503416931044132</v>
      </c>
      <c r="Q27" s="14">
        <f>SUM(L27:P27)</f>
        <v>1</v>
      </c>
      <c r="T27" s="6"/>
    </row>
    <row r="28" spans="1:20" ht="13.5" thickTop="1"/>
    <row r="29" spans="1:20" ht="13.5" thickBot="1">
      <c r="K29" t="s">
        <v>507</v>
      </c>
      <c r="L29" s="14">
        <f>+L25/SUM(L25:N25)</f>
        <v>7.4488073573709273E-4</v>
      </c>
      <c r="M29" s="14">
        <f>+M25/SUM(L25:N25)</f>
        <v>0.72289616694122527</v>
      </c>
      <c r="N29" s="14">
        <f>1-L29-M29</f>
        <v>0.27635895232303764</v>
      </c>
    </row>
    <row r="30" spans="1:20" ht="13.5" thickTop="1"/>
    <row r="31" spans="1:20">
      <c r="A31" s="127" t="s">
        <v>521</v>
      </c>
      <c r="J31" s="127" t="s">
        <v>520</v>
      </c>
    </row>
    <row r="32" spans="1:20">
      <c r="A32" s="127"/>
      <c r="J32" s="127"/>
    </row>
    <row r="33" spans="1:17" ht="13.5" thickBot="1">
      <c r="C33" s="4" t="s">
        <v>477</v>
      </c>
      <c r="D33" s="4" t="s">
        <v>475</v>
      </c>
      <c r="E33" s="4" t="s">
        <v>476</v>
      </c>
      <c r="F33" s="4" t="s">
        <v>110</v>
      </c>
      <c r="G33" s="4" t="s">
        <v>113</v>
      </c>
      <c r="H33" s="4" t="s">
        <v>2</v>
      </c>
      <c r="L33" s="4" t="s">
        <v>477</v>
      </c>
      <c r="M33" s="4" t="s">
        <v>475</v>
      </c>
      <c r="N33" s="4" t="s">
        <v>476</v>
      </c>
      <c r="O33" s="4" t="s">
        <v>110</v>
      </c>
      <c r="P33" s="4" t="s">
        <v>113</v>
      </c>
      <c r="Q33" s="4" t="s">
        <v>2</v>
      </c>
    </row>
    <row r="34" spans="1:17" ht="13.5" thickTop="1">
      <c r="C34" s="93"/>
      <c r="D34" s="93"/>
      <c r="E34" s="93"/>
      <c r="F34" s="93"/>
      <c r="G34" s="93"/>
      <c r="H34" s="93"/>
      <c r="L34" s="93"/>
      <c r="M34" s="93"/>
      <c r="N34" s="93"/>
      <c r="O34" s="93"/>
      <c r="P34" s="93"/>
      <c r="Q34" s="93"/>
    </row>
    <row r="35" spans="1:17">
      <c r="A35" t="str">
        <f t="shared" ref="A35:A46" si="5">+A12</f>
        <v>January</v>
      </c>
      <c r="C35" s="323">
        <v>677</v>
      </c>
      <c r="D35" s="323">
        <v>6</v>
      </c>
      <c r="E35" s="323">
        <v>0</v>
      </c>
      <c r="F35" s="323">
        <v>0</v>
      </c>
      <c r="G35" s="323">
        <v>0</v>
      </c>
      <c r="H35" s="122">
        <f t="shared" ref="H35:H46" si="6">SUM(C35:G35)</f>
        <v>683</v>
      </c>
      <c r="J35" t="str">
        <f t="shared" ref="J35:J46" si="7">+A35</f>
        <v>January</v>
      </c>
      <c r="L35" s="322">
        <v>24351.69</v>
      </c>
      <c r="M35" s="322">
        <v>215.82</v>
      </c>
      <c r="N35" s="322">
        <v>0</v>
      </c>
      <c r="O35" s="322">
        <v>0</v>
      </c>
      <c r="P35" s="322">
        <v>0</v>
      </c>
      <c r="Q35" s="6">
        <f t="shared" ref="Q35:Q46" si="8">SUM(L35:P35)</f>
        <v>24567.51</v>
      </c>
    </row>
    <row r="36" spans="1:17">
      <c r="A36" t="str">
        <f t="shared" si="5"/>
        <v>February</v>
      </c>
      <c r="C36" s="323">
        <v>577</v>
      </c>
      <c r="D36" s="323">
        <v>3</v>
      </c>
      <c r="E36" s="323">
        <v>0</v>
      </c>
      <c r="F36" s="323">
        <v>0</v>
      </c>
      <c r="G36" s="323">
        <v>0</v>
      </c>
      <c r="H36" s="122">
        <f t="shared" si="6"/>
        <v>580</v>
      </c>
      <c r="J36" t="str">
        <f t="shared" si="7"/>
        <v>February</v>
      </c>
      <c r="L36" s="322">
        <v>20754.689999999999</v>
      </c>
      <c r="M36" s="322">
        <v>107.91</v>
      </c>
      <c r="N36" s="322">
        <v>0</v>
      </c>
      <c r="O36" s="322">
        <v>0</v>
      </c>
      <c r="P36" s="322">
        <v>0</v>
      </c>
      <c r="Q36" s="6">
        <f t="shared" si="8"/>
        <v>20862.599999999999</v>
      </c>
    </row>
    <row r="37" spans="1:17">
      <c r="A37" t="str">
        <f t="shared" si="5"/>
        <v>March</v>
      </c>
      <c r="C37" s="237">
        <v>681</v>
      </c>
      <c r="D37" s="237">
        <v>5</v>
      </c>
      <c r="E37" s="237">
        <v>0</v>
      </c>
      <c r="F37" s="237">
        <v>0</v>
      </c>
      <c r="G37" s="237">
        <v>0</v>
      </c>
      <c r="H37" s="122">
        <f t="shared" si="6"/>
        <v>686</v>
      </c>
      <c r="J37" t="str">
        <f t="shared" si="7"/>
        <v>March</v>
      </c>
      <c r="L37" s="324">
        <v>25033.56</v>
      </c>
      <c r="M37" s="324">
        <v>183.8</v>
      </c>
      <c r="N37" s="324">
        <v>0</v>
      </c>
      <c r="O37" s="324">
        <v>0</v>
      </c>
      <c r="P37" s="324">
        <v>0</v>
      </c>
      <c r="Q37" s="6">
        <f t="shared" si="8"/>
        <v>25217.360000000001</v>
      </c>
    </row>
    <row r="38" spans="1:17">
      <c r="A38" t="str">
        <f t="shared" si="5"/>
        <v>April</v>
      </c>
      <c r="C38" s="323">
        <v>923</v>
      </c>
      <c r="D38" s="323">
        <v>5</v>
      </c>
      <c r="E38" s="323">
        <v>0</v>
      </c>
      <c r="F38" s="323">
        <v>0</v>
      </c>
      <c r="G38" s="323">
        <v>0</v>
      </c>
      <c r="H38" s="122">
        <f t="shared" si="6"/>
        <v>928</v>
      </c>
      <c r="J38" t="str">
        <f t="shared" si="7"/>
        <v>April</v>
      </c>
      <c r="L38" s="322">
        <v>33929.480000000003</v>
      </c>
      <c r="M38" s="322">
        <v>183.8</v>
      </c>
      <c r="N38" s="322">
        <v>0</v>
      </c>
      <c r="O38" s="322">
        <v>0</v>
      </c>
      <c r="P38" s="322">
        <v>0</v>
      </c>
      <c r="Q38" s="6">
        <f t="shared" si="8"/>
        <v>34113.280000000006</v>
      </c>
    </row>
    <row r="39" spans="1:17">
      <c r="A39" t="str">
        <f t="shared" si="5"/>
        <v>May</v>
      </c>
      <c r="C39" s="323">
        <v>937</v>
      </c>
      <c r="D39" s="323">
        <v>4</v>
      </c>
      <c r="E39" s="323">
        <v>0</v>
      </c>
      <c r="F39" s="323">
        <v>0</v>
      </c>
      <c r="G39" s="323">
        <v>0</v>
      </c>
      <c r="H39" s="122">
        <f t="shared" si="6"/>
        <v>941</v>
      </c>
      <c r="J39" t="str">
        <f t="shared" si="7"/>
        <v>May</v>
      </c>
      <c r="L39" s="322">
        <v>34444.120000000003</v>
      </c>
      <c r="M39" s="322">
        <v>147.04</v>
      </c>
      <c r="N39" s="322">
        <v>0</v>
      </c>
      <c r="O39" s="322">
        <v>0</v>
      </c>
      <c r="P39" s="322">
        <v>0</v>
      </c>
      <c r="Q39" s="6">
        <f t="shared" si="8"/>
        <v>34591.160000000003</v>
      </c>
    </row>
    <row r="40" spans="1:17">
      <c r="A40" t="str">
        <f t="shared" si="5"/>
        <v>June</v>
      </c>
      <c r="C40" s="323">
        <v>1089</v>
      </c>
      <c r="D40" s="323">
        <v>24</v>
      </c>
      <c r="E40" s="323">
        <v>0</v>
      </c>
      <c r="F40" s="323">
        <v>0</v>
      </c>
      <c r="G40" s="323">
        <v>0</v>
      </c>
      <c r="H40" s="122">
        <f t="shared" si="6"/>
        <v>1113</v>
      </c>
      <c r="J40" t="str">
        <f t="shared" si="7"/>
        <v>June</v>
      </c>
      <c r="L40" s="322">
        <v>40031.64</v>
      </c>
      <c r="M40" s="322">
        <v>882.24</v>
      </c>
      <c r="N40" s="322">
        <v>0</v>
      </c>
      <c r="O40" s="322">
        <v>0</v>
      </c>
      <c r="P40" s="322">
        <v>0</v>
      </c>
      <c r="Q40" s="6">
        <f t="shared" si="8"/>
        <v>40913.879999999997</v>
      </c>
    </row>
    <row r="41" spans="1:17">
      <c r="A41" t="str">
        <f t="shared" si="5"/>
        <v>July</v>
      </c>
      <c r="C41" s="323">
        <v>1459</v>
      </c>
      <c r="D41" s="323">
        <v>30</v>
      </c>
      <c r="E41" s="323">
        <v>0</v>
      </c>
      <c r="F41" s="323">
        <v>0</v>
      </c>
      <c r="G41" s="323">
        <v>0</v>
      </c>
      <c r="H41" s="122">
        <f t="shared" si="6"/>
        <v>1489</v>
      </c>
      <c r="J41" t="str">
        <f t="shared" si="7"/>
        <v>July</v>
      </c>
      <c r="L41" s="322">
        <v>53632.84</v>
      </c>
      <c r="M41" s="322">
        <v>1102.8</v>
      </c>
      <c r="N41" s="322">
        <v>0</v>
      </c>
      <c r="O41" s="322">
        <v>0</v>
      </c>
      <c r="P41" s="322">
        <v>0</v>
      </c>
      <c r="Q41" s="6">
        <f t="shared" si="8"/>
        <v>54735.64</v>
      </c>
    </row>
    <row r="42" spans="1:17">
      <c r="A42" t="str">
        <f t="shared" si="5"/>
        <v>August</v>
      </c>
      <c r="C42" s="323">
        <v>1338</v>
      </c>
      <c r="D42" s="323">
        <v>17</v>
      </c>
      <c r="E42" s="323">
        <v>0</v>
      </c>
      <c r="F42" s="323">
        <v>0</v>
      </c>
      <c r="G42" s="323">
        <v>0</v>
      </c>
      <c r="H42" s="122">
        <f t="shared" si="6"/>
        <v>1355</v>
      </c>
      <c r="J42" t="str">
        <f t="shared" si="7"/>
        <v>August</v>
      </c>
      <c r="L42" s="322">
        <v>49184.88</v>
      </c>
      <c r="M42" s="322">
        <v>624.91999999999996</v>
      </c>
      <c r="N42" s="322">
        <v>0</v>
      </c>
      <c r="O42" s="322">
        <v>0</v>
      </c>
      <c r="P42" s="322">
        <v>0</v>
      </c>
      <c r="Q42" s="6">
        <f t="shared" si="8"/>
        <v>49809.799999999996</v>
      </c>
    </row>
    <row r="43" spans="1:17">
      <c r="A43" t="str">
        <f t="shared" si="5"/>
        <v>September</v>
      </c>
      <c r="C43" s="323">
        <v>1119</v>
      </c>
      <c r="D43" s="323">
        <v>61</v>
      </c>
      <c r="E43" s="323">
        <v>0</v>
      </c>
      <c r="F43" s="323">
        <v>20</v>
      </c>
      <c r="G43" s="323">
        <v>0</v>
      </c>
      <c r="H43" s="122">
        <f t="shared" si="6"/>
        <v>1200</v>
      </c>
      <c r="J43" t="str">
        <f t="shared" si="7"/>
        <v>September</v>
      </c>
      <c r="L43" s="322">
        <v>41134.44</v>
      </c>
      <c r="M43" s="322">
        <v>2242.36</v>
      </c>
      <c r="N43" s="322">
        <v>0</v>
      </c>
      <c r="O43" s="322">
        <v>735.2</v>
      </c>
      <c r="P43" s="322">
        <v>0</v>
      </c>
      <c r="Q43" s="6">
        <f t="shared" si="8"/>
        <v>44112</v>
      </c>
    </row>
    <row r="44" spans="1:17">
      <c r="A44" t="str">
        <f t="shared" si="5"/>
        <v>October</v>
      </c>
      <c r="C44" s="323">
        <v>1034</v>
      </c>
      <c r="D44" s="323">
        <v>0</v>
      </c>
      <c r="E44" s="323">
        <v>0</v>
      </c>
      <c r="F44" s="323">
        <v>0</v>
      </c>
      <c r="G44" s="323">
        <v>0</v>
      </c>
      <c r="H44" s="122">
        <f t="shared" si="6"/>
        <v>1034</v>
      </c>
      <c r="J44" t="str">
        <f t="shared" si="7"/>
        <v>October</v>
      </c>
      <c r="L44" s="322">
        <v>38009.839999999997</v>
      </c>
      <c r="M44" s="322">
        <v>0</v>
      </c>
      <c r="N44" s="322">
        <v>0</v>
      </c>
      <c r="O44" s="322">
        <v>0</v>
      </c>
      <c r="P44" s="322">
        <v>0</v>
      </c>
      <c r="Q44" s="6">
        <f t="shared" si="8"/>
        <v>38009.839999999997</v>
      </c>
    </row>
    <row r="45" spans="1:17">
      <c r="A45" t="str">
        <f t="shared" si="5"/>
        <v>November</v>
      </c>
      <c r="C45" s="323">
        <v>799</v>
      </c>
      <c r="D45" s="323">
        <v>2</v>
      </c>
      <c r="E45" s="323">
        <v>0</v>
      </c>
      <c r="F45" s="323">
        <v>7</v>
      </c>
      <c r="G45" s="323">
        <v>0</v>
      </c>
      <c r="H45" s="122">
        <f t="shared" si="6"/>
        <v>808</v>
      </c>
      <c r="J45" t="str">
        <f t="shared" si="7"/>
        <v>November</v>
      </c>
      <c r="L45" s="322">
        <v>29371.24</v>
      </c>
      <c r="M45" s="322">
        <v>73.52</v>
      </c>
      <c r="N45" s="322">
        <v>0</v>
      </c>
      <c r="O45" s="322">
        <v>257.32</v>
      </c>
      <c r="P45" s="322">
        <v>0</v>
      </c>
      <c r="Q45" s="6">
        <f t="shared" si="8"/>
        <v>29702.080000000002</v>
      </c>
    </row>
    <row r="46" spans="1:17" ht="13.5" thickBot="1">
      <c r="A46" t="str">
        <f t="shared" si="5"/>
        <v>December</v>
      </c>
      <c r="C46" s="321">
        <v>798</v>
      </c>
      <c r="D46" s="321">
        <v>4</v>
      </c>
      <c r="E46" s="321">
        <v>0</v>
      </c>
      <c r="F46" s="321">
        <v>0</v>
      </c>
      <c r="G46" s="321">
        <v>0</v>
      </c>
      <c r="H46" s="175">
        <f t="shared" si="6"/>
        <v>802</v>
      </c>
      <c r="J46" t="str">
        <f t="shared" si="7"/>
        <v>December</v>
      </c>
      <c r="L46" s="48">
        <v>29334.48</v>
      </c>
      <c r="M46" s="48">
        <v>147.04</v>
      </c>
      <c r="N46" s="48">
        <v>0</v>
      </c>
      <c r="O46" s="48">
        <v>0</v>
      </c>
      <c r="P46" s="48">
        <v>0</v>
      </c>
      <c r="Q46" s="7">
        <f t="shared" si="8"/>
        <v>29481.52</v>
      </c>
    </row>
    <row r="47" spans="1:17">
      <c r="C47" s="122"/>
      <c r="D47" s="122"/>
      <c r="E47" s="122"/>
      <c r="F47" s="122"/>
      <c r="G47" s="122"/>
      <c r="H47" s="122"/>
      <c r="L47" s="6"/>
      <c r="M47" s="6"/>
      <c r="N47" s="6"/>
      <c r="O47" s="6"/>
      <c r="P47" s="6"/>
      <c r="Q47" s="6"/>
    </row>
    <row r="48" spans="1:17" ht="13.5" thickBot="1">
      <c r="B48" t="s">
        <v>2</v>
      </c>
      <c r="C48" s="166">
        <f t="shared" ref="C48:H48" si="9">SUM(C35:C46)</f>
        <v>11431</v>
      </c>
      <c r="D48" s="166">
        <f t="shared" si="9"/>
        <v>161</v>
      </c>
      <c r="E48" s="166">
        <f t="shared" si="9"/>
        <v>0</v>
      </c>
      <c r="F48" s="166">
        <f t="shared" si="9"/>
        <v>27</v>
      </c>
      <c r="G48" s="166">
        <f t="shared" si="9"/>
        <v>0</v>
      </c>
      <c r="H48" s="166">
        <f t="shared" si="9"/>
        <v>11619</v>
      </c>
      <c r="K48" t="s">
        <v>2</v>
      </c>
      <c r="L48" s="8">
        <f t="shared" ref="L48:Q48" si="10">SUM(L35:L46)</f>
        <v>419212.89999999991</v>
      </c>
      <c r="M48" s="8">
        <f t="shared" si="10"/>
        <v>5911.2500000000009</v>
      </c>
      <c r="N48" s="8">
        <f t="shared" si="10"/>
        <v>0</v>
      </c>
      <c r="O48" s="8">
        <f t="shared" si="10"/>
        <v>992.52</v>
      </c>
      <c r="P48" s="8">
        <f t="shared" si="10"/>
        <v>0</v>
      </c>
      <c r="Q48" s="8">
        <f t="shared" si="10"/>
        <v>426116.67</v>
      </c>
    </row>
    <row r="49" spans="1:17" ht="13.5" thickTop="1"/>
    <row r="50" spans="1:17" ht="13.5" thickBot="1">
      <c r="C50" s="14">
        <f>+C48/H48</f>
        <v>0.98381960581805661</v>
      </c>
      <c r="D50" s="14">
        <f>+D48/H48</f>
        <v>1.3856614166451502E-2</v>
      </c>
      <c r="E50" s="14">
        <f>+E48/H48</f>
        <v>0</v>
      </c>
      <c r="F50" s="14">
        <f>+F48/H48</f>
        <v>2.3237800154918666E-3</v>
      </c>
      <c r="G50" s="14">
        <f>+G48/H48</f>
        <v>0</v>
      </c>
      <c r="H50" s="14">
        <f>SUM(C50:G50)</f>
        <v>0.99999999999999989</v>
      </c>
      <c r="L50" s="14">
        <f>+L48/Q48</f>
        <v>0.98379840431964305</v>
      </c>
      <c r="M50" s="14">
        <f>+M48/Q48</f>
        <v>1.3872374436794508E-2</v>
      </c>
      <c r="N50" s="14">
        <f>+N48/Q48</f>
        <v>0</v>
      </c>
      <c r="O50" s="14">
        <f>+O48/Q48</f>
        <v>2.3292212435622383E-3</v>
      </c>
      <c r="P50" s="14">
        <f>+P48/Q48</f>
        <v>0</v>
      </c>
      <c r="Q50" s="14">
        <f>SUM(L50:P50)</f>
        <v>0.99999999999999978</v>
      </c>
    </row>
    <row r="51" spans="1:17" ht="13.5" thickTop="1"/>
    <row r="52" spans="1:17" ht="13.5" thickBot="1">
      <c r="K52" t="s">
        <v>507</v>
      </c>
      <c r="L52" s="14">
        <f>+L48/SUM(L48:N48)</f>
        <v>0.98609523829685986</v>
      </c>
      <c r="M52" s="14">
        <f>+M48/SUM(L48:N48)</f>
        <v>1.3904761703140135E-2</v>
      </c>
      <c r="N52" s="14">
        <f>1-L52-M52</f>
        <v>0</v>
      </c>
    </row>
    <row r="53" spans="1:17" ht="13.5" thickTop="1"/>
    <row r="54" spans="1:17">
      <c r="A54" s="127" t="s">
        <v>779</v>
      </c>
      <c r="J54" s="127" t="s">
        <v>778</v>
      </c>
    </row>
    <row r="55" spans="1:17">
      <c r="A55" s="127"/>
      <c r="J55" s="127"/>
    </row>
    <row r="56" spans="1:17" ht="13.5" thickBot="1">
      <c r="C56" s="4" t="s">
        <v>477</v>
      </c>
      <c r="D56" s="4" t="s">
        <v>475</v>
      </c>
      <c r="E56" s="4" t="s">
        <v>476</v>
      </c>
      <c r="F56" s="4" t="s">
        <v>110</v>
      </c>
      <c r="G56" s="4" t="s">
        <v>113</v>
      </c>
      <c r="H56" s="4" t="s">
        <v>2</v>
      </c>
      <c r="L56" s="4" t="s">
        <v>477</v>
      </c>
      <c r="M56" s="4" t="s">
        <v>475</v>
      </c>
      <c r="N56" s="4" t="s">
        <v>476</v>
      </c>
      <c r="O56" s="4" t="s">
        <v>110</v>
      </c>
      <c r="P56" s="4" t="s">
        <v>113</v>
      </c>
      <c r="Q56" s="4" t="s">
        <v>2</v>
      </c>
    </row>
    <row r="57" spans="1:17" ht="13.5" thickTop="1">
      <c r="C57" s="93"/>
      <c r="D57" s="93"/>
      <c r="E57" s="93"/>
      <c r="F57" s="93"/>
      <c r="G57" s="93"/>
      <c r="H57" s="93"/>
      <c r="L57" s="93"/>
      <c r="M57" s="93"/>
      <c r="N57" s="93"/>
      <c r="O57" s="93"/>
      <c r="P57" s="93"/>
      <c r="Q57" s="93"/>
    </row>
    <row r="58" spans="1:17">
      <c r="A58" t="str">
        <f t="shared" ref="A58:A69" si="11">+A35</f>
        <v>January</v>
      </c>
      <c r="C58" s="323">
        <v>18</v>
      </c>
      <c r="D58" s="323">
        <v>0</v>
      </c>
      <c r="E58" s="323">
        <v>0</v>
      </c>
      <c r="F58" s="323">
        <v>0</v>
      </c>
      <c r="G58" s="323">
        <v>0</v>
      </c>
      <c r="H58" s="122">
        <f t="shared" ref="H58:H69" si="12">SUM(C58:G58)</f>
        <v>18</v>
      </c>
      <c r="J58" t="str">
        <f t="shared" ref="J58:J69" si="13">+A58</f>
        <v>January</v>
      </c>
      <c r="L58" s="322">
        <v>0</v>
      </c>
      <c r="M58" s="322">
        <v>0</v>
      </c>
      <c r="N58" s="322">
        <v>0</v>
      </c>
      <c r="O58" s="322">
        <v>0</v>
      </c>
      <c r="P58" s="322">
        <v>0</v>
      </c>
      <c r="Q58" s="6">
        <f t="shared" ref="Q58:Q69" si="14">SUM(L58:P58)</f>
        <v>0</v>
      </c>
    </row>
    <row r="59" spans="1:17">
      <c r="A59" t="str">
        <f t="shared" si="11"/>
        <v>February</v>
      </c>
      <c r="C59" s="323">
        <v>22</v>
      </c>
      <c r="D59" s="323">
        <v>0</v>
      </c>
      <c r="E59" s="323">
        <v>0</v>
      </c>
      <c r="F59" s="323">
        <v>0</v>
      </c>
      <c r="G59" s="323">
        <v>0</v>
      </c>
      <c r="H59" s="122">
        <f t="shared" si="12"/>
        <v>22</v>
      </c>
      <c r="J59" t="str">
        <f t="shared" si="13"/>
        <v>February</v>
      </c>
      <c r="L59" s="322">
        <v>0</v>
      </c>
      <c r="M59" s="322">
        <v>0</v>
      </c>
      <c r="N59" s="322">
        <v>0</v>
      </c>
      <c r="O59" s="322">
        <v>0</v>
      </c>
      <c r="P59" s="322">
        <v>0</v>
      </c>
      <c r="Q59" s="6">
        <f t="shared" si="14"/>
        <v>0</v>
      </c>
    </row>
    <row r="60" spans="1:17">
      <c r="A60" t="str">
        <f t="shared" si="11"/>
        <v>March</v>
      </c>
      <c r="C60" s="323">
        <v>13</v>
      </c>
      <c r="D60" s="323">
        <v>0</v>
      </c>
      <c r="E60" s="323">
        <v>0</v>
      </c>
      <c r="F60" s="323">
        <v>0</v>
      </c>
      <c r="G60" s="323">
        <v>0</v>
      </c>
      <c r="H60" s="122">
        <f t="shared" si="12"/>
        <v>13</v>
      </c>
      <c r="J60" t="str">
        <f t="shared" si="13"/>
        <v>March</v>
      </c>
      <c r="L60" s="322">
        <v>0</v>
      </c>
      <c r="M60" s="322">
        <v>0</v>
      </c>
      <c r="N60" s="322">
        <v>0</v>
      </c>
      <c r="O60" s="322">
        <v>0</v>
      </c>
      <c r="P60" s="322">
        <v>0</v>
      </c>
      <c r="Q60" s="6">
        <f t="shared" si="14"/>
        <v>0</v>
      </c>
    </row>
    <row r="61" spans="1:17">
      <c r="A61" t="str">
        <f t="shared" si="11"/>
        <v>April</v>
      </c>
      <c r="C61" s="323">
        <v>28</v>
      </c>
      <c r="D61" s="323">
        <v>0</v>
      </c>
      <c r="E61" s="323">
        <v>0</v>
      </c>
      <c r="F61" s="323">
        <v>0</v>
      </c>
      <c r="G61" s="323">
        <v>0</v>
      </c>
      <c r="H61" s="122">
        <f t="shared" si="12"/>
        <v>28</v>
      </c>
      <c r="J61" t="str">
        <f t="shared" si="13"/>
        <v>April</v>
      </c>
      <c r="L61" s="322">
        <v>0</v>
      </c>
      <c r="M61" s="322">
        <v>0</v>
      </c>
      <c r="N61" s="322">
        <v>0</v>
      </c>
      <c r="O61" s="322">
        <v>0</v>
      </c>
      <c r="P61" s="322">
        <v>0</v>
      </c>
      <c r="Q61" s="6">
        <f t="shared" si="14"/>
        <v>0</v>
      </c>
    </row>
    <row r="62" spans="1:17">
      <c r="A62" t="str">
        <f t="shared" si="11"/>
        <v>May</v>
      </c>
      <c r="C62" s="323">
        <v>24</v>
      </c>
      <c r="D62" s="323">
        <v>0</v>
      </c>
      <c r="E62" s="323">
        <v>0</v>
      </c>
      <c r="F62" s="323">
        <v>0</v>
      </c>
      <c r="G62" s="323">
        <v>0</v>
      </c>
      <c r="H62" s="122">
        <f t="shared" si="12"/>
        <v>24</v>
      </c>
      <c r="J62" t="str">
        <f t="shared" si="13"/>
        <v>May</v>
      </c>
      <c r="L62" s="322">
        <v>0</v>
      </c>
      <c r="M62" s="322">
        <v>0</v>
      </c>
      <c r="N62" s="322">
        <v>0</v>
      </c>
      <c r="O62" s="322">
        <v>0</v>
      </c>
      <c r="P62" s="322">
        <v>0</v>
      </c>
      <c r="Q62" s="6">
        <f t="shared" si="14"/>
        <v>0</v>
      </c>
    </row>
    <row r="63" spans="1:17">
      <c r="A63" t="str">
        <f t="shared" si="11"/>
        <v>June</v>
      </c>
      <c r="C63" s="323">
        <v>26</v>
      </c>
      <c r="D63" s="323">
        <v>0</v>
      </c>
      <c r="E63" s="323">
        <v>0</v>
      </c>
      <c r="F63" s="323">
        <v>0</v>
      </c>
      <c r="G63" s="323">
        <v>0</v>
      </c>
      <c r="H63" s="122">
        <f t="shared" si="12"/>
        <v>26</v>
      </c>
      <c r="J63" t="str">
        <f t="shared" si="13"/>
        <v>June</v>
      </c>
      <c r="L63" s="322">
        <v>0</v>
      </c>
      <c r="M63" s="322">
        <v>0</v>
      </c>
      <c r="N63" s="322">
        <v>0</v>
      </c>
      <c r="O63" s="322">
        <v>0</v>
      </c>
      <c r="P63" s="322">
        <v>0</v>
      </c>
      <c r="Q63" s="6">
        <f t="shared" si="14"/>
        <v>0</v>
      </c>
    </row>
    <row r="64" spans="1:17">
      <c r="A64" t="str">
        <f t="shared" si="11"/>
        <v>July</v>
      </c>
      <c r="C64" s="323">
        <v>29</v>
      </c>
      <c r="D64" s="323">
        <v>0</v>
      </c>
      <c r="E64" s="323">
        <v>0</v>
      </c>
      <c r="F64" s="323">
        <v>0</v>
      </c>
      <c r="G64" s="323">
        <v>0</v>
      </c>
      <c r="H64" s="122">
        <f t="shared" si="12"/>
        <v>29</v>
      </c>
      <c r="J64" t="str">
        <f t="shared" si="13"/>
        <v>July</v>
      </c>
      <c r="L64" s="322">
        <v>0</v>
      </c>
      <c r="M64" s="322">
        <v>0</v>
      </c>
      <c r="N64" s="322">
        <v>0</v>
      </c>
      <c r="O64" s="322">
        <v>0</v>
      </c>
      <c r="P64" s="322">
        <v>0</v>
      </c>
      <c r="Q64" s="6">
        <f t="shared" si="14"/>
        <v>0</v>
      </c>
    </row>
    <row r="65" spans="1:19">
      <c r="A65" t="str">
        <f t="shared" si="11"/>
        <v>August</v>
      </c>
      <c r="C65" s="323">
        <v>32</v>
      </c>
      <c r="D65" s="323">
        <v>0</v>
      </c>
      <c r="E65" s="323">
        <v>0</v>
      </c>
      <c r="F65" s="323">
        <v>0</v>
      </c>
      <c r="G65" s="323">
        <v>0</v>
      </c>
      <c r="H65" s="122">
        <f t="shared" si="12"/>
        <v>32</v>
      </c>
      <c r="J65" t="str">
        <f t="shared" si="13"/>
        <v>August</v>
      </c>
      <c r="L65" s="322">
        <v>0</v>
      </c>
      <c r="M65" s="322">
        <v>0</v>
      </c>
      <c r="N65" s="322">
        <v>0</v>
      </c>
      <c r="O65" s="322">
        <v>0</v>
      </c>
      <c r="P65" s="322">
        <v>0</v>
      </c>
      <c r="Q65" s="6">
        <f t="shared" si="14"/>
        <v>0</v>
      </c>
    </row>
    <row r="66" spans="1:19">
      <c r="A66" t="str">
        <f t="shared" si="11"/>
        <v>September</v>
      </c>
      <c r="C66" s="323">
        <v>31</v>
      </c>
      <c r="D66" s="323">
        <v>0</v>
      </c>
      <c r="E66" s="323">
        <v>0</v>
      </c>
      <c r="F66" s="323">
        <v>0</v>
      </c>
      <c r="G66" s="323">
        <v>0</v>
      </c>
      <c r="H66" s="122">
        <f t="shared" si="12"/>
        <v>31</v>
      </c>
      <c r="J66" t="str">
        <f t="shared" si="13"/>
        <v>September</v>
      </c>
      <c r="L66" s="322">
        <v>0</v>
      </c>
      <c r="M66" s="322">
        <v>0</v>
      </c>
      <c r="N66" s="322">
        <v>0</v>
      </c>
      <c r="O66" s="322">
        <v>0</v>
      </c>
      <c r="P66" s="322">
        <v>0</v>
      </c>
      <c r="Q66" s="6">
        <f t="shared" si="14"/>
        <v>0</v>
      </c>
    </row>
    <row r="67" spans="1:19">
      <c r="A67" t="str">
        <f t="shared" si="11"/>
        <v>October</v>
      </c>
      <c r="C67" s="323">
        <v>37</v>
      </c>
      <c r="D67" s="323">
        <v>0</v>
      </c>
      <c r="E67" s="323">
        <v>0</v>
      </c>
      <c r="F67" s="323">
        <v>0</v>
      </c>
      <c r="G67" s="323">
        <v>0</v>
      </c>
      <c r="H67" s="122">
        <f t="shared" si="12"/>
        <v>37</v>
      </c>
      <c r="J67" t="str">
        <f t="shared" si="13"/>
        <v>October</v>
      </c>
      <c r="L67" s="322">
        <v>0</v>
      </c>
      <c r="M67" s="322">
        <v>0</v>
      </c>
      <c r="N67" s="322">
        <v>0</v>
      </c>
      <c r="O67" s="322">
        <v>0</v>
      </c>
      <c r="P67" s="322">
        <v>0</v>
      </c>
      <c r="Q67" s="6">
        <f t="shared" si="14"/>
        <v>0</v>
      </c>
    </row>
    <row r="68" spans="1:19">
      <c r="A68" t="str">
        <f t="shared" si="11"/>
        <v>November</v>
      </c>
      <c r="C68" s="323">
        <v>22</v>
      </c>
      <c r="D68" s="323">
        <v>0</v>
      </c>
      <c r="E68" s="323">
        <v>0</v>
      </c>
      <c r="F68" s="323">
        <v>0</v>
      </c>
      <c r="G68" s="323">
        <v>0</v>
      </c>
      <c r="H68" s="122">
        <f t="shared" si="12"/>
        <v>22</v>
      </c>
      <c r="J68" t="str">
        <f t="shared" si="13"/>
        <v>November</v>
      </c>
      <c r="L68" s="322">
        <v>2061.6</v>
      </c>
      <c r="M68" s="322">
        <v>0</v>
      </c>
      <c r="N68" s="322">
        <v>0</v>
      </c>
      <c r="O68" s="322">
        <v>0</v>
      </c>
      <c r="P68" s="322">
        <v>0</v>
      </c>
      <c r="Q68" s="6">
        <f t="shared" si="14"/>
        <v>2061.6</v>
      </c>
      <c r="R68" s="322">
        <v>25.77</v>
      </c>
      <c r="S68" t="s">
        <v>527</v>
      </c>
    </row>
    <row r="69" spans="1:19" ht="13.5" thickBot="1">
      <c r="A69" t="str">
        <f t="shared" si="11"/>
        <v>December</v>
      </c>
      <c r="C69" s="321">
        <v>23</v>
      </c>
      <c r="D69" s="321">
        <v>0</v>
      </c>
      <c r="E69" s="321">
        <v>0</v>
      </c>
      <c r="F69" s="321">
        <v>0</v>
      </c>
      <c r="G69" s="321">
        <v>0</v>
      </c>
      <c r="H69" s="175">
        <f t="shared" si="12"/>
        <v>23</v>
      </c>
      <c r="J69" t="str">
        <f t="shared" si="13"/>
        <v>December</v>
      </c>
      <c r="L69" s="48">
        <v>1978.4</v>
      </c>
      <c r="M69" s="48">
        <v>0</v>
      </c>
      <c r="N69" s="48">
        <v>0</v>
      </c>
      <c r="O69" s="48">
        <v>0</v>
      </c>
      <c r="P69" s="48">
        <v>0</v>
      </c>
      <c r="Q69" s="7">
        <f t="shared" si="14"/>
        <v>1978.4</v>
      </c>
      <c r="R69" s="746">
        <v>24.73</v>
      </c>
      <c r="S69" t="s">
        <v>527</v>
      </c>
    </row>
    <row r="70" spans="1:19">
      <c r="C70" s="122"/>
      <c r="D70" s="122"/>
      <c r="E70" s="122"/>
      <c r="F70" s="122"/>
      <c r="G70" s="122"/>
      <c r="H70" s="122"/>
      <c r="L70" s="6"/>
      <c r="M70" s="6"/>
      <c r="N70" s="6"/>
      <c r="O70" s="6"/>
      <c r="P70" s="6"/>
      <c r="Q70" s="6"/>
    </row>
    <row r="71" spans="1:19" ht="13.5" thickBot="1">
      <c r="B71" t="s">
        <v>2</v>
      </c>
      <c r="C71" s="166">
        <f t="shared" ref="C71:H71" si="15">SUM(C58:C69)</f>
        <v>305</v>
      </c>
      <c r="D71" s="166">
        <f t="shared" si="15"/>
        <v>0</v>
      </c>
      <c r="E71" s="166">
        <f t="shared" si="15"/>
        <v>0</v>
      </c>
      <c r="F71" s="166">
        <f t="shared" si="15"/>
        <v>0</v>
      </c>
      <c r="G71" s="166">
        <f t="shared" si="15"/>
        <v>0</v>
      </c>
      <c r="H71" s="166">
        <f t="shared" si="15"/>
        <v>305</v>
      </c>
      <c r="K71" t="s">
        <v>2</v>
      </c>
      <c r="L71" s="8">
        <f t="shared" ref="L71:Q71" si="16">SUM(L58:L69)</f>
        <v>4040</v>
      </c>
      <c r="M71" s="8">
        <f t="shared" si="16"/>
        <v>0</v>
      </c>
      <c r="N71" s="8">
        <f t="shared" si="16"/>
        <v>0</v>
      </c>
      <c r="O71" s="8">
        <f t="shared" si="16"/>
        <v>0</v>
      </c>
      <c r="P71" s="8">
        <f t="shared" si="16"/>
        <v>0</v>
      </c>
      <c r="Q71" s="8">
        <f t="shared" si="16"/>
        <v>4040</v>
      </c>
    </row>
    <row r="72" spans="1:19" ht="13.5" thickTop="1"/>
    <row r="73" spans="1:19" ht="13.5" thickBot="1">
      <c r="C73" s="14">
        <f>+C71/H71</f>
        <v>1</v>
      </c>
      <c r="D73" s="14">
        <f>+D71/H71</f>
        <v>0</v>
      </c>
      <c r="E73" s="14">
        <f>+E71/H71</f>
        <v>0</v>
      </c>
      <c r="F73" s="14">
        <f>+F71/H71</f>
        <v>0</v>
      </c>
      <c r="G73" s="14">
        <f>+G71/H71</f>
        <v>0</v>
      </c>
      <c r="H73" s="14">
        <f>SUM(C73:G73)</f>
        <v>1</v>
      </c>
      <c r="L73" s="14">
        <f>+L71/Q71</f>
        <v>1</v>
      </c>
      <c r="M73" s="14">
        <f>+M71/Q71</f>
        <v>0</v>
      </c>
      <c r="N73" s="14">
        <f>+N71/Q71</f>
        <v>0</v>
      </c>
      <c r="O73" s="14">
        <f>+O71/Q71</f>
        <v>0</v>
      </c>
      <c r="P73" s="14">
        <f>+P71/Q71</f>
        <v>0</v>
      </c>
      <c r="Q73" s="14">
        <f>SUM(L73:P73)</f>
        <v>1</v>
      </c>
    </row>
    <row r="74" spans="1:19" ht="13.5" thickTop="1"/>
    <row r="75" spans="1:19" ht="13.5" thickBot="1">
      <c r="K75" t="s">
        <v>507</v>
      </c>
      <c r="L75" s="14">
        <f>+L71/SUM(L71:N71)</f>
        <v>1</v>
      </c>
      <c r="M75" s="14">
        <f>+M71/SUM(L71:N71)</f>
        <v>0</v>
      </c>
      <c r="N75" s="14">
        <f>1-L75-M75</f>
        <v>0</v>
      </c>
    </row>
    <row r="76" spans="1:19" ht="13.5" thickTop="1"/>
    <row r="78" spans="1:19">
      <c r="A78" s="127" t="s">
        <v>777</v>
      </c>
      <c r="J78" s="127" t="s">
        <v>776</v>
      </c>
    </row>
    <row r="79" spans="1:19">
      <c r="A79" s="127"/>
      <c r="J79" s="127"/>
    </row>
    <row r="80" spans="1:19" ht="13.5" thickBot="1">
      <c r="C80" s="4" t="s">
        <v>477</v>
      </c>
      <c r="D80" s="4" t="s">
        <v>475</v>
      </c>
      <c r="E80" s="4" t="s">
        <v>476</v>
      </c>
      <c r="F80" s="4" t="s">
        <v>110</v>
      </c>
      <c r="G80" s="4" t="s">
        <v>113</v>
      </c>
      <c r="H80" s="4" t="s">
        <v>2</v>
      </c>
      <c r="L80" s="4" t="s">
        <v>477</v>
      </c>
      <c r="M80" s="4" t="s">
        <v>475</v>
      </c>
      <c r="N80" s="4" t="s">
        <v>476</v>
      </c>
      <c r="O80" s="4" t="s">
        <v>110</v>
      </c>
      <c r="P80" s="4" t="s">
        <v>113</v>
      </c>
      <c r="Q80" s="4" t="s">
        <v>2</v>
      </c>
    </row>
    <row r="81" spans="1:17" ht="13.5" thickTop="1">
      <c r="C81" s="93"/>
      <c r="D81" s="93"/>
      <c r="E81" s="93"/>
      <c r="F81" s="93"/>
      <c r="G81" s="93"/>
      <c r="H81" s="93"/>
      <c r="L81" s="93"/>
      <c r="M81" s="93"/>
      <c r="N81" s="93"/>
      <c r="O81" s="93"/>
      <c r="P81" s="93"/>
      <c r="Q81" s="93"/>
    </row>
    <row r="82" spans="1:17">
      <c r="A82" t="str">
        <f t="shared" ref="A82:A93" si="17">A58</f>
        <v>January</v>
      </c>
      <c r="C82" s="323">
        <v>28</v>
      </c>
      <c r="D82" s="323">
        <v>0</v>
      </c>
      <c r="E82" s="323">
        <v>0</v>
      </c>
      <c r="F82" s="323">
        <v>0</v>
      </c>
      <c r="G82" s="323">
        <v>0</v>
      </c>
      <c r="H82" s="122">
        <f t="shared" ref="H82:H93" si="18">SUM(C82:G82)</f>
        <v>28</v>
      </c>
      <c r="J82" t="str">
        <f t="shared" ref="J82:J93" si="19">+A82</f>
        <v>January</v>
      </c>
      <c r="L82" s="322">
        <v>0</v>
      </c>
      <c r="M82" s="322">
        <v>0</v>
      </c>
      <c r="N82" s="322">
        <v>0</v>
      </c>
      <c r="O82" s="322">
        <v>0</v>
      </c>
      <c r="P82" s="322">
        <v>0</v>
      </c>
      <c r="Q82" s="6">
        <f t="shared" ref="Q82:Q93" si="20">SUM(L82:P82)</f>
        <v>0</v>
      </c>
    </row>
    <row r="83" spans="1:17">
      <c r="A83" t="str">
        <f t="shared" si="17"/>
        <v>February</v>
      </c>
      <c r="C83" s="323">
        <v>21</v>
      </c>
      <c r="D83" s="323">
        <v>0</v>
      </c>
      <c r="E83" s="323">
        <v>0</v>
      </c>
      <c r="F83" s="323">
        <v>0</v>
      </c>
      <c r="G83" s="323">
        <v>0</v>
      </c>
      <c r="H83" s="122">
        <f t="shared" si="18"/>
        <v>21</v>
      </c>
      <c r="J83" t="str">
        <f t="shared" si="19"/>
        <v>February</v>
      </c>
      <c r="L83" s="322">
        <v>0</v>
      </c>
      <c r="M83" s="322">
        <v>0</v>
      </c>
      <c r="N83" s="322">
        <v>0</v>
      </c>
      <c r="O83" s="322">
        <v>0</v>
      </c>
      <c r="P83" s="322">
        <v>0</v>
      </c>
      <c r="Q83" s="6">
        <f t="shared" si="20"/>
        <v>0</v>
      </c>
    </row>
    <row r="84" spans="1:17">
      <c r="A84" t="str">
        <f t="shared" si="17"/>
        <v>March</v>
      </c>
      <c r="C84" s="323">
        <v>18</v>
      </c>
      <c r="D84" s="323">
        <v>0</v>
      </c>
      <c r="E84" s="323">
        <v>0</v>
      </c>
      <c r="F84" s="323">
        <v>0</v>
      </c>
      <c r="G84" s="323">
        <v>0</v>
      </c>
      <c r="H84" s="122">
        <f t="shared" si="18"/>
        <v>18</v>
      </c>
      <c r="J84" t="str">
        <f t="shared" si="19"/>
        <v>March</v>
      </c>
      <c r="L84" s="322">
        <v>0</v>
      </c>
      <c r="M84" s="322">
        <v>0</v>
      </c>
      <c r="N84" s="322">
        <v>0</v>
      </c>
      <c r="O84" s="322">
        <v>0</v>
      </c>
      <c r="P84" s="322">
        <v>0</v>
      </c>
      <c r="Q84" s="6">
        <f t="shared" si="20"/>
        <v>0</v>
      </c>
    </row>
    <row r="85" spans="1:17">
      <c r="A85" t="str">
        <f t="shared" si="17"/>
        <v>April</v>
      </c>
      <c r="C85" s="323">
        <v>13</v>
      </c>
      <c r="D85" s="323">
        <v>0</v>
      </c>
      <c r="E85" s="323">
        <v>0</v>
      </c>
      <c r="F85" s="323">
        <v>0</v>
      </c>
      <c r="G85" s="323">
        <v>0</v>
      </c>
      <c r="H85" s="122">
        <f t="shared" si="18"/>
        <v>13</v>
      </c>
      <c r="J85" t="str">
        <f t="shared" si="19"/>
        <v>April</v>
      </c>
      <c r="L85" s="322">
        <v>0</v>
      </c>
      <c r="M85" s="322">
        <v>0</v>
      </c>
      <c r="N85" s="322">
        <v>0</v>
      </c>
      <c r="O85" s="322">
        <v>0</v>
      </c>
      <c r="P85" s="322">
        <v>0</v>
      </c>
      <c r="Q85" s="6">
        <f t="shared" si="20"/>
        <v>0</v>
      </c>
    </row>
    <row r="86" spans="1:17">
      <c r="A86" t="str">
        <f t="shared" si="17"/>
        <v>May</v>
      </c>
      <c r="C86" s="323">
        <v>29</v>
      </c>
      <c r="D86" s="323">
        <v>0</v>
      </c>
      <c r="E86" s="323">
        <v>0</v>
      </c>
      <c r="F86" s="323">
        <v>0</v>
      </c>
      <c r="G86" s="323">
        <v>0</v>
      </c>
      <c r="H86" s="122">
        <f t="shared" si="18"/>
        <v>29</v>
      </c>
      <c r="J86" t="str">
        <f t="shared" si="19"/>
        <v>May</v>
      </c>
      <c r="L86" s="322">
        <v>0</v>
      </c>
      <c r="M86" s="322">
        <v>0</v>
      </c>
      <c r="N86" s="322">
        <v>0</v>
      </c>
      <c r="O86" s="322">
        <v>0</v>
      </c>
      <c r="P86" s="322">
        <v>0</v>
      </c>
      <c r="Q86" s="6">
        <f t="shared" si="20"/>
        <v>0</v>
      </c>
    </row>
    <row r="87" spans="1:17">
      <c r="A87" t="str">
        <f t="shared" si="17"/>
        <v>June</v>
      </c>
      <c r="C87" s="323">
        <v>33</v>
      </c>
      <c r="D87" s="323">
        <v>0</v>
      </c>
      <c r="E87" s="323">
        <v>0</v>
      </c>
      <c r="F87" s="323">
        <v>0</v>
      </c>
      <c r="G87" s="323">
        <v>0</v>
      </c>
      <c r="H87" s="122">
        <f t="shared" si="18"/>
        <v>33</v>
      </c>
      <c r="J87" t="str">
        <f t="shared" si="19"/>
        <v>June</v>
      </c>
      <c r="L87" s="322">
        <v>0</v>
      </c>
      <c r="M87" s="322">
        <v>0</v>
      </c>
      <c r="N87" s="322">
        <v>0</v>
      </c>
      <c r="O87" s="322">
        <v>0</v>
      </c>
      <c r="P87" s="322">
        <v>0</v>
      </c>
      <c r="Q87" s="6">
        <f t="shared" si="20"/>
        <v>0</v>
      </c>
    </row>
    <row r="88" spans="1:17">
      <c r="A88" t="str">
        <f t="shared" si="17"/>
        <v>July</v>
      </c>
      <c r="C88" s="323">
        <v>55</v>
      </c>
      <c r="D88" s="323">
        <v>0</v>
      </c>
      <c r="E88" s="323">
        <v>0</v>
      </c>
      <c r="F88" s="323">
        <v>0</v>
      </c>
      <c r="G88" s="323">
        <v>0</v>
      </c>
      <c r="H88" s="122">
        <f t="shared" si="18"/>
        <v>55</v>
      </c>
      <c r="J88" t="str">
        <f t="shared" si="19"/>
        <v>July</v>
      </c>
      <c r="L88" s="322">
        <v>0</v>
      </c>
      <c r="M88" s="322">
        <v>0</v>
      </c>
      <c r="N88" s="322">
        <v>0</v>
      </c>
      <c r="O88" s="322">
        <v>0</v>
      </c>
      <c r="P88" s="322">
        <v>0</v>
      </c>
      <c r="Q88" s="6">
        <f t="shared" si="20"/>
        <v>0</v>
      </c>
    </row>
    <row r="89" spans="1:17">
      <c r="A89" t="str">
        <f t="shared" si="17"/>
        <v>August</v>
      </c>
      <c r="C89" s="323">
        <v>46</v>
      </c>
      <c r="D89" s="323">
        <v>0</v>
      </c>
      <c r="E89" s="323">
        <v>0</v>
      </c>
      <c r="F89" s="323">
        <v>0</v>
      </c>
      <c r="G89" s="323">
        <v>0</v>
      </c>
      <c r="H89" s="122">
        <f t="shared" si="18"/>
        <v>46</v>
      </c>
      <c r="J89" t="str">
        <f t="shared" si="19"/>
        <v>August</v>
      </c>
      <c r="L89" s="322">
        <v>0</v>
      </c>
      <c r="M89" s="322">
        <v>0</v>
      </c>
      <c r="N89" s="322">
        <v>0</v>
      </c>
      <c r="O89" s="322">
        <v>0</v>
      </c>
      <c r="P89" s="322">
        <v>0</v>
      </c>
      <c r="Q89" s="6">
        <f t="shared" si="20"/>
        <v>0</v>
      </c>
    </row>
    <row r="90" spans="1:17">
      <c r="A90" t="str">
        <f t="shared" si="17"/>
        <v>September</v>
      </c>
      <c r="C90" s="323">
        <v>42</v>
      </c>
      <c r="D90" s="323">
        <v>0</v>
      </c>
      <c r="E90" s="323">
        <v>0</v>
      </c>
      <c r="F90" s="323">
        <v>0</v>
      </c>
      <c r="G90" s="323">
        <v>0</v>
      </c>
      <c r="H90" s="122">
        <f t="shared" si="18"/>
        <v>42</v>
      </c>
      <c r="J90" t="str">
        <f t="shared" si="19"/>
        <v>September</v>
      </c>
      <c r="L90" s="322">
        <v>0</v>
      </c>
      <c r="M90" s="322">
        <v>0</v>
      </c>
      <c r="N90" s="322">
        <v>0</v>
      </c>
      <c r="O90" s="322">
        <v>0</v>
      </c>
      <c r="P90" s="322">
        <v>0</v>
      </c>
      <c r="Q90" s="6">
        <f t="shared" si="20"/>
        <v>0</v>
      </c>
    </row>
    <row r="91" spans="1:17">
      <c r="A91" t="str">
        <f t="shared" si="17"/>
        <v>October</v>
      </c>
      <c r="C91" s="323">
        <v>44</v>
      </c>
      <c r="D91" s="323">
        <v>0</v>
      </c>
      <c r="E91" s="323">
        <v>0</v>
      </c>
      <c r="F91" s="323">
        <v>0</v>
      </c>
      <c r="G91" s="323">
        <v>0</v>
      </c>
      <c r="H91" s="122">
        <f t="shared" si="18"/>
        <v>44</v>
      </c>
      <c r="J91" t="str">
        <f t="shared" si="19"/>
        <v>October</v>
      </c>
      <c r="L91" s="322">
        <v>0</v>
      </c>
      <c r="M91" s="322">
        <v>0</v>
      </c>
      <c r="N91" s="322">
        <v>0</v>
      </c>
      <c r="O91" s="322">
        <v>0</v>
      </c>
      <c r="P91" s="322">
        <v>0</v>
      </c>
      <c r="Q91" s="6">
        <f t="shared" si="20"/>
        <v>0</v>
      </c>
    </row>
    <row r="92" spans="1:17">
      <c r="A92" t="str">
        <f t="shared" si="17"/>
        <v>November</v>
      </c>
      <c r="C92" s="323">
        <v>29</v>
      </c>
      <c r="D92" s="323">
        <v>0</v>
      </c>
      <c r="E92" s="323">
        <v>0</v>
      </c>
      <c r="F92" s="323">
        <v>0</v>
      </c>
      <c r="G92" s="323">
        <v>0</v>
      </c>
      <c r="H92" s="122">
        <f t="shared" si="18"/>
        <v>29</v>
      </c>
      <c r="J92" t="str">
        <f t="shared" si="19"/>
        <v>November</v>
      </c>
      <c r="L92" s="322">
        <v>0</v>
      </c>
      <c r="M92" s="322">
        <v>0</v>
      </c>
      <c r="N92" s="322">
        <v>0</v>
      </c>
      <c r="O92" s="322">
        <v>0</v>
      </c>
      <c r="P92" s="322">
        <v>0</v>
      </c>
      <c r="Q92" s="6">
        <f t="shared" si="20"/>
        <v>0</v>
      </c>
    </row>
    <row r="93" spans="1:17" ht="13.5" thickBot="1">
      <c r="A93" t="str">
        <f t="shared" si="17"/>
        <v>December</v>
      </c>
      <c r="C93" s="321">
        <v>33</v>
      </c>
      <c r="D93" s="321">
        <v>0</v>
      </c>
      <c r="E93" s="321">
        <v>0</v>
      </c>
      <c r="F93" s="321">
        <v>0</v>
      </c>
      <c r="G93" s="321">
        <v>0</v>
      </c>
      <c r="H93" s="175">
        <f t="shared" si="18"/>
        <v>33</v>
      </c>
      <c r="J93" t="str">
        <f t="shared" si="19"/>
        <v>December</v>
      </c>
      <c r="L93" s="48">
        <v>0</v>
      </c>
      <c r="M93" s="48">
        <v>0</v>
      </c>
      <c r="N93" s="48">
        <v>0</v>
      </c>
      <c r="O93" s="48">
        <v>0</v>
      </c>
      <c r="P93" s="48">
        <v>0</v>
      </c>
      <c r="Q93" s="7">
        <f t="shared" si="20"/>
        <v>0</v>
      </c>
    </row>
    <row r="94" spans="1:17">
      <c r="C94" s="122"/>
      <c r="D94" s="122"/>
      <c r="E94" s="122"/>
      <c r="F94" s="122"/>
      <c r="G94" s="122"/>
      <c r="H94" s="122"/>
      <c r="L94" s="6"/>
      <c r="M94" s="6"/>
      <c r="N94" s="6"/>
      <c r="O94" s="6"/>
      <c r="P94" s="6"/>
      <c r="Q94" s="6"/>
    </row>
    <row r="95" spans="1:17" ht="13.5" thickBot="1">
      <c r="B95" t="s">
        <v>2</v>
      </c>
      <c r="C95" s="166">
        <f t="shared" ref="C95:H95" si="21">SUM(C82:C93)</f>
        <v>391</v>
      </c>
      <c r="D95" s="166">
        <f t="shared" si="21"/>
        <v>0</v>
      </c>
      <c r="E95" s="166">
        <f t="shared" si="21"/>
        <v>0</v>
      </c>
      <c r="F95" s="166">
        <f t="shared" si="21"/>
        <v>0</v>
      </c>
      <c r="G95" s="166">
        <f t="shared" si="21"/>
        <v>0</v>
      </c>
      <c r="H95" s="166">
        <f t="shared" si="21"/>
        <v>391</v>
      </c>
      <c r="K95" t="s">
        <v>2</v>
      </c>
      <c r="L95" s="8">
        <f t="shared" ref="L95:Q95" si="22">SUM(L82:L93)</f>
        <v>0</v>
      </c>
      <c r="M95" s="8">
        <f t="shared" si="22"/>
        <v>0</v>
      </c>
      <c r="N95" s="8">
        <f t="shared" si="22"/>
        <v>0</v>
      </c>
      <c r="O95" s="8">
        <f t="shared" si="22"/>
        <v>0</v>
      </c>
      <c r="P95" s="8">
        <f t="shared" si="22"/>
        <v>0</v>
      </c>
      <c r="Q95" s="8">
        <f t="shared" si="22"/>
        <v>0</v>
      </c>
    </row>
    <row r="96" spans="1:17" ht="13.5" thickTop="1"/>
    <row r="97" spans="3:17" ht="13.5" thickBot="1">
      <c r="C97" s="14">
        <f>+C95/H95</f>
        <v>1</v>
      </c>
      <c r="D97" s="14">
        <f>+D95/H95</f>
        <v>0</v>
      </c>
      <c r="E97" s="14">
        <f>+E95/H95</f>
        <v>0</v>
      </c>
      <c r="F97" s="14">
        <f>+F95/H95</f>
        <v>0</v>
      </c>
      <c r="G97" s="14">
        <f>+G95/H95</f>
        <v>0</v>
      </c>
      <c r="H97" s="14">
        <f>SUM(C97:G97)</f>
        <v>1</v>
      </c>
      <c r="L97" s="14" t="e">
        <f>+L95/Q95</f>
        <v>#DIV/0!</v>
      </c>
      <c r="M97" s="14" t="e">
        <f>+M95/Q95</f>
        <v>#DIV/0!</v>
      </c>
      <c r="N97" s="14" t="e">
        <f>+N95/Q95</f>
        <v>#DIV/0!</v>
      </c>
      <c r="O97" s="14" t="e">
        <f>+O95/Q95</f>
        <v>#DIV/0!</v>
      </c>
      <c r="P97" s="14" t="e">
        <f>+P95/Q95</f>
        <v>#DIV/0!</v>
      </c>
      <c r="Q97" s="14" t="e">
        <f>SUM(L97:P97)</f>
        <v>#DIV/0!</v>
      </c>
    </row>
    <row r="98" spans="3:17" ht="13.5" thickTop="1"/>
    <row r="99" spans="3:17" ht="13.5" thickBot="1">
      <c r="H99" s="158">
        <v>54.38</v>
      </c>
      <c r="I99" t="s">
        <v>527</v>
      </c>
      <c r="K99" t="s">
        <v>507</v>
      </c>
      <c r="L99" s="14" t="e">
        <f>+L95/SUM(L95:N95)</f>
        <v>#DIV/0!</v>
      </c>
      <c r="M99" s="14" t="e">
        <f>+M95/SUM(L95:N95)</f>
        <v>#DIV/0!</v>
      </c>
      <c r="N99" s="14" t="e">
        <f>1-L99-M99</f>
        <v>#DIV/0!</v>
      </c>
    </row>
    <row r="100" spans="3:17" ht="13.5" thickTop="1"/>
  </sheetData>
  <pageMargins left="0.7" right="0.7" top="0.75" bottom="0.75" header="0.3" footer="0.3"/>
  <pageSetup scale="76" fitToHeight="0" orientation="landscape"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9"/>
  <sheetViews>
    <sheetView workbookViewId="0">
      <selection activeCell="D4" sqref="D4"/>
    </sheetView>
  </sheetViews>
  <sheetFormatPr defaultRowHeight="12.75"/>
  <cols>
    <col min="1" max="2" width="9.42578125" customWidth="1"/>
    <col min="3" max="13" width="9.140625" customWidth="1"/>
    <col min="16" max="16" width="11.42578125" bestFit="1" customWidth="1"/>
    <col min="22" max="22" width="11" customWidth="1"/>
    <col min="24" max="25" width="10.140625" customWidth="1"/>
    <col min="28" max="28" width="11.28515625" customWidth="1"/>
    <col min="30" max="30" width="10.140625" bestFit="1" customWidth="1"/>
  </cols>
  <sheetData>
    <row r="1" spans="1:32">
      <c r="A1" t="s">
        <v>0</v>
      </c>
    </row>
    <row r="3" spans="1:32">
      <c r="A3" s="692" t="s">
        <v>1366</v>
      </c>
      <c r="B3" s="16"/>
      <c r="D3" s="693" t="s">
        <v>1414</v>
      </c>
      <c r="E3" s="693" t="s">
        <v>702</v>
      </c>
      <c r="F3" s="708"/>
      <c r="G3" s="196"/>
      <c r="H3" s="196"/>
    </row>
    <row r="5" spans="1:32" ht="18">
      <c r="A5" s="127" t="s">
        <v>866</v>
      </c>
      <c r="B5" s="127"/>
      <c r="V5" s="693" t="s">
        <v>1362</v>
      </c>
      <c r="Y5" s="326" t="s">
        <v>865</v>
      </c>
      <c r="Z5" s="326"/>
      <c r="AB5" s="693" t="s">
        <v>1364</v>
      </c>
    </row>
    <row r="6" spans="1:32">
      <c r="V6" s="693" t="s">
        <v>1363</v>
      </c>
      <c r="AB6" s="693" t="s">
        <v>1365</v>
      </c>
    </row>
    <row r="7" spans="1:32">
      <c r="L7" s="2"/>
      <c r="M7" s="2"/>
      <c r="N7" s="676"/>
      <c r="R7" s="253" t="s">
        <v>864</v>
      </c>
      <c r="X7" s="253" t="s">
        <v>864</v>
      </c>
      <c r="AD7" s="253" t="s">
        <v>864</v>
      </c>
    </row>
    <row r="8" spans="1:32">
      <c r="A8" t="s">
        <v>454</v>
      </c>
      <c r="B8" s="2" t="s">
        <v>495</v>
      </c>
      <c r="C8" s="2" t="s">
        <v>863</v>
      </c>
      <c r="D8" s="2" t="s">
        <v>518</v>
      </c>
      <c r="E8" s="2" t="s">
        <v>517</v>
      </c>
      <c r="F8" s="2" t="s">
        <v>516</v>
      </c>
      <c r="G8" s="2" t="s">
        <v>515</v>
      </c>
      <c r="H8" s="2" t="s">
        <v>514</v>
      </c>
      <c r="I8" s="2" t="s">
        <v>513</v>
      </c>
      <c r="J8" s="2" t="s">
        <v>512</v>
      </c>
      <c r="K8" s="2" t="s">
        <v>511</v>
      </c>
      <c r="L8" s="2" t="s">
        <v>762</v>
      </c>
      <c r="M8" s="2" t="s">
        <v>509</v>
      </c>
      <c r="N8" s="685" t="s">
        <v>508</v>
      </c>
      <c r="O8" s="253" t="s">
        <v>2</v>
      </c>
      <c r="P8" s="2" t="s">
        <v>87</v>
      </c>
      <c r="R8" s="253" t="s">
        <v>2</v>
      </c>
      <c r="T8" s="2"/>
      <c r="U8" s="253" t="s">
        <v>2</v>
      </c>
      <c r="V8" s="2" t="s">
        <v>87</v>
      </c>
      <c r="X8" s="253" t="s">
        <v>2</v>
      </c>
      <c r="Z8" s="2"/>
      <c r="AA8" s="253" t="s">
        <v>2</v>
      </c>
      <c r="AB8" s="2" t="s">
        <v>87</v>
      </c>
      <c r="AD8" s="253" t="s">
        <v>2</v>
      </c>
      <c r="AF8" s="2"/>
    </row>
    <row r="10" spans="1:32">
      <c r="A10" t="s">
        <v>862</v>
      </c>
      <c r="B10" t="s">
        <v>782</v>
      </c>
      <c r="C10" s="325">
        <v>0</v>
      </c>
      <c r="D10" s="325">
        <v>0</v>
      </c>
      <c r="E10" s="325">
        <v>0</v>
      </c>
      <c r="F10" s="325">
        <v>0</v>
      </c>
      <c r="G10" s="325">
        <v>0</v>
      </c>
      <c r="H10" s="325">
        <v>0</v>
      </c>
      <c r="I10" s="325">
        <v>0</v>
      </c>
      <c r="J10" s="325">
        <v>0</v>
      </c>
      <c r="K10" s="325">
        <v>0</v>
      </c>
      <c r="L10" s="325">
        <v>0</v>
      </c>
      <c r="M10" s="325">
        <v>0</v>
      </c>
      <c r="N10" s="325">
        <v>494.1</v>
      </c>
      <c r="O10" s="325">
        <f t="shared" ref="O10:O76" si="0">SUM(C10:N10)</f>
        <v>494.1</v>
      </c>
      <c r="Q10" s="325">
        <f t="shared" ref="Q10:Q27" si="1">+Q67</f>
        <v>0</v>
      </c>
      <c r="R10" s="325">
        <f t="shared" ref="R10:R41" si="2">+O10+Q10</f>
        <v>494.1</v>
      </c>
      <c r="T10" s="325"/>
      <c r="U10" s="325">
        <f>+G10</f>
        <v>0</v>
      </c>
      <c r="V10" s="83" t="s">
        <v>861</v>
      </c>
      <c r="W10" s="325">
        <f t="shared" ref="W10:W27" si="3">+W67</f>
        <v>0</v>
      </c>
      <c r="X10" s="325">
        <f t="shared" ref="X10:X41" si="4">+U10+W10</f>
        <v>0</v>
      </c>
      <c r="Z10" s="325"/>
      <c r="AA10" s="325">
        <f>+N10</f>
        <v>494.1</v>
      </c>
      <c r="AC10" s="325">
        <f t="shared" ref="AC10:AC27" si="5">+AC67</f>
        <v>0</v>
      </c>
      <c r="AD10" s="325">
        <f t="shared" ref="AD10:AD41" si="6">+AA10+AC10</f>
        <v>494.1</v>
      </c>
      <c r="AF10" s="325"/>
    </row>
    <row r="11" spans="1:32">
      <c r="B11" t="s">
        <v>781</v>
      </c>
      <c r="C11" s="325">
        <v>0</v>
      </c>
      <c r="D11" s="325">
        <v>0</v>
      </c>
      <c r="E11" s="325">
        <v>0</v>
      </c>
      <c r="F11" s="325">
        <v>0</v>
      </c>
      <c r="G11" s="325">
        <v>0</v>
      </c>
      <c r="H11" s="325">
        <v>0</v>
      </c>
      <c r="I11" s="325">
        <v>0</v>
      </c>
      <c r="J11" s="325">
        <v>0</v>
      </c>
      <c r="K11" s="325">
        <v>0</v>
      </c>
      <c r="L11" s="325">
        <v>0</v>
      </c>
      <c r="M11" s="325">
        <v>0</v>
      </c>
      <c r="N11" s="325">
        <v>581.4</v>
      </c>
      <c r="O11" s="325">
        <f t="shared" si="0"/>
        <v>581.4</v>
      </c>
      <c r="Q11" s="325">
        <f t="shared" si="1"/>
        <v>0</v>
      </c>
      <c r="R11" s="325">
        <f t="shared" si="2"/>
        <v>581.4</v>
      </c>
      <c r="T11" s="325"/>
      <c r="U11" s="325">
        <f t="shared" ref="U11:U74" si="7">+G11</f>
        <v>0</v>
      </c>
      <c r="W11" s="325">
        <f t="shared" si="3"/>
        <v>0</v>
      </c>
      <c r="X11" s="325">
        <f t="shared" si="4"/>
        <v>0</v>
      </c>
      <c r="Z11" s="325"/>
      <c r="AA11" s="325">
        <f t="shared" ref="AA11:AA74" si="8">+N11</f>
        <v>581.4</v>
      </c>
      <c r="AC11" s="325">
        <f t="shared" si="5"/>
        <v>0</v>
      </c>
      <c r="AD11" s="325">
        <f t="shared" si="6"/>
        <v>581.4</v>
      </c>
      <c r="AF11" s="325"/>
    </row>
    <row r="12" spans="1:32">
      <c r="B12" t="s">
        <v>780</v>
      </c>
      <c r="C12" s="325">
        <v>0</v>
      </c>
      <c r="D12" s="325">
        <v>0</v>
      </c>
      <c r="E12" s="325">
        <v>0</v>
      </c>
      <c r="F12" s="325">
        <v>0</v>
      </c>
      <c r="G12" s="325">
        <v>0</v>
      </c>
      <c r="H12" s="325">
        <v>0</v>
      </c>
      <c r="I12" s="325">
        <v>0</v>
      </c>
      <c r="J12" s="325">
        <v>0</v>
      </c>
      <c r="K12" s="325">
        <v>0</v>
      </c>
      <c r="L12" s="325">
        <v>0</v>
      </c>
      <c r="M12" s="325">
        <v>0</v>
      </c>
      <c r="N12" s="325">
        <v>476.85</v>
      </c>
      <c r="O12" s="325">
        <f t="shared" si="0"/>
        <v>476.85</v>
      </c>
      <c r="Q12" s="325">
        <f t="shared" si="1"/>
        <v>18.013856812933025</v>
      </c>
      <c r="R12" s="325">
        <f t="shared" si="2"/>
        <v>494.86385681293302</v>
      </c>
      <c r="T12" s="325"/>
      <c r="U12" s="325">
        <f t="shared" si="7"/>
        <v>0</v>
      </c>
      <c r="W12" s="325">
        <f t="shared" si="3"/>
        <v>0</v>
      </c>
      <c r="X12" s="325">
        <f t="shared" si="4"/>
        <v>0</v>
      </c>
      <c r="Z12" s="325"/>
      <c r="AA12" s="325">
        <f t="shared" si="8"/>
        <v>476.85</v>
      </c>
      <c r="AC12" s="325">
        <f t="shared" si="5"/>
        <v>18.013856812933025</v>
      </c>
      <c r="AD12" s="325">
        <f t="shared" si="6"/>
        <v>494.86385681293302</v>
      </c>
      <c r="AF12" s="325"/>
    </row>
    <row r="13" spans="1:32">
      <c r="A13" t="s">
        <v>860</v>
      </c>
      <c r="B13" t="s">
        <v>782</v>
      </c>
      <c r="C13" s="325">
        <v>0</v>
      </c>
      <c r="D13" s="325">
        <v>0</v>
      </c>
      <c r="E13" s="325">
        <v>0</v>
      </c>
      <c r="F13" s="325">
        <v>0</v>
      </c>
      <c r="G13" s="325">
        <v>0</v>
      </c>
      <c r="H13" s="325">
        <v>0</v>
      </c>
      <c r="I13" s="325">
        <v>0</v>
      </c>
      <c r="J13" s="325">
        <v>0</v>
      </c>
      <c r="K13" s="325">
        <v>0</v>
      </c>
      <c r="L13" s="325">
        <v>0</v>
      </c>
      <c r="M13" s="325">
        <v>0</v>
      </c>
      <c r="N13" s="325">
        <v>312.7</v>
      </c>
      <c r="O13" s="325">
        <f t="shared" si="0"/>
        <v>312.7</v>
      </c>
      <c r="Q13" s="325">
        <f t="shared" si="1"/>
        <v>0</v>
      </c>
      <c r="R13" s="325">
        <f t="shared" si="2"/>
        <v>312.7</v>
      </c>
      <c r="T13" s="325"/>
      <c r="U13" s="325">
        <f t="shared" si="7"/>
        <v>0</v>
      </c>
      <c r="W13" s="325">
        <f t="shared" si="3"/>
        <v>0</v>
      </c>
      <c r="X13" s="325">
        <f t="shared" si="4"/>
        <v>0</v>
      </c>
      <c r="Z13" s="325"/>
      <c r="AA13" s="325">
        <f t="shared" si="8"/>
        <v>312.7</v>
      </c>
      <c r="AC13" s="325">
        <f t="shared" si="5"/>
        <v>0</v>
      </c>
      <c r="AD13" s="325">
        <f t="shared" si="6"/>
        <v>312.7</v>
      </c>
      <c r="AF13" s="325"/>
    </row>
    <row r="14" spans="1:32">
      <c r="B14" t="s">
        <v>781</v>
      </c>
      <c r="C14" s="325">
        <v>0</v>
      </c>
      <c r="D14" s="325">
        <v>0</v>
      </c>
      <c r="E14" s="325">
        <v>0</v>
      </c>
      <c r="F14" s="325">
        <v>0</v>
      </c>
      <c r="G14" s="325">
        <v>0</v>
      </c>
      <c r="H14" s="325">
        <v>0</v>
      </c>
      <c r="I14" s="325">
        <v>0</v>
      </c>
      <c r="J14" s="325">
        <v>0</v>
      </c>
      <c r="K14" s="325">
        <v>0</v>
      </c>
      <c r="L14" s="325">
        <v>0</v>
      </c>
      <c r="M14" s="325">
        <v>0</v>
      </c>
      <c r="N14" s="325">
        <v>852.8</v>
      </c>
      <c r="O14" s="325">
        <f t="shared" si="0"/>
        <v>852.8</v>
      </c>
      <c r="Q14" s="325">
        <f t="shared" si="1"/>
        <v>0</v>
      </c>
      <c r="R14" s="325">
        <f t="shared" si="2"/>
        <v>852.8</v>
      </c>
      <c r="T14" s="325"/>
      <c r="U14" s="325">
        <f t="shared" si="7"/>
        <v>0</v>
      </c>
      <c r="W14" s="325">
        <f t="shared" si="3"/>
        <v>0</v>
      </c>
      <c r="X14" s="325">
        <f t="shared" si="4"/>
        <v>0</v>
      </c>
      <c r="Z14" s="325"/>
      <c r="AA14" s="325">
        <f t="shared" si="8"/>
        <v>852.8</v>
      </c>
      <c r="AC14" s="325">
        <f t="shared" si="5"/>
        <v>0</v>
      </c>
      <c r="AD14" s="325">
        <f t="shared" si="6"/>
        <v>852.8</v>
      </c>
      <c r="AF14" s="325"/>
    </row>
    <row r="15" spans="1:32">
      <c r="B15" t="s">
        <v>780</v>
      </c>
      <c r="C15" s="325">
        <v>0</v>
      </c>
      <c r="D15" s="325">
        <v>0</v>
      </c>
      <c r="E15" s="325">
        <v>0</v>
      </c>
      <c r="F15" s="325">
        <v>0</v>
      </c>
      <c r="G15" s="325">
        <v>0</v>
      </c>
      <c r="H15" s="325">
        <v>0</v>
      </c>
      <c r="I15" s="325">
        <v>0</v>
      </c>
      <c r="J15" s="325">
        <v>0</v>
      </c>
      <c r="K15" s="325">
        <v>0</v>
      </c>
      <c r="L15" s="325">
        <v>0</v>
      </c>
      <c r="M15" s="325">
        <v>0</v>
      </c>
      <c r="N15" s="325">
        <v>746.65</v>
      </c>
      <c r="O15" s="325">
        <f t="shared" si="0"/>
        <v>746.65</v>
      </c>
      <c r="Q15" s="325">
        <f t="shared" si="1"/>
        <v>21.247113163972287</v>
      </c>
      <c r="R15" s="325">
        <f t="shared" si="2"/>
        <v>767.89711316397222</v>
      </c>
      <c r="T15" s="325"/>
      <c r="U15" s="325">
        <f t="shared" si="7"/>
        <v>0</v>
      </c>
      <c r="W15" s="325">
        <f t="shared" si="3"/>
        <v>0</v>
      </c>
      <c r="X15" s="325">
        <f t="shared" si="4"/>
        <v>0</v>
      </c>
      <c r="Z15" s="325"/>
      <c r="AA15" s="325">
        <f t="shared" si="8"/>
        <v>746.65</v>
      </c>
      <c r="AC15" s="325">
        <f t="shared" si="5"/>
        <v>21.247113163972287</v>
      </c>
      <c r="AD15" s="325">
        <f t="shared" si="6"/>
        <v>767.89711316397222</v>
      </c>
      <c r="AF15" s="325"/>
    </row>
    <row r="16" spans="1:32">
      <c r="A16" t="s">
        <v>859</v>
      </c>
      <c r="B16" t="s">
        <v>782</v>
      </c>
      <c r="C16" s="325">
        <v>0</v>
      </c>
      <c r="D16" s="325">
        <v>0</v>
      </c>
      <c r="E16" s="325">
        <v>0</v>
      </c>
      <c r="F16" s="325">
        <v>0</v>
      </c>
      <c r="G16" s="325">
        <v>0</v>
      </c>
      <c r="H16" s="325">
        <v>0</v>
      </c>
      <c r="I16" s="325">
        <v>0</v>
      </c>
      <c r="J16" s="325">
        <v>0</v>
      </c>
      <c r="K16" s="325">
        <v>0</v>
      </c>
      <c r="L16" s="325">
        <v>0</v>
      </c>
      <c r="M16" s="325">
        <v>0</v>
      </c>
      <c r="N16" s="325">
        <v>41.95</v>
      </c>
      <c r="O16" s="325">
        <f t="shared" si="0"/>
        <v>41.95</v>
      </c>
      <c r="Q16" s="325">
        <f t="shared" si="1"/>
        <v>0</v>
      </c>
      <c r="R16" s="325">
        <f t="shared" si="2"/>
        <v>41.95</v>
      </c>
      <c r="T16" s="325"/>
      <c r="U16" s="325">
        <f t="shared" si="7"/>
        <v>0</v>
      </c>
      <c r="W16" s="325">
        <f t="shared" si="3"/>
        <v>0</v>
      </c>
      <c r="X16" s="325">
        <f t="shared" si="4"/>
        <v>0</v>
      </c>
      <c r="Z16" s="325"/>
      <c r="AA16" s="325">
        <f t="shared" si="8"/>
        <v>41.95</v>
      </c>
      <c r="AC16" s="325">
        <f t="shared" si="5"/>
        <v>0</v>
      </c>
      <c r="AD16" s="325">
        <f t="shared" si="6"/>
        <v>41.95</v>
      </c>
      <c r="AF16" s="325"/>
    </row>
    <row r="17" spans="1:32">
      <c r="B17" t="s">
        <v>781</v>
      </c>
      <c r="C17" s="325">
        <v>0</v>
      </c>
      <c r="D17" s="325">
        <v>0</v>
      </c>
      <c r="E17" s="325">
        <v>0</v>
      </c>
      <c r="F17" s="325">
        <v>0</v>
      </c>
      <c r="G17" s="325">
        <v>0</v>
      </c>
      <c r="H17" s="325">
        <v>0</v>
      </c>
      <c r="I17" s="325">
        <v>0</v>
      </c>
      <c r="J17" s="325">
        <v>0</v>
      </c>
      <c r="K17" s="325">
        <v>0</v>
      </c>
      <c r="L17" s="325">
        <v>0</v>
      </c>
      <c r="M17" s="325">
        <v>0</v>
      </c>
      <c r="N17" s="325">
        <v>272.85000000000002</v>
      </c>
      <c r="O17" s="325">
        <f t="shared" si="0"/>
        <v>272.85000000000002</v>
      </c>
      <c r="Q17" s="325">
        <f t="shared" si="1"/>
        <v>0</v>
      </c>
      <c r="R17" s="325">
        <f t="shared" si="2"/>
        <v>272.85000000000002</v>
      </c>
      <c r="T17" s="325"/>
      <c r="U17" s="325">
        <f t="shared" si="7"/>
        <v>0</v>
      </c>
      <c r="W17" s="325">
        <f t="shared" si="3"/>
        <v>0</v>
      </c>
      <c r="X17" s="325">
        <f t="shared" si="4"/>
        <v>0</v>
      </c>
      <c r="Z17" s="325"/>
      <c r="AA17" s="325">
        <f t="shared" si="8"/>
        <v>272.85000000000002</v>
      </c>
      <c r="AC17" s="325">
        <f t="shared" si="5"/>
        <v>0</v>
      </c>
      <c r="AD17" s="325">
        <f t="shared" si="6"/>
        <v>272.85000000000002</v>
      </c>
      <c r="AF17" s="325"/>
    </row>
    <row r="18" spans="1:32">
      <c r="B18" t="s">
        <v>780</v>
      </c>
      <c r="C18" s="325">
        <v>0</v>
      </c>
      <c r="D18" s="325">
        <v>0</v>
      </c>
      <c r="E18" s="325">
        <v>0</v>
      </c>
      <c r="F18" s="325">
        <v>0</v>
      </c>
      <c r="G18" s="325">
        <v>0</v>
      </c>
      <c r="H18" s="325">
        <v>0</v>
      </c>
      <c r="I18" s="325">
        <v>0</v>
      </c>
      <c r="J18" s="325">
        <v>0</v>
      </c>
      <c r="K18" s="325">
        <v>0</v>
      </c>
      <c r="L18" s="325">
        <v>0</v>
      </c>
      <c r="M18" s="325">
        <v>0</v>
      </c>
      <c r="N18" s="325">
        <v>74.7</v>
      </c>
      <c r="O18" s="325">
        <f t="shared" si="0"/>
        <v>74.7</v>
      </c>
      <c r="Q18" s="325">
        <f t="shared" si="1"/>
        <v>0</v>
      </c>
      <c r="R18" s="325">
        <f t="shared" si="2"/>
        <v>74.7</v>
      </c>
      <c r="T18" s="325"/>
      <c r="U18" s="325">
        <f t="shared" si="7"/>
        <v>0</v>
      </c>
      <c r="W18" s="325">
        <f t="shared" si="3"/>
        <v>0</v>
      </c>
      <c r="X18" s="325">
        <f t="shared" si="4"/>
        <v>0</v>
      </c>
      <c r="Z18" s="325"/>
      <c r="AA18" s="325">
        <f t="shared" si="8"/>
        <v>74.7</v>
      </c>
      <c r="AC18" s="325">
        <f t="shared" si="5"/>
        <v>0</v>
      </c>
      <c r="AD18" s="325">
        <f t="shared" si="6"/>
        <v>74.7</v>
      </c>
      <c r="AF18" s="325"/>
    </row>
    <row r="19" spans="1:32">
      <c r="A19" t="s">
        <v>858</v>
      </c>
      <c r="B19" t="s">
        <v>782</v>
      </c>
      <c r="C19" s="325">
        <v>0</v>
      </c>
      <c r="D19" s="325">
        <v>0</v>
      </c>
      <c r="E19" s="325">
        <v>0</v>
      </c>
      <c r="F19" s="325">
        <v>0</v>
      </c>
      <c r="G19" s="325">
        <v>0</v>
      </c>
      <c r="H19" s="325">
        <v>0</v>
      </c>
      <c r="I19" s="325">
        <v>0</v>
      </c>
      <c r="J19" s="325">
        <v>0</v>
      </c>
      <c r="K19" s="325">
        <v>0</v>
      </c>
      <c r="L19" s="325">
        <v>0</v>
      </c>
      <c r="M19" s="325">
        <v>0</v>
      </c>
      <c r="N19" s="325">
        <v>16.649999999999999</v>
      </c>
      <c r="O19" s="325">
        <f t="shared" si="0"/>
        <v>16.649999999999999</v>
      </c>
      <c r="Q19" s="325">
        <f t="shared" si="1"/>
        <v>0</v>
      </c>
      <c r="R19" s="325">
        <f t="shared" si="2"/>
        <v>16.649999999999999</v>
      </c>
      <c r="T19" s="325"/>
      <c r="U19" s="325">
        <f t="shared" si="7"/>
        <v>0</v>
      </c>
      <c r="W19" s="325">
        <f t="shared" si="3"/>
        <v>0</v>
      </c>
      <c r="X19" s="325">
        <f t="shared" si="4"/>
        <v>0</v>
      </c>
      <c r="Z19" s="325"/>
      <c r="AA19" s="325">
        <f t="shared" si="8"/>
        <v>16.649999999999999</v>
      </c>
      <c r="AC19" s="325">
        <f t="shared" si="5"/>
        <v>0</v>
      </c>
      <c r="AD19" s="325">
        <f t="shared" si="6"/>
        <v>16.649999999999999</v>
      </c>
      <c r="AF19" s="325"/>
    </row>
    <row r="20" spans="1:32">
      <c r="B20" t="s">
        <v>781</v>
      </c>
      <c r="C20" s="325">
        <v>0</v>
      </c>
      <c r="D20" s="325">
        <v>0</v>
      </c>
      <c r="E20" s="325">
        <v>0</v>
      </c>
      <c r="F20" s="325">
        <v>0</v>
      </c>
      <c r="G20" s="325">
        <v>0</v>
      </c>
      <c r="H20" s="325">
        <v>0</v>
      </c>
      <c r="I20" s="325">
        <v>0</v>
      </c>
      <c r="J20" s="325">
        <v>0</v>
      </c>
      <c r="K20" s="325">
        <v>0</v>
      </c>
      <c r="L20" s="325">
        <v>0</v>
      </c>
      <c r="M20" s="325">
        <v>0</v>
      </c>
      <c r="N20" s="325">
        <v>95.5</v>
      </c>
      <c r="O20" s="325">
        <f t="shared" si="0"/>
        <v>95.5</v>
      </c>
      <c r="Q20" s="325">
        <f t="shared" si="1"/>
        <v>0</v>
      </c>
      <c r="R20" s="325">
        <f t="shared" si="2"/>
        <v>95.5</v>
      </c>
      <c r="T20" s="325"/>
      <c r="U20" s="325">
        <f t="shared" si="7"/>
        <v>0</v>
      </c>
      <c r="W20" s="325">
        <f t="shared" si="3"/>
        <v>0</v>
      </c>
      <c r="X20" s="325">
        <f t="shared" si="4"/>
        <v>0</v>
      </c>
      <c r="Z20" s="325"/>
      <c r="AA20" s="325">
        <f t="shared" si="8"/>
        <v>95.5</v>
      </c>
      <c r="AC20" s="325">
        <f t="shared" si="5"/>
        <v>0</v>
      </c>
      <c r="AD20" s="325">
        <f t="shared" si="6"/>
        <v>95.5</v>
      </c>
      <c r="AF20" s="325"/>
    </row>
    <row r="21" spans="1:32">
      <c r="B21" t="s">
        <v>780</v>
      </c>
      <c r="C21" s="325">
        <v>0</v>
      </c>
      <c r="D21" s="325">
        <v>0</v>
      </c>
      <c r="E21" s="325">
        <v>0</v>
      </c>
      <c r="F21" s="325">
        <v>0</v>
      </c>
      <c r="G21" s="325">
        <v>0</v>
      </c>
      <c r="H21" s="325">
        <v>0</v>
      </c>
      <c r="I21" s="325">
        <v>0</v>
      </c>
      <c r="J21" s="325">
        <v>0</v>
      </c>
      <c r="K21" s="325">
        <v>0</v>
      </c>
      <c r="L21" s="325">
        <v>0</v>
      </c>
      <c r="M21" s="325">
        <v>0</v>
      </c>
      <c r="N21" s="325">
        <v>53.8</v>
      </c>
      <c r="O21" s="325">
        <f t="shared" si="0"/>
        <v>53.8</v>
      </c>
      <c r="Q21" s="325">
        <f t="shared" si="1"/>
        <v>18.013856812933025</v>
      </c>
      <c r="R21" s="325">
        <f t="shared" si="2"/>
        <v>71.813856812933025</v>
      </c>
      <c r="T21" s="325"/>
      <c r="U21" s="325">
        <f t="shared" si="7"/>
        <v>0</v>
      </c>
      <c r="W21" s="325">
        <f t="shared" si="3"/>
        <v>0</v>
      </c>
      <c r="X21" s="325">
        <f t="shared" si="4"/>
        <v>0</v>
      </c>
      <c r="Z21" s="325"/>
      <c r="AA21" s="325">
        <f t="shared" si="8"/>
        <v>53.8</v>
      </c>
      <c r="AC21" s="325">
        <f t="shared" si="5"/>
        <v>18.013856812933025</v>
      </c>
      <c r="AD21" s="325">
        <f t="shared" si="6"/>
        <v>71.813856812933025</v>
      </c>
      <c r="AF21" s="325"/>
    </row>
    <row r="22" spans="1:32">
      <c r="A22" t="s">
        <v>857</v>
      </c>
      <c r="B22" t="s">
        <v>782</v>
      </c>
      <c r="C22" s="325">
        <v>0</v>
      </c>
      <c r="D22" s="325">
        <v>0</v>
      </c>
      <c r="E22" s="325">
        <v>0</v>
      </c>
      <c r="F22" s="325">
        <v>0</v>
      </c>
      <c r="G22" s="325">
        <v>0</v>
      </c>
      <c r="H22" s="325">
        <v>0</v>
      </c>
      <c r="I22" s="325">
        <v>0</v>
      </c>
      <c r="J22" s="325">
        <v>0</v>
      </c>
      <c r="K22" s="325">
        <v>0</v>
      </c>
      <c r="L22" s="325">
        <v>0</v>
      </c>
      <c r="M22" s="325">
        <v>0</v>
      </c>
      <c r="N22" s="325">
        <v>0</v>
      </c>
      <c r="O22" s="325">
        <f t="shared" si="0"/>
        <v>0</v>
      </c>
      <c r="Q22" s="325">
        <f t="shared" si="1"/>
        <v>0</v>
      </c>
      <c r="R22" s="325">
        <f t="shared" si="2"/>
        <v>0</v>
      </c>
      <c r="T22" s="325"/>
      <c r="U22" s="325">
        <f t="shared" si="7"/>
        <v>0</v>
      </c>
      <c r="W22" s="325">
        <f t="shared" si="3"/>
        <v>0</v>
      </c>
      <c r="X22" s="325">
        <f t="shared" si="4"/>
        <v>0</v>
      </c>
      <c r="Z22" s="325"/>
      <c r="AA22" s="325">
        <f t="shared" si="8"/>
        <v>0</v>
      </c>
      <c r="AC22" s="325">
        <f t="shared" si="5"/>
        <v>0</v>
      </c>
      <c r="AD22" s="325">
        <f t="shared" si="6"/>
        <v>0</v>
      </c>
      <c r="AF22" s="325"/>
    </row>
    <row r="23" spans="1:32">
      <c r="B23" t="s">
        <v>781</v>
      </c>
      <c r="C23" s="325">
        <v>0</v>
      </c>
      <c r="D23" s="325">
        <v>0</v>
      </c>
      <c r="E23" s="325">
        <v>0</v>
      </c>
      <c r="F23" s="325">
        <v>0</v>
      </c>
      <c r="G23" s="325">
        <v>0</v>
      </c>
      <c r="H23" s="325">
        <v>0</v>
      </c>
      <c r="I23" s="325">
        <v>0</v>
      </c>
      <c r="J23" s="325">
        <v>0</v>
      </c>
      <c r="K23" s="325">
        <v>0</v>
      </c>
      <c r="L23" s="325">
        <v>0</v>
      </c>
      <c r="M23" s="325">
        <v>0</v>
      </c>
      <c r="N23" s="325">
        <v>30.65</v>
      </c>
      <c r="O23" s="325">
        <f t="shared" si="0"/>
        <v>30.65</v>
      </c>
      <c r="Q23" s="325">
        <f t="shared" si="1"/>
        <v>0</v>
      </c>
      <c r="R23" s="325">
        <f t="shared" si="2"/>
        <v>30.65</v>
      </c>
      <c r="T23" s="325"/>
      <c r="U23" s="325">
        <f t="shared" si="7"/>
        <v>0</v>
      </c>
      <c r="W23" s="325">
        <f t="shared" si="3"/>
        <v>0</v>
      </c>
      <c r="X23" s="325">
        <f t="shared" si="4"/>
        <v>0</v>
      </c>
      <c r="Z23" s="325"/>
      <c r="AA23" s="325">
        <f t="shared" si="8"/>
        <v>30.65</v>
      </c>
      <c r="AC23" s="325">
        <f t="shared" si="5"/>
        <v>0</v>
      </c>
      <c r="AD23" s="325">
        <f t="shared" si="6"/>
        <v>30.65</v>
      </c>
      <c r="AF23" s="325"/>
    </row>
    <row r="24" spans="1:32">
      <c r="B24" t="s">
        <v>780</v>
      </c>
      <c r="C24" s="325">
        <v>0</v>
      </c>
      <c r="D24" s="325">
        <v>0</v>
      </c>
      <c r="E24" s="325">
        <v>0</v>
      </c>
      <c r="F24" s="325">
        <v>0</v>
      </c>
      <c r="G24" s="325">
        <v>0</v>
      </c>
      <c r="H24" s="325">
        <v>0</v>
      </c>
      <c r="I24" s="325">
        <v>0</v>
      </c>
      <c r="J24" s="325">
        <v>0</v>
      </c>
      <c r="K24" s="325">
        <v>0</v>
      </c>
      <c r="L24" s="325">
        <v>0</v>
      </c>
      <c r="M24" s="325">
        <v>0</v>
      </c>
      <c r="N24" s="325">
        <v>0</v>
      </c>
      <c r="O24" s="325">
        <f t="shared" si="0"/>
        <v>0</v>
      </c>
      <c r="Q24" s="325">
        <f t="shared" si="1"/>
        <v>6.0046189376443415</v>
      </c>
      <c r="R24" s="325">
        <f t="shared" si="2"/>
        <v>6.0046189376443415</v>
      </c>
      <c r="T24" s="325"/>
      <c r="U24" s="325">
        <f t="shared" si="7"/>
        <v>0</v>
      </c>
      <c r="W24" s="325">
        <f t="shared" si="3"/>
        <v>0</v>
      </c>
      <c r="X24" s="325">
        <f t="shared" si="4"/>
        <v>0</v>
      </c>
      <c r="Z24" s="325"/>
      <c r="AA24" s="325">
        <f t="shared" si="8"/>
        <v>0</v>
      </c>
      <c r="AC24" s="325">
        <f t="shared" si="5"/>
        <v>6.0046189376443415</v>
      </c>
      <c r="AD24" s="325">
        <f t="shared" si="6"/>
        <v>6.0046189376443415</v>
      </c>
      <c r="AF24" s="325"/>
    </row>
    <row r="25" spans="1:32">
      <c r="A25" t="s">
        <v>856</v>
      </c>
      <c r="B25" t="s">
        <v>782</v>
      </c>
      <c r="C25" s="325">
        <v>0</v>
      </c>
      <c r="D25" s="325">
        <v>0</v>
      </c>
      <c r="E25" s="325">
        <v>0</v>
      </c>
      <c r="F25" s="325">
        <v>0</v>
      </c>
      <c r="G25" s="325">
        <v>0</v>
      </c>
      <c r="H25" s="325">
        <v>0</v>
      </c>
      <c r="I25" s="325">
        <v>0</v>
      </c>
      <c r="J25" s="325">
        <v>0</v>
      </c>
      <c r="K25" s="325">
        <v>0</v>
      </c>
      <c r="L25" s="325">
        <v>0</v>
      </c>
      <c r="M25" s="325">
        <v>0</v>
      </c>
      <c r="N25" s="325">
        <v>24</v>
      </c>
      <c r="O25" s="325">
        <f t="shared" si="0"/>
        <v>24</v>
      </c>
      <c r="Q25" s="325">
        <f t="shared" si="1"/>
        <v>0</v>
      </c>
      <c r="R25" s="325">
        <f t="shared" si="2"/>
        <v>24</v>
      </c>
      <c r="T25" s="325"/>
      <c r="U25" s="325">
        <f t="shared" si="7"/>
        <v>0</v>
      </c>
      <c r="W25" s="325">
        <f t="shared" si="3"/>
        <v>0</v>
      </c>
      <c r="X25" s="325">
        <f t="shared" si="4"/>
        <v>0</v>
      </c>
      <c r="Z25" s="325"/>
      <c r="AA25" s="325">
        <f t="shared" si="8"/>
        <v>24</v>
      </c>
      <c r="AC25" s="325">
        <f t="shared" si="5"/>
        <v>0</v>
      </c>
      <c r="AD25" s="325">
        <f t="shared" si="6"/>
        <v>24</v>
      </c>
      <c r="AF25" s="325"/>
    </row>
    <row r="26" spans="1:32">
      <c r="B26" t="s">
        <v>781</v>
      </c>
      <c r="C26" s="325">
        <v>0</v>
      </c>
      <c r="D26" s="325">
        <v>0</v>
      </c>
      <c r="E26" s="325">
        <v>0</v>
      </c>
      <c r="F26" s="325">
        <v>0</v>
      </c>
      <c r="G26" s="325">
        <v>0</v>
      </c>
      <c r="H26" s="325">
        <v>0</v>
      </c>
      <c r="I26" s="325">
        <v>0</v>
      </c>
      <c r="J26" s="325">
        <v>0</v>
      </c>
      <c r="K26" s="325">
        <v>0</v>
      </c>
      <c r="L26" s="325">
        <v>0</v>
      </c>
      <c r="M26" s="325">
        <v>0</v>
      </c>
      <c r="N26" s="325">
        <v>30.5</v>
      </c>
      <c r="O26" s="325">
        <f t="shared" si="0"/>
        <v>30.5</v>
      </c>
      <c r="Q26" s="325">
        <f t="shared" si="1"/>
        <v>0</v>
      </c>
      <c r="R26" s="325">
        <f t="shared" si="2"/>
        <v>30.5</v>
      </c>
      <c r="T26" s="325"/>
      <c r="U26" s="325">
        <f t="shared" si="7"/>
        <v>0</v>
      </c>
      <c r="W26" s="325">
        <f t="shared" si="3"/>
        <v>0</v>
      </c>
      <c r="X26" s="325">
        <f t="shared" si="4"/>
        <v>0</v>
      </c>
      <c r="Z26" s="325"/>
      <c r="AA26" s="325">
        <f t="shared" si="8"/>
        <v>30.5</v>
      </c>
      <c r="AC26" s="325">
        <f t="shared" si="5"/>
        <v>0</v>
      </c>
      <c r="AD26" s="325">
        <f t="shared" si="6"/>
        <v>30.5</v>
      </c>
      <c r="AF26" s="325"/>
    </row>
    <row r="27" spans="1:32">
      <c r="B27" t="s">
        <v>780</v>
      </c>
      <c r="C27" s="325">
        <v>0</v>
      </c>
      <c r="D27" s="325">
        <v>0</v>
      </c>
      <c r="E27" s="325">
        <v>0</v>
      </c>
      <c r="F27" s="325">
        <v>0</v>
      </c>
      <c r="G27" s="325">
        <v>0</v>
      </c>
      <c r="H27" s="325">
        <v>0</v>
      </c>
      <c r="I27" s="325">
        <v>0</v>
      </c>
      <c r="J27" s="325">
        <v>0</v>
      </c>
      <c r="K27" s="325">
        <v>0</v>
      </c>
      <c r="L27" s="325">
        <v>0</v>
      </c>
      <c r="M27" s="325">
        <v>0</v>
      </c>
      <c r="N27" s="325">
        <v>0</v>
      </c>
      <c r="O27" s="325">
        <f t="shared" si="0"/>
        <v>0</v>
      </c>
      <c r="Q27" s="325">
        <f t="shared" si="1"/>
        <v>0</v>
      </c>
      <c r="R27" s="325">
        <f t="shared" si="2"/>
        <v>0</v>
      </c>
      <c r="T27" s="325"/>
      <c r="U27" s="325">
        <f t="shared" si="7"/>
        <v>0</v>
      </c>
      <c r="W27" s="325">
        <f t="shared" si="3"/>
        <v>0</v>
      </c>
      <c r="X27" s="325">
        <f t="shared" si="4"/>
        <v>0</v>
      </c>
      <c r="Z27" s="325"/>
      <c r="AA27" s="325">
        <f t="shared" si="8"/>
        <v>0</v>
      </c>
      <c r="AC27" s="325">
        <f t="shared" si="5"/>
        <v>0</v>
      </c>
      <c r="AD27" s="325">
        <f t="shared" si="6"/>
        <v>0</v>
      </c>
      <c r="AF27" s="325"/>
    </row>
    <row r="28" spans="1:32">
      <c r="A28" s="83" t="s">
        <v>855</v>
      </c>
      <c r="B28" t="s">
        <v>782</v>
      </c>
      <c r="C28" s="325">
        <v>0</v>
      </c>
      <c r="D28" s="325">
        <v>0</v>
      </c>
      <c r="E28" s="325">
        <v>0</v>
      </c>
      <c r="F28" s="325">
        <v>0</v>
      </c>
      <c r="G28" s="325">
        <v>0</v>
      </c>
      <c r="H28" s="325">
        <v>0</v>
      </c>
      <c r="I28" s="325">
        <v>0</v>
      </c>
      <c r="J28" s="325">
        <v>0</v>
      </c>
      <c r="K28" s="325">
        <v>0</v>
      </c>
      <c r="L28" s="325">
        <v>0</v>
      </c>
      <c r="M28" s="325">
        <v>0</v>
      </c>
      <c r="N28" s="325">
        <v>52.6</v>
      </c>
      <c r="O28" s="325">
        <f t="shared" si="0"/>
        <v>52.6</v>
      </c>
      <c r="Q28" s="325">
        <f t="shared" ref="Q28:Q49" si="9">+Q73</f>
        <v>0</v>
      </c>
      <c r="R28" s="325">
        <f t="shared" si="2"/>
        <v>52.6</v>
      </c>
      <c r="T28" s="325"/>
      <c r="U28" s="325">
        <f t="shared" si="7"/>
        <v>0</v>
      </c>
      <c r="W28" s="325"/>
      <c r="X28" s="325">
        <f t="shared" si="4"/>
        <v>0</v>
      </c>
      <c r="Z28" s="325"/>
      <c r="AA28" s="325">
        <f t="shared" si="8"/>
        <v>52.6</v>
      </c>
      <c r="AC28" s="325">
        <f t="shared" ref="AC28:AC49" si="10">+AC73</f>
        <v>0</v>
      </c>
      <c r="AD28" s="325">
        <f t="shared" si="6"/>
        <v>52.6</v>
      </c>
      <c r="AF28" s="325"/>
    </row>
    <row r="29" spans="1:32">
      <c r="B29" t="s">
        <v>781</v>
      </c>
      <c r="C29" s="325">
        <v>0</v>
      </c>
      <c r="D29" s="325">
        <v>0</v>
      </c>
      <c r="E29" s="325">
        <v>0</v>
      </c>
      <c r="F29" s="325">
        <v>0</v>
      </c>
      <c r="G29" s="325">
        <v>0</v>
      </c>
      <c r="H29" s="325">
        <v>0</v>
      </c>
      <c r="I29" s="325">
        <v>0</v>
      </c>
      <c r="J29" s="325">
        <v>0</v>
      </c>
      <c r="K29" s="325">
        <v>0</v>
      </c>
      <c r="L29" s="325">
        <v>0</v>
      </c>
      <c r="M29" s="325">
        <v>0</v>
      </c>
      <c r="N29" s="325">
        <v>0</v>
      </c>
      <c r="O29" s="325">
        <f t="shared" si="0"/>
        <v>0</v>
      </c>
      <c r="Q29" s="325"/>
      <c r="R29" s="325">
        <f t="shared" si="2"/>
        <v>0</v>
      </c>
      <c r="T29" s="325"/>
      <c r="U29" s="325">
        <f t="shared" si="7"/>
        <v>0</v>
      </c>
      <c r="W29" s="325"/>
      <c r="X29" s="325">
        <f t="shared" si="4"/>
        <v>0</v>
      </c>
      <c r="Z29" s="325"/>
      <c r="AA29" s="325">
        <f t="shared" si="8"/>
        <v>0</v>
      </c>
      <c r="AC29" s="325"/>
      <c r="AD29" s="325">
        <f t="shared" si="6"/>
        <v>0</v>
      </c>
      <c r="AF29" s="325"/>
    </row>
    <row r="30" spans="1:32">
      <c r="B30" t="s">
        <v>780</v>
      </c>
      <c r="C30" s="325">
        <v>0</v>
      </c>
      <c r="D30" s="325">
        <v>0</v>
      </c>
      <c r="E30" s="325">
        <v>0</v>
      </c>
      <c r="F30" s="325">
        <v>0</v>
      </c>
      <c r="G30" s="325">
        <v>0</v>
      </c>
      <c r="H30" s="325">
        <v>0</v>
      </c>
      <c r="I30" s="325">
        <v>0</v>
      </c>
      <c r="J30" s="325">
        <v>0</v>
      </c>
      <c r="K30" s="325">
        <v>0</v>
      </c>
      <c r="L30" s="325">
        <v>0</v>
      </c>
      <c r="M30" s="325">
        <v>0</v>
      </c>
      <c r="N30" s="325">
        <v>0</v>
      </c>
      <c r="O30" s="325">
        <f t="shared" si="0"/>
        <v>0</v>
      </c>
      <c r="Q30" s="325"/>
      <c r="R30" s="325">
        <f t="shared" si="2"/>
        <v>0</v>
      </c>
      <c r="T30" s="325"/>
      <c r="U30" s="325">
        <f t="shared" si="7"/>
        <v>0</v>
      </c>
      <c r="W30" s="325"/>
      <c r="X30" s="325">
        <f t="shared" si="4"/>
        <v>0</v>
      </c>
      <c r="Z30" s="325"/>
      <c r="AA30" s="325">
        <f t="shared" si="8"/>
        <v>0</v>
      </c>
      <c r="AC30" s="325"/>
      <c r="AD30" s="325">
        <f t="shared" si="6"/>
        <v>0</v>
      </c>
      <c r="AF30" s="325"/>
    </row>
    <row r="31" spans="1:32">
      <c r="A31" s="83" t="s">
        <v>854</v>
      </c>
      <c r="B31" t="s">
        <v>782</v>
      </c>
      <c r="C31" s="325">
        <v>0</v>
      </c>
      <c r="D31" s="325">
        <v>0</v>
      </c>
      <c r="E31" s="325">
        <v>0</v>
      </c>
      <c r="F31" s="325">
        <v>0</v>
      </c>
      <c r="G31" s="325">
        <v>0</v>
      </c>
      <c r="H31" s="325">
        <v>0</v>
      </c>
      <c r="I31" s="325">
        <v>0</v>
      </c>
      <c r="J31" s="325">
        <v>0</v>
      </c>
      <c r="K31" s="325">
        <v>0</v>
      </c>
      <c r="L31" s="325">
        <v>0</v>
      </c>
      <c r="M31" s="325">
        <v>0</v>
      </c>
      <c r="N31" s="325">
        <v>6154.9</v>
      </c>
      <c r="O31" s="325">
        <f t="shared" si="0"/>
        <v>6154.9</v>
      </c>
      <c r="Q31" s="325">
        <f t="shared" si="9"/>
        <v>0</v>
      </c>
      <c r="R31" s="325">
        <f t="shared" si="2"/>
        <v>6154.9</v>
      </c>
      <c r="T31" s="325"/>
      <c r="U31" s="325">
        <f t="shared" si="7"/>
        <v>0</v>
      </c>
      <c r="W31" s="325"/>
      <c r="X31" s="325">
        <f t="shared" si="4"/>
        <v>0</v>
      </c>
      <c r="Z31" s="325"/>
      <c r="AA31" s="325">
        <f t="shared" si="8"/>
        <v>6154.9</v>
      </c>
      <c r="AC31" s="325">
        <f t="shared" si="10"/>
        <v>0</v>
      </c>
      <c r="AD31" s="325">
        <f t="shared" si="6"/>
        <v>6154.9</v>
      </c>
      <c r="AF31" s="325"/>
    </row>
    <row r="32" spans="1:32">
      <c r="B32" t="s">
        <v>781</v>
      </c>
      <c r="C32" s="325">
        <v>0</v>
      </c>
      <c r="D32" s="325">
        <v>0</v>
      </c>
      <c r="E32" s="325">
        <v>0</v>
      </c>
      <c r="F32" s="325">
        <v>0</v>
      </c>
      <c r="G32" s="325">
        <v>0</v>
      </c>
      <c r="H32" s="325">
        <v>0</v>
      </c>
      <c r="I32" s="325">
        <v>0</v>
      </c>
      <c r="J32" s="325">
        <v>0</v>
      </c>
      <c r="K32" s="325">
        <v>0</v>
      </c>
      <c r="L32" s="325">
        <v>0</v>
      </c>
      <c r="M32" s="325">
        <v>0</v>
      </c>
      <c r="N32" s="325">
        <v>0</v>
      </c>
      <c r="O32" s="325">
        <f t="shared" si="0"/>
        <v>0</v>
      </c>
      <c r="Q32" s="325"/>
      <c r="R32" s="325">
        <f t="shared" si="2"/>
        <v>0</v>
      </c>
      <c r="T32" s="325"/>
      <c r="U32" s="325">
        <f t="shared" si="7"/>
        <v>0</v>
      </c>
      <c r="W32" s="325"/>
      <c r="X32" s="325">
        <f t="shared" si="4"/>
        <v>0</v>
      </c>
      <c r="Z32" s="325"/>
      <c r="AA32" s="325">
        <f t="shared" si="8"/>
        <v>0</v>
      </c>
      <c r="AC32" s="325"/>
      <c r="AD32" s="325">
        <f t="shared" si="6"/>
        <v>0</v>
      </c>
      <c r="AF32" s="325"/>
    </row>
    <row r="33" spans="1:32">
      <c r="B33" t="s">
        <v>780</v>
      </c>
      <c r="C33" s="325">
        <v>0</v>
      </c>
      <c r="D33" s="325">
        <v>0</v>
      </c>
      <c r="E33" s="325">
        <v>0</v>
      </c>
      <c r="F33" s="325">
        <v>0</v>
      </c>
      <c r="G33" s="325">
        <v>0</v>
      </c>
      <c r="H33" s="325">
        <v>0</v>
      </c>
      <c r="I33" s="325">
        <v>0</v>
      </c>
      <c r="J33" s="325">
        <v>0</v>
      </c>
      <c r="K33" s="325">
        <v>0</v>
      </c>
      <c r="L33" s="325">
        <v>0</v>
      </c>
      <c r="M33" s="325">
        <v>0</v>
      </c>
      <c r="N33" s="325">
        <v>0</v>
      </c>
      <c r="O33" s="325">
        <f t="shared" si="0"/>
        <v>0</v>
      </c>
      <c r="Q33" s="325"/>
      <c r="R33" s="325">
        <f t="shared" si="2"/>
        <v>0</v>
      </c>
      <c r="T33" s="325"/>
      <c r="U33" s="325">
        <f t="shared" si="7"/>
        <v>0</v>
      </c>
      <c r="W33" s="325"/>
      <c r="X33" s="325">
        <f t="shared" si="4"/>
        <v>0</v>
      </c>
      <c r="Z33" s="325"/>
      <c r="AA33" s="325">
        <f t="shared" si="8"/>
        <v>0</v>
      </c>
      <c r="AC33" s="325"/>
      <c r="AD33" s="325">
        <f t="shared" si="6"/>
        <v>0</v>
      </c>
      <c r="AF33" s="325"/>
    </row>
    <row r="34" spans="1:32">
      <c r="A34" s="83" t="s">
        <v>853</v>
      </c>
      <c r="B34" t="s">
        <v>782</v>
      </c>
      <c r="C34" s="325">
        <v>0</v>
      </c>
      <c r="D34" s="325">
        <v>0</v>
      </c>
      <c r="E34" s="325">
        <v>0</v>
      </c>
      <c r="F34" s="325">
        <v>0</v>
      </c>
      <c r="G34" s="325">
        <v>0</v>
      </c>
      <c r="H34" s="325">
        <v>0</v>
      </c>
      <c r="I34" s="325">
        <v>0</v>
      </c>
      <c r="J34" s="325">
        <v>0</v>
      </c>
      <c r="K34" s="325">
        <v>0</v>
      </c>
      <c r="L34" s="325">
        <v>0</v>
      </c>
      <c r="M34" s="325">
        <v>0</v>
      </c>
      <c r="N34" s="325">
        <v>0</v>
      </c>
      <c r="O34" s="325">
        <f t="shared" si="0"/>
        <v>0</v>
      </c>
      <c r="Q34" s="325">
        <f t="shared" si="9"/>
        <v>0</v>
      </c>
      <c r="R34" s="325">
        <f t="shared" si="2"/>
        <v>0</v>
      </c>
      <c r="T34" s="325"/>
      <c r="U34" s="325">
        <f t="shared" si="7"/>
        <v>0</v>
      </c>
      <c r="W34" s="325"/>
      <c r="X34" s="325">
        <f t="shared" si="4"/>
        <v>0</v>
      </c>
      <c r="Z34" s="325"/>
      <c r="AA34" s="325">
        <f t="shared" si="8"/>
        <v>0</v>
      </c>
      <c r="AC34" s="325">
        <f t="shared" si="10"/>
        <v>0</v>
      </c>
      <c r="AD34" s="325">
        <f t="shared" si="6"/>
        <v>0</v>
      </c>
      <c r="AF34" s="325"/>
    </row>
    <row r="35" spans="1:32">
      <c r="B35" t="s">
        <v>781</v>
      </c>
      <c r="C35" s="325">
        <v>0</v>
      </c>
      <c r="D35" s="325">
        <v>0</v>
      </c>
      <c r="E35" s="325">
        <v>0</v>
      </c>
      <c r="F35" s="325">
        <v>0</v>
      </c>
      <c r="G35" s="325">
        <v>0</v>
      </c>
      <c r="H35" s="325">
        <v>0</v>
      </c>
      <c r="I35" s="325">
        <v>0</v>
      </c>
      <c r="J35" s="325">
        <v>0</v>
      </c>
      <c r="K35" s="325">
        <v>0</v>
      </c>
      <c r="L35" s="325">
        <v>0</v>
      </c>
      <c r="M35" s="325">
        <v>0</v>
      </c>
      <c r="N35" s="325">
        <v>0</v>
      </c>
      <c r="O35" s="325">
        <f t="shared" si="0"/>
        <v>0</v>
      </c>
      <c r="Q35" s="325"/>
      <c r="R35" s="325">
        <f t="shared" si="2"/>
        <v>0</v>
      </c>
      <c r="T35" s="325"/>
      <c r="U35" s="325">
        <f t="shared" si="7"/>
        <v>0</v>
      </c>
      <c r="W35" s="325"/>
      <c r="X35" s="325">
        <f t="shared" si="4"/>
        <v>0</v>
      </c>
      <c r="Z35" s="325"/>
      <c r="AA35" s="325">
        <f t="shared" si="8"/>
        <v>0</v>
      </c>
      <c r="AC35" s="325"/>
      <c r="AD35" s="325">
        <f t="shared" si="6"/>
        <v>0</v>
      </c>
      <c r="AF35" s="325"/>
    </row>
    <row r="36" spans="1:32">
      <c r="B36" t="s">
        <v>780</v>
      </c>
      <c r="C36" s="325">
        <v>0</v>
      </c>
      <c r="D36" s="325">
        <v>0</v>
      </c>
      <c r="E36" s="325">
        <v>0</v>
      </c>
      <c r="F36" s="325">
        <v>0</v>
      </c>
      <c r="G36" s="325">
        <v>0</v>
      </c>
      <c r="H36" s="325">
        <v>0</v>
      </c>
      <c r="I36" s="325">
        <v>0</v>
      </c>
      <c r="J36" s="325">
        <v>0</v>
      </c>
      <c r="K36" s="325">
        <v>0</v>
      </c>
      <c r="L36" s="325">
        <v>0</v>
      </c>
      <c r="M36" s="325">
        <v>0</v>
      </c>
      <c r="N36" s="325">
        <v>0</v>
      </c>
      <c r="O36" s="325">
        <f t="shared" si="0"/>
        <v>0</v>
      </c>
      <c r="Q36" s="325"/>
      <c r="R36" s="325">
        <f t="shared" si="2"/>
        <v>0</v>
      </c>
      <c r="T36" s="325"/>
      <c r="U36" s="325">
        <f t="shared" si="7"/>
        <v>0</v>
      </c>
      <c r="W36" s="325"/>
      <c r="X36" s="325">
        <f t="shared" si="4"/>
        <v>0</v>
      </c>
      <c r="Z36" s="325"/>
      <c r="AA36" s="325">
        <f t="shared" si="8"/>
        <v>0</v>
      </c>
      <c r="AC36" s="325"/>
      <c r="AD36" s="325">
        <f t="shared" si="6"/>
        <v>0</v>
      </c>
      <c r="AF36" s="325"/>
    </row>
    <row r="37" spans="1:32">
      <c r="A37" t="s">
        <v>852</v>
      </c>
      <c r="B37" t="s">
        <v>782</v>
      </c>
      <c r="C37" s="325">
        <v>0</v>
      </c>
      <c r="D37" s="325">
        <v>0</v>
      </c>
      <c r="E37" s="325">
        <v>0</v>
      </c>
      <c r="F37" s="325">
        <v>0</v>
      </c>
      <c r="G37" s="325">
        <v>0</v>
      </c>
      <c r="H37" s="325">
        <v>0</v>
      </c>
      <c r="I37" s="325">
        <v>0</v>
      </c>
      <c r="J37" s="325">
        <v>0</v>
      </c>
      <c r="K37" s="325">
        <v>0</v>
      </c>
      <c r="L37" s="325">
        <v>0</v>
      </c>
      <c r="M37" s="325">
        <v>0</v>
      </c>
      <c r="N37" s="325">
        <v>55.8</v>
      </c>
      <c r="O37" s="325">
        <f t="shared" si="0"/>
        <v>55.8</v>
      </c>
      <c r="Q37" s="325">
        <f t="shared" si="9"/>
        <v>0</v>
      </c>
      <c r="R37" s="325">
        <f t="shared" si="2"/>
        <v>55.8</v>
      </c>
      <c r="T37" s="325"/>
      <c r="U37" s="325">
        <f t="shared" si="7"/>
        <v>0</v>
      </c>
      <c r="W37" s="325"/>
      <c r="X37" s="325">
        <f t="shared" si="4"/>
        <v>0</v>
      </c>
      <c r="Z37" s="325"/>
      <c r="AA37" s="325">
        <f t="shared" si="8"/>
        <v>55.8</v>
      </c>
      <c r="AC37" s="325">
        <f t="shared" si="10"/>
        <v>0</v>
      </c>
      <c r="AD37" s="325">
        <f t="shared" si="6"/>
        <v>55.8</v>
      </c>
      <c r="AF37" s="325"/>
    </row>
    <row r="38" spans="1:32">
      <c r="B38" t="s">
        <v>781</v>
      </c>
      <c r="C38" s="325">
        <v>0</v>
      </c>
      <c r="D38" s="325">
        <v>0</v>
      </c>
      <c r="E38" s="325">
        <v>0</v>
      </c>
      <c r="F38" s="325">
        <v>0</v>
      </c>
      <c r="G38" s="325">
        <v>0</v>
      </c>
      <c r="H38" s="325">
        <v>0</v>
      </c>
      <c r="I38" s="325">
        <v>0</v>
      </c>
      <c r="J38" s="325">
        <v>0</v>
      </c>
      <c r="K38" s="325">
        <v>0</v>
      </c>
      <c r="L38" s="325">
        <v>0</v>
      </c>
      <c r="M38" s="325">
        <v>0</v>
      </c>
      <c r="N38" s="325">
        <v>0</v>
      </c>
      <c r="O38" s="325">
        <f t="shared" si="0"/>
        <v>0</v>
      </c>
      <c r="Q38" s="325"/>
      <c r="R38" s="325">
        <f t="shared" si="2"/>
        <v>0</v>
      </c>
      <c r="T38" s="325"/>
      <c r="U38" s="325">
        <f t="shared" si="7"/>
        <v>0</v>
      </c>
      <c r="W38" s="325"/>
      <c r="X38" s="325">
        <f t="shared" si="4"/>
        <v>0</v>
      </c>
      <c r="Z38" s="325"/>
      <c r="AA38" s="325">
        <f t="shared" si="8"/>
        <v>0</v>
      </c>
      <c r="AC38" s="325"/>
      <c r="AD38" s="325">
        <f t="shared" si="6"/>
        <v>0</v>
      </c>
      <c r="AF38" s="325"/>
    </row>
    <row r="39" spans="1:32">
      <c r="B39" t="s">
        <v>780</v>
      </c>
      <c r="C39" s="325">
        <v>0</v>
      </c>
      <c r="D39" s="325">
        <v>0</v>
      </c>
      <c r="E39" s="325">
        <v>0</v>
      </c>
      <c r="F39" s="325">
        <v>0</v>
      </c>
      <c r="G39" s="325">
        <v>0</v>
      </c>
      <c r="H39" s="325">
        <v>0</v>
      </c>
      <c r="I39" s="325">
        <v>0</v>
      </c>
      <c r="J39" s="325">
        <v>0</v>
      </c>
      <c r="K39" s="325">
        <v>0</v>
      </c>
      <c r="L39" s="325">
        <v>0</v>
      </c>
      <c r="M39" s="325">
        <v>0</v>
      </c>
      <c r="N39" s="325">
        <v>0</v>
      </c>
      <c r="O39" s="325">
        <f t="shared" si="0"/>
        <v>0</v>
      </c>
      <c r="Q39" s="325"/>
      <c r="R39" s="325">
        <f t="shared" si="2"/>
        <v>0</v>
      </c>
      <c r="T39" s="325"/>
      <c r="U39" s="325">
        <f t="shared" si="7"/>
        <v>0</v>
      </c>
      <c r="W39" s="325"/>
      <c r="X39" s="325">
        <f t="shared" si="4"/>
        <v>0</v>
      </c>
      <c r="Z39" s="325"/>
      <c r="AA39" s="325">
        <f t="shared" si="8"/>
        <v>0</v>
      </c>
      <c r="AC39" s="325"/>
      <c r="AD39" s="325">
        <f t="shared" si="6"/>
        <v>0</v>
      </c>
      <c r="AF39" s="325"/>
    </row>
    <row r="40" spans="1:32">
      <c r="A40" t="s">
        <v>851</v>
      </c>
      <c r="B40" t="s">
        <v>782</v>
      </c>
      <c r="C40" s="325">
        <v>0</v>
      </c>
      <c r="D40" s="325">
        <v>0</v>
      </c>
      <c r="E40" s="325">
        <v>0</v>
      </c>
      <c r="F40" s="325">
        <v>0</v>
      </c>
      <c r="G40" s="325">
        <v>0</v>
      </c>
      <c r="H40" s="325">
        <v>0</v>
      </c>
      <c r="I40" s="325">
        <v>0</v>
      </c>
      <c r="J40" s="325">
        <v>0</v>
      </c>
      <c r="K40" s="325">
        <v>0</v>
      </c>
      <c r="L40" s="325">
        <v>0</v>
      </c>
      <c r="M40" s="325">
        <v>0</v>
      </c>
      <c r="N40" s="325">
        <v>10263.200000000001</v>
      </c>
      <c r="O40" s="325">
        <f t="shared" si="0"/>
        <v>10263.200000000001</v>
      </c>
      <c r="Q40" s="325">
        <f t="shared" si="9"/>
        <v>0</v>
      </c>
      <c r="R40" s="325">
        <f t="shared" si="2"/>
        <v>10263.200000000001</v>
      </c>
      <c r="T40" s="325"/>
      <c r="U40" s="325">
        <f t="shared" si="7"/>
        <v>0</v>
      </c>
      <c r="W40" s="325"/>
      <c r="X40" s="325">
        <f t="shared" si="4"/>
        <v>0</v>
      </c>
      <c r="Z40" s="325"/>
      <c r="AA40" s="325">
        <f t="shared" si="8"/>
        <v>10263.200000000001</v>
      </c>
      <c r="AC40" s="325">
        <f t="shared" si="10"/>
        <v>0</v>
      </c>
      <c r="AD40" s="325">
        <f t="shared" si="6"/>
        <v>10263.200000000001</v>
      </c>
      <c r="AF40" s="325"/>
    </row>
    <row r="41" spans="1:32">
      <c r="B41" t="s">
        <v>781</v>
      </c>
      <c r="C41" s="325">
        <v>0</v>
      </c>
      <c r="D41" s="325">
        <v>0</v>
      </c>
      <c r="E41" s="325">
        <v>0</v>
      </c>
      <c r="F41" s="325">
        <v>0</v>
      </c>
      <c r="G41" s="325">
        <v>0</v>
      </c>
      <c r="H41" s="325">
        <v>0</v>
      </c>
      <c r="I41" s="325">
        <v>0</v>
      </c>
      <c r="J41" s="325">
        <v>0</v>
      </c>
      <c r="K41" s="325">
        <v>0</v>
      </c>
      <c r="L41" s="325">
        <v>0</v>
      </c>
      <c r="M41" s="325">
        <v>0</v>
      </c>
      <c r="N41" s="325">
        <v>0</v>
      </c>
      <c r="O41" s="325">
        <f t="shared" si="0"/>
        <v>0</v>
      </c>
      <c r="Q41" s="325"/>
      <c r="R41" s="325">
        <f t="shared" si="2"/>
        <v>0</v>
      </c>
      <c r="T41" s="325"/>
      <c r="U41" s="325">
        <f t="shared" si="7"/>
        <v>0</v>
      </c>
      <c r="W41" s="325"/>
      <c r="X41" s="325">
        <f t="shared" si="4"/>
        <v>0</v>
      </c>
      <c r="Z41" s="325"/>
      <c r="AA41" s="325">
        <f t="shared" si="8"/>
        <v>0</v>
      </c>
      <c r="AC41" s="325"/>
      <c r="AD41" s="325">
        <f t="shared" si="6"/>
        <v>0</v>
      </c>
      <c r="AF41" s="325"/>
    </row>
    <row r="42" spans="1:32">
      <c r="B42" t="s">
        <v>780</v>
      </c>
      <c r="C42" s="325">
        <v>0</v>
      </c>
      <c r="D42" s="325">
        <v>0</v>
      </c>
      <c r="E42" s="325">
        <v>0</v>
      </c>
      <c r="F42" s="325">
        <v>0</v>
      </c>
      <c r="G42" s="325">
        <v>0</v>
      </c>
      <c r="H42" s="325">
        <v>0</v>
      </c>
      <c r="I42" s="325">
        <v>0</v>
      </c>
      <c r="J42" s="325">
        <v>0</v>
      </c>
      <c r="K42" s="325">
        <v>0</v>
      </c>
      <c r="L42" s="325">
        <v>0</v>
      </c>
      <c r="M42" s="325">
        <v>0</v>
      </c>
      <c r="N42" s="325">
        <v>0</v>
      </c>
      <c r="O42" s="325">
        <f t="shared" si="0"/>
        <v>0</v>
      </c>
      <c r="Q42" s="325"/>
      <c r="R42" s="325">
        <f t="shared" ref="R42:R65" si="11">+O42+Q42</f>
        <v>0</v>
      </c>
      <c r="T42" s="325"/>
      <c r="U42" s="325">
        <f t="shared" si="7"/>
        <v>0</v>
      </c>
      <c r="W42" s="325"/>
      <c r="X42" s="325">
        <f t="shared" ref="X42:X65" si="12">+U42+W42</f>
        <v>0</v>
      </c>
      <c r="Z42" s="325"/>
      <c r="AA42" s="325">
        <f t="shared" si="8"/>
        <v>0</v>
      </c>
      <c r="AC42" s="325"/>
      <c r="AD42" s="325">
        <f t="shared" ref="AD42:AD65" si="13">+AA42+AC42</f>
        <v>0</v>
      </c>
      <c r="AF42" s="325"/>
    </row>
    <row r="43" spans="1:32">
      <c r="A43" t="s">
        <v>850</v>
      </c>
      <c r="B43" t="s">
        <v>782</v>
      </c>
      <c r="C43" s="325">
        <v>0</v>
      </c>
      <c r="D43" s="325">
        <v>0</v>
      </c>
      <c r="E43" s="325">
        <v>0</v>
      </c>
      <c r="F43" s="325">
        <v>0</v>
      </c>
      <c r="G43" s="325">
        <v>0</v>
      </c>
      <c r="H43" s="325">
        <v>0</v>
      </c>
      <c r="I43" s="325">
        <v>0</v>
      </c>
      <c r="J43" s="325">
        <v>0</v>
      </c>
      <c r="K43" s="325">
        <v>0</v>
      </c>
      <c r="L43" s="325">
        <v>0</v>
      </c>
      <c r="M43" s="325">
        <v>0</v>
      </c>
      <c r="N43" s="325">
        <v>265.60000000000002</v>
      </c>
      <c r="O43" s="325">
        <f t="shared" si="0"/>
        <v>265.60000000000002</v>
      </c>
      <c r="Q43" s="325">
        <f t="shared" si="9"/>
        <v>0</v>
      </c>
      <c r="R43" s="325">
        <f t="shared" si="11"/>
        <v>265.60000000000002</v>
      </c>
      <c r="T43" s="325"/>
      <c r="U43" s="325">
        <f t="shared" si="7"/>
        <v>0</v>
      </c>
      <c r="W43" s="325"/>
      <c r="X43" s="325">
        <f t="shared" si="12"/>
        <v>0</v>
      </c>
      <c r="Z43" s="325"/>
      <c r="AA43" s="325">
        <f t="shared" si="8"/>
        <v>265.60000000000002</v>
      </c>
      <c r="AC43" s="325">
        <f t="shared" si="10"/>
        <v>0</v>
      </c>
      <c r="AD43" s="325">
        <f t="shared" si="13"/>
        <v>265.60000000000002</v>
      </c>
      <c r="AF43" s="325"/>
    </row>
    <row r="44" spans="1:32">
      <c r="B44" t="s">
        <v>781</v>
      </c>
      <c r="C44" s="325">
        <v>0</v>
      </c>
      <c r="D44" s="325">
        <v>0</v>
      </c>
      <c r="E44" s="325">
        <v>0</v>
      </c>
      <c r="F44" s="325">
        <v>0</v>
      </c>
      <c r="G44" s="325">
        <v>0</v>
      </c>
      <c r="H44" s="325">
        <v>0</v>
      </c>
      <c r="I44" s="325">
        <v>0</v>
      </c>
      <c r="J44" s="325">
        <v>0</v>
      </c>
      <c r="K44" s="325">
        <v>0</v>
      </c>
      <c r="L44" s="325">
        <v>0</v>
      </c>
      <c r="M44" s="325">
        <v>0</v>
      </c>
      <c r="N44" s="325">
        <v>0</v>
      </c>
      <c r="O44" s="325">
        <f t="shared" si="0"/>
        <v>0</v>
      </c>
      <c r="Q44" s="325"/>
      <c r="R44" s="325">
        <f t="shared" si="11"/>
        <v>0</v>
      </c>
      <c r="T44" s="325"/>
      <c r="U44" s="325">
        <f t="shared" si="7"/>
        <v>0</v>
      </c>
      <c r="W44" s="325"/>
      <c r="X44" s="325">
        <f t="shared" si="12"/>
        <v>0</v>
      </c>
      <c r="Z44" s="325"/>
      <c r="AA44" s="325">
        <f t="shared" si="8"/>
        <v>0</v>
      </c>
      <c r="AC44" s="325"/>
      <c r="AD44" s="325">
        <f t="shared" si="13"/>
        <v>0</v>
      </c>
      <c r="AF44" s="325"/>
    </row>
    <row r="45" spans="1:32">
      <c r="B45" t="s">
        <v>780</v>
      </c>
      <c r="C45" s="325">
        <v>0</v>
      </c>
      <c r="D45" s="325">
        <v>0</v>
      </c>
      <c r="E45" s="325">
        <v>0</v>
      </c>
      <c r="F45" s="325">
        <v>0</v>
      </c>
      <c r="G45" s="325">
        <v>0</v>
      </c>
      <c r="H45" s="325">
        <v>0</v>
      </c>
      <c r="I45" s="325">
        <v>0</v>
      </c>
      <c r="J45" s="325">
        <v>0</v>
      </c>
      <c r="K45" s="325">
        <v>0</v>
      </c>
      <c r="L45" s="325">
        <v>0</v>
      </c>
      <c r="M45" s="325">
        <v>0</v>
      </c>
      <c r="N45" s="325">
        <v>0</v>
      </c>
      <c r="O45" s="325">
        <f t="shared" si="0"/>
        <v>0</v>
      </c>
      <c r="Q45" s="325"/>
      <c r="R45" s="325">
        <f t="shared" si="11"/>
        <v>0</v>
      </c>
      <c r="T45" s="325"/>
      <c r="U45" s="325">
        <f t="shared" si="7"/>
        <v>0</v>
      </c>
      <c r="W45" s="325"/>
      <c r="X45" s="325">
        <f t="shared" si="12"/>
        <v>0</v>
      </c>
      <c r="Z45" s="325"/>
      <c r="AA45" s="325">
        <f t="shared" si="8"/>
        <v>0</v>
      </c>
      <c r="AC45" s="325"/>
      <c r="AD45" s="325">
        <f t="shared" si="13"/>
        <v>0</v>
      </c>
      <c r="AF45" s="325"/>
    </row>
    <row r="46" spans="1:32">
      <c r="A46" t="s">
        <v>849</v>
      </c>
      <c r="B46" t="s">
        <v>782</v>
      </c>
      <c r="C46" s="325">
        <v>0</v>
      </c>
      <c r="D46" s="325">
        <v>0</v>
      </c>
      <c r="E46" s="325">
        <v>0</v>
      </c>
      <c r="F46" s="325">
        <v>0</v>
      </c>
      <c r="G46" s="325">
        <v>0</v>
      </c>
      <c r="H46" s="325">
        <v>0</v>
      </c>
      <c r="I46" s="325">
        <v>0</v>
      </c>
      <c r="J46" s="325">
        <v>0</v>
      </c>
      <c r="K46" s="325">
        <v>0</v>
      </c>
      <c r="L46" s="325">
        <v>0</v>
      </c>
      <c r="M46" s="325">
        <v>0</v>
      </c>
      <c r="N46" s="325">
        <v>8302.4</v>
      </c>
      <c r="O46" s="325">
        <f t="shared" si="0"/>
        <v>8302.4</v>
      </c>
      <c r="Q46" s="325">
        <f t="shared" si="9"/>
        <v>0</v>
      </c>
      <c r="R46" s="325">
        <f t="shared" si="11"/>
        <v>8302.4</v>
      </c>
      <c r="T46" s="325"/>
      <c r="U46" s="325">
        <f t="shared" si="7"/>
        <v>0</v>
      </c>
      <c r="W46" s="325"/>
      <c r="X46" s="325">
        <f t="shared" si="12"/>
        <v>0</v>
      </c>
      <c r="Z46" s="325"/>
      <c r="AA46" s="325">
        <f t="shared" si="8"/>
        <v>8302.4</v>
      </c>
      <c r="AC46" s="325">
        <f t="shared" si="10"/>
        <v>0</v>
      </c>
      <c r="AD46" s="325">
        <f t="shared" si="13"/>
        <v>8302.4</v>
      </c>
      <c r="AF46" s="325"/>
    </row>
    <row r="47" spans="1:32">
      <c r="B47" t="s">
        <v>781</v>
      </c>
      <c r="C47" s="325">
        <v>0</v>
      </c>
      <c r="D47" s="325">
        <v>0</v>
      </c>
      <c r="E47" s="325">
        <v>0</v>
      </c>
      <c r="F47" s="325">
        <v>0</v>
      </c>
      <c r="G47" s="325">
        <v>0</v>
      </c>
      <c r="H47" s="325">
        <v>0</v>
      </c>
      <c r="I47" s="325">
        <v>0</v>
      </c>
      <c r="J47" s="325">
        <v>0</v>
      </c>
      <c r="K47" s="325">
        <v>0</v>
      </c>
      <c r="L47" s="325">
        <v>0</v>
      </c>
      <c r="M47" s="325">
        <v>0</v>
      </c>
      <c r="N47" s="325">
        <v>0</v>
      </c>
      <c r="O47" s="325">
        <f t="shared" si="0"/>
        <v>0</v>
      </c>
      <c r="Q47" s="325"/>
      <c r="R47" s="325">
        <f t="shared" si="11"/>
        <v>0</v>
      </c>
      <c r="T47" s="325"/>
      <c r="U47" s="325">
        <f t="shared" si="7"/>
        <v>0</v>
      </c>
      <c r="W47" s="325"/>
      <c r="X47" s="325">
        <f t="shared" si="12"/>
        <v>0</v>
      </c>
      <c r="Z47" s="325"/>
      <c r="AA47" s="325">
        <f t="shared" si="8"/>
        <v>0</v>
      </c>
      <c r="AC47" s="325"/>
      <c r="AD47" s="325">
        <f t="shared" si="13"/>
        <v>0</v>
      </c>
      <c r="AF47" s="325"/>
    </row>
    <row r="48" spans="1:32">
      <c r="B48" t="s">
        <v>780</v>
      </c>
      <c r="C48" s="325">
        <v>0</v>
      </c>
      <c r="D48" s="325">
        <v>0</v>
      </c>
      <c r="E48" s="325">
        <v>0</v>
      </c>
      <c r="F48" s="325">
        <v>0</v>
      </c>
      <c r="G48" s="325">
        <v>0</v>
      </c>
      <c r="H48" s="325">
        <v>0</v>
      </c>
      <c r="I48" s="325">
        <v>0</v>
      </c>
      <c r="J48" s="325">
        <v>0</v>
      </c>
      <c r="K48" s="325">
        <v>0</v>
      </c>
      <c r="L48" s="325">
        <v>0</v>
      </c>
      <c r="M48" s="325">
        <v>0</v>
      </c>
      <c r="N48" s="325">
        <v>0</v>
      </c>
      <c r="O48" s="325">
        <f t="shared" si="0"/>
        <v>0</v>
      </c>
      <c r="Q48" s="325"/>
      <c r="R48" s="325">
        <f t="shared" si="11"/>
        <v>0</v>
      </c>
      <c r="T48" s="325"/>
      <c r="U48" s="325">
        <f t="shared" si="7"/>
        <v>0</v>
      </c>
      <c r="W48" s="325"/>
      <c r="X48" s="325">
        <f t="shared" si="12"/>
        <v>0</v>
      </c>
      <c r="Z48" s="325"/>
      <c r="AA48" s="325">
        <f t="shared" si="8"/>
        <v>0</v>
      </c>
      <c r="AC48" s="325"/>
      <c r="AD48" s="325">
        <f t="shared" si="13"/>
        <v>0</v>
      </c>
      <c r="AF48" s="325"/>
    </row>
    <row r="49" spans="1:32">
      <c r="A49" t="s">
        <v>848</v>
      </c>
      <c r="B49" t="s">
        <v>782</v>
      </c>
      <c r="C49" s="325">
        <v>0</v>
      </c>
      <c r="D49" s="325">
        <v>0</v>
      </c>
      <c r="E49" s="325">
        <v>0</v>
      </c>
      <c r="F49" s="325">
        <v>0</v>
      </c>
      <c r="G49" s="325">
        <v>0</v>
      </c>
      <c r="H49" s="325">
        <v>0</v>
      </c>
      <c r="I49" s="325">
        <v>0</v>
      </c>
      <c r="J49" s="325">
        <v>0</v>
      </c>
      <c r="K49" s="325">
        <v>0</v>
      </c>
      <c r="L49" s="325">
        <v>0</v>
      </c>
      <c r="M49" s="325">
        <v>0</v>
      </c>
      <c r="N49" s="325">
        <v>702.85</v>
      </c>
      <c r="O49" s="325">
        <f t="shared" si="0"/>
        <v>702.85</v>
      </c>
      <c r="Q49" s="325">
        <f t="shared" si="9"/>
        <v>0</v>
      </c>
      <c r="R49" s="325">
        <f t="shared" si="11"/>
        <v>702.85</v>
      </c>
      <c r="T49" s="325"/>
      <c r="U49" s="325">
        <f t="shared" si="7"/>
        <v>0</v>
      </c>
      <c r="W49" s="325"/>
      <c r="X49" s="325">
        <f t="shared" si="12"/>
        <v>0</v>
      </c>
      <c r="Z49" s="325"/>
      <c r="AA49" s="325">
        <f t="shared" si="8"/>
        <v>702.85</v>
      </c>
      <c r="AC49" s="325">
        <f t="shared" si="10"/>
        <v>0</v>
      </c>
      <c r="AD49" s="325">
        <f t="shared" si="13"/>
        <v>702.85</v>
      </c>
      <c r="AF49" s="325"/>
    </row>
    <row r="50" spans="1:32">
      <c r="B50" t="s">
        <v>781</v>
      </c>
      <c r="C50" s="325">
        <v>0</v>
      </c>
      <c r="D50" s="325">
        <v>0</v>
      </c>
      <c r="E50" s="325">
        <v>0</v>
      </c>
      <c r="F50" s="325">
        <v>0</v>
      </c>
      <c r="G50" s="325">
        <v>0</v>
      </c>
      <c r="H50" s="325">
        <v>0</v>
      </c>
      <c r="I50" s="325">
        <v>0</v>
      </c>
      <c r="J50" s="325">
        <v>0</v>
      </c>
      <c r="K50" s="325">
        <v>0</v>
      </c>
      <c r="L50" s="325">
        <v>0</v>
      </c>
      <c r="M50" s="325">
        <v>0</v>
      </c>
      <c r="N50" s="325">
        <v>0</v>
      </c>
      <c r="O50" s="325">
        <f t="shared" si="0"/>
        <v>0</v>
      </c>
      <c r="Q50" s="325"/>
      <c r="R50" s="325">
        <f t="shared" si="11"/>
        <v>0</v>
      </c>
      <c r="T50" s="325"/>
      <c r="U50" s="325">
        <f t="shared" si="7"/>
        <v>0</v>
      </c>
      <c r="W50" s="325"/>
      <c r="X50" s="325">
        <f t="shared" si="12"/>
        <v>0</v>
      </c>
      <c r="Z50" s="325"/>
      <c r="AA50" s="325">
        <f t="shared" si="8"/>
        <v>0</v>
      </c>
      <c r="AC50" s="325"/>
      <c r="AD50" s="325">
        <f t="shared" si="13"/>
        <v>0</v>
      </c>
      <c r="AF50" s="325"/>
    </row>
    <row r="51" spans="1:32">
      <c r="B51" t="s">
        <v>780</v>
      </c>
      <c r="C51" s="325">
        <v>0</v>
      </c>
      <c r="D51" s="325">
        <v>0</v>
      </c>
      <c r="E51" s="325">
        <v>0</v>
      </c>
      <c r="F51" s="325">
        <v>0</v>
      </c>
      <c r="G51" s="325">
        <v>0</v>
      </c>
      <c r="H51" s="325">
        <v>0</v>
      </c>
      <c r="I51" s="325">
        <v>0</v>
      </c>
      <c r="J51" s="325">
        <v>0</v>
      </c>
      <c r="K51" s="325">
        <v>0</v>
      </c>
      <c r="L51" s="325">
        <v>0</v>
      </c>
      <c r="M51" s="325">
        <v>0</v>
      </c>
      <c r="N51" s="325">
        <v>0</v>
      </c>
      <c r="O51" s="325">
        <f t="shared" si="0"/>
        <v>0</v>
      </c>
      <c r="Q51" s="325"/>
      <c r="R51" s="325">
        <f t="shared" si="11"/>
        <v>0</v>
      </c>
      <c r="T51" s="325"/>
      <c r="U51" s="325">
        <f t="shared" si="7"/>
        <v>0</v>
      </c>
      <c r="W51" s="325"/>
      <c r="X51" s="325">
        <f t="shared" si="12"/>
        <v>0</v>
      </c>
      <c r="Z51" s="325"/>
      <c r="AA51" s="325">
        <f t="shared" si="8"/>
        <v>0</v>
      </c>
      <c r="AC51" s="325"/>
      <c r="AD51" s="325">
        <f t="shared" si="13"/>
        <v>0</v>
      </c>
      <c r="AF51" s="325"/>
    </row>
    <row r="52" spans="1:32">
      <c r="A52" t="s">
        <v>847</v>
      </c>
      <c r="B52" t="s">
        <v>782</v>
      </c>
      <c r="C52" s="325">
        <v>0</v>
      </c>
      <c r="D52" s="325">
        <v>0</v>
      </c>
      <c r="E52" s="325">
        <v>0</v>
      </c>
      <c r="F52" s="325">
        <v>0</v>
      </c>
      <c r="G52" s="325">
        <v>0</v>
      </c>
      <c r="H52" s="325">
        <v>0</v>
      </c>
      <c r="I52" s="325">
        <v>0</v>
      </c>
      <c r="J52" s="325">
        <v>0</v>
      </c>
      <c r="K52" s="325">
        <v>0</v>
      </c>
      <c r="L52" s="325">
        <v>0</v>
      </c>
      <c r="M52" s="325">
        <v>0</v>
      </c>
      <c r="N52" s="325">
        <v>24</v>
      </c>
      <c r="O52" s="325">
        <f t="shared" si="0"/>
        <v>24</v>
      </c>
      <c r="Q52" s="325"/>
      <c r="R52" s="325">
        <f t="shared" si="11"/>
        <v>24</v>
      </c>
      <c r="T52" s="325"/>
      <c r="U52" s="325">
        <f t="shared" si="7"/>
        <v>0</v>
      </c>
      <c r="W52" s="325"/>
      <c r="X52" s="325">
        <f t="shared" si="12"/>
        <v>0</v>
      </c>
      <c r="Z52" s="325"/>
      <c r="AA52" s="325">
        <f t="shared" si="8"/>
        <v>24</v>
      </c>
      <c r="AC52" s="325"/>
      <c r="AD52" s="325">
        <f>+AA52+AC52</f>
        <v>24</v>
      </c>
      <c r="AF52" s="325"/>
    </row>
    <row r="53" spans="1:32">
      <c r="B53" t="s">
        <v>781</v>
      </c>
      <c r="C53" s="325">
        <v>0</v>
      </c>
      <c r="D53" s="325">
        <v>0</v>
      </c>
      <c r="E53" s="325">
        <v>0</v>
      </c>
      <c r="F53" s="325">
        <v>0</v>
      </c>
      <c r="G53" s="325">
        <v>0</v>
      </c>
      <c r="H53" s="325">
        <v>0</v>
      </c>
      <c r="I53" s="325">
        <v>0</v>
      </c>
      <c r="J53" s="325">
        <v>0</v>
      </c>
      <c r="K53" s="325">
        <v>0</v>
      </c>
      <c r="L53" s="325">
        <v>0</v>
      </c>
      <c r="M53" s="325">
        <v>0</v>
      </c>
      <c r="N53" s="325">
        <v>0</v>
      </c>
      <c r="O53" s="325">
        <f t="shared" si="0"/>
        <v>0</v>
      </c>
      <c r="Q53" s="325"/>
      <c r="R53" s="325">
        <f t="shared" si="11"/>
        <v>0</v>
      </c>
      <c r="T53" s="325"/>
      <c r="U53" s="325">
        <f t="shared" si="7"/>
        <v>0</v>
      </c>
      <c r="W53" s="325"/>
      <c r="X53" s="325">
        <f t="shared" si="12"/>
        <v>0</v>
      </c>
      <c r="Z53" s="325"/>
      <c r="AA53" s="325">
        <f t="shared" si="8"/>
        <v>0</v>
      </c>
      <c r="AC53" s="325"/>
      <c r="AD53" s="325">
        <f t="shared" si="13"/>
        <v>0</v>
      </c>
      <c r="AF53" s="325"/>
    </row>
    <row r="54" spans="1:32">
      <c r="B54" t="s">
        <v>780</v>
      </c>
      <c r="C54" s="325">
        <v>0</v>
      </c>
      <c r="D54" s="325">
        <v>0</v>
      </c>
      <c r="E54" s="325">
        <v>0</v>
      </c>
      <c r="F54" s="325">
        <v>0</v>
      </c>
      <c r="G54" s="325">
        <v>0</v>
      </c>
      <c r="H54" s="325">
        <v>0</v>
      </c>
      <c r="I54" s="325">
        <v>0</v>
      </c>
      <c r="J54" s="325">
        <v>0</v>
      </c>
      <c r="K54" s="325">
        <v>0</v>
      </c>
      <c r="L54" s="325">
        <v>0</v>
      </c>
      <c r="M54" s="325">
        <v>0</v>
      </c>
      <c r="N54" s="325">
        <v>0</v>
      </c>
      <c r="O54" s="325">
        <f t="shared" si="0"/>
        <v>0</v>
      </c>
      <c r="Q54" s="325">
        <f>+Q87</f>
        <v>0</v>
      </c>
      <c r="R54" s="325">
        <f t="shared" si="11"/>
        <v>0</v>
      </c>
      <c r="T54" s="325"/>
      <c r="U54" s="325">
        <f t="shared" si="7"/>
        <v>0</v>
      </c>
      <c r="W54" s="325"/>
      <c r="X54" s="325">
        <f t="shared" si="12"/>
        <v>0</v>
      </c>
      <c r="Z54" s="325"/>
      <c r="AA54" s="325">
        <f t="shared" si="8"/>
        <v>0</v>
      </c>
      <c r="AC54" s="325">
        <f>+AC87</f>
        <v>0</v>
      </c>
      <c r="AD54" s="325">
        <f t="shared" si="13"/>
        <v>0</v>
      </c>
      <c r="AF54" s="325"/>
    </row>
    <row r="55" spans="1:32">
      <c r="A55" t="s">
        <v>846</v>
      </c>
      <c r="B55" t="s">
        <v>782</v>
      </c>
      <c r="C55" s="325">
        <v>0</v>
      </c>
      <c r="D55" s="325">
        <v>0</v>
      </c>
      <c r="E55" s="325">
        <v>0</v>
      </c>
      <c r="F55" s="325">
        <v>0</v>
      </c>
      <c r="G55" s="325">
        <v>0</v>
      </c>
      <c r="H55" s="325">
        <v>0</v>
      </c>
      <c r="I55" s="325">
        <v>0</v>
      </c>
      <c r="J55" s="325">
        <v>0</v>
      </c>
      <c r="K55" s="325">
        <v>0</v>
      </c>
      <c r="L55" s="325">
        <v>0</v>
      </c>
      <c r="M55" s="325">
        <v>0</v>
      </c>
      <c r="N55" s="325">
        <v>29</v>
      </c>
      <c r="O55" s="325">
        <f t="shared" si="0"/>
        <v>29</v>
      </c>
      <c r="R55" s="325">
        <f t="shared" si="11"/>
        <v>29</v>
      </c>
      <c r="T55" s="325"/>
      <c r="U55" s="325">
        <f t="shared" si="7"/>
        <v>0</v>
      </c>
      <c r="X55" s="325">
        <f t="shared" si="12"/>
        <v>0</v>
      </c>
      <c r="Z55" s="325"/>
      <c r="AA55" s="325">
        <f t="shared" si="8"/>
        <v>29</v>
      </c>
      <c r="AD55" s="325">
        <f t="shared" si="13"/>
        <v>29</v>
      </c>
      <c r="AF55" s="325"/>
    </row>
    <row r="56" spans="1:32">
      <c r="B56" t="s">
        <v>781</v>
      </c>
      <c r="C56" s="325">
        <v>0</v>
      </c>
      <c r="D56" s="325">
        <v>0</v>
      </c>
      <c r="E56" s="325">
        <v>0</v>
      </c>
      <c r="F56" s="325">
        <v>0</v>
      </c>
      <c r="G56" s="325">
        <v>0</v>
      </c>
      <c r="H56" s="325">
        <v>0</v>
      </c>
      <c r="I56" s="325">
        <v>0</v>
      </c>
      <c r="J56" s="325">
        <v>0</v>
      </c>
      <c r="K56" s="325">
        <v>0</v>
      </c>
      <c r="L56" s="325">
        <v>0</v>
      </c>
      <c r="M56" s="325">
        <v>0</v>
      </c>
      <c r="N56" s="325">
        <v>0</v>
      </c>
      <c r="O56" s="325">
        <f t="shared" si="0"/>
        <v>0</v>
      </c>
      <c r="R56" s="325">
        <f t="shared" si="11"/>
        <v>0</v>
      </c>
      <c r="T56" s="325"/>
      <c r="U56" s="325">
        <f t="shared" si="7"/>
        <v>0</v>
      </c>
      <c r="X56" s="325">
        <f t="shared" si="12"/>
        <v>0</v>
      </c>
      <c r="Z56" s="325"/>
      <c r="AA56" s="325">
        <f t="shared" si="8"/>
        <v>0</v>
      </c>
      <c r="AD56" s="325">
        <f t="shared" si="13"/>
        <v>0</v>
      </c>
      <c r="AF56" s="325"/>
    </row>
    <row r="57" spans="1:32">
      <c r="B57" t="s">
        <v>780</v>
      </c>
      <c r="C57" s="325">
        <v>0</v>
      </c>
      <c r="D57" s="325">
        <v>0</v>
      </c>
      <c r="E57" s="325">
        <v>0</v>
      </c>
      <c r="F57" s="325">
        <v>0</v>
      </c>
      <c r="G57" s="325">
        <v>0</v>
      </c>
      <c r="H57" s="325">
        <v>0</v>
      </c>
      <c r="I57" s="325">
        <v>0</v>
      </c>
      <c r="J57" s="325">
        <v>0</v>
      </c>
      <c r="K57" s="325">
        <v>0</v>
      </c>
      <c r="L57" s="325">
        <v>0</v>
      </c>
      <c r="M57" s="325">
        <v>0</v>
      </c>
      <c r="N57" s="325">
        <v>11</v>
      </c>
      <c r="O57" s="325">
        <f t="shared" si="0"/>
        <v>11</v>
      </c>
      <c r="R57" s="325">
        <f t="shared" si="11"/>
        <v>11</v>
      </c>
      <c r="T57" s="325"/>
      <c r="U57" s="325">
        <f t="shared" si="7"/>
        <v>0</v>
      </c>
      <c r="X57" s="325">
        <f t="shared" si="12"/>
        <v>0</v>
      </c>
      <c r="Z57" s="325"/>
      <c r="AA57" s="325">
        <f t="shared" si="8"/>
        <v>11</v>
      </c>
      <c r="AD57" s="325">
        <f t="shared" si="13"/>
        <v>11</v>
      </c>
      <c r="AF57" s="325"/>
    </row>
    <row r="58" spans="1:32">
      <c r="A58" t="s">
        <v>845</v>
      </c>
      <c r="B58" t="s">
        <v>782</v>
      </c>
      <c r="C58" s="325">
        <v>0</v>
      </c>
      <c r="D58" s="325">
        <v>0</v>
      </c>
      <c r="E58" s="325">
        <v>0</v>
      </c>
      <c r="F58" s="325">
        <v>0</v>
      </c>
      <c r="G58" s="325">
        <v>0</v>
      </c>
      <c r="H58" s="325">
        <v>0</v>
      </c>
      <c r="I58" s="325">
        <v>0</v>
      </c>
      <c r="J58" s="325">
        <v>0</v>
      </c>
      <c r="K58" s="325">
        <v>0</v>
      </c>
      <c r="L58" s="325">
        <v>0</v>
      </c>
      <c r="M58" s="325">
        <v>0</v>
      </c>
      <c r="N58" s="325">
        <v>14</v>
      </c>
      <c r="O58" s="325">
        <f t="shared" si="0"/>
        <v>14</v>
      </c>
      <c r="R58" s="325">
        <f t="shared" si="11"/>
        <v>14</v>
      </c>
      <c r="T58" s="325"/>
      <c r="U58" s="325">
        <f t="shared" si="7"/>
        <v>0</v>
      </c>
      <c r="X58" s="325">
        <f t="shared" si="12"/>
        <v>0</v>
      </c>
      <c r="Z58" s="325"/>
      <c r="AA58" s="325">
        <f t="shared" si="8"/>
        <v>14</v>
      </c>
      <c r="AD58" s="325">
        <f t="shared" si="13"/>
        <v>14</v>
      </c>
      <c r="AF58" s="325"/>
    </row>
    <row r="59" spans="1:32">
      <c r="B59" t="s">
        <v>781</v>
      </c>
      <c r="C59" s="325">
        <v>0</v>
      </c>
      <c r="D59" s="325">
        <v>0</v>
      </c>
      <c r="E59" s="325">
        <v>0</v>
      </c>
      <c r="F59" s="325">
        <v>0</v>
      </c>
      <c r="G59" s="325">
        <v>0</v>
      </c>
      <c r="H59" s="325">
        <v>0</v>
      </c>
      <c r="I59" s="325">
        <v>0</v>
      </c>
      <c r="J59" s="325">
        <v>0</v>
      </c>
      <c r="K59" s="325">
        <v>0</v>
      </c>
      <c r="L59" s="325">
        <v>0</v>
      </c>
      <c r="M59" s="325">
        <v>0</v>
      </c>
      <c r="N59" s="325">
        <v>0</v>
      </c>
      <c r="O59" s="325">
        <f t="shared" si="0"/>
        <v>0</v>
      </c>
      <c r="R59" s="325">
        <f t="shared" si="11"/>
        <v>0</v>
      </c>
      <c r="T59" s="325"/>
      <c r="U59" s="325">
        <f t="shared" si="7"/>
        <v>0</v>
      </c>
      <c r="X59" s="325">
        <f t="shared" si="12"/>
        <v>0</v>
      </c>
      <c r="Z59" s="325"/>
      <c r="AA59" s="325">
        <f t="shared" si="8"/>
        <v>0</v>
      </c>
      <c r="AD59" s="325">
        <f t="shared" si="13"/>
        <v>0</v>
      </c>
      <c r="AF59" s="325"/>
    </row>
    <row r="60" spans="1:32">
      <c r="B60" t="s">
        <v>780</v>
      </c>
      <c r="C60" s="325">
        <v>0</v>
      </c>
      <c r="D60" s="325">
        <v>0</v>
      </c>
      <c r="E60" s="325">
        <v>0</v>
      </c>
      <c r="F60" s="325">
        <v>0</v>
      </c>
      <c r="G60" s="325">
        <v>0</v>
      </c>
      <c r="H60" s="325">
        <v>0</v>
      </c>
      <c r="I60" s="325">
        <v>0</v>
      </c>
      <c r="J60" s="325">
        <v>0</v>
      </c>
      <c r="K60" s="325">
        <v>0</v>
      </c>
      <c r="L60" s="325">
        <v>0</v>
      </c>
      <c r="M60" s="325">
        <v>0</v>
      </c>
      <c r="N60" s="325">
        <v>0</v>
      </c>
      <c r="O60" s="325">
        <f t="shared" si="0"/>
        <v>0</v>
      </c>
      <c r="R60" s="325">
        <f t="shared" si="11"/>
        <v>0</v>
      </c>
      <c r="T60" s="325"/>
      <c r="U60" s="325">
        <f t="shared" si="7"/>
        <v>0</v>
      </c>
      <c r="X60" s="325">
        <f t="shared" si="12"/>
        <v>0</v>
      </c>
      <c r="Z60" s="325"/>
      <c r="AA60" s="325">
        <f t="shared" si="8"/>
        <v>0</v>
      </c>
      <c r="AD60" s="325">
        <f t="shared" si="13"/>
        <v>0</v>
      </c>
      <c r="AF60" s="325"/>
    </row>
    <row r="61" spans="1:32">
      <c r="A61" t="s">
        <v>844</v>
      </c>
      <c r="B61" t="s">
        <v>782</v>
      </c>
      <c r="C61" s="325">
        <v>0</v>
      </c>
      <c r="D61" s="325">
        <v>0</v>
      </c>
      <c r="E61" s="325">
        <v>0</v>
      </c>
      <c r="F61" s="325">
        <v>0</v>
      </c>
      <c r="G61" s="325">
        <v>0</v>
      </c>
      <c r="H61" s="325">
        <v>0</v>
      </c>
      <c r="I61" s="325">
        <v>0</v>
      </c>
      <c r="J61" s="325">
        <v>0</v>
      </c>
      <c r="K61" s="325">
        <v>0</v>
      </c>
      <c r="L61" s="325">
        <v>0</v>
      </c>
      <c r="M61" s="325">
        <v>0</v>
      </c>
      <c r="N61" s="325">
        <v>7</v>
      </c>
      <c r="O61" s="325">
        <f t="shared" si="0"/>
        <v>7</v>
      </c>
      <c r="R61" s="325">
        <f t="shared" si="11"/>
        <v>7</v>
      </c>
      <c r="T61" s="325"/>
      <c r="U61" s="325">
        <f t="shared" si="7"/>
        <v>0</v>
      </c>
      <c r="X61" s="325">
        <f t="shared" si="12"/>
        <v>0</v>
      </c>
      <c r="Z61" s="325"/>
      <c r="AA61" s="325">
        <f t="shared" si="8"/>
        <v>7</v>
      </c>
      <c r="AD61" s="325">
        <f t="shared" si="13"/>
        <v>7</v>
      </c>
      <c r="AF61" s="325"/>
    </row>
    <row r="62" spans="1:32">
      <c r="B62" t="s">
        <v>781</v>
      </c>
      <c r="C62" s="325">
        <v>0</v>
      </c>
      <c r="D62" s="325">
        <v>0</v>
      </c>
      <c r="E62" s="325">
        <v>0</v>
      </c>
      <c r="F62" s="325">
        <v>0</v>
      </c>
      <c r="G62" s="325">
        <v>0</v>
      </c>
      <c r="H62" s="325">
        <v>0</v>
      </c>
      <c r="I62" s="325">
        <v>0</v>
      </c>
      <c r="J62" s="325">
        <v>0</v>
      </c>
      <c r="K62" s="325">
        <v>0</v>
      </c>
      <c r="L62" s="325">
        <v>0</v>
      </c>
      <c r="M62" s="325">
        <v>0</v>
      </c>
      <c r="N62" s="325">
        <v>0</v>
      </c>
      <c r="O62" s="325">
        <f t="shared" si="0"/>
        <v>0</v>
      </c>
      <c r="R62" s="325">
        <f t="shared" si="11"/>
        <v>0</v>
      </c>
      <c r="T62" s="325"/>
      <c r="U62" s="325">
        <f t="shared" si="7"/>
        <v>0</v>
      </c>
      <c r="X62" s="325">
        <f t="shared" si="12"/>
        <v>0</v>
      </c>
      <c r="Z62" s="325"/>
      <c r="AA62" s="325">
        <f t="shared" si="8"/>
        <v>0</v>
      </c>
      <c r="AD62" s="325">
        <f t="shared" si="13"/>
        <v>0</v>
      </c>
      <c r="AF62" s="325"/>
    </row>
    <row r="63" spans="1:32">
      <c r="B63" t="s">
        <v>780</v>
      </c>
      <c r="C63" s="325">
        <v>0</v>
      </c>
      <c r="D63" s="325">
        <v>0</v>
      </c>
      <c r="E63" s="325">
        <v>0</v>
      </c>
      <c r="F63" s="325">
        <v>0</v>
      </c>
      <c r="G63" s="325">
        <v>0</v>
      </c>
      <c r="H63" s="325">
        <v>0</v>
      </c>
      <c r="I63" s="325">
        <v>0</v>
      </c>
      <c r="J63" s="325">
        <v>0</v>
      </c>
      <c r="K63" s="325">
        <v>0</v>
      </c>
      <c r="L63" s="325">
        <v>0</v>
      </c>
      <c r="M63" s="325">
        <v>0</v>
      </c>
      <c r="N63" s="325">
        <v>0</v>
      </c>
      <c r="O63" s="325">
        <f t="shared" si="0"/>
        <v>0</v>
      </c>
      <c r="R63" s="325">
        <f t="shared" si="11"/>
        <v>0</v>
      </c>
      <c r="T63" s="325"/>
      <c r="U63" s="325">
        <f t="shared" si="7"/>
        <v>0</v>
      </c>
      <c r="X63" s="325">
        <f t="shared" si="12"/>
        <v>0</v>
      </c>
      <c r="Z63" s="325"/>
      <c r="AA63" s="325">
        <f t="shared" si="8"/>
        <v>0</v>
      </c>
      <c r="AD63" s="325">
        <f t="shared" si="13"/>
        <v>0</v>
      </c>
      <c r="AF63" s="325"/>
    </row>
    <row r="64" spans="1:32">
      <c r="A64" s="83" t="s">
        <v>1316</v>
      </c>
      <c r="B64" t="s">
        <v>782</v>
      </c>
      <c r="C64" s="325">
        <v>0</v>
      </c>
      <c r="D64" s="325">
        <v>0</v>
      </c>
      <c r="E64" s="325">
        <v>0</v>
      </c>
      <c r="F64" s="325">
        <v>0</v>
      </c>
      <c r="G64" s="325">
        <v>0</v>
      </c>
      <c r="H64" s="325">
        <v>0</v>
      </c>
      <c r="I64" s="325">
        <v>0</v>
      </c>
      <c r="J64" s="325">
        <v>0</v>
      </c>
      <c r="K64" s="325">
        <v>0</v>
      </c>
      <c r="L64" s="325">
        <v>0</v>
      </c>
      <c r="M64" s="325">
        <v>0</v>
      </c>
      <c r="N64" s="325">
        <v>2768.8</v>
      </c>
      <c r="O64" s="325">
        <f t="shared" ref="O64:O66" si="14">SUM(C64:N64)</f>
        <v>2768.8</v>
      </c>
      <c r="Q64" s="325"/>
      <c r="R64" s="325">
        <f t="shared" si="11"/>
        <v>2768.8</v>
      </c>
      <c r="T64" s="325"/>
      <c r="U64" s="325">
        <f t="shared" si="7"/>
        <v>0</v>
      </c>
      <c r="W64" s="325"/>
      <c r="X64" s="325">
        <f t="shared" si="12"/>
        <v>0</v>
      </c>
      <c r="Z64" s="325"/>
      <c r="AA64" s="325">
        <f t="shared" si="8"/>
        <v>2768.8</v>
      </c>
      <c r="AC64" s="325">
        <f t="shared" ref="AC64:AC66" si="15">+AC109</f>
        <v>0</v>
      </c>
      <c r="AD64" s="325">
        <f t="shared" si="13"/>
        <v>2768.8</v>
      </c>
      <c r="AF64" s="325"/>
    </row>
    <row r="65" spans="1:32">
      <c r="B65" t="s">
        <v>781</v>
      </c>
      <c r="C65" s="325">
        <v>0</v>
      </c>
      <c r="D65" s="325">
        <v>0</v>
      </c>
      <c r="E65" s="325">
        <v>0</v>
      </c>
      <c r="F65" s="325">
        <v>0</v>
      </c>
      <c r="G65" s="325">
        <v>0</v>
      </c>
      <c r="H65" s="325">
        <v>0</v>
      </c>
      <c r="I65" s="325">
        <v>0</v>
      </c>
      <c r="J65" s="325">
        <v>0</v>
      </c>
      <c r="K65" s="325">
        <v>0</v>
      </c>
      <c r="L65" s="325">
        <v>0</v>
      </c>
      <c r="M65" s="325">
        <v>0</v>
      </c>
      <c r="N65" s="325">
        <v>0</v>
      </c>
      <c r="O65" s="325">
        <f t="shared" si="14"/>
        <v>0</v>
      </c>
      <c r="Q65" s="325"/>
      <c r="R65" s="325">
        <f t="shared" si="11"/>
        <v>0</v>
      </c>
      <c r="T65" s="325"/>
      <c r="U65" s="325">
        <f t="shared" si="7"/>
        <v>0</v>
      </c>
      <c r="W65" s="325"/>
      <c r="X65" s="325">
        <f t="shared" si="12"/>
        <v>0</v>
      </c>
      <c r="Z65" s="325"/>
      <c r="AA65" s="325">
        <f t="shared" si="8"/>
        <v>0</v>
      </c>
      <c r="AC65" s="325">
        <f t="shared" si="15"/>
        <v>0</v>
      </c>
      <c r="AD65" s="325">
        <f t="shared" si="13"/>
        <v>0</v>
      </c>
      <c r="AF65" s="325"/>
    </row>
    <row r="66" spans="1:32">
      <c r="B66" t="s">
        <v>780</v>
      </c>
      <c r="C66" s="325">
        <v>0</v>
      </c>
      <c r="D66" s="325">
        <v>0</v>
      </c>
      <c r="E66" s="325">
        <v>0</v>
      </c>
      <c r="F66" s="325">
        <v>0</v>
      </c>
      <c r="G66" s="325">
        <v>0</v>
      </c>
      <c r="H66" s="325">
        <v>0</v>
      </c>
      <c r="I66" s="325">
        <v>0</v>
      </c>
      <c r="J66" s="325">
        <v>0</v>
      </c>
      <c r="K66" s="325">
        <v>0</v>
      </c>
      <c r="L66" s="325">
        <v>0</v>
      </c>
      <c r="M66" s="325">
        <v>0</v>
      </c>
      <c r="N66" s="325">
        <v>0</v>
      </c>
      <c r="O66" s="325">
        <f t="shared" si="14"/>
        <v>0</v>
      </c>
      <c r="Q66" s="325"/>
      <c r="R66" s="325">
        <f t="shared" ref="R66" si="16">+O66+Q66</f>
        <v>0</v>
      </c>
      <c r="T66" s="325"/>
      <c r="U66" s="325">
        <f t="shared" si="7"/>
        <v>0</v>
      </c>
      <c r="W66" s="325"/>
      <c r="X66" s="325">
        <f t="shared" ref="X66" si="17">+U66+W66</f>
        <v>0</v>
      </c>
      <c r="Z66" s="325"/>
      <c r="AA66" s="325">
        <f t="shared" si="8"/>
        <v>0</v>
      </c>
      <c r="AC66" s="325">
        <f t="shared" si="15"/>
        <v>0</v>
      </c>
      <c r="AD66" s="325">
        <f t="shared" ref="AD66" si="18">+AA66+AC66</f>
        <v>0</v>
      </c>
      <c r="AF66" s="325"/>
    </row>
    <row r="67" spans="1:32">
      <c r="A67" t="s">
        <v>843</v>
      </c>
      <c r="B67" t="s">
        <v>782</v>
      </c>
      <c r="C67" s="325">
        <v>0</v>
      </c>
      <c r="D67" s="325">
        <v>0</v>
      </c>
      <c r="E67" s="325">
        <v>0</v>
      </c>
      <c r="F67" s="325">
        <v>0</v>
      </c>
      <c r="G67" s="325">
        <v>0</v>
      </c>
      <c r="H67" s="325">
        <v>0</v>
      </c>
      <c r="I67" s="325">
        <v>0</v>
      </c>
      <c r="J67" s="325">
        <v>0</v>
      </c>
      <c r="K67" s="325">
        <v>0</v>
      </c>
      <c r="L67" s="325">
        <v>0</v>
      </c>
      <c r="M67" s="325">
        <v>0</v>
      </c>
      <c r="N67" s="325">
        <v>0</v>
      </c>
      <c r="O67" s="325">
        <f t="shared" si="0"/>
        <v>0</v>
      </c>
      <c r="P67">
        <v>4.33</v>
      </c>
      <c r="Q67" s="325">
        <f t="shared" ref="Q67:Q84" si="19">+O67/P67</f>
        <v>0</v>
      </c>
      <c r="T67" s="325"/>
      <c r="U67" s="325">
        <f t="shared" si="7"/>
        <v>0</v>
      </c>
      <c r="V67">
        <v>4.33</v>
      </c>
      <c r="W67" s="325">
        <f t="shared" ref="W67:W84" si="20">+U67/V67</f>
        <v>0</v>
      </c>
      <c r="Z67" s="325"/>
      <c r="AA67" s="325">
        <f t="shared" si="8"/>
        <v>0</v>
      </c>
      <c r="AB67">
        <v>4.33</v>
      </c>
      <c r="AC67" s="325">
        <f t="shared" ref="AC67:AC84" si="21">+AA67/AB67</f>
        <v>0</v>
      </c>
      <c r="AF67" s="325"/>
    </row>
    <row r="68" spans="1:32">
      <c r="B68" t="s">
        <v>781</v>
      </c>
      <c r="C68" s="325">
        <v>0</v>
      </c>
      <c r="D68" s="325">
        <v>0</v>
      </c>
      <c r="E68" s="325">
        <v>0</v>
      </c>
      <c r="F68" s="325">
        <v>0</v>
      </c>
      <c r="G68" s="325">
        <v>0</v>
      </c>
      <c r="H68" s="325">
        <v>0</v>
      </c>
      <c r="I68" s="325">
        <v>0</v>
      </c>
      <c r="J68" s="325">
        <v>0</v>
      </c>
      <c r="K68" s="325">
        <v>0</v>
      </c>
      <c r="L68" s="325">
        <v>0</v>
      </c>
      <c r="M68" s="325">
        <v>0</v>
      </c>
      <c r="N68" s="325">
        <v>0</v>
      </c>
      <c r="O68" s="325">
        <f t="shared" si="0"/>
        <v>0</v>
      </c>
      <c r="P68">
        <v>4.33</v>
      </c>
      <c r="Q68" s="325">
        <f t="shared" si="19"/>
        <v>0</v>
      </c>
      <c r="T68" s="325"/>
      <c r="U68" s="325">
        <f t="shared" si="7"/>
        <v>0</v>
      </c>
      <c r="V68">
        <v>4.33</v>
      </c>
      <c r="W68" s="325">
        <f t="shared" si="20"/>
        <v>0</v>
      </c>
      <c r="Z68" s="325"/>
      <c r="AA68" s="325">
        <f t="shared" si="8"/>
        <v>0</v>
      </c>
      <c r="AB68">
        <v>4.33</v>
      </c>
      <c r="AC68" s="325">
        <f t="shared" si="21"/>
        <v>0</v>
      </c>
      <c r="AF68" s="325"/>
    </row>
    <row r="69" spans="1:32">
      <c r="B69" t="s">
        <v>780</v>
      </c>
      <c r="C69" s="325">
        <v>0</v>
      </c>
      <c r="D69" s="325">
        <v>0</v>
      </c>
      <c r="E69" s="325">
        <v>0</v>
      </c>
      <c r="F69" s="325">
        <v>0</v>
      </c>
      <c r="G69" s="325">
        <v>0</v>
      </c>
      <c r="H69" s="325">
        <v>0</v>
      </c>
      <c r="I69" s="325">
        <v>0</v>
      </c>
      <c r="J69" s="325">
        <v>0</v>
      </c>
      <c r="K69" s="325">
        <v>0</v>
      </c>
      <c r="L69" s="325">
        <v>0</v>
      </c>
      <c r="M69" s="325">
        <v>0</v>
      </c>
      <c r="N69" s="325">
        <v>78</v>
      </c>
      <c r="O69" s="325">
        <f t="shared" si="0"/>
        <v>78</v>
      </c>
      <c r="P69">
        <v>4.33</v>
      </c>
      <c r="Q69" s="325">
        <f t="shared" si="19"/>
        <v>18.013856812933025</v>
      </c>
      <c r="T69" s="325"/>
      <c r="U69" s="325">
        <f t="shared" si="7"/>
        <v>0</v>
      </c>
      <c r="V69">
        <v>4.33</v>
      </c>
      <c r="W69" s="325">
        <f t="shared" si="20"/>
        <v>0</v>
      </c>
      <c r="Z69" s="325"/>
      <c r="AA69" s="325">
        <f t="shared" si="8"/>
        <v>78</v>
      </c>
      <c r="AB69">
        <v>4.33</v>
      </c>
      <c r="AC69" s="325">
        <f t="shared" si="21"/>
        <v>18.013856812933025</v>
      </c>
      <c r="AF69" s="325"/>
    </row>
    <row r="70" spans="1:32">
      <c r="A70" t="s">
        <v>842</v>
      </c>
      <c r="B70" t="s">
        <v>782</v>
      </c>
      <c r="C70" s="325">
        <v>0</v>
      </c>
      <c r="D70" s="325">
        <v>0</v>
      </c>
      <c r="E70" s="325">
        <v>0</v>
      </c>
      <c r="F70" s="325">
        <v>0</v>
      </c>
      <c r="G70" s="325">
        <v>0</v>
      </c>
      <c r="H70" s="325">
        <v>0</v>
      </c>
      <c r="I70" s="325">
        <v>0</v>
      </c>
      <c r="J70" s="325">
        <v>0</v>
      </c>
      <c r="K70" s="325">
        <v>0</v>
      </c>
      <c r="L70" s="325">
        <v>0</v>
      </c>
      <c r="M70" s="325">
        <v>0</v>
      </c>
      <c r="N70" s="325">
        <v>0</v>
      </c>
      <c r="O70" s="325">
        <f t="shared" si="0"/>
        <v>0</v>
      </c>
      <c r="P70">
        <v>4.33</v>
      </c>
      <c r="Q70" s="325">
        <f t="shared" si="19"/>
        <v>0</v>
      </c>
      <c r="T70" s="325"/>
      <c r="U70" s="325">
        <f t="shared" si="7"/>
        <v>0</v>
      </c>
      <c r="V70">
        <v>4.33</v>
      </c>
      <c r="W70" s="325">
        <f t="shared" si="20"/>
        <v>0</v>
      </c>
      <c r="Z70" s="325"/>
      <c r="AA70" s="325">
        <f t="shared" si="8"/>
        <v>0</v>
      </c>
      <c r="AB70">
        <v>4.33</v>
      </c>
      <c r="AC70" s="325">
        <f t="shared" si="21"/>
        <v>0</v>
      </c>
      <c r="AF70" s="325"/>
    </row>
    <row r="71" spans="1:32">
      <c r="B71" t="s">
        <v>781</v>
      </c>
      <c r="C71" s="325">
        <v>0</v>
      </c>
      <c r="D71" s="325">
        <v>0</v>
      </c>
      <c r="E71" s="325">
        <v>0</v>
      </c>
      <c r="F71" s="325">
        <v>0</v>
      </c>
      <c r="G71" s="325">
        <v>0</v>
      </c>
      <c r="H71" s="325">
        <v>0</v>
      </c>
      <c r="I71" s="325">
        <v>0</v>
      </c>
      <c r="J71" s="325">
        <v>0</v>
      </c>
      <c r="K71" s="325">
        <v>0</v>
      </c>
      <c r="L71" s="325">
        <v>0</v>
      </c>
      <c r="M71" s="325">
        <v>0</v>
      </c>
      <c r="N71" s="325">
        <v>0</v>
      </c>
      <c r="O71" s="325">
        <f t="shared" si="0"/>
        <v>0</v>
      </c>
      <c r="P71">
        <v>4.33</v>
      </c>
      <c r="Q71" s="325">
        <f t="shared" si="19"/>
        <v>0</v>
      </c>
      <c r="T71" s="325"/>
      <c r="U71" s="325">
        <f t="shared" si="7"/>
        <v>0</v>
      </c>
      <c r="V71">
        <v>4.33</v>
      </c>
      <c r="W71" s="325">
        <f t="shared" si="20"/>
        <v>0</v>
      </c>
      <c r="Z71" s="325"/>
      <c r="AA71" s="325">
        <f t="shared" si="8"/>
        <v>0</v>
      </c>
      <c r="AB71">
        <v>4.33</v>
      </c>
      <c r="AC71" s="325">
        <f t="shared" si="21"/>
        <v>0</v>
      </c>
      <c r="AF71" s="325"/>
    </row>
    <row r="72" spans="1:32">
      <c r="B72" t="s">
        <v>780</v>
      </c>
      <c r="C72" s="325">
        <v>0</v>
      </c>
      <c r="D72" s="325">
        <v>0</v>
      </c>
      <c r="E72" s="325">
        <v>0</v>
      </c>
      <c r="F72" s="325">
        <v>0</v>
      </c>
      <c r="G72" s="325">
        <v>0</v>
      </c>
      <c r="H72" s="325">
        <v>0</v>
      </c>
      <c r="I72" s="325">
        <v>0</v>
      </c>
      <c r="J72" s="325">
        <v>0</v>
      </c>
      <c r="K72" s="325">
        <v>0</v>
      </c>
      <c r="L72" s="325">
        <v>0</v>
      </c>
      <c r="M72" s="325">
        <v>0</v>
      </c>
      <c r="N72" s="325">
        <v>92</v>
      </c>
      <c r="O72" s="325">
        <f t="shared" si="0"/>
        <v>92</v>
      </c>
      <c r="P72">
        <v>4.33</v>
      </c>
      <c r="Q72" s="325">
        <f t="shared" si="19"/>
        <v>21.247113163972287</v>
      </c>
      <c r="T72" s="325"/>
      <c r="U72" s="325">
        <f t="shared" si="7"/>
        <v>0</v>
      </c>
      <c r="V72">
        <v>4.33</v>
      </c>
      <c r="W72" s="325">
        <f t="shared" si="20"/>
        <v>0</v>
      </c>
      <c r="Z72" s="325"/>
      <c r="AA72" s="325">
        <f t="shared" si="8"/>
        <v>92</v>
      </c>
      <c r="AB72">
        <v>4.33</v>
      </c>
      <c r="AC72" s="325">
        <f t="shared" si="21"/>
        <v>21.247113163972287</v>
      </c>
      <c r="AF72" s="325"/>
    </row>
    <row r="73" spans="1:32">
      <c r="A73" t="s">
        <v>841</v>
      </c>
      <c r="B73" t="s">
        <v>782</v>
      </c>
      <c r="C73" s="325">
        <v>0</v>
      </c>
      <c r="D73" s="325">
        <v>0</v>
      </c>
      <c r="E73" s="325">
        <v>0</v>
      </c>
      <c r="F73" s="325">
        <v>0</v>
      </c>
      <c r="G73" s="325">
        <v>0</v>
      </c>
      <c r="H73" s="325">
        <v>0</v>
      </c>
      <c r="I73" s="325">
        <v>0</v>
      </c>
      <c r="J73" s="325">
        <v>0</v>
      </c>
      <c r="K73" s="325">
        <v>0</v>
      </c>
      <c r="L73" s="325">
        <v>0</v>
      </c>
      <c r="M73" s="325">
        <v>0</v>
      </c>
      <c r="N73" s="325">
        <v>0</v>
      </c>
      <c r="O73" s="325">
        <f t="shared" si="0"/>
        <v>0</v>
      </c>
      <c r="P73">
        <v>4.33</v>
      </c>
      <c r="Q73" s="325">
        <f t="shared" si="19"/>
        <v>0</v>
      </c>
      <c r="T73" s="325"/>
      <c r="U73" s="325">
        <f t="shared" si="7"/>
        <v>0</v>
      </c>
      <c r="V73">
        <v>4.33</v>
      </c>
      <c r="W73" s="325">
        <f t="shared" si="20"/>
        <v>0</v>
      </c>
      <c r="Z73" s="325"/>
      <c r="AA73" s="325">
        <f t="shared" si="8"/>
        <v>0</v>
      </c>
      <c r="AB73">
        <v>4.33</v>
      </c>
      <c r="AC73" s="325">
        <f t="shared" si="21"/>
        <v>0</v>
      </c>
      <c r="AF73" s="325"/>
    </row>
    <row r="74" spans="1:32">
      <c r="B74" t="s">
        <v>781</v>
      </c>
      <c r="C74" s="325">
        <v>0</v>
      </c>
      <c r="D74" s="325">
        <v>0</v>
      </c>
      <c r="E74" s="325">
        <v>0</v>
      </c>
      <c r="F74" s="325">
        <v>0</v>
      </c>
      <c r="G74" s="325">
        <v>0</v>
      </c>
      <c r="H74" s="325">
        <v>0</v>
      </c>
      <c r="I74" s="325">
        <v>0</v>
      </c>
      <c r="J74" s="325">
        <v>0</v>
      </c>
      <c r="K74" s="325">
        <v>0</v>
      </c>
      <c r="L74" s="325">
        <v>0</v>
      </c>
      <c r="M74" s="325">
        <v>0</v>
      </c>
      <c r="N74" s="325">
        <v>0</v>
      </c>
      <c r="O74" s="325">
        <f t="shared" si="0"/>
        <v>0</v>
      </c>
      <c r="P74">
        <v>4.33</v>
      </c>
      <c r="Q74" s="325">
        <f t="shared" si="19"/>
        <v>0</v>
      </c>
      <c r="T74" s="325"/>
      <c r="U74" s="325">
        <f t="shared" si="7"/>
        <v>0</v>
      </c>
      <c r="V74">
        <v>4.33</v>
      </c>
      <c r="W74" s="325">
        <f t="shared" si="20"/>
        <v>0</v>
      </c>
      <c r="Z74" s="325"/>
      <c r="AA74" s="325">
        <f t="shared" si="8"/>
        <v>0</v>
      </c>
      <c r="AB74">
        <v>4.33</v>
      </c>
      <c r="AC74" s="325">
        <f t="shared" si="21"/>
        <v>0</v>
      </c>
      <c r="AF74" s="325"/>
    </row>
    <row r="75" spans="1:32">
      <c r="B75" t="s">
        <v>780</v>
      </c>
      <c r="C75" s="325">
        <v>0</v>
      </c>
      <c r="D75" s="325">
        <v>0</v>
      </c>
      <c r="E75" s="325">
        <v>0</v>
      </c>
      <c r="F75" s="325">
        <v>0</v>
      </c>
      <c r="G75" s="325">
        <v>0</v>
      </c>
      <c r="H75" s="325">
        <v>0</v>
      </c>
      <c r="I75" s="325">
        <v>0</v>
      </c>
      <c r="J75" s="325">
        <v>0</v>
      </c>
      <c r="K75" s="325">
        <v>0</v>
      </c>
      <c r="L75" s="325">
        <v>0</v>
      </c>
      <c r="M75" s="325">
        <v>0</v>
      </c>
      <c r="N75" s="325">
        <v>0</v>
      </c>
      <c r="O75" s="325">
        <f t="shared" si="0"/>
        <v>0</v>
      </c>
      <c r="P75">
        <v>4.33</v>
      </c>
      <c r="Q75" s="325">
        <f t="shared" si="19"/>
        <v>0</v>
      </c>
      <c r="T75" s="325"/>
      <c r="U75" s="325">
        <f t="shared" ref="U75:U138" si="22">+G75</f>
        <v>0</v>
      </c>
      <c r="V75">
        <v>4.33</v>
      </c>
      <c r="W75" s="325">
        <f t="shared" si="20"/>
        <v>0</v>
      </c>
      <c r="Z75" s="325"/>
      <c r="AA75" s="325">
        <f t="shared" ref="AA75:AA138" si="23">+N75</f>
        <v>0</v>
      </c>
      <c r="AB75">
        <v>4.33</v>
      </c>
      <c r="AC75" s="325">
        <f t="shared" si="21"/>
        <v>0</v>
      </c>
      <c r="AF75" s="325"/>
    </row>
    <row r="76" spans="1:32">
      <c r="A76" t="s">
        <v>840</v>
      </c>
      <c r="B76" t="s">
        <v>782</v>
      </c>
      <c r="C76" s="325">
        <v>0</v>
      </c>
      <c r="D76" s="325">
        <v>0</v>
      </c>
      <c r="E76" s="325">
        <v>0</v>
      </c>
      <c r="F76" s="325">
        <v>0</v>
      </c>
      <c r="G76" s="325">
        <v>0</v>
      </c>
      <c r="H76" s="325">
        <v>0</v>
      </c>
      <c r="I76" s="325">
        <v>0</v>
      </c>
      <c r="J76" s="325">
        <v>0</v>
      </c>
      <c r="K76" s="325">
        <v>0</v>
      </c>
      <c r="L76" s="325">
        <v>0</v>
      </c>
      <c r="M76" s="325">
        <v>0</v>
      </c>
      <c r="N76" s="325">
        <v>0</v>
      </c>
      <c r="O76" s="325">
        <f t="shared" si="0"/>
        <v>0</v>
      </c>
      <c r="P76">
        <v>4.33</v>
      </c>
      <c r="Q76" s="325">
        <f t="shared" si="19"/>
        <v>0</v>
      </c>
      <c r="T76" s="325"/>
      <c r="U76" s="325">
        <f t="shared" si="22"/>
        <v>0</v>
      </c>
      <c r="V76">
        <v>4.33</v>
      </c>
      <c r="W76" s="325">
        <f t="shared" si="20"/>
        <v>0</v>
      </c>
      <c r="Z76" s="325"/>
      <c r="AA76" s="325">
        <f t="shared" si="23"/>
        <v>0</v>
      </c>
      <c r="AB76">
        <v>4.33</v>
      </c>
      <c r="AC76" s="325">
        <f t="shared" si="21"/>
        <v>0</v>
      </c>
      <c r="AF76" s="325"/>
    </row>
    <row r="77" spans="1:32">
      <c r="B77" t="s">
        <v>781</v>
      </c>
      <c r="C77" s="325">
        <v>0</v>
      </c>
      <c r="D77" s="325">
        <v>0</v>
      </c>
      <c r="E77" s="325">
        <v>0</v>
      </c>
      <c r="F77" s="325">
        <v>0</v>
      </c>
      <c r="G77" s="325">
        <v>0</v>
      </c>
      <c r="H77" s="325">
        <v>0</v>
      </c>
      <c r="I77" s="325">
        <v>0</v>
      </c>
      <c r="J77" s="325">
        <v>0</v>
      </c>
      <c r="K77" s="325">
        <v>0</v>
      </c>
      <c r="L77" s="325">
        <v>0</v>
      </c>
      <c r="M77" s="325">
        <v>0</v>
      </c>
      <c r="N77" s="325">
        <v>0</v>
      </c>
      <c r="O77" s="325">
        <f t="shared" ref="O77:O140" si="24">SUM(C77:N77)</f>
        <v>0</v>
      </c>
      <c r="P77">
        <v>4.33</v>
      </c>
      <c r="Q77" s="325">
        <f t="shared" si="19"/>
        <v>0</v>
      </c>
      <c r="T77" s="325"/>
      <c r="U77" s="325">
        <f t="shared" si="22"/>
        <v>0</v>
      </c>
      <c r="V77">
        <v>4.33</v>
      </c>
      <c r="W77" s="325">
        <f t="shared" si="20"/>
        <v>0</v>
      </c>
      <c r="Z77" s="325"/>
      <c r="AA77" s="325">
        <f t="shared" si="23"/>
        <v>0</v>
      </c>
      <c r="AB77">
        <v>4.33</v>
      </c>
      <c r="AC77" s="325">
        <f t="shared" si="21"/>
        <v>0</v>
      </c>
      <c r="AF77" s="325"/>
    </row>
    <row r="78" spans="1:32">
      <c r="B78" t="s">
        <v>780</v>
      </c>
      <c r="C78" s="325">
        <v>0</v>
      </c>
      <c r="D78" s="325">
        <v>0</v>
      </c>
      <c r="E78" s="325">
        <v>0</v>
      </c>
      <c r="F78" s="325">
        <v>0</v>
      </c>
      <c r="G78" s="325">
        <v>0</v>
      </c>
      <c r="H78" s="325">
        <v>0</v>
      </c>
      <c r="I78" s="325">
        <v>0</v>
      </c>
      <c r="J78" s="325">
        <v>0</v>
      </c>
      <c r="K78" s="325">
        <v>0</v>
      </c>
      <c r="L78" s="325">
        <v>0</v>
      </c>
      <c r="M78" s="325">
        <v>0</v>
      </c>
      <c r="N78" s="325">
        <v>78</v>
      </c>
      <c r="O78" s="325">
        <f t="shared" si="24"/>
        <v>78</v>
      </c>
      <c r="P78">
        <v>4.33</v>
      </c>
      <c r="Q78" s="325">
        <f t="shared" si="19"/>
        <v>18.013856812933025</v>
      </c>
      <c r="T78" s="325"/>
      <c r="U78" s="325">
        <f t="shared" si="22"/>
        <v>0</v>
      </c>
      <c r="V78">
        <v>4.33</v>
      </c>
      <c r="W78" s="325">
        <f t="shared" si="20"/>
        <v>0</v>
      </c>
      <c r="Z78" s="325"/>
      <c r="AA78" s="325">
        <f t="shared" si="23"/>
        <v>78</v>
      </c>
      <c r="AB78">
        <v>4.33</v>
      </c>
      <c r="AC78" s="325">
        <f t="shared" si="21"/>
        <v>18.013856812933025</v>
      </c>
      <c r="AF78" s="325"/>
    </row>
    <row r="79" spans="1:32">
      <c r="A79" t="s">
        <v>839</v>
      </c>
      <c r="B79" t="s">
        <v>782</v>
      </c>
      <c r="C79" s="325">
        <v>0</v>
      </c>
      <c r="D79" s="325">
        <v>0</v>
      </c>
      <c r="E79" s="325">
        <v>0</v>
      </c>
      <c r="F79" s="325">
        <v>0</v>
      </c>
      <c r="G79" s="325">
        <v>0</v>
      </c>
      <c r="H79" s="325">
        <v>0</v>
      </c>
      <c r="I79" s="325">
        <v>0</v>
      </c>
      <c r="J79" s="325">
        <v>0</v>
      </c>
      <c r="K79" s="325">
        <v>0</v>
      </c>
      <c r="L79" s="325">
        <v>0</v>
      </c>
      <c r="M79" s="325">
        <v>0</v>
      </c>
      <c r="N79" s="325">
        <v>0</v>
      </c>
      <c r="O79" s="325">
        <f t="shared" si="24"/>
        <v>0</v>
      </c>
      <c r="P79">
        <v>4.33</v>
      </c>
      <c r="Q79" s="325">
        <f t="shared" si="19"/>
        <v>0</v>
      </c>
      <c r="T79" s="325"/>
      <c r="U79" s="325">
        <f t="shared" si="22"/>
        <v>0</v>
      </c>
      <c r="V79">
        <v>4.33</v>
      </c>
      <c r="W79" s="325">
        <f t="shared" si="20"/>
        <v>0</v>
      </c>
      <c r="Z79" s="325"/>
      <c r="AA79" s="325">
        <f t="shared" si="23"/>
        <v>0</v>
      </c>
      <c r="AB79">
        <v>4.33</v>
      </c>
      <c r="AC79" s="325">
        <f t="shared" si="21"/>
        <v>0</v>
      </c>
      <c r="AF79" s="325"/>
    </row>
    <row r="80" spans="1:32">
      <c r="B80" t="s">
        <v>781</v>
      </c>
      <c r="C80" s="325">
        <v>0</v>
      </c>
      <c r="D80" s="325">
        <v>0</v>
      </c>
      <c r="E80" s="325">
        <v>0</v>
      </c>
      <c r="F80" s="325">
        <v>0</v>
      </c>
      <c r="G80" s="325">
        <v>0</v>
      </c>
      <c r="H80" s="325">
        <v>0</v>
      </c>
      <c r="I80" s="325">
        <v>0</v>
      </c>
      <c r="J80" s="325">
        <v>0</v>
      </c>
      <c r="K80" s="325">
        <v>0</v>
      </c>
      <c r="L80" s="325">
        <v>0</v>
      </c>
      <c r="M80" s="325">
        <v>0</v>
      </c>
      <c r="N80" s="325">
        <v>0</v>
      </c>
      <c r="O80" s="325">
        <f t="shared" si="24"/>
        <v>0</v>
      </c>
      <c r="P80">
        <v>4.33</v>
      </c>
      <c r="Q80" s="325">
        <f t="shared" si="19"/>
        <v>0</v>
      </c>
      <c r="T80" s="325"/>
      <c r="U80" s="325">
        <f t="shared" si="22"/>
        <v>0</v>
      </c>
      <c r="V80">
        <v>4.33</v>
      </c>
      <c r="W80" s="325">
        <f t="shared" si="20"/>
        <v>0</v>
      </c>
      <c r="Z80" s="325"/>
      <c r="AA80" s="325">
        <f t="shared" si="23"/>
        <v>0</v>
      </c>
      <c r="AB80">
        <v>4.33</v>
      </c>
      <c r="AC80" s="325">
        <f t="shared" si="21"/>
        <v>0</v>
      </c>
      <c r="AF80" s="325"/>
    </row>
    <row r="81" spans="1:32">
      <c r="B81" t="s">
        <v>780</v>
      </c>
      <c r="C81" s="325">
        <v>0</v>
      </c>
      <c r="D81" s="325">
        <v>0</v>
      </c>
      <c r="E81" s="325">
        <v>0</v>
      </c>
      <c r="F81" s="325">
        <v>0</v>
      </c>
      <c r="G81" s="325">
        <v>0</v>
      </c>
      <c r="H81" s="325">
        <v>0</v>
      </c>
      <c r="I81" s="325">
        <v>0</v>
      </c>
      <c r="J81" s="325">
        <v>0</v>
      </c>
      <c r="K81" s="325">
        <v>0</v>
      </c>
      <c r="L81" s="325">
        <v>0</v>
      </c>
      <c r="M81" s="325">
        <v>0</v>
      </c>
      <c r="N81" s="325">
        <v>26</v>
      </c>
      <c r="O81" s="325">
        <f t="shared" si="24"/>
        <v>26</v>
      </c>
      <c r="P81">
        <v>4.33</v>
      </c>
      <c r="Q81" s="325">
        <f t="shared" si="19"/>
        <v>6.0046189376443415</v>
      </c>
      <c r="T81" s="325"/>
      <c r="U81" s="325">
        <f t="shared" si="22"/>
        <v>0</v>
      </c>
      <c r="V81">
        <v>4.33</v>
      </c>
      <c r="W81" s="325">
        <f t="shared" si="20"/>
        <v>0</v>
      </c>
      <c r="Z81" s="325"/>
      <c r="AA81" s="325">
        <f t="shared" si="23"/>
        <v>26</v>
      </c>
      <c r="AB81">
        <v>4.33</v>
      </c>
      <c r="AC81" s="325">
        <f t="shared" si="21"/>
        <v>6.0046189376443415</v>
      </c>
      <c r="AF81" s="325"/>
    </row>
    <row r="82" spans="1:32">
      <c r="A82" t="s">
        <v>838</v>
      </c>
      <c r="B82" t="s">
        <v>782</v>
      </c>
      <c r="C82" s="325">
        <v>0</v>
      </c>
      <c r="D82" s="325">
        <v>0</v>
      </c>
      <c r="E82" s="325">
        <v>0</v>
      </c>
      <c r="F82" s="325">
        <v>0</v>
      </c>
      <c r="G82" s="325">
        <v>0</v>
      </c>
      <c r="H82" s="325">
        <v>0</v>
      </c>
      <c r="I82" s="325">
        <v>0</v>
      </c>
      <c r="J82" s="325">
        <v>0</v>
      </c>
      <c r="K82" s="325">
        <v>0</v>
      </c>
      <c r="L82" s="325">
        <v>0</v>
      </c>
      <c r="M82" s="325">
        <v>0</v>
      </c>
      <c r="N82" s="325">
        <v>0</v>
      </c>
      <c r="O82" s="325">
        <f t="shared" si="24"/>
        <v>0</v>
      </c>
      <c r="P82">
        <v>4.33</v>
      </c>
      <c r="Q82" s="325">
        <f t="shared" si="19"/>
        <v>0</v>
      </c>
      <c r="T82" s="325"/>
      <c r="U82" s="325">
        <f t="shared" si="22"/>
        <v>0</v>
      </c>
      <c r="V82">
        <v>4.33</v>
      </c>
      <c r="W82" s="325">
        <f t="shared" si="20"/>
        <v>0</v>
      </c>
      <c r="Z82" s="325"/>
      <c r="AA82" s="325">
        <f t="shared" si="23"/>
        <v>0</v>
      </c>
      <c r="AB82">
        <v>4.33</v>
      </c>
      <c r="AC82" s="325">
        <f t="shared" si="21"/>
        <v>0</v>
      </c>
      <c r="AF82" s="325"/>
    </row>
    <row r="83" spans="1:32">
      <c r="B83" t="s">
        <v>781</v>
      </c>
      <c r="C83" s="325">
        <v>0</v>
      </c>
      <c r="D83" s="325">
        <v>0</v>
      </c>
      <c r="E83" s="325">
        <v>0</v>
      </c>
      <c r="F83" s="325">
        <v>0</v>
      </c>
      <c r="G83" s="325">
        <v>0</v>
      </c>
      <c r="H83" s="325">
        <v>0</v>
      </c>
      <c r="I83" s="325">
        <v>0</v>
      </c>
      <c r="J83" s="325">
        <v>0</v>
      </c>
      <c r="K83" s="325">
        <v>0</v>
      </c>
      <c r="L83" s="325">
        <v>0</v>
      </c>
      <c r="M83" s="325">
        <v>0</v>
      </c>
      <c r="N83" s="325">
        <v>0</v>
      </c>
      <c r="O83" s="325">
        <f t="shared" si="24"/>
        <v>0</v>
      </c>
      <c r="P83">
        <v>4.33</v>
      </c>
      <c r="Q83" s="325">
        <f t="shared" si="19"/>
        <v>0</v>
      </c>
      <c r="T83" s="325"/>
      <c r="U83" s="325">
        <f t="shared" si="22"/>
        <v>0</v>
      </c>
      <c r="V83">
        <v>4.33</v>
      </c>
      <c r="W83" s="325">
        <f t="shared" si="20"/>
        <v>0</v>
      </c>
      <c r="Z83" s="325"/>
      <c r="AA83" s="325">
        <f t="shared" si="23"/>
        <v>0</v>
      </c>
      <c r="AB83">
        <v>4.33</v>
      </c>
      <c r="AC83" s="325">
        <f t="shared" si="21"/>
        <v>0</v>
      </c>
      <c r="AF83" s="325"/>
    </row>
    <row r="84" spans="1:32">
      <c r="B84" t="s">
        <v>780</v>
      </c>
      <c r="C84" s="325">
        <v>0</v>
      </c>
      <c r="D84" s="325">
        <v>0</v>
      </c>
      <c r="E84" s="325">
        <v>0</v>
      </c>
      <c r="F84" s="325">
        <v>0</v>
      </c>
      <c r="G84" s="325">
        <v>0</v>
      </c>
      <c r="H84" s="325">
        <v>0</v>
      </c>
      <c r="I84" s="325">
        <v>0</v>
      </c>
      <c r="J84" s="325">
        <v>0</v>
      </c>
      <c r="K84" s="325">
        <v>0</v>
      </c>
      <c r="L84" s="325">
        <v>0</v>
      </c>
      <c r="M84" s="325">
        <v>0</v>
      </c>
      <c r="N84" s="325">
        <v>0</v>
      </c>
      <c r="O84" s="325">
        <f t="shared" si="24"/>
        <v>0</v>
      </c>
      <c r="P84">
        <v>4.33</v>
      </c>
      <c r="Q84" s="325">
        <f t="shared" si="19"/>
        <v>0</v>
      </c>
      <c r="T84" s="325"/>
      <c r="U84" s="325">
        <f t="shared" si="22"/>
        <v>0</v>
      </c>
      <c r="V84">
        <v>4.33</v>
      </c>
      <c r="W84" s="325">
        <f t="shared" si="20"/>
        <v>0</v>
      </c>
      <c r="Z84" s="325"/>
      <c r="AA84" s="325">
        <f t="shared" si="23"/>
        <v>0</v>
      </c>
      <c r="AB84">
        <v>4.33</v>
      </c>
      <c r="AC84" s="325">
        <f t="shared" si="21"/>
        <v>0</v>
      </c>
      <c r="AF84" s="325"/>
    </row>
    <row r="85" spans="1:32">
      <c r="A85" t="s">
        <v>837</v>
      </c>
      <c r="B85" t="s">
        <v>782</v>
      </c>
      <c r="C85" s="325">
        <v>0</v>
      </c>
      <c r="D85" s="325">
        <v>0</v>
      </c>
      <c r="E85" s="325">
        <v>0</v>
      </c>
      <c r="F85" s="325">
        <v>0</v>
      </c>
      <c r="G85" s="325">
        <v>0</v>
      </c>
      <c r="H85" s="325">
        <v>0</v>
      </c>
      <c r="I85" s="325">
        <v>0</v>
      </c>
      <c r="J85" s="325">
        <v>0</v>
      </c>
      <c r="K85" s="325">
        <v>0</v>
      </c>
      <c r="L85" s="325">
        <v>0</v>
      </c>
      <c r="M85" s="325">
        <v>0</v>
      </c>
      <c r="N85" s="325">
        <v>3446.5</v>
      </c>
      <c r="O85" s="325">
        <f t="shared" si="24"/>
        <v>3446.5</v>
      </c>
      <c r="R85" s="325">
        <f>+O85+Q85</f>
        <v>3446.5</v>
      </c>
      <c r="T85" s="325"/>
      <c r="U85" s="325">
        <f t="shared" si="22"/>
        <v>0</v>
      </c>
      <c r="X85" s="325">
        <f>+U85+W85</f>
        <v>0</v>
      </c>
      <c r="Z85" s="325"/>
      <c r="AA85" s="325">
        <f t="shared" si="23"/>
        <v>3446.5</v>
      </c>
      <c r="AD85" s="325">
        <f>+AA85+AC85</f>
        <v>3446.5</v>
      </c>
      <c r="AF85" s="325"/>
    </row>
    <row r="86" spans="1:32">
      <c r="B86" t="s">
        <v>781</v>
      </c>
      <c r="C86" s="325">
        <v>0</v>
      </c>
      <c r="D86" s="325">
        <v>0</v>
      </c>
      <c r="E86" s="325">
        <v>0</v>
      </c>
      <c r="F86" s="325">
        <v>0</v>
      </c>
      <c r="G86" s="325">
        <v>0</v>
      </c>
      <c r="H86" s="325">
        <v>0</v>
      </c>
      <c r="I86" s="325">
        <v>0</v>
      </c>
      <c r="J86" s="325">
        <v>0</v>
      </c>
      <c r="K86" s="325">
        <v>0</v>
      </c>
      <c r="L86" s="325">
        <v>0</v>
      </c>
      <c r="M86" s="325">
        <v>0</v>
      </c>
      <c r="N86" s="325">
        <v>332</v>
      </c>
      <c r="O86" s="325">
        <f t="shared" si="24"/>
        <v>332</v>
      </c>
      <c r="R86" s="325">
        <f>+O86+Q86</f>
        <v>332</v>
      </c>
      <c r="T86" s="325"/>
      <c r="U86" s="325">
        <f t="shared" si="22"/>
        <v>0</v>
      </c>
      <c r="X86" s="325">
        <f>+U86+W86</f>
        <v>0</v>
      </c>
      <c r="Z86" s="325"/>
      <c r="AA86" s="325">
        <f t="shared" si="23"/>
        <v>332</v>
      </c>
      <c r="AD86" s="325">
        <f>+AA86+AC86</f>
        <v>332</v>
      </c>
      <c r="AF86" s="325"/>
    </row>
    <row r="87" spans="1:32">
      <c r="B87" t="s">
        <v>780</v>
      </c>
      <c r="C87" s="325">
        <v>0</v>
      </c>
      <c r="D87" s="325">
        <v>0</v>
      </c>
      <c r="E87" s="325">
        <v>0</v>
      </c>
      <c r="F87" s="325">
        <v>0</v>
      </c>
      <c r="G87" s="325">
        <v>0</v>
      </c>
      <c r="H87" s="325">
        <v>0</v>
      </c>
      <c r="I87" s="325">
        <v>0</v>
      </c>
      <c r="J87" s="325">
        <v>0</v>
      </c>
      <c r="K87" s="325">
        <v>0</v>
      </c>
      <c r="L87" s="325">
        <v>0</v>
      </c>
      <c r="M87" s="325">
        <v>0</v>
      </c>
      <c r="N87" s="325">
        <v>290</v>
      </c>
      <c r="O87" s="325">
        <f t="shared" si="24"/>
        <v>290</v>
      </c>
      <c r="R87" s="325">
        <f>+O87+Q87</f>
        <v>290</v>
      </c>
      <c r="T87" s="325"/>
      <c r="U87" s="325">
        <f t="shared" si="22"/>
        <v>0</v>
      </c>
      <c r="X87" s="325">
        <f>+U87+W87</f>
        <v>0</v>
      </c>
      <c r="Z87" s="325"/>
      <c r="AA87" s="325">
        <f t="shared" si="23"/>
        <v>290</v>
      </c>
      <c r="AD87" s="325">
        <f>+AA87+AC87</f>
        <v>290</v>
      </c>
      <c r="AF87" s="325"/>
    </row>
    <row r="88" spans="1:32">
      <c r="A88" t="s">
        <v>836</v>
      </c>
      <c r="B88" t="s">
        <v>782</v>
      </c>
      <c r="C88" s="325">
        <v>0</v>
      </c>
      <c r="D88" s="325">
        <v>0</v>
      </c>
      <c r="E88" s="325">
        <v>0</v>
      </c>
      <c r="F88" s="325">
        <v>0</v>
      </c>
      <c r="G88" s="325">
        <v>0</v>
      </c>
      <c r="H88" s="325">
        <v>0</v>
      </c>
      <c r="I88" s="325">
        <v>0</v>
      </c>
      <c r="J88" s="325">
        <v>0</v>
      </c>
      <c r="K88" s="325">
        <v>0</v>
      </c>
      <c r="L88" s="325">
        <v>0</v>
      </c>
      <c r="M88" s="325">
        <v>0</v>
      </c>
      <c r="N88" s="325">
        <v>0</v>
      </c>
      <c r="O88" s="325">
        <f t="shared" si="24"/>
        <v>0</v>
      </c>
      <c r="P88" s="325">
        <f t="shared" ref="P88:P99" si="25">+O88</f>
        <v>0</v>
      </c>
      <c r="Q88" s="84">
        <f>+O88*3</f>
        <v>0</v>
      </c>
      <c r="T88" s="325"/>
      <c r="U88" s="325">
        <f t="shared" si="22"/>
        <v>0</v>
      </c>
      <c r="V88" s="325">
        <f t="shared" ref="V88:V99" si="26">+U88</f>
        <v>0</v>
      </c>
      <c r="W88" s="84">
        <f>+U88*3</f>
        <v>0</v>
      </c>
      <c r="Z88" s="325"/>
      <c r="AA88" s="325">
        <f t="shared" si="23"/>
        <v>0</v>
      </c>
      <c r="AB88" s="325">
        <f t="shared" ref="AB88:AB99" si="27">+AA88</f>
        <v>0</v>
      </c>
      <c r="AC88" s="84">
        <f>+AA88*3</f>
        <v>0</v>
      </c>
      <c r="AF88" s="325"/>
    </row>
    <row r="89" spans="1:32">
      <c r="B89" t="s">
        <v>781</v>
      </c>
      <c r="C89" s="325">
        <v>0</v>
      </c>
      <c r="D89" s="325">
        <v>0</v>
      </c>
      <c r="E89" s="325">
        <v>0</v>
      </c>
      <c r="F89" s="325">
        <v>0</v>
      </c>
      <c r="G89" s="325">
        <v>0</v>
      </c>
      <c r="H89" s="325">
        <v>0</v>
      </c>
      <c r="I89" s="325">
        <v>0</v>
      </c>
      <c r="J89" s="325">
        <v>0</v>
      </c>
      <c r="K89" s="325">
        <v>0</v>
      </c>
      <c r="L89" s="325">
        <v>0</v>
      </c>
      <c r="M89" s="325">
        <v>0</v>
      </c>
      <c r="N89" s="325">
        <v>0</v>
      </c>
      <c r="O89" s="325">
        <f t="shared" si="24"/>
        <v>0</v>
      </c>
      <c r="P89" s="325">
        <f t="shared" si="25"/>
        <v>0</v>
      </c>
      <c r="Q89" s="84">
        <f>+O89*3</f>
        <v>0</v>
      </c>
      <c r="R89" s="325"/>
      <c r="T89" s="325"/>
      <c r="U89" s="325">
        <f t="shared" si="22"/>
        <v>0</v>
      </c>
      <c r="V89" s="325">
        <f t="shared" si="26"/>
        <v>0</v>
      </c>
      <c r="W89" s="84">
        <f>+U89*3</f>
        <v>0</v>
      </c>
      <c r="X89" s="325"/>
      <c r="Z89" s="325"/>
      <c r="AA89" s="325">
        <f t="shared" si="23"/>
        <v>0</v>
      </c>
      <c r="AB89" s="325">
        <f t="shared" si="27"/>
        <v>0</v>
      </c>
      <c r="AC89" s="84">
        <f>+AA89*3</f>
        <v>0</v>
      </c>
      <c r="AD89" s="325"/>
      <c r="AF89" s="325"/>
    </row>
    <row r="90" spans="1:32">
      <c r="B90" t="s">
        <v>780</v>
      </c>
      <c r="C90" s="325">
        <v>0</v>
      </c>
      <c r="D90" s="325">
        <v>0</v>
      </c>
      <c r="E90" s="325">
        <v>0</v>
      </c>
      <c r="F90" s="325">
        <v>0</v>
      </c>
      <c r="G90" s="325">
        <v>0</v>
      </c>
      <c r="H90" s="325">
        <v>0</v>
      </c>
      <c r="I90" s="325">
        <v>0</v>
      </c>
      <c r="J90" s="325">
        <v>0</v>
      </c>
      <c r="K90" s="325">
        <v>0</v>
      </c>
      <c r="L90" s="325">
        <v>0</v>
      </c>
      <c r="M90" s="325">
        <v>0</v>
      </c>
      <c r="N90" s="325">
        <v>0</v>
      </c>
      <c r="O90" s="325">
        <f t="shared" si="24"/>
        <v>0</v>
      </c>
      <c r="P90" s="325">
        <f t="shared" si="25"/>
        <v>0</v>
      </c>
      <c r="Q90" s="84">
        <f>+O90*3</f>
        <v>0</v>
      </c>
      <c r="R90" s="325"/>
      <c r="T90" s="325"/>
      <c r="U90" s="325">
        <f t="shared" si="22"/>
        <v>0</v>
      </c>
      <c r="V90" s="325">
        <f t="shared" si="26"/>
        <v>0</v>
      </c>
      <c r="W90" s="84">
        <f>+U90*3</f>
        <v>0</v>
      </c>
      <c r="X90" s="325"/>
      <c r="Z90" s="325"/>
      <c r="AA90" s="325">
        <f t="shared" si="23"/>
        <v>0</v>
      </c>
      <c r="AB90" s="325">
        <f t="shared" si="27"/>
        <v>0</v>
      </c>
      <c r="AC90" s="84">
        <f>+AA90*3</f>
        <v>0</v>
      </c>
      <c r="AD90" s="325"/>
      <c r="AF90" s="325"/>
    </row>
    <row r="91" spans="1:32">
      <c r="A91" t="s">
        <v>835</v>
      </c>
      <c r="B91" t="s">
        <v>782</v>
      </c>
      <c r="C91" s="325">
        <v>0</v>
      </c>
      <c r="D91" s="325">
        <v>0</v>
      </c>
      <c r="E91" s="325">
        <v>0</v>
      </c>
      <c r="F91" s="325">
        <v>0</v>
      </c>
      <c r="G91" s="325">
        <v>0</v>
      </c>
      <c r="H91" s="325">
        <v>0</v>
      </c>
      <c r="I91" s="325">
        <v>0</v>
      </c>
      <c r="J91" s="325">
        <v>0</v>
      </c>
      <c r="K91" s="325">
        <v>0</v>
      </c>
      <c r="L91" s="325">
        <v>0</v>
      </c>
      <c r="M91" s="325">
        <v>0</v>
      </c>
      <c r="N91" s="325">
        <v>0</v>
      </c>
      <c r="O91" s="325">
        <f t="shared" si="24"/>
        <v>0</v>
      </c>
      <c r="P91" s="325">
        <f t="shared" si="25"/>
        <v>0</v>
      </c>
      <c r="Q91" s="84">
        <f>+O91*4</f>
        <v>0</v>
      </c>
      <c r="R91" s="325"/>
      <c r="T91" s="325"/>
      <c r="U91" s="325">
        <f t="shared" si="22"/>
        <v>0</v>
      </c>
      <c r="V91" s="325">
        <f t="shared" si="26"/>
        <v>0</v>
      </c>
      <c r="W91" s="84">
        <f>+U91*4</f>
        <v>0</v>
      </c>
      <c r="X91" s="325"/>
      <c r="Z91" s="325"/>
      <c r="AA91" s="325">
        <f t="shared" si="23"/>
        <v>0</v>
      </c>
      <c r="AB91" s="325">
        <f t="shared" si="27"/>
        <v>0</v>
      </c>
      <c r="AC91" s="84">
        <f>+AA91*4</f>
        <v>0</v>
      </c>
      <c r="AD91" s="325"/>
      <c r="AF91" s="325"/>
    </row>
    <row r="92" spans="1:32">
      <c r="B92" t="s">
        <v>781</v>
      </c>
      <c r="C92" s="325">
        <v>0</v>
      </c>
      <c r="D92" s="325">
        <v>0</v>
      </c>
      <c r="E92" s="325">
        <v>0</v>
      </c>
      <c r="F92" s="325">
        <v>0</v>
      </c>
      <c r="G92" s="325">
        <v>0</v>
      </c>
      <c r="H92" s="325">
        <v>0</v>
      </c>
      <c r="I92" s="325">
        <v>0</v>
      </c>
      <c r="J92" s="325">
        <v>0</v>
      </c>
      <c r="K92" s="325">
        <v>0</v>
      </c>
      <c r="L92" s="325">
        <v>0</v>
      </c>
      <c r="M92" s="325">
        <v>0</v>
      </c>
      <c r="N92" s="325">
        <v>0</v>
      </c>
      <c r="O92" s="325">
        <f t="shared" si="24"/>
        <v>0</v>
      </c>
      <c r="P92" s="325">
        <f t="shared" si="25"/>
        <v>0</v>
      </c>
      <c r="Q92" s="84">
        <f>+O92*4</f>
        <v>0</v>
      </c>
      <c r="R92" s="325"/>
      <c r="T92" s="325"/>
      <c r="U92" s="325">
        <f t="shared" si="22"/>
        <v>0</v>
      </c>
      <c r="V92" s="325">
        <f t="shared" si="26"/>
        <v>0</v>
      </c>
      <c r="W92" s="84">
        <f>+U92*4</f>
        <v>0</v>
      </c>
      <c r="X92" s="325"/>
      <c r="Z92" s="325"/>
      <c r="AA92" s="325">
        <f t="shared" si="23"/>
        <v>0</v>
      </c>
      <c r="AB92" s="325">
        <f t="shared" si="27"/>
        <v>0</v>
      </c>
      <c r="AC92" s="84">
        <f>+AA92*4</f>
        <v>0</v>
      </c>
      <c r="AD92" s="325"/>
      <c r="AF92" s="325"/>
    </row>
    <row r="93" spans="1:32">
      <c r="B93" t="s">
        <v>780</v>
      </c>
      <c r="C93" s="325">
        <v>0</v>
      </c>
      <c r="D93" s="325">
        <v>0</v>
      </c>
      <c r="E93" s="325">
        <v>0</v>
      </c>
      <c r="F93" s="325">
        <v>0</v>
      </c>
      <c r="G93" s="325">
        <v>0</v>
      </c>
      <c r="H93" s="325">
        <v>0</v>
      </c>
      <c r="I93" s="325">
        <v>0</v>
      </c>
      <c r="J93" s="325">
        <v>0</v>
      </c>
      <c r="K93" s="325">
        <v>0</v>
      </c>
      <c r="L93" s="325">
        <v>0</v>
      </c>
      <c r="M93" s="325">
        <v>0</v>
      </c>
      <c r="N93" s="325">
        <v>0</v>
      </c>
      <c r="O93" s="325">
        <f t="shared" si="24"/>
        <v>0</v>
      </c>
      <c r="P93" s="325">
        <f t="shared" si="25"/>
        <v>0</v>
      </c>
      <c r="Q93" s="84">
        <f>+O93*4</f>
        <v>0</v>
      </c>
      <c r="R93" s="325"/>
      <c r="T93" s="325"/>
      <c r="U93" s="325">
        <f t="shared" si="22"/>
        <v>0</v>
      </c>
      <c r="V93" s="325">
        <f t="shared" si="26"/>
        <v>0</v>
      </c>
      <c r="W93" s="84">
        <f>+U93*4</f>
        <v>0</v>
      </c>
      <c r="X93" s="325"/>
      <c r="Z93" s="325"/>
      <c r="AA93" s="325">
        <f t="shared" si="23"/>
        <v>0</v>
      </c>
      <c r="AB93" s="325">
        <f t="shared" si="27"/>
        <v>0</v>
      </c>
      <c r="AC93" s="84">
        <f>+AA93*4</f>
        <v>0</v>
      </c>
      <c r="AD93" s="325"/>
      <c r="AF93" s="325"/>
    </row>
    <row r="94" spans="1:32">
      <c r="A94" t="s">
        <v>834</v>
      </c>
      <c r="B94" t="s">
        <v>782</v>
      </c>
      <c r="C94" s="325">
        <v>0</v>
      </c>
      <c r="D94" s="325">
        <v>0</v>
      </c>
      <c r="E94" s="325">
        <v>0</v>
      </c>
      <c r="F94" s="325">
        <v>0</v>
      </c>
      <c r="G94" s="325">
        <v>0</v>
      </c>
      <c r="H94" s="325">
        <v>0</v>
      </c>
      <c r="I94" s="325">
        <v>0</v>
      </c>
      <c r="J94" s="325">
        <v>0</v>
      </c>
      <c r="K94" s="325">
        <v>0</v>
      </c>
      <c r="L94" s="325">
        <v>0</v>
      </c>
      <c r="M94" s="325">
        <v>0</v>
      </c>
      <c r="N94" s="325">
        <v>0</v>
      </c>
      <c r="O94" s="325">
        <f t="shared" si="24"/>
        <v>0</v>
      </c>
      <c r="P94" s="325">
        <f t="shared" si="25"/>
        <v>0</v>
      </c>
      <c r="Q94" s="84"/>
      <c r="R94" s="325">
        <f t="shared" ref="R94:S96" si="28">+P88+P91+P94+P97+P100+P103+P106+P109+P112+P115+P118</f>
        <v>0</v>
      </c>
      <c r="S94" s="325">
        <f t="shared" si="28"/>
        <v>0</v>
      </c>
      <c r="T94" s="325"/>
      <c r="U94" s="325">
        <f t="shared" si="22"/>
        <v>0</v>
      </c>
      <c r="V94" s="325">
        <f t="shared" si="26"/>
        <v>0</v>
      </c>
      <c r="W94" s="84"/>
      <c r="X94" s="325">
        <f t="shared" ref="X94:Y96" si="29">+V88+V91+V94+V97+V100+V103+V106+V109+V112+V115+V118</f>
        <v>0</v>
      </c>
      <c r="Y94" s="325">
        <f t="shared" si="29"/>
        <v>0</v>
      </c>
      <c r="Z94" s="325"/>
      <c r="AA94" s="325">
        <f t="shared" si="23"/>
        <v>0</v>
      </c>
      <c r="AB94" s="325">
        <f t="shared" si="27"/>
        <v>0</v>
      </c>
      <c r="AC94" s="84"/>
      <c r="AD94" s="325">
        <f t="shared" ref="AD94:AE96" si="30">+AB88+AB91+AB94+AB97+AB100+AB103+AB106+AB109+AB112+AB115+AB118</f>
        <v>0</v>
      </c>
      <c r="AE94" s="325">
        <f t="shared" si="30"/>
        <v>0</v>
      </c>
      <c r="AF94" s="325"/>
    </row>
    <row r="95" spans="1:32">
      <c r="B95" t="s">
        <v>781</v>
      </c>
      <c r="C95" s="325">
        <v>0</v>
      </c>
      <c r="D95" s="325">
        <v>0</v>
      </c>
      <c r="E95" s="325">
        <v>0</v>
      </c>
      <c r="F95" s="325">
        <v>0</v>
      </c>
      <c r="G95" s="325">
        <v>0</v>
      </c>
      <c r="H95" s="325">
        <v>0</v>
      </c>
      <c r="I95" s="325">
        <v>0</v>
      </c>
      <c r="J95" s="325">
        <v>0</v>
      </c>
      <c r="K95" s="325">
        <v>0</v>
      </c>
      <c r="L95" s="325">
        <v>0</v>
      </c>
      <c r="M95" s="325">
        <v>0</v>
      </c>
      <c r="N95" s="325">
        <v>0</v>
      </c>
      <c r="O95" s="325">
        <f t="shared" si="24"/>
        <v>0</v>
      </c>
      <c r="P95" s="325">
        <f t="shared" si="25"/>
        <v>0</v>
      </c>
      <c r="Q95" s="84"/>
      <c r="R95" s="325">
        <f t="shared" si="28"/>
        <v>0</v>
      </c>
      <c r="S95" s="325">
        <f t="shared" si="28"/>
        <v>0</v>
      </c>
      <c r="T95" s="325"/>
      <c r="U95" s="325">
        <f t="shared" si="22"/>
        <v>0</v>
      </c>
      <c r="V95" s="325">
        <f t="shared" si="26"/>
        <v>0</v>
      </c>
      <c r="W95" s="84"/>
      <c r="X95" s="325">
        <f t="shared" si="29"/>
        <v>0</v>
      </c>
      <c r="Y95" s="325">
        <f t="shared" si="29"/>
        <v>0</v>
      </c>
      <c r="Z95" s="325"/>
      <c r="AA95" s="325">
        <f t="shared" si="23"/>
        <v>0</v>
      </c>
      <c r="AB95" s="325">
        <f t="shared" si="27"/>
        <v>0</v>
      </c>
      <c r="AC95" s="84"/>
      <c r="AD95" s="325">
        <f t="shared" si="30"/>
        <v>0</v>
      </c>
      <c r="AE95" s="325">
        <f t="shared" si="30"/>
        <v>0</v>
      </c>
      <c r="AF95" s="325"/>
    </row>
    <row r="96" spans="1:32">
      <c r="B96" t="s">
        <v>780</v>
      </c>
      <c r="C96" s="325">
        <v>0</v>
      </c>
      <c r="D96" s="325">
        <v>0</v>
      </c>
      <c r="E96" s="325">
        <v>0</v>
      </c>
      <c r="F96" s="325">
        <v>0</v>
      </c>
      <c r="G96" s="325">
        <v>0</v>
      </c>
      <c r="H96" s="325">
        <v>0</v>
      </c>
      <c r="I96" s="325">
        <v>0</v>
      </c>
      <c r="J96" s="325">
        <v>0</v>
      </c>
      <c r="K96" s="325">
        <v>0</v>
      </c>
      <c r="L96" s="325">
        <v>0</v>
      </c>
      <c r="M96" s="325">
        <v>0</v>
      </c>
      <c r="N96" s="325">
        <v>0</v>
      </c>
      <c r="O96" s="325">
        <f t="shared" si="24"/>
        <v>0</v>
      </c>
      <c r="P96" s="325">
        <f t="shared" si="25"/>
        <v>0</v>
      </c>
      <c r="Q96" s="84"/>
      <c r="R96" s="325">
        <f t="shared" si="28"/>
        <v>0</v>
      </c>
      <c r="S96" s="325">
        <f t="shared" si="28"/>
        <v>0</v>
      </c>
      <c r="T96" s="325"/>
      <c r="U96" s="325">
        <f t="shared" si="22"/>
        <v>0</v>
      </c>
      <c r="V96" s="325">
        <f t="shared" si="26"/>
        <v>0</v>
      </c>
      <c r="W96" s="84"/>
      <c r="X96" s="325">
        <f t="shared" si="29"/>
        <v>0</v>
      </c>
      <c r="Y96" s="325">
        <f t="shared" si="29"/>
        <v>0</v>
      </c>
      <c r="Z96" s="325"/>
      <c r="AA96" s="325">
        <f t="shared" si="23"/>
        <v>0</v>
      </c>
      <c r="AB96" s="325">
        <f t="shared" si="27"/>
        <v>0</v>
      </c>
      <c r="AC96" s="84"/>
      <c r="AD96" s="325">
        <f t="shared" si="30"/>
        <v>0</v>
      </c>
      <c r="AE96" s="325">
        <f t="shared" si="30"/>
        <v>0</v>
      </c>
      <c r="AF96" s="325"/>
    </row>
    <row r="97" spans="1:32">
      <c r="A97" t="s">
        <v>833</v>
      </c>
      <c r="B97" t="s">
        <v>782</v>
      </c>
      <c r="C97" s="325">
        <v>0</v>
      </c>
      <c r="D97" s="325">
        <v>0</v>
      </c>
      <c r="E97" s="325">
        <v>0</v>
      </c>
      <c r="F97" s="325">
        <v>0</v>
      </c>
      <c r="G97" s="325">
        <v>0</v>
      </c>
      <c r="H97" s="325">
        <v>0</v>
      </c>
      <c r="I97" s="325">
        <v>0</v>
      </c>
      <c r="J97" s="325">
        <v>0</v>
      </c>
      <c r="K97" s="325">
        <v>0</v>
      </c>
      <c r="L97" s="325">
        <v>0</v>
      </c>
      <c r="M97" s="325">
        <v>0</v>
      </c>
      <c r="N97" s="325">
        <v>0</v>
      </c>
      <c r="O97" s="325">
        <f t="shared" si="24"/>
        <v>0</v>
      </c>
      <c r="P97" s="325">
        <f t="shared" si="25"/>
        <v>0</v>
      </c>
      <c r="Q97" s="84">
        <f>+O97</f>
        <v>0</v>
      </c>
      <c r="R97" s="325"/>
      <c r="T97" s="325"/>
      <c r="U97" s="325">
        <f t="shared" si="22"/>
        <v>0</v>
      </c>
      <c r="V97" s="325">
        <f t="shared" si="26"/>
        <v>0</v>
      </c>
      <c r="W97" s="84">
        <f>+U97</f>
        <v>0</v>
      </c>
      <c r="X97" s="325"/>
      <c r="Z97" s="325"/>
      <c r="AA97" s="325">
        <f t="shared" si="23"/>
        <v>0</v>
      </c>
      <c r="AB97" s="325">
        <f t="shared" si="27"/>
        <v>0</v>
      </c>
      <c r="AC97" s="84">
        <f>+AA97</f>
        <v>0</v>
      </c>
      <c r="AD97" s="325"/>
      <c r="AF97" s="325"/>
    </row>
    <row r="98" spans="1:32">
      <c r="B98" t="s">
        <v>781</v>
      </c>
      <c r="C98" s="325">
        <v>0</v>
      </c>
      <c r="D98" s="325">
        <v>0</v>
      </c>
      <c r="E98" s="325">
        <v>0</v>
      </c>
      <c r="F98" s="325">
        <v>0</v>
      </c>
      <c r="G98" s="325">
        <v>0</v>
      </c>
      <c r="H98" s="325">
        <v>0</v>
      </c>
      <c r="I98" s="325">
        <v>0</v>
      </c>
      <c r="J98" s="325">
        <v>0</v>
      </c>
      <c r="K98" s="325">
        <v>0</v>
      </c>
      <c r="L98" s="325">
        <v>0</v>
      </c>
      <c r="M98" s="325">
        <v>0</v>
      </c>
      <c r="N98" s="325">
        <v>0</v>
      </c>
      <c r="O98" s="325">
        <f t="shared" si="24"/>
        <v>0</v>
      </c>
      <c r="P98" s="325">
        <f t="shared" si="25"/>
        <v>0</v>
      </c>
      <c r="Q98" s="84">
        <f>+O98</f>
        <v>0</v>
      </c>
      <c r="R98" s="325"/>
      <c r="T98" s="325"/>
      <c r="U98" s="325">
        <f t="shared" si="22"/>
        <v>0</v>
      </c>
      <c r="V98" s="325">
        <f t="shared" si="26"/>
        <v>0</v>
      </c>
      <c r="W98" s="84">
        <f>+U98</f>
        <v>0</v>
      </c>
      <c r="X98" s="325"/>
      <c r="Z98" s="325"/>
      <c r="AA98" s="325">
        <f t="shared" si="23"/>
        <v>0</v>
      </c>
      <c r="AB98" s="325">
        <f t="shared" si="27"/>
        <v>0</v>
      </c>
      <c r="AC98" s="84">
        <f>+AA98</f>
        <v>0</v>
      </c>
      <c r="AD98" s="325"/>
      <c r="AF98" s="325"/>
    </row>
    <row r="99" spans="1:32">
      <c r="B99" t="s">
        <v>780</v>
      </c>
      <c r="C99" s="325">
        <v>0</v>
      </c>
      <c r="D99" s="325">
        <v>0</v>
      </c>
      <c r="E99" s="325">
        <v>0</v>
      </c>
      <c r="F99" s="325">
        <v>0</v>
      </c>
      <c r="G99" s="325">
        <v>0</v>
      </c>
      <c r="H99" s="325">
        <v>0</v>
      </c>
      <c r="I99" s="325">
        <v>0</v>
      </c>
      <c r="J99" s="325">
        <v>0</v>
      </c>
      <c r="K99" s="325">
        <v>0</v>
      </c>
      <c r="L99" s="325">
        <v>0</v>
      </c>
      <c r="M99" s="325">
        <v>0</v>
      </c>
      <c r="N99" s="325">
        <v>0</v>
      </c>
      <c r="O99" s="325">
        <f t="shared" si="24"/>
        <v>0</v>
      </c>
      <c r="P99" s="325">
        <f t="shared" si="25"/>
        <v>0</v>
      </c>
      <c r="Q99" s="84">
        <f>+O99</f>
        <v>0</v>
      </c>
      <c r="R99" s="325"/>
      <c r="T99" s="325"/>
      <c r="U99" s="325">
        <f t="shared" si="22"/>
        <v>0</v>
      </c>
      <c r="V99" s="325">
        <f t="shared" si="26"/>
        <v>0</v>
      </c>
      <c r="W99" s="84">
        <f>+U99</f>
        <v>0</v>
      </c>
      <c r="X99" s="325"/>
      <c r="Z99" s="325"/>
      <c r="AA99" s="325">
        <f t="shared" si="23"/>
        <v>0</v>
      </c>
      <c r="AB99" s="325">
        <f t="shared" si="27"/>
        <v>0</v>
      </c>
      <c r="AC99" s="84">
        <f>+AA99</f>
        <v>0</v>
      </c>
      <c r="AD99" s="325"/>
      <c r="AF99" s="325"/>
    </row>
    <row r="100" spans="1:32">
      <c r="A100" t="s">
        <v>832</v>
      </c>
      <c r="B100" t="s">
        <v>782</v>
      </c>
      <c r="C100" s="325">
        <v>0</v>
      </c>
      <c r="D100" s="325">
        <v>0</v>
      </c>
      <c r="E100" s="325">
        <v>0</v>
      </c>
      <c r="F100" s="325">
        <v>0</v>
      </c>
      <c r="G100" s="325">
        <v>0</v>
      </c>
      <c r="H100" s="325">
        <v>0</v>
      </c>
      <c r="I100" s="325">
        <v>0</v>
      </c>
      <c r="J100" s="325">
        <v>0</v>
      </c>
      <c r="K100" s="325">
        <v>0</v>
      </c>
      <c r="L100" s="325">
        <v>0</v>
      </c>
      <c r="M100" s="325">
        <v>0</v>
      </c>
      <c r="N100" s="325">
        <v>0</v>
      </c>
      <c r="O100" s="325">
        <f t="shared" si="24"/>
        <v>0</v>
      </c>
      <c r="P100" s="325">
        <f t="shared" ref="P100:P108" si="31">+O100*2</f>
        <v>0</v>
      </c>
      <c r="Q100" s="84">
        <f>+O100*6</f>
        <v>0</v>
      </c>
      <c r="R100" s="325"/>
      <c r="T100" s="325"/>
      <c r="U100" s="325">
        <f t="shared" si="22"/>
        <v>0</v>
      </c>
      <c r="V100" s="325">
        <f t="shared" ref="V100:V108" si="32">+U100*2</f>
        <v>0</v>
      </c>
      <c r="W100" s="84">
        <f>+U100*6</f>
        <v>0</v>
      </c>
      <c r="X100" s="325"/>
      <c r="Z100" s="325"/>
      <c r="AA100" s="325">
        <f t="shared" si="23"/>
        <v>0</v>
      </c>
      <c r="AB100" s="325">
        <f t="shared" ref="AB100:AB108" si="33">+AA100*2</f>
        <v>0</v>
      </c>
      <c r="AC100" s="84">
        <f>+AA100*6</f>
        <v>0</v>
      </c>
      <c r="AD100" s="325"/>
      <c r="AF100" s="325"/>
    </row>
    <row r="101" spans="1:32">
      <c r="B101" t="s">
        <v>781</v>
      </c>
      <c r="C101" s="325">
        <v>0</v>
      </c>
      <c r="D101" s="325">
        <v>0</v>
      </c>
      <c r="E101" s="325">
        <v>0</v>
      </c>
      <c r="F101" s="325">
        <v>0</v>
      </c>
      <c r="G101" s="325">
        <v>0</v>
      </c>
      <c r="H101" s="325">
        <v>0</v>
      </c>
      <c r="I101" s="325">
        <v>0</v>
      </c>
      <c r="J101" s="325">
        <v>0</v>
      </c>
      <c r="K101" s="325">
        <v>0</v>
      </c>
      <c r="L101" s="325">
        <v>0</v>
      </c>
      <c r="M101" s="325">
        <v>0</v>
      </c>
      <c r="N101" s="325">
        <v>0</v>
      </c>
      <c r="O101" s="325">
        <f t="shared" si="24"/>
        <v>0</v>
      </c>
      <c r="P101" s="325">
        <f t="shared" si="31"/>
        <v>0</v>
      </c>
      <c r="Q101" s="84">
        <f>+O101*6</f>
        <v>0</v>
      </c>
      <c r="R101" s="325"/>
      <c r="T101" s="325"/>
      <c r="U101" s="325">
        <f t="shared" si="22"/>
        <v>0</v>
      </c>
      <c r="V101" s="325">
        <f t="shared" si="32"/>
        <v>0</v>
      </c>
      <c r="W101" s="84">
        <f>+U101*6</f>
        <v>0</v>
      </c>
      <c r="X101" s="325"/>
      <c r="Z101" s="325"/>
      <c r="AA101" s="325">
        <f t="shared" si="23"/>
        <v>0</v>
      </c>
      <c r="AB101" s="325">
        <f t="shared" si="33"/>
        <v>0</v>
      </c>
      <c r="AC101" s="84">
        <f>+AA101*6</f>
        <v>0</v>
      </c>
      <c r="AD101" s="325"/>
      <c r="AF101" s="325"/>
    </row>
    <row r="102" spans="1:32">
      <c r="B102" t="s">
        <v>780</v>
      </c>
      <c r="C102" s="325">
        <v>0</v>
      </c>
      <c r="D102" s="325">
        <v>0</v>
      </c>
      <c r="E102" s="325">
        <v>0</v>
      </c>
      <c r="F102" s="325">
        <v>0</v>
      </c>
      <c r="G102" s="325">
        <v>0</v>
      </c>
      <c r="H102" s="325">
        <v>0</v>
      </c>
      <c r="I102" s="325">
        <v>0</v>
      </c>
      <c r="J102" s="325">
        <v>0</v>
      </c>
      <c r="K102" s="325">
        <v>0</v>
      </c>
      <c r="L102" s="325">
        <v>0</v>
      </c>
      <c r="M102" s="325">
        <v>0</v>
      </c>
      <c r="N102" s="325">
        <v>0</v>
      </c>
      <c r="O102" s="325">
        <f t="shared" si="24"/>
        <v>0</v>
      </c>
      <c r="P102" s="325">
        <f t="shared" si="31"/>
        <v>0</v>
      </c>
      <c r="Q102" s="84">
        <f>+O102*6</f>
        <v>0</v>
      </c>
      <c r="R102" s="325"/>
      <c r="T102" s="325"/>
      <c r="U102" s="325">
        <f t="shared" si="22"/>
        <v>0</v>
      </c>
      <c r="V102" s="325">
        <f t="shared" si="32"/>
        <v>0</v>
      </c>
      <c r="W102" s="84">
        <f>+U102*6</f>
        <v>0</v>
      </c>
      <c r="X102" s="325"/>
      <c r="Z102" s="325"/>
      <c r="AA102" s="325">
        <f t="shared" si="23"/>
        <v>0</v>
      </c>
      <c r="AB102" s="325">
        <f t="shared" si="33"/>
        <v>0</v>
      </c>
      <c r="AC102" s="84">
        <f>+AA102*6</f>
        <v>0</v>
      </c>
      <c r="AD102" s="325"/>
      <c r="AF102" s="325"/>
    </row>
    <row r="103" spans="1:32">
      <c r="A103" t="s">
        <v>831</v>
      </c>
      <c r="B103" t="s">
        <v>782</v>
      </c>
      <c r="C103" s="325">
        <v>0</v>
      </c>
      <c r="D103" s="325">
        <v>0</v>
      </c>
      <c r="E103" s="325">
        <v>0</v>
      </c>
      <c r="F103" s="325">
        <v>0</v>
      </c>
      <c r="G103" s="325">
        <v>0</v>
      </c>
      <c r="H103" s="325">
        <v>0</v>
      </c>
      <c r="I103" s="325">
        <v>0</v>
      </c>
      <c r="J103" s="325">
        <v>0</v>
      </c>
      <c r="K103" s="325">
        <v>0</v>
      </c>
      <c r="L103" s="325">
        <v>0</v>
      </c>
      <c r="M103" s="325">
        <v>0</v>
      </c>
      <c r="N103" s="325">
        <v>0</v>
      </c>
      <c r="O103" s="325">
        <f t="shared" si="24"/>
        <v>0</v>
      </c>
      <c r="P103" s="84">
        <f t="shared" si="31"/>
        <v>0</v>
      </c>
      <c r="Q103" s="84"/>
      <c r="R103" s="325"/>
      <c r="T103" s="325"/>
      <c r="U103" s="325">
        <f t="shared" si="22"/>
        <v>0</v>
      </c>
      <c r="V103" s="84">
        <f t="shared" si="32"/>
        <v>0</v>
      </c>
      <c r="W103" s="84"/>
      <c r="X103" s="325"/>
      <c r="Z103" s="325"/>
      <c r="AA103" s="325">
        <f t="shared" si="23"/>
        <v>0</v>
      </c>
      <c r="AB103" s="84">
        <f t="shared" si="33"/>
        <v>0</v>
      </c>
      <c r="AC103" s="84"/>
      <c r="AD103" s="325"/>
      <c r="AF103" s="325"/>
    </row>
    <row r="104" spans="1:32">
      <c r="B104" t="s">
        <v>781</v>
      </c>
      <c r="C104" s="325">
        <v>0</v>
      </c>
      <c r="D104" s="325">
        <v>0</v>
      </c>
      <c r="E104" s="325">
        <v>0</v>
      </c>
      <c r="F104" s="325">
        <v>0</v>
      </c>
      <c r="G104" s="325">
        <v>0</v>
      </c>
      <c r="H104" s="325">
        <v>0</v>
      </c>
      <c r="I104" s="325">
        <v>0</v>
      </c>
      <c r="J104" s="325">
        <v>0</v>
      </c>
      <c r="K104" s="325">
        <v>0</v>
      </c>
      <c r="L104" s="325">
        <v>0</v>
      </c>
      <c r="M104" s="325">
        <v>0</v>
      </c>
      <c r="N104" s="325">
        <v>0</v>
      </c>
      <c r="O104" s="325">
        <f t="shared" si="24"/>
        <v>0</v>
      </c>
      <c r="P104" s="84">
        <f t="shared" si="31"/>
        <v>0</v>
      </c>
      <c r="Q104" s="84"/>
      <c r="R104" s="325"/>
      <c r="T104" s="325"/>
      <c r="U104" s="325">
        <f t="shared" si="22"/>
        <v>0</v>
      </c>
      <c r="V104" s="84">
        <f t="shared" si="32"/>
        <v>0</v>
      </c>
      <c r="W104" s="84"/>
      <c r="X104" s="325"/>
      <c r="Z104" s="325"/>
      <c r="AA104" s="325">
        <f t="shared" si="23"/>
        <v>0</v>
      </c>
      <c r="AB104" s="84">
        <f t="shared" si="33"/>
        <v>0</v>
      </c>
      <c r="AC104" s="84"/>
      <c r="AD104" s="325"/>
      <c r="AF104" s="325"/>
    </row>
    <row r="105" spans="1:32">
      <c r="B105" t="s">
        <v>780</v>
      </c>
      <c r="C105" s="325">
        <v>0</v>
      </c>
      <c r="D105" s="325">
        <v>0</v>
      </c>
      <c r="E105" s="325">
        <v>0</v>
      </c>
      <c r="F105" s="325">
        <v>0</v>
      </c>
      <c r="G105" s="325">
        <v>0</v>
      </c>
      <c r="H105" s="325">
        <v>0</v>
      </c>
      <c r="I105" s="325">
        <v>0</v>
      </c>
      <c r="J105" s="325">
        <v>0</v>
      </c>
      <c r="K105" s="325">
        <v>0</v>
      </c>
      <c r="L105" s="325">
        <v>0</v>
      </c>
      <c r="M105" s="325">
        <v>0</v>
      </c>
      <c r="N105" s="325">
        <v>0</v>
      </c>
      <c r="O105" s="325">
        <f t="shared" si="24"/>
        <v>0</v>
      </c>
      <c r="P105" s="84">
        <f t="shared" si="31"/>
        <v>0</v>
      </c>
      <c r="Q105" s="84"/>
      <c r="R105" s="325"/>
      <c r="T105" s="325"/>
      <c r="U105" s="325">
        <f t="shared" si="22"/>
        <v>0</v>
      </c>
      <c r="V105" s="84">
        <f t="shared" si="32"/>
        <v>0</v>
      </c>
      <c r="W105" s="84"/>
      <c r="X105" s="325"/>
      <c r="Z105" s="325"/>
      <c r="AA105" s="325">
        <f t="shared" si="23"/>
        <v>0</v>
      </c>
      <c r="AB105" s="84">
        <f t="shared" si="33"/>
        <v>0</v>
      </c>
      <c r="AC105" s="84"/>
      <c r="AD105" s="325"/>
      <c r="AF105" s="325"/>
    </row>
    <row r="106" spans="1:32">
      <c r="A106" t="s">
        <v>830</v>
      </c>
      <c r="B106" t="s">
        <v>782</v>
      </c>
      <c r="C106" s="325">
        <v>0</v>
      </c>
      <c r="D106" s="325">
        <v>0</v>
      </c>
      <c r="E106" s="325">
        <v>0</v>
      </c>
      <c r="F106" s="325">
        <v>0</v>
      </c>
      <c r="G106" s="325">
        <v>0</v>
      </c>
      <c r="H106" s="325">
        <v>0</v>
      </c>
      <c r="I106" s="325">
        <v>0</v>
      </c>
      <c r="J106" s="325">
        <v>0</v>
      </c>
      <c r="K106" s="325">
        <v>0</v>
      </c>
      <c r="L106" s="325">
        <v>0</v>
      </c>
      <c r="M106" s="325">
        <v>0</v>
      </c>
      <c r="N106" s="325">
        <v>0</v>
      </c>
      <c r="O106" s="325">
        <f t="shared" si="24"/>
        <v>0</v>
      </c>
      <c r="P106" s="84">
        <f t="shared" si="31"/>
        <v>0</v>
      </c>
      <c r="Q106" s="84">
        <f>+O106*2</f>
        <v>0</v>
      </c>
      <c r="R106" s="325"/>
      <c r="T106" s="325"/>
      <c r="U106" s="325">
        <f t="shared" si="22"/>
        <v>0</v>
      </c>
      <c r="V106" s="84">
        <f t="shared" si="32"/>
        <v>0</v>
      </c>
      <c r="W106" s="84">
        <f>+U106*2</f>
        <v>0</v>
      </c>
      <c r="X106" s="325"/>
      <c r="Z106" s="325"/>
      <c r="AA106" s="325">
        <f t="shared" si="23"/>
        <v>0</v>
      </c>
      <c r="AB106" s="84">
        <f t="shared" si="33"/>
        <v>0</v>
      </c>
      <c r="AC106" s="84">
        <f>+AA106*2</f>
        <v>0</v>
      </c>
      <c r="AD106" s="325"/>
      <c r="AF106" s="325"/>
    </row>
    <row r="107" spans="1:32">
      <c r="B107" t="s">
        <v>781</v>
      </c>
      <c r="C107" s="325">
        <v>0</v>
      </c>
      <c r="D107" s="325">
        <v>0</v>
      </c>
      <c r="E107" s="325">
        <v>0</v>
      </c>
      <c r="F107" s="325">
        <v>0</v>
      </c>
      <c r="G107" s="325">
        <v>0</v>
      </c>
      <c r="H107" s="325">
        <v>0</v>
      </c>
      <c r="I107" s="325">
        <v>0</v>
      </c>
      <c r="J107" s="325">
        <v>0</v>
      </c>
      <c r="K107" s="325">
        <v>0</v>
      </c>
      <c r="L107" s="325">
        <v>0</v>
      </c>
      <c r="M107" s="325">
        <v>0</v>
      </c>
      <c r="N107" s="325">
        <v>0</v>
      </c>
      <c r="O107" s="325">
        <f t="shared" si="24"/>
        <v>0</v>
      </c>
      <c r="P107" s="84">
        <f t="shared" si="31"/>
        <v>0</v>
      </c>
      <c r="Q107" s="84">
        <f>+O107*2</f>
        <v>0</v>
      </c>
      <c r="R107" s="325"/>
      <c r="T107" s="325"/>
      <c r="U107" s="325">
        <f t="shared" si="22"/>
        <v>0</v>
      </c>
      <c r="V107" s="84">
        <f t="shared" si="32"/>
        <v>0</v>
      </c>
      <c r="W107" s="84">
        <f>+U107*2</f>
        <v>0</v>
      </c>
      <c r="X107" s="325"/>
      <c r="Z107" s="325"/>
      <c r="AA107" s="325">
        <f t="shared" si="23"/>
        <v>0</v>
      </c>
      <c r="AB107" s="84">
        <f t="shared" si="33"/>
        <v>0</v>
      </c>
      <c r="AC107" s="84">
        <f>+AA107*2</f>
        <v>0</v>
      </c>
      <c r="AD107" s="325"/>
      <c r="AF107" s="325"/>
    </row>
    <row r="108" spans="1:32">
      <c r="B108" t="s">
        <v>780</v>
      </c>
      <c r="C108" s="325">
        <v>0</v>
      </c>
      <c r="D108" s="325">
        <v>0</v>
      </c>
      <c r="E108" s="325">
        <v>0</v>
      </c>
      <c r="F108" s="325">
        <v>0</v>
      </c>
      <c r="G108" s="325">
        <v>0</v>
      </c>
      <c r="H108" s="325">
        <v>0</v>
      </c>
      <c r="I108" s="325">
        <v>0</v>
      </c>
      <c r="J108" s="325">
        <v>0</v>
      </c>
      <c r="K108" s="325">
        <v>0</v>
      </c>
      <c r="L108" s="325">
        <v>0</v>
      </c>
      <c r="M108" s="325">
        <v>0</v>
      </c>
      <c r="N108" s="325">
        <v>0</v>
      </c>
      <c r="O108" s="325">
        <f t="shared" si="24"/>
        <v>0</v>
      </c>
      <c r="P108" s="84">
        <f t="shared" si="31"/>
        <v>0</v>
      </c>
      <c r="Q108" s="84">
        <f>+O108*2</f>
        <v>0</v>
      </c>
      <c r="R108" s="325"/>
      <c r="T108" s="325"/>
      <c r="U108" s="325">
        <f t="shared" si="22"/>
        <v>0</v>
      </c>
      <c r="V108" s="84">
        <f t="shared" si="32"/>
        <v>0</v>
      </c>
      <c r="W108" s="84">
        <f>+U108*2</f>
        <v>0</v>
      </c>
      <c r="X108" s="325"/>
      <c r="Z108" s="325"/>
      <c r="AA108" s="325">
        <f t="shared" si="23"/>
        <v>0</v>
      </c>
      <c r="AB108" s="84">
        <f t="shared" si="33"/>
        <v>0</v>
      </c>
      <c r="AC108" s="84">
        <f>+AA108*2</f>
        <v>0</v>
      </c>
      <c r="AD108" s="325"/>
      <c r="AF108" s="325"/>
    </row>
    <row r="109" spans="1:32">
      <c r="A109" t="s">
        <v>829</v>
      </c>
      <c r="B109" t="s">
        <v>782</v>
      </c>
      <c r="C109" s="325">
        <v>0</v>
      </c>
      <c r="D109" s="325">
        <v>0</v>
      </c>
      <c r="E109" s="325">
        <v>0</v>
      </c>
      <c r="F109" s="325">
        <v>0</v>
      </c>
      <c r="G109" s="325">
        <v>0</v>
      </c>
      <c r="H109" s="325">
        <v>0</v>
      </c>
      <c r="I109" s="325">
        <v>0</v>
      </c>
      <c r="J109" s="325">
        <v>0</v>
      </c>
      <c r="K109" s="325">
        <v>0</v>
      </c>
      <c r="L109" s="325">
        <v>0</v>
      </c>
      <c r="M109" s="325">
        <v>0</v>
      </c>
      <c r="N109" s="325">
        <v>0</v>
      </c>
      <c r="O109" s="325">
        <f t="shared" si="24"/>
        <v>0</v>
      </c>
      <c r="P109" s="84">
        <f t="shared" ref="P109:P114" si="34">+O109*3</f>
        <v>0</v>
      </c>
      <c r="Q109" s="84"/>
      <c r="R109" s="325"/>
      <c r="T109" s="325"/>
      <c r="U109" s="325">
        <f t="shared" si="22"/>
        <v>0</v>
      </c>
      <c r="V109" s="84">
        <f t="shared" ref="V109:V114" si="35">+U109*3</f>
        <v>0</v>
      </c>
      <c r="W109" s="84"/>
      <c r="X109" s="325"/>
      <c r="Z109" s="325"/>
      <c r="AA109" s="325">
        <f t="shared" si="23"/>
        <v>0</v>
      </c>
      <c r="AB109" s="84">
        <f t="shared" ref="AB109:AB114" si="36">+AA109*3</f>
        <v>0</v>
      </c>
      <c r="AC109" s="84"/>
      <c r="AD109" s="325"/>
      <c r="AF109" s="325"/>
    </row>
    <row r="110" spans="1:32">
      <c r="B110" t="s">
        <v>781</v>
      </c>
      <c r="C110" s="325">
        <v>0</v>
      </c>
      <c r="D110" s="325">
        <v>0</v>
      </c>
      <c r="E110" s="325">
        <v>0</v>
      </c>
      <c r="F110" s="325">
        <v>0</v>
      </c>
      <c r="G110" s="325">
        <v>0</v>
      </c>
      <c r="H110" s="325">
        <v>0</v>
      </c>
      <c r="I110" s="325">
        <v>0</v>
      </c>
      <c r="J110" s="325">
        <v>0</v>
      </c>
      <c r="K110" s="325">
        <v>0</v>
      </c>
      <c r="L110" s="325">
        <v>0</v>
      </c>
      <c r="M110" s="325">
        <v>0</v>
      </c>
      <c r="N110" s="325">
        <v>0</v>
      </c>
      <c r="O110" s="325">
        <f t="shared" si="24"/>
        <v>0</v>
      </c>
      <c r="P110" s="84">
        <f t="shared" si="34"/>
        <v>0</v>
      </c>
      <c r="Q110" s="84"/>
      <c r="R110" s="325"/>
      <c r="T110" s="325"/>
      <c r="U110" s="325">
        <f t="shared" si="22"/>
        <v>0</v>
      </c>
      <c r="V110" s="84">
        <f t="shared" si="35"/>
        <v>0</v>
      </c>
      <c r="W110" s="84"/>
      <c r="X110" s="325"/>
      <c r="Z110" s="325"/>
      <c r="AA110" s="325">
        <f t="shared" si="23"/>
        <v>0</v>
      </c>
      <c r="AB110" s="84">
        <f t="shared" si="36"/>
        <v>0</v>
      </c>
      <c r="AC110" s="84"/>
      <c r="AD110" s="325"/>
      <c r="AF110" s="325"/>
    </row>
    <row r="111" spans="1:32">
      <c r="B111" t="s">
        <v>780</v>
      </c>
      <c r="C111" s="325">
        <v>0</v>
      </c>
      <c r="D111" s="325">
        <v>0</v>
      </c>
      <c r="E111" s="325">
        <v>0</v>
      </c>
      <c r="F111" s="325">
        <v>0</v>
      </c>
      <c r="G111" s="325">
        <v>0</v>
      </c>
      <c r="H111" s="325">
        <v>0</v>
      </c>
      <c r="I111" s="325">
        <v>0</v>
      </c>
      <c r="J111" s="325">
        <v>0</v>
      </c>
      <c r="K111" s="325">
        <v>0</v>
      </c>
      <c r="L111" s="325">
        <v>0</v>
      </c>
      <c r="M111" s="325">
        <v>0</v>
      </c>
      <c r="N111" s="325">
        <v>0</v>
      </c>
      <c r="O111" s="325">
        <f t="shared" si="24"/>
        <v>0</v>
      </c>
      <c r="P111" s="84">
        <f t="shared" si="34"/>
        <v>0</v>
      </c>
      <c r="Q111" s="84"/>
      <c r="R111" s="325"/>
      <c r="T111" s="325"/>
      <c r="U111" s="325">
        <f t="shared" si="22"/>
        <v>0</v>
      </c>
      <c r="V111" s="84">
        <f t="shared" si="35"/>
        <v>0</v>
      </c>
      <c r="W111" s="84"/>
      <c r="X111" s="325"/>
      <c r="Z111" s="325"/>
      <c r="AA111" s="325">
        <f t="shared" si="23"/>
        <v>0</v>
      </c>
      <c r="AB111" s="84">
        <f t="shared" si="36"/>
        <v>0</v>
      </c>
      <c r="AC111" s="84"/>
      <c r="AD111" s="325"/>
      <c r="AF111" s="325"/>
    </row>
    <row r="112" spans="1:32">
      <c r="A112" t="s">
        <v>828</v>
      </c>
      <c r="B112" t="s">
        <v>782</v>
      </c>
      <c r="C112" s="325">
        <v>0</v>
      </c>
      <c r="D112" s="325">
        <v>0</v>
      </c>
      <c r="E112" s="325">
        <v>0</v>
      </c>
      <c r="F112" s="325">
        <v>0</v>
      </c>
      <c r="G112" s="325">
        <v>0</v>
      </c>
      <c r="H112" s="325">
        <v>0</v>
      </c>
      <c r="I112" s="325">
        <v>0</v>
      </c>
      <c r="J112" s="325">
        <v>0</v>
      </c>
      <c r="K112" s="325">
        <v>0</v>
      </c>
      <c r="L112" s="325">
        <v>0</v>
      </c>
      <c r="M112" s="325">
        <v>0</v>
      </c>
      <c r="N112" s="325">
        <v>0</v>
      </c>
      <c r="O112" s="325">
        <f t="shared" si="24"/>
        <v>0</v>
      </c>
      <c r="P112" s="84">
        <f t="shared" si="34"/>
        <v>0</v>
      </c>
      <c r="Q112" s="84">
        <f>+O112*3</f>
        <v>0</v>
      </c>
      <c r="R112" s="325"/>
      <c r="T112" s="325"/>
      <c r="U112" s="325">
        <f t="shared" si="22"/>
        <v>0</v>
      </c>
      <c r="V112" s="84">
        <f t="shared" si="35"/>
        <v>0</v>
      </c>
      <c r="W112" s="84">
        <f>+U112*3</f>
        <v>0</v>
      </c>
      <c r="X112" s="325"/>
      <c r="Z112" s="325"/>
      <c r="AA112" s="325">
        <f t="shared" si="23"/>
        <v>0</v>
      </c>
      <c r="AB112" s="84">
        <f t="shared" si="36"/>
        <v>0</v>
      </c>
      <c r="AC112" s="84">
        <f>+AA112*3</f>
        <v>0</v>
      </c>
      <c r="AD112" s="325"/>
      <c r="AF112" s="325"/>
    </row>
    <row r="113" spans="1:32">
      <c r="B113" t="s">
        <v>781</v>
      </c>
      <c r="C113" s="325">
        <v>0</v>
      </c>
      <c r="D113" s="325">
        <v>0</v>
      </c>
      <c r="E113" s="325">
        <v>0</v>
      </c>
      <c r="F113" s="325">
        <v>0</v>
      </c>
      <c r="G113" s="325">
        <v>0</v>
      </c>
      <c r="H113" s="325">
        <v>0</v>
      </c>
      <c r="I113" s="325">
        <v>0</v>
      </c>
      <c r="J113" s="325">
        <v>0</v>
      </c>
      <c r="K113" s="325">
        <v>0</v>
      </c>
      <c r="L113" s="325">
        <v>0</v>
      </c>
      <c r="M113" s="325">
        <v>0</v>
      </c>
      <c r="N113" s="325">
        <v>0</v>
      </c>
      <c r="O113" s="325">
        <f t="shared" si="24"/>
        <v>0</v>
      </c>
      <c r="P113" s="84">
        <f t="shared" si="34"/>
        <v>0</v>
      </c>
      <c r="Q113" s="84">
        <f>+O113*3</f>
        <v>0</v>
      </c>
      <c r="R113" s="325"/>
      <c r="T113" s="325"/>
      <c r="U113" s="325">
        <f t="shared" si="22"/>
        <v>0</v>
      </c>
      <c r="V113" s="84">
        <f t="shared" si="35"/>
        <v>0</v>
      </c>
      <c r="W113" s="84">
        <f>+U113*3</f>
        <v>0</v>
      </c>
      <c r="X113" s="325"/>
      <c r="Z113" s="325"/>
      <c r="AA113" s="325">
        <f t="shared" si="23"/>
        <v>0</v>
      </c>
      <c r="AB113" s="84">
        <f t="shared" si="36"/>
        <v>0</v>
      </c>
      <c r="AC113" s="84">
        <f>+AA113*3</f>
        <v>0</v>
      </c>
      <c r="AD113" s="325"/>
      <c r="AF113" s="325"/>
    </row>
    <row r="114" spans="1:32">
      <c r="B114" t="s">
        <v>780</v>
      </c>
      <c r="C114" s="325">
        <v>0</v>
      </c>
      <c r="D114" s="325">
        <v>0</v>
      </c>
      <c r="E114" s="325">
        <v>0</v>
      </c>
      <c r="F114" s="325">
        <v>0</v>
      </c>
      <c r="G114" s="325">
        <v>0</v>
      </c>
      <c r="H114" s="325">
        <v>0</v>
      </c>
      <c r="I114" s="325">
        <v>0</v>
      </c>
      <c r="J114" s="325">
        <v>0</v>
      </c>
      <c r="K114" s="325">
        <v>0</v>
      </c>
      <c r="L114" s="325">
        <v>0</v>
      </c>
      <c r="M114" s="325">
        <v>0</v>
      </c>
      <c r="N114" s="325">
        <v>0</v>
      </c>
      <c r="O114" s="325">
        <f t="shared" si="24"/>
        <v>0</v>
      </c>
      <c r="P114" s="84">
        <f t="shared" si="34"/>
        <v>0</v>
      </c>
      <c r="Q114" s="84">
        <f>+O114*3</f>
        <v>0</v>
      </c>
      <c r="R114" s="325"/>
      <c r="T114" s="325"/>
      <c r="U114" s="325">
        <f t="shared" si="22"/>
        <v>0</v>
      </c>
      <c r="V114" s="84">
        <f t="shared" si="35"/>
        <v>0</v>
      </c>
      <c r="W114" s="84">
        <f>+U114*3</f>
        <v>0</v>
      </c>
      <c r="X114" s="325"/>
      <c r="Z114" s="325"/>
      <c r="AA114" s="325">
        <f t="shared" si="23"/>
        <v>0</v>
      </c>
      <c r="AB114" s="84">
        <f t="shared" si="36"/>
        <v>0</v>
      </c>
      <c r="AC114" s="84">
        <f>+AA114*3</f>
        <v>0</v>
      </c>
      <c r="AD114" s="325"/>
      <c r="AF114" s="325"/>
    </row>
    <row r="115" spans="1:32">
      <c r="A115" t="s">
        <v>827</v>
      </c>
      <c r="B115" t="s">
        <v>782</v>
      </c>
      <c r="C115" s="325">
        <v>0</v>
      </c>
      <c r="D115" s="325">
        <v>0</v>
      </c>
      <c r="E115" s="325">
        <v>0</v>
      </c>
      <c r="F115" s="325">
        <v>0</v>
      </c>
      <c r="G115" s="325">
        <v>0</v>
      </c>
      <c r="H115" s="325">
        <v>0</v>
      </c>
      <c r="I115" s="325">
        <v>0</v>
      </c>
      <c r="J115" s="325">
        <v>0</v>
      </c>
      <c r="K115" s="325">
        <v>0</v>
      </c>
      <c r="L115" s="325">
        <v>0</v>
      </c>
      <c r="M115" s="325">
        <v>0</v>
      </c>
      <c r="N115" s="325">
        <v>0</v>
      </c>
      <c r="O115" s="325">
        <f t="shared" si="24"/>
        <v>0</v>
      </c>
      <c r="P115" s="84">
        <f t="shared" ref="P115:P120" si="37">+O115*4</f>
        <v>0</v>
      </c>
      <c r="Q115" s="84"/>
      <c r="R115" s="325"/>
      <c r="T115" s="325"/>
      <c r="U115" s="325">
        <f t="shared" si="22"/>
        <v>0</v>
      </c>
      <c r="V115" s="84">
        <f t="shared" ref="V115:V120" si="38">+U115*4</f>
        <v>0</v>
      </c>
      <c r="W115" s="84"/>
      <c r="X115" s="325"/>
      <c r="Z115" s="325"/>
      <c r="AA115" s="325">
        <f t="shared" si="23"/>
        <v>0</v>
      </c>
      <c r="AB115" s="84">
        <f t="shared" ref="AB115:AB120" si="39">+AA115*4</f>
        <v>0</v>
      </c>
      <c r="AC115" s="84"/>
      <c r="AD115" s="325"/>
      <c r="AF115" s="325"/>
    </row>
    <row r="116" spans="1:32">
      <c r="B116" t="s">
        <v>781</v>
      </c>
      <c r="C116" s="325">
        <v>0</v>
      </c>
      <c r="D116" s="325">
        <v>0</v>
      </c>
      <c r="E116" s="325">
        <v>0</v>
      </c>
      <c r="F116" s="325">
        <v>0</v>
      </c>
      <c r="G116" s="325">
        <v>0</v>
      </c>
      <c r="H116" s="325">
        <v>0</v>
      </c>
      <c r="I116" s="325">
        <v>0</v>
      </c>
      <c r="J116" s="325">
        <v>0</v>
      </c>
      <c r="K116" s="325">
        <v>0</v>
      </c>
      <c r="L116" s="325">
        <v>0</v>
      </c>
      <c r="M116" s="325">
        <v>0</v>
      </c>
      <c r="N116" s="325">
        <v>0</v>
      </c>
      <c r="O116" s="325">
        <f t="shared" si="24"/>
        <v>0</v>
      </c>
      <c r="P116" s="84">
        <f t="shared" si="37"/>
        <v>0</v>
      </c>
      <c r="Q116" s="84"/>
      <c r="R116" s="325"/>
      <c r="T116" s="325"/>
      <c r="U116" s="325">
        <f t="shared" si="22"/>
        <v>0</v>
      </c>
      <c r="V116" s="84">
        <f t="shared" si="38"/>
        <v>0</v>
      </c>
      <c r="W116" s="84"/>
      <c r="X116" s="325"/>
      <c r="Z116" s="325"/>
      <c r="AA116" s="325">
        <f t="shared" si="23"/>
        <v>0</v>
      </c>
      <c r="AB116" s="84">
        <f t="shared" si="39"/>
        <v>0</v>
      </c>
      <c r="AC116" s="84"/>
      <c r="AD116" s="325"/>
      <c r="AF116" s="325"/>
    </row>
    <row r="117" spans="1:32">
      <c r="B117" t="s">
        <v>780</v>
      </c>
      <c r="C117" s="325">
        <v>0</v>
      </c>
      <c r="D117" s="325">
        <v>0</v>
      </c>
      <c r="E117" s="325">
        <v>0</v>
      </c>
      <c r="F117" s="325">
        <v>0</v>
      </c>
      <c r="G117" s="325">
        <v>0</v>
      </c>
      <c r="H117" s="325">
        <v>0</v>
      </c>
      <c r="I117" s="325">
        <v>0</v>
      </c>
      <c r="J117" s="325">
        <v>0</v>
      </c>
      <c r="K117" s="325">
        <v>0</v>
      </c>
      <c r="L117" s="325">
        <v>0</v>
      </c>
      <c r="M117" s="325">
        <v>0</v>
      </c>
      <c r="N117" s="325">
        <v>0</v>
      </c>
      <c r="O117" s="325">
        <f t="shared" si="24"/>
        <v>0</v>
      </c>
      <c r="P117" s="84">
        <f t="shared" si="37"/>
        <v>0</v>
      </c>
      <c r="Q117" s="84"/>
      <c r="R117" s="325"/>
      <c r="T117" s="325"/>
      <c r="U117" s="325">
        <f t="shared" si="22"/>
        <v>0</v>
      </c>
      <c r="V117" s="84">
        <f t="shared" si="38"/>
        <v>0</v>
      </c>
      <c r="W117" s="84"/>
      <c r="X117" s="325"/>
      <c r="Z117" s="325"/>
      <c r="AA117" s="325">
        <f t="shared" si="23"/>
        <v>0</v>
      </c>
      <c r="AB117" s="84">
        <f t="shared" si="39"/>
        <v>0</v>
      </c>
      <c r="AC117" s="84"/>
      <c r="AD117" s="325"/>
      <c r="AF117" s="325"/>
    </row>
    <row r="118" spans="1:32">
      <c r="A118" t="s">
        <v>826</v>
      </c>
      <c r="B118" t="s">
        <v>782</v>
      </c>
      <c r="C118" s="325">
        <v>0</v>
      </c>
      <c r="D118" s="325">
        <v>0</v>
      </c>
      <c r="E118" s="325">
        <v>0</v>
      </c>
      <c r="F118" s="325">
        <v>0</v>
      </c>
      <c r="G118" s="325">
        <v>0</v>
      </c>
      <c r="H118" s="325">
        <v>0</v>
      </c>
      <c r="I118" s="325">
        <v>0</v>
      </c>
      <c r="J118" s="325">
        <v>0</v>
      </c>
      <c r="K118" s="325">
        <v>0</v>
      </c>
      <c r="L118" s="325">
        <v>0</v>
      </c>
      <c r="M118" s="325">
        <v>0</v>
      </c>
      <c r="N118" s="325">
        <v>0</v>
      </c>
      <c r="O118" s="325">
        <f t="shared" si="24"/>
        <v>0</v>
      </c>
      <c r="P118" s="84">
        <f t="shared" si="37"/>
        <v>0</v>
      </c>
      <c r="Q118" s="84">
        <f>+O118*4</f>
        <v>0</v>
      </c>
      <c r="R118" s="325"/>
      <c r="T118" s="325"/>
      <c r="U118" s="325">
        <f t="shared" si="22"/>
        <v>0</v>
      </c>
      <c r="V118" s="84">
        <f t="shared" si="38"/>
        <v>0</v>
      </c>
      <c r="W118" s="84">
        <f>+U118*4</f>
        <v>0</v>
      </c>
      <c r="X118" s="325"/>
      <c r="Z118" s="325"/>
      <c r="AA118" s="325">
        <f t="shared" si="23"/>
        <v>0</v>
      </c>
      <c r="AB118" s="84">
        <f t="shared" si="39"/>
        <v>0</v>
      </c>
      <c r="AC118" s="84">
        <f>+AA118*4</f>
        <v>0</v>
      </c>
      <c r="AD118" s="325"/>
      <c r="AF118" s="325"/>
    </row>
    <row r="119" spans="1:32">
      <c r="B119" t="s">
        <v>781</v>
      </c>
      <c r="C119" s="325">
        <v>0</v>
      </c>
      <c r="D119" s="325">
        <v>0</v>
      </c>
      <c r="E119" s="325">
        <v>0</v>
      </c>
      <c r="F119" s="325">
        <v>0</v>
      </c>
      <c r="G119" s="325">
        <v>0</v>
      </c>
      <c r="H119" s="325">
        <v>0</v>
      </c>
      <c r="I119" s="325">
        <v>0</v>
      </c>
      <c r="J119" s="325">
        <v>0</v>
      </c>
      <c r="K119" s="325">
        <v>0</v>
      </c>
      <c r="L119" s="325">
        <v>0</v>
      </c>
      <c r="M119" s="325">
        <v>0</v>
      </c>
      <c r="N119" s="325">
        <v>0</v>
      </c>
      <c r="O119" s="325">
        <f t="shared" si="24"/>
        <v>0</v>
      </c>
      <c r="P119" s="84">
        <f t="shared" si="37"/>
        <v>0</v>
      </c>
      <c r="Q119" s="84">
        <f>+O119*4</f>
        <v>0</v>
      </c>
      <c r="R119" s="325"/>
      <c r="T119" s="325"/>
      <c r="U119" s="325">
        <f t="shared" si="22"/>
        <v>0</v>
      </c>
      <c r="V119" s="84">
        <f t="shared" si="38"/>
        <v>0</v>
      </c>
      <c r="W119" s="84">
        <f>+U119*4</f>
        <v>0</v>
      </c>
      <c r="X119" s="325"/>
      <c r="Z119" s="325"/>
      <c r="AA119" s="325">
        <f t="shared" si="23"/>
        <v>0</v>
      </c>
      <c r="AB119" s="84">
        <f t="shared" si="39"/>
        <v>0</v>
      </c>
      <c r="AC119" s="84">
        <f>+AA119*4</f>
        <v>0</v>
      </c>
      <c r="AD119" s="325"/>
      <c r="AF119" s="325"/>
    </row>
    <row r="120" spans="1:32">
      <c r="B120" t="s">
        <v>780</v>
      </c>
      <c r="C120" s="325">
        <v>0</v>
      </c>
      <c r="D120" s="325">
        <v>0</v>
      </c>
      <c r="E120" s="325">
        <v>0</v>
      </c>
      <c r="F120" s="325">
        <v>0</v>
      </c>
      <c r="G120" s="325">
        <v>0</v>
      </c>
      <c r="H120" s="325">
        <v>0</v>
      </c>
      <c r="I120" s="325">
        <v>0</v>
      </c>
      <c r="J120" s="325">
        <v>0</v>
      </c>
      <c r="K120" s="325">
        <v>0</v>
      </c>
      <c r="L120" s="325">
        <v>0</v>
      </c>
      <c r="M120" s="325">
        <v>0</v>
      </c>
      <c r="N120" s="325">
        <v>0</v>
      </c>
      <c r="O120" s="325">
        <f t="shared" si="24"/>
        <v>0</v>
      </c>
      <c r="P120" s="84">
        <f t="shared" si="37"/>
        <v>0</v>
      </c>
      <c r="Q120" s="84">
        <f>+O120*4</f>
        <v>0</v>
      </c>
      <c r="R120" s="325"/>
      <c r="T120" s="325"/>
      <c r="U120" s="325">
        <f t="shared" si="22"/>
        <v>0</v>
      </c>
      <c r="V120" s="84">
        <f t="shared" si="38"/>
        <v>0</v>
      </c>
      <c r="W120" s="84">
        <f>+U120*4</f>
        <v>0</v>
      </c>
      <c r="X120" s="325"/>
      <c r="Z120" s="325"/>
      <c r="AA120" s="325">
        <f t="shared" si="23"/>
        <v>0</v>
      </c>
      <c r="AB120" s="84">
        <f t="shared" si="39"/>
        <v>0</v>
      </c>
      <c r="AC120" s="84">
        <f>+AA120*4</f>
        <v>0</v>
      </c>
      <c r="AD120" s="325"/>
      <c r="AF120" s="325"/>
    </row>
    <row r="121" spans="1:32">
      <c r="A121" t="s">
        <v>825</v>
      </c>
      <c r="B121" t="s">
        <v>782</v>
      </c>
      <c r="C121" s="325">
        <v>0</v>
      </c>
      <c r="D121" s="325">
        <v>0</v>
      </c>
      <c r="E121" s="325">
        <v>0</v>
      </c>
      <c r="F121" s="325">
        <v>0</v>
      </c>
      <c r="G121" s="325">
        <v>0</v>
      </c>
      <c r="H121" s="325">
        <v>0</v>
      </c>
      <c r="I121" s="325">
        <v>0</v>
      </c>
      <c r="J121" s="325">
        <v>0</v>
      </c>
      <c r="K121" s="325">
        <v>0</v>
      </c>
      <c r="L121" s="325">
        <v>0</v>
      </c>
      <c r="M121" s="325">
        <v>0</v>
      </c>
      <c r="N121" s="325">
        <v>103</v>
      </c>
      <c r="O121" s="325">
        <f t="shared" si="24"/>
        <v>103</v>
      </c>
      <c r="R121" s="325">
        <f t="shared" ref="R121:R152" si="40">+O121+Q121</f>
        <v>103</v>
      </c>
      <c r="T121" s="325"/>
      <c r="U121" s="325">
        <f t="shared" si="22"/>
        <v>0</v>
      </c>
      <c r="X121" s="325">
        <f t="shared" ref="X121:X152" si="41">+U121+W121</f>
        <v>0</v>
      </c>
      <c r="Z121" s="325"/>
      <c r="AA121" s="325">
        <f t="shared" si="23"/>
        <v>103</v>
      </c>
      <c r="AD121" s="325">
        <f t="shared" ref="AD121:AD152" si="42">+AA121+AC121</f>
        <v>103</v>
      </c>
      <c r="AF121" s="325"/>
    </row>
    <row r="122" spans="1:32">
      <c r="B122" t="s">
        <v>781</v>
      </c>
      <c r="C122" s="325">
        <v>0</v>
      </c>
      <c r="D122" s="325">
        <v>0</v>
      </c>
      <c r="E122" s="325">
        <v>0</v>
      </c>
      <c r="F122" s="325">
        <v>0</v>
      </c>
      <c r="G122" s="325">
        <v>0</v>
      </c>
      <c r="H122" s="325">
        <v>0</v>
      </c>
      <c r="I122" s="325">
        <v>0</v>
      </c>
      <c r="J122" s="325">
        <v>0</v>
      </c>
      <c r="K122" s="325">
        <v>0</v>
      </c>
      <c r="L122" s="325">
        <v>0</v>
      </c>
      <c r="M122" s="325">
        <v>0</v>
      </c>
      <c r="N122" s="325">
        <v>4</v>
      </c>
      <c r="O122" s="325">
        <f t="shared" si="24"/>
        <v>4</v>
      </c>
      <c r="R122" s="325">
        <f t="shared" si="40"/>
        <v>4</v>
      </c>
      <c r="T122" s="325"/>
      <c r="U122" s="325">
        <f t="shared" si="22"/>
        <v>0</v>
      </c>
      <c r="X122" s="325">
        <f t="shared" si="41"/>
        <v>0</v>
      </c>
      <c r="Z122" s="325"/>
      <c r="AA122" s="325">
        <f t="shared" si="23"/>
        <v>4</v>
      </c>
      <c r="AD122" s="325">
        <f t="shared" si="42"/>
        <v>4</v>
      </c>
      <c r="AF122" s="325"/>
    </row>
    <row r="123" spans="1:32">
      <c r="B123" t="s">
        <v>780</v>
      </c>
      <c r="C123" s="325">
        <v>0</v>
      </c>
      <c r="D123" s="325">
        <v>0</v>
      </c>
      <c r="E123" s="325">
        <v>0</v>
      </c>
      <c r="F123" s="325">
        <v>0</v>
      </c>
      <c r="G123" s="325">
        <v>0</v>
      </c>
      <c r="H123" s="325">
        <v>0</v>
      </c>
      <c r="I123" s="325">
        <v>0</v>
      </c>
      <c r="J123" s="325">
        <v>0</v>
      </c>
      <c r="K123" s="325">
        <v>0</v>
      </c>
      <c r="L123" s="325">
        <v>0</v>
      </c>
      <c r="M123" s="325">
        <v>0</v>
      </c>
      <c r="N123" s="325">
        <v>4</v>
      </c>
      <c r="O123" s="325">
        <f t="shared" si="24"/>
        <v>4</v>
      </c>
      <c r="R123" s="325">
        <f t="shared" si="40"/>
        <v>4</v>
      </c>
      <c r="T123" s="325"/>
      <c r="U123" s="325">
        <f t="shared" si="22"/>
        <v>0</v>
      </c>
      <c r="X123" s="325">
        <f t="shared" si="41"/>
        <v>0</v>
      </c>
      <c r="Z123" s="325"/>
      <c r="AA123" s="325">
        <f t="shared" si="23"/>
        <v>4</v>
      </c>
      <c r="AD123" s="325">
        <f t="shared" si="42"/>
        <v>4</v>
      </c>
      <c r="AF123" s="325"/>
    </row>
    <row r="124" spans="1:32">
      <c r="A124" t="s">
        <v>824</v>
      </c>
      <c r="B124" t="s">
        <v>782</v>
      </c>
      <c r="C124" s="325">
        <v>0</v>
      </c>
      <c r="D124" s="325">
        <v>0</v>
      </c>
      <c r="E124" s="325">
        <v>0</v>
      </c>
      <c r="F124" s="325">
        <v>0</v>
      </c>
      <c r="G124" s="325">
        <v>0</v>
      </c>
      <c r="H124" s="325">
        <v>0</v>
      </c>
      <c r="I124" s="325">
        <v>0</v>
      </c>
      <c r="J124" s="325">
        <v>0</v>
      </c>
      <c r="K124" s="325">
        <v>0</v>
      </c>
      <c r="L124" s="325">
        <v>0</v>
      </c>
      <c r="M124" s="325">
        <v>0</v>
      </c>
      <c r="N124" s="325">
        <v>10</v>
      </c>
      <c r="O124" s="325">
        <f t="shared" si="24"/>
        <v>10</v>
      </c>
      <c r="R124" s="325">
        <f t="shared" si="40"/>
        <v>10</v>
      </c>
      <c r="T124" s="325"/>
      <c r="U124" s="325">
        <f t="shared" si="22"/>
        <v>0</v>
      </c>
      <c r="X124" s="325">
        <f t="shared" si="41"/>
        <v>0</v>
      </c>
      <c r="Z124" s="325"/>
      <c r="AA124" s="325">
        <f t="shared" si="23"/>
        <v>10</v>
      </c>
      <c r="AD124" s="325">
        <f t="shared" si="42"/>
        <v>10</v>
      </c>
      <c r="AF124" s="325"/>
    </row>
    <row r="125" spans="1:32">
      <c r="B125" t="s">
        <v>781</v>
      </c>
      <c r="C125" s="325">
        <v>0</v>
      </c>
      <c r="D125" s="325">
        <v>0</v>
      </c>
      <c r="E125" s="325">
        <v>0</v>
      </c>
      <c r="F125" s="325">
        <v>0</v>
      </c>
      <c r="G125" s="325">
        <v>0</v>
      </c>
      <c r="H125" s="325">
        <v>0</v>
      </c>
      <c r="I125" s="325">
        <v>0</v>
      </c>
      <c r="J125" s="325">
        <v>0</v>
      </c>
      <c r="K125" s="325">
        <v>0</v>
      </c>
      <c r="L125" s="325">
        <v>0</v>
      </c>
      <c r="M125" s="325">
        <v>0</v>
      </c>
      <c r="N125" s="325">
        <v>0</v>
      </c>
      <c r="O125" s="325">
        <f t="shared" si="24"/>
        <v>0</v>
      </c>
      <c r="R125" s="325">
        <f t="shared" si="40"/>
        <v>0</v>
      </c>
      <c r="T125" s="325"/>
      <c r="U125" s="325">
        <f t="shared" si="22"/>
        <v>0</v>
      </c>
      <c r="X125" s="325">
        <f t="shared" si="41"/>
        <v>0</v>
      </c>
      <c r="Z125" s="325"/>
      <c r="AA125" s="325">
        <f t="shared" si="23"/>
        <v>0</v>
      </c>
      <c r="AD125" s="325">
        <f t="shared" si="42"/>
        <v>0</v>
      </c>
      <c r="AF125" s="325"/>
    </row>
    <row r="126" spans="1:32">
      <c r="B126" t="s">
        <v>780</v>
      </c>
      <c r="C126" s="325">
        <v>0</v>
      </c>
      <c r="D126" s="325">
        <v>0</v>
      </c>
      <c r="E126" s="325">
        <v>0</v>
      </c>
      <c r="F126" s="325">
        <v>0</v>
      </c>
      <c r="G126" s="325">
        <v>0</v>
      </c>
      <c r="H126" s="325">
        <v>0</v>
      </c>
      <c r="I126" s="325">
        <v>0</v>
      </c>
      <c r="J126" s="325">
        <v>0</v>
      </c>
      <c r="K126" s="325">
        <v>0</v>
      </c>
      <c r="L126" s="325">
        <v>0</v>
      </c>
      <c r="M126" s="325">
        <v>0</v>
      </c>
      <c r="N126" s="325">
        <v>0</v>
      </c>
      <c r="O126" s="325">
        <f t="shared" si="24"/>
        <v>0</v>
      </c>
      <c r="R126" s="325">
        <f t="shared" si="40"/>
        <v>0</v>
      </c>
      <c r="T126" s="325"/>
      <c r="U126" s="325">
        <f t="shared" si="22"/>
        <v>0</v>
      </c>
      <c r="X126" s="325">
        <f t="shared" si="41"/>
        <v>0</v>
      </c>
      <c r="Z126" s="325"/>
      <c r="AA126" s="325">
        <f t="shared" si="23"/>
        <v>0</v>
      </c>
      <c r="AD126" s="325">
        <f t="shared" si="42"/>
        <v>0</v>
      </c>
      <c r="AF126" s="325"/>
    </row>
    <row r="127" spans="1:32">
      <c r="A127" t="s">
        <v>823</v>
      </c>
      <c r="B127" t="s">
        <v>782</v>
      </c>
      <c r="C127" s="325">
        <v>0</v>
      </c>
      <c r="D127" s="325">
        <v>0</v>
      </c>
      <c r="E127" s="325">
        <v>0</v>
      </c>
      <c r="F127" s="325">
        <v>0</v>
      </c>
      <c r="G127" s="325">
        <v>0</v>
      </c>
      <c r="H127" s="325">
        <v>0</v>
      </c>
      <c r="I127" s="325">
        <v>0</v>
      </c>
      <c r="J127" s="325">
        <v>0</v>
      </c>
      <c r="K127" s="325">
        <v>0</v>
      </c>
      <c r="L127" s="325">
        <v>0</v>
      </c>
      <c r="M127" s="325">
        <v>0</v>
      </c>
      <c r="N127" s="325">
        <v>56</v>
      </c>
      <c r="O127" s="325">
        <f t="shared" si="24"/>
        <v>56</v>
      </c>
      <c r="R127" s="325">
        <f t="shared" si="40"/>
        <v>56</v>
      </c>
      <c r="T127" s="325"/>
      <c r="U127" s="325">
        <f t="shared" si="22"/>
        <v>0</v>
      </c>
      <c r="X127" s="325">
        <f t="shared" si="41"/>
        <v>0</v>
      </c>
      <c r="Z127" s="325"/>
      <c r="AA127" s="325">
        <f t="shared" si="23"/>
        <v>56</v>
      </c>
      <c r="AD127" s="325">
        <f t="shared" si="42"/>
        <v>56</v>
      </c>
      <c r="AF127" s="325"/>
    </row>
    <row r="128" spans="1:32">
      <c r="B128" t="s">
        <v>781</v>
      </c>
      <c r="C128" s="325">
        <v>0</v>
      </c>
      <c r="D128" s="325">
        <v>0</v>
      </c>
      <c r="E128" s="325">
        <v>0</v>
      </c>
      <c r="F128" s="325">
        <v>0</v>
      </c>
      <c r="G128" s="325">
        <v>0</v>
      </c>
      <c r="H128" s="325">
        <v>0</v>
      </c>
      <c r="I128" s="325">
        <v>0</v>
      </c>
      <c r="J128" s="325">
        <v>0</v>
      </c>
      <c r="K128" s="325">
        <v>0</v>
      </c>
      <c r="L128" s="325">
        <v>0</v>
      </c>
      <c r="M128" s="325">
        <v>0</v>
      </c>
      <c r="N128" s="325">
        <v>4</v>
      </c>
      <c r="O128" s="325">
        <f t="shared" si="24"/>
        <v>4</v>
      </c>
      <c r="R128" s="325">
        <f t="shared" si="40"/>
        <v>4</v>
      </c>
      <c r="T128" s="325"/>
      <c r="U128" s="325">
        <f t="shared" si="22"/>
        <v>0</v>
      </c>
      <c r="X128" s="325">
        <f t="shared" si="41"/>
        <v>0</v>
      </c>
      <c r="Z128" s="325"/>
      <c r="AA128" s="325">
        <f t="shared" si="23"/>
        <v>4</v>
      </c>
      <c r="AD128" s="325">
        <f t="shared" si="42"/>
        <v>4</v>
      </c>
      <c r="AF128" s="325"/>
    </row>
    <row r="129" spans="1:32">
      <c r="B129" t="s">
        <v>780</v>
      </c>
      <c r="C129" s="325">
        <v>0</v>
      </c>
      <c r="D129" s="325">
        <v>0</v>
      </c>
      <c r="E129" s="325">
        <v>0</v>
      </c>
      <c r="F129" s="325">
        <v>0</v>
      </c>
      <c r="G129" s="325">
        <v>0</v>
      </c>
      <c r="H129" s="325">
        <v>0</v>
      </c>
      <c r="I129" s="325">
        <v>0</v>
      </c>
      <c r="J129" s="325">
        <v>0</v>
      </c>
      <c r="K129" s="325">
        <v>0</v>
      </c>
      <c r="L129" s="325">
        <v>0</v>
      </c>
      <c r="M129" s="325">
        <v>0</v>
      </c>
      <c r="N129" s="325">
        <v>9</v>
      </c>
      <c r="O129" s="325">
        <f t="shared" si="24"/>
        <v>9</v>
      </c>
      <c r="R129" s="325">
        <f t="shared" si="40"/>
        <v>9</v>
      </c>
      <c r="T129" s="325"/>
      <c r="U129" s="325">
        <f t="shared" si="22"/>
        <v>0</v>
      </c>
      <c r="X129" s="325">
        <f t="shared" si="41"/>
        <v>0</v>
      </c>
      <c r="Z129" s="325"/>
      <c r="AA129" s="325">
        <f t="shared" si="23"/>
        <v>9</v>
      </c>
      <c r="AD129" s="325">
        <f t="shared" si="42"/>
        <v>9</v>
      </c>
      <c r="AF129" s="325"/>
    </row>
    <row r="130" spans="1:32">
      <c r="A130" t="s">
        <v>822</v>
      </c>
      <c r="B130" t="s">
        <v>782</v>
      </c>
      <c r="C130" s="325">
        <v>0</v>
      </c>
      <c r="D130" s="325">
        <v>0</v>
      </c>
      <c r="E130" s="325">
        <v>0</v>
      </c>
      <c r="F130" s="325">
        <v>0</v>
      </c>
      <c r="G130" s="325">
        <v>0</v>
      </c>
      <c r="H130" s="325">
        <v>0</v>
      </c>
      <c r="I130" s="325">
        <v>0</v>
      </c>
      <c r="J130" s="325">
        <v>0</v>
      </c>
      <c r="K130" s="325">
        <v>0</v>
      </c>
      <c r="L130" s="325">
        <v>0</v>
      </c>
      <c r="M130" s="325">
        <v>0</v>
      </c>
      <c r="N130" s="325">
        <v>2</v>
      </c>
      <c r="O130" s="325">
        <f t="shared" si="24"/>
        <v>2</v>
      </c>
      <c r="R130" s="325">
        <f t="shared" si="40"/>
        <v>2</v>
      </c>
      <c r="T130" s="325"/>
      <c r="U130" s="325">
        <f t="shared" si="22"/>
        <v>0</v>
      </c>
      <c r="X130" s="325">
        <f t="shared" si="41"/>
        <v>0</v>
      </c>
      <c r="Z130" s="325"/>
      <c r="AA130" s="325">
        <f t="shared" si="23"/>
        <v>2</v>
      </c>
      <c r="AD130" s="325">
        <f t="shared" si="42"/>
        <v>2</v>
      </c>
      <c r="AF130" s="325"/>
    </row>
    <row r="131" spans="1:32">
      <c r="B131" t="s">
        <v>781</v>
      </c>
      <c r="C131" s="325">
        <v>0</v>
      </c>
      <c r="D131" s="325">
        <v>0</v>
      </c>
      <c r="E131" s="325">
        <v>0</v>
      </c>
      <c r="F131" s="325">
        <v>0</v>
      </c>
      <c r="G131" s="325">
        <v>0</v>
      </c>
      <c r="H131" s="325">
        <v>0</v>
      </c>
      <c r="I131" s="325">
        <v>0</v>
      </c>
      <c r="J131" s="325">
        <v>0</v>
      </c>
      <c r="K131" s="325">
        <v>0</v>
      </c>
      <c r="L131" s="325">
        <v>0</v>
      </c>
      <c r="M131" s="325">
        <v>0</v>
      </c>
      <c r="N131" s="325">
        <v>0</v>
      </c>
      <c r="O131" s="325">
        <f t="shared" si="24"/>
        <v>0</v>
      </c>
      <c r="R131" s="325">
        <f t="shared" si="40"/>
        <v>0</v>
      </c>
      <c r="T131" s="325"/>
      <c r="U131" s="325">
        <f t="shared" si="22"/>
        <v>0</v>
      </c>
      <c r="X131" s="325">
        <f t="shared" si="41"/>
        <v>0</v>
      </c>
      <c r="Z131" s="325"/>
      <c r="AA131" s="325">
        <f t="shared" si="23"/>
        <v>0</v>
      </c>
      <c r="AD131" s="325">
        <f t="shared" si="42"/>
        <v>0</v>
      </c>
      <c r="AF131" s="325"/>
    </row>
    <row r="132" spans="1:32">
      <c r="B132" t="s">
        <v>780</v>
      </c>
      <c r="C132" s="325">
        <v>0</v>
      </c>
      <c r="D132" s="325">
        <v>0</v>
      </c>
      <c r="E132" s="325">
        <v>0</v>
      </c>
      <c r="F132" s="325">
        <v>0</v>
      </c>
      <c r="G132" s="325">
        <v>0</v>
      </c>
      <c r="H132" s="325">
        <v>0</v>
      </c>
      <c r="I132" s="325">
        <v>0</v>
      </c>
      <c r="J132" s="325">
        <v>0</v>
      </c>
      <c r="K132" s="325">
        <v>0</v>
      </c>
      <c r="L132" s="325">
        <v>0</v>
      </c>
      <c r="M132" s="325">
        <v>0</v>
      </c>
      <c r="N132" s="325">
        <v>0</v>
      </c>
      <c r="O132" s="325">
        <f t="shared" si="24"/>
        <v>0</v>
      </c>
      <c r="R132" s="325">
        <f t="shared" si="40"/>
        <v>0</v>
      </c>
      <c r="T132" s="325"/>
      <c r="U132" s="325">
        <f t="shared" si="22"/>
        <v>0</v>
      </c>
      <c r="X132" s="325">
        <f t="shared" si="41"/>
        <v>0</v>
      </c>
      <c r="Z132" s="325"/>
      <c r="AA132" s="325">
        <f t="shared" si="23"/>
        <v>0</v>
      </c>
      <c r="AD132" s="325">
        <f t="shared" si="42"/>
        <v>0</v>
      </c>
      <c r="AF132" s="325"/>
    </row>
    <row r="133" spans="1:32">
      <c r="A133" t="s">
        <v>821</v>
      </c>
      <c r="B133" t="s">
        <v>782</v>
      </c>
      <c r="C133" s="325">
        <v>0</v>
      </c>
      <c r="D133" s="325">
        <v>0</v>
      </c>
      <c r="E133" s="325">
        <v>0</v>
      </c>
      <c r="F133" s="325">
        <v>0</v>
      </c>
      <c r="G133" s="325">
        <v>0</v>
      </c>
      <c r="H133" s="325">
        <v>0</v>
      </c>
      <c r="I133" s="325">
        <v>0</v>
      </c>
      <c r="J133" s="325">
        <v>0</v>
      </c>
      <c r="K133" s="325">
        <v>0</v>
      </c>
      <c r="L133" s="325">
        <v>0</v>
      </c>
      <c r="M133" s="325">
        <v>0</v>
      </c>
      <c r="N133" s="325">
        <v>16</v>
      </c>
      <c r="O133" s="325">
        <f t="shared" si="24"/>
        <v>16</v>
      </c>
      <c r="R133" s="325">
        <f t="shared" si="40"/>
        <v>16</v>
      </c>
      <c r="T133" s="325"/>
      <c r="U133" s="325">
        <f t="shared" si="22"/>
        <v>0</v>
      </c>
      <c r="X133" s="325">
        <f t="shared" si="41"/>
        <v>0</v>
      </c>
      <c r="Z133" s="325"/>
      <c r="AA133" s="325">
        <f t="shared" si="23"/>
        <v>16</v>
      </c>
      <c r="AD133" s="325">
        <f t="shared" si="42"/>
        <v>16</v>
      </c>
      <c r="AF133" s="325"/>
    </row>
    <row r="134" spans="1:32">
      <c r="B134" t="s">
        <v>781</v>
      </c>
      <c r="C134" s="325">
        <v>0</v>
      </c>
      <c r="D134" s="325">
        <v>0</v>
      </c>
      <c r="E134" s="325">
        <v>0</v>
      </c>
      <c r="F134" s="325">
        <v>0</v>
      </c>
      <c r="G134" s="325">
        <v>0</v>
      </c>
      <c r="H134" s="325">
        <v>0</v>
      </c>
      <c r="I134" s="325">
        <v>0</v>
      </c>
      <c r="J134" s="325">
        <v>0</v>
      </c>
      <c r="K134" s="325">
        <v>0</v>
      </c>
      <c r="L134" s="325">
        <v>0</v>
      </c>
      <c r="M134" s="325">
        <v>0</v>
      </c>
      <c r="N134" s="325">
        <v>0</v>
      </c>
      <c r="O134" s="325">
        <f t="shared" si="24"/>
        <v>0</v>
      </c>
      <c r="R134" s="325">
        <f t="shared" si="40"/>
        <v>0</v>
      </c>
      <c r="T134" s="325"/>
      <c r="U134" s="325">
        <f t="shared" si="22"/>
        <v>0</v>
      </c>
      <c r="X134" s="325">
        <f t="shared" si="41"/>
        <v>0</v>
      </c>
      <c r="Z134" s="325"/>
      <c r="AA134" s="325">
        <f t="shared" si="23"/>
        <v>0</v>
      </c>
      <c r="AD134" s="325">
        <f t="shared" si="42"/>
        <v>0</v>
      </c>
      <c r="AF134" s="325"/>
    </row>
    <row r="135" spans="1:32">
      <c r="B135" t="s">
        <v>780</v>
      </c>
      <c r="C135" s="325">
        <v>0</v>
      </c>
      <c r="D135" s="325">
        <v>0</v>
      </c>
      <c r="E135" s="325">
        <v>0</v>
      </c>
      <c r="F135" s="325">
        <v>0</v>
      </c>
      <c r="G135" s="325">
        <v>0</v>
      </c>
      <c r="H135" s="325">
        <v>0</v>
      </c>
      <c r="I135" s="325">
        <v>0</v>
      </c>
      <c r="J135" s="325">
        <v>0</v>
      </c>
      <c r="K135" s="325">
        <v>0</v>
      </c>
      <c r="L135" s="325">
        <v>0</v>
      </c>
      <c r="M135" s="325">
        <v>0</v>
      </c>
      <c r="N135" s="325">
        <v>2</v>
      </c>
      <c r="O135" s="325">
        <f t="shared" si="24"/>
        <v>2</v>
      </c>
      <c r="R135" s="325">
        <f t="shared" si="40"/>
        <v>2</v>
      </c>
      <c r="T135" s="325"/>
      <c r="U135" s="325">
        <f t="shared" si="22"/>
        <v>0</v>
      </c>
      <c r="X135" s="325">
        <f t="shared" si="41"/>
        <v>0</v>
      </c>
      <c r="Z135" s="325"/>
      <c r="AA135" s="325">
        <f t="shared" si="23"/>
        <v>2</v>
      </c>
      <c r="AD135" s="325">
        <f t="shared" si="42"/>
        <v>2</v>
      </c>
      <c r="AF135" s="325"/>
    </row>
    <row r="136" spans="1:32">
      <c r="A136" t="s">
        <v>820</v>
      </c>
      <c r="B136" t="s">
        <v>782</v>
      </c>
      <c r="C136" s="325">
        <v>0</v>
      </c>
      <c r="D136" s="325">
        <v>0</v>
      </c>
      <c r="E136" s="325">
        <v>0</v>
      </c>
      <c r="F136" s="325">
        <v>0</v>
      </c>
      <c r="G136" s="325">
        <v>0</v>
      </c>
      <c r="H136" s="325">
        <v>0</v>
      </c>
      <c r="I136" s="325">
        <v>0</v>
      </c>
      <c r="J136" s="325">
        <v>0</v>
      </c>
      <c r="K136" s="325">
        <v>0</v>
      </c>
      <c r="L136" s="325">
        <v>0</v>
      </c>
      <c r="M136" s="325">
        <v>0</v>
      </c>
      <c r="N136" s="325">
        <v>10</v>
      </c>
      <c r="O136" s="325">
        <f t="shared" si="24"/>
        <v>10</v>
      </c>
      <c r="R136" s="325">
        <f t="shared" si="40"/>
        <v>10</v>
      </c>
      <c r="T136" s="325"/>
      <c r="U136" s="325">
        <f t="shared" si="22"/>
        <v>0</v>
      </c>
      <c r="X136" s="325">
        <f t="shared" si="41"/>
        <v>0</v>
      </c>
      <c r="Z136" s="325"/>
      <c r="AA136" s="325">
        <f t="shared" si="23"/>
        <v>10</v>
      </c>
      <c r="AD136" s="325">
        <f t="shared" si="42"/>
        <v>10</v>
      </c>
      <c r="AF136" s="325"/>
    </row>
    <row r="137" spans="1:32">
      <c r="B137" t="s">
        <v>781</v>
      </c>
      <c r="C137" s="325">
        <v>0</v>
      </c>
      <c r="D137" s="325">
        <v>0</v>
      </c>
      <c r="E137" s="325">
        <v>0</v>
      </c>
      <c r="F137" s="325">
        <v>0</v>
      </c>
      <c r="G137" s="325">
        <v>0</v>
      </c>
      <c r="H137" s="325">
        <v>0</v>
      </c>
      <c r="I137" s="325">
        <v>0</v>
      </c>
      <c r="J137" s="325">
        <v>0</v>
      </c>
      <c r="K137" s="325">
        <v>0</v>
      </c>
      <c r="L137" s="325">
        <v>0</v>
      </c>
      <c r="M137" s="325">
        <v>0</v>
      </c>
      <c r="N137" s="325">
        <v>0</v>
      </c>
      <c r="O137" s="325">
        <f t="shared" si="24"/>
        <v>0</v>
      </c>
      <c r="R137" s="325">
        <f t="shared" si="40"/>
        <v>0</v>
      </c>
      <c r="T137" s="325"/>
      <c r="U137" s="325">
        <f t="shared" si="22"/>
        <v>0</v>
      </c>
      <c r="X137" s="325">
        <f t="shared" si="41"/>
        <v>0</v>
      </c>
      <c r="Z137" s="325"/>
      <c r="AA137" s="325">
        <f t="shared" si="23"/>
        <v>0</v>
      </c>
      <c r="AD137" s="325">
        <f t="shared" si="42"/>
        <v>0</v>
      </c>
      <c r="AF137" s="325"/>
    </row>
    <row r="138" spans="1:32">
      <c r="B138" t="s">
        <v>780</v>
      </c>
      <c r="C138" s="325">
        <v>0</v>
      </c>
      <c r="D138" s="325">
        <v>0</v>
      </c>
      <c r="E138" s="325">
        <v>0</v>
      </c>
      <c r="F138" s="325">
        <v>0</v>
      </c>
      <c r="G138" s="325">
        <v>0</v>
      </c>
      <c r="H138" s="325">
        <v>0</v>
      </c>
      <c r="I138" s="325">
        <v>0</v>
      </c>
      <c r="J138" s="325">
        <v>0</v>
      </c>
      <c r="K138" s="325">
        <v>0</v>
      </c>
      <c r="L138" s="325">
        <v>0</v>
      </c>
      <c r="M138" s="325">
        <v>0</v>
      </c>
      <c r="N138" s="325">
        <v>2</v>
      </c>
      <c r="O138" s="325">
        <f t="shared" si="24"/>
        <v>2</v>
      </c>
      <c r="R138" s="325">
        <f t="shared" si="40"/>
        <v>2</v>
      </c>
      <c r="T138" s="325"/>
      <c r="U138" s="325">
        <f t="shared" si="22"/>
        <v>0</v>
      </c>
      <c r="X138" s="325">
        <f t="shared" si="41"/>
        <v>0</v>
      </c>
      <c r="Z138" s="325"/>
      <c r="AA138" s="325">
        <f t="shared" si="23"/>
        <v>2</v>
      </c>
      <c r="AD138" s="325">
        <f t="shared" si="42"/>
        <v>2</v>
      </c>
      <c r="AF138" s="325"/>
    </row>
    <row r="139" spans="1:32">
      <c r="A139" t="s">
        <v>819</v>
      </c>
      <c r="B139" t="s">
        <v>782</v>
      </c>
      <c r="C139" s="325">
        <v>0</v>
      </c>
      <c r="D139" s="325">
        <v>0</v>
      </c>
      <c r="E139" s="325">
        <v>0</v>
      </c>
      <c r="F139" s="325">
        <v>0</v>
      </c>
      <c r="G139" s="325">
        <v>0</v>
      </c>
      <c r="H139" s="325">
        <v>0</v>
      </c>
      <c r="I139" s="325">
        <v>0</v>
      </c>
      <c r="J139" s="325">
        <v>0</v>
      </c>
      <c r="K139" s="325">
        <v>0</v>
      </c>
      <c r="L139" s="325">
        <v>0</v>
      </c>
      <c r="M139" s="325">
        <v>0</v>
      </c>
      <c r="N139" s="325">
        <v>0</v>
      </c>
      <c r="O139" s="325">
        <f t="shared" si="24"/>
        <v>0</v>
      </c>
      <c r="R139" s="325">
        <f t="shared" si="40"/>
        <v>0</v>
      </c>
      <c r="T139" s="325"/>
      <c r="U139" s="325">
        <f t="shared" ref="U139:U202" si="43">+G139</f>
        <v>0</v>
      </c>
      <c r="X139" s="325">
        <f t="shared" si="41"/>
        <v>0</v>
      </c>
      <c r="Z139" s="325"/>
      <c r="AA139" s="325">
        <f t="shared" ref="AA139:AA202" si="44">+N139</f>
        <v>0</v>
      </c>
      <c r="AD139" s="325">
        <f t="shared" si="42"/>
        <v>0</v>
      </c>
      <c r="AF139" s="325"/>
    </row>
    <row r="140" spans="1:32">
      <c r="B140" t="s">
        <v>781</v>
      </c>
      <c r="C140" s="325">
        <v>0</v>
      </c>
      <c r="D140" s="325">
        <v>0</v>
      </c>
      <c r="E140" s="325">
        <v>0</v>
      </c>
      <c r="F140" s="325">
        <v>0</v>
      </c>
      <c r="G140" s="325">
        <v>0</v>
      </c>
      <c r="H140" s="325">
        <v>0</v>
      </c>
      <c r="I140" s="325">
        <v>0</v>
      </c>
      <c r="J140" s="325">
        <v>0</v>
      </c>
      <c r="K140" s="325">
        <v>0</v>
      </c>
      <c r="L140" s="325">
        <v>0</v>
      </c>
      <c r="M140" s="325">
        <v>0</v>
      </c>
      <c r="N140" s="325">
        <v>0</v>
      </c>
      <c r="O140" s="325">
        <f t="shared" si="24"/>
        <v>0</v>
      </c>
      <c r="R140" s="325">
        <f t="shared" si="40"/>
        <v>0</v>
      </c>
      <c r="T140" s="325"/>
      <c r="U140" s="325">
        <f t="shared" si="43"/>
        <v>0</v>
      </c>
      <c r="X140" s="325">
        <f t="shared" si="41"/>
        <v>0</v>
      </c>
      <c r="Z140" s="325"/>
      <c r="AA140" s="325">
        <f t="shared" si="44"/>
        <v>0</v>
      </c>
      <c r="AD140" s="325">
        <f t="shared" si="42"/>
        <v>0</v>
      </c>
      <c r="AF140" s="325"/>
    </row>
    <row r="141" spans="1:32">
      <c r="B141" t="s">
        <v>780</v>
      </c>
      <c r="C141" s="325">
        <v>0</v>
      </c>
      <c r="D141" s="325">
        <v>0</v>
      </c>
      <c r="E141" s="325">
        <v>0</v>
      </c>
      <c r="F141" s="325">
        <v>0</v>
      </c>
      <c r="G141" s="325">
        <v>0</v>
      </c>
      <c r="H141" s="325">
        <v>0</v>
      </c>
      <c r="I141" s="325">
        <v>0</v>
      </c>
      <c r="J141" s="325">
        <v>0</v>
      </c>
      <c r="K141" s="325">
        <v>0</v>
      </c>
      <c r="L141" s="325">
        <v>0</v>
      </c>
      <c r="M141" s="325">
        <v>0</v>
      </c>
      <c r="N141" s="325">
        <v>0</v>
      </c>
      <c r="O141" s="325">
        <f t="shared" ref="O141:O207" si="45">SUM(C141:N141)</f>
        <v>0</v>
      </c>
      <c r="R141" s="325">
        <f t="shared" si="40"/>
        <v>0</v>
      </c>
      <c r="T141" s="325"/>
      <c r="U141" s="325">
        <f t="shared" si="43"/>
        <v>0</v>
      </c>
      <c r="X141" s="325">
        <f t="shared" si="41"/>
        <v>0</v>
      </c>
      <c r="Z141" s="325"/>
      <c r="AA141" s="325">
        <f t="shared" si="44"/>
        <v>0</v>
      </c>
      <c r="AD141" s="325">
        <f t="shared" si="42"/>
        <v>0</v>
      </c>
      <c r="AF141" s="325"/>
    </row>
    <row r="142" spans="1:32">
      <c r="A142" t="s">
        <v>818</v>
      </c>
      <c r="B142" t="s">
        <v>782</v>
      </c>
      <c r="C142" s="325">
        <v>0</v>
      </c>
      <c r="D142" s="325">
        <v>0</v>
      </c>
      <c r="E142" s="325">
        <v>0</v>
      </c>
      <c r="F142" s="325">
        <v>0</v>
      </c>
      <c r="G142" s="325">
        <v>0</v>
      </c>
      <c r="H142" s="325">
        <v>0</v>
      </c>
      <c r="I142" s="325">
        <v>0</v>
      </c>
      <c r="J142" s="325">
        <v>0</v>
      </c>
      <c r="K142" s="325">
        <v>0</v>
      </c>
      <c r="L142" s="325">
        <v>0</v>
      </c>
      <c r="M142" s="325">
        <v>0</v>
      </c>
      <c r="N142" s="325">
        <v>42</v>
      </c>
      <c r="O142" s="325">
        <f t="shared" si="45"/>
        <v>42</v>
      </c>
      <c r="R142" s="325">
        <f t="shared" si="40"/>
        <v>42</v>
      </c>
      <c r="T142" s="325"/>
      <c r="U142" s="325">
        <f t="shared" si="43"/>
        <v>0</v>
      </c>
      <c r="X142" s="325">
        <f t="shared" si="41"/>
        <v>0</v>
      </c>
      <c r="Z142" s="325"/>
      <c r="AA142" s="325">
        <f t="shared" si="44"/>
        <v>42</v>
      </c>
      <c r="AD142" s="325">
        <f t="shared" si="42"/>
        <v>42</v>
      </c>
      <c r="AF142" s="325"/>
    </row>
    <row r="143" spans="1:32">
      <c r="B143" t="s">
        <v>781</v>
      </c>
      <c r="C143" s="325">
        <v>0</v>
      </c>
      <c r="D143" s="325">
        <v>0</v>
      </c>
      <c r="E143" s="325">
        <v>0</v>
      </c>
      <c r="F143" s="325">
        <v>0</v>
      </c>
      <c r="G143" s="325">
        <v>0</v>
      </c>
      <c r="H143" s="325">
        <v>0</v>
      </c>
      <c r="I143" s="325">
        <v>0</v>
      </c>
      <c r="J143" s="325">
        <v>0</v>
      </c>
      <c r="K143" s="325">
        <v>0</v>
      </c>
      <c r="L143" s="325">
        <v>0</v>
      </c>
      <c r="M143" s="325">
        <v>0</v>
      </c>
      <c r="N143" s="325">
        <v>0</v>
      </c>
      <c r="O143" s="325">
        <f t="shared" si="45"/>
        <v>0</v>
      </c>
      <c r="R143" s="325">
        <f t="shared" si="40"/>
        <v>0</v>
      </c>
      <c r="T143" s="325"/>
      <c r="U143" s="325">
        <f t="shared" si="43"/>
        <v>0</v>
      </c>
      <c r="X143" s="325">
        <f t="shared" si="41"/>
        <v>0</v>
      </c>
      <c r="Z143" s="325"/>
      <c r="AA143" s="325">
        <f t="shared" si="44"/>
        <v>0</v>
      </c>
      <c r="AD143" s="325">
        <f t="shared" si="42"/>
        <v>0</v>
      </c>
      <c r="AF143" s="325"/>
    </row>
    <row r="144" spans="1:32">
      <c r="B144" t="s">
        <v>780</v>
      </c>
      <c r="C144" s="325">
        <v>0</v>
      </c>
      <c r="D144" s="325">
        <v>0</v>
      </c>
      <c r="E144" s="325">
        <v>0</v>
      </c>
      <c r="F144" s="325">
        <v>0</v>
      </c>
      <c r="G144" s="325">
        <v>0</v>
      </c>
      <c r="H144" s="325">
        <v>0</v>
      </c>
      <c r="I144" s="325">
        <v>0</v>
      </c>
      <c r="J144" s="325">
        <v>0</v>
      </c>
      <c r="K144" s="325">
        <v>0</v>
      </c>
      <c r="L144" s="325">
        <v>0</v>
      </c>
      <c r="M144" s="325">
        <v>0</v>
      </c>
      <c r="N144" s="325">
        <v>0</v>
      </c>
      <c r="O144" s="325">
        <f t="shared" si="45"/>
        <v>0</v>
      </c>
      <c r="R144" s="325">
        <f t="shared" si="40"/>
        <v>0</v>
      </c>
      <c r="T144" s="325"/>
      <c r="U144" s="325">
        <f t="shared" si="43"/>
        <v>0</v>
      </c>
      <c r="X144" s="325">
        <f t="shared" si="41"/>
        <v>0</v>
      </c>
      <c r="Z144" s="325"/>
      <c r="AA144" s="325">
        <f t="shared" si="44"/>
        <v>0</v>
      </c>
      <c r="AD144" s="325">
        <f t="shared" si="42"/>
        <v>0</v>
      </c>
      <c r="AF144" s="325"/>
    </row>
    <row r="145" spans="1:32">
      <c r="A145" t="s">
        <v>817</v>
      </c>
      <c r="B145" t="s">
        <v>782</v>
      </c>
      <c r="C145" s="325">
        <v>0</v>
      </c>
      <c r="D145" s="325">
        <v>0</v>
      </c>
      <c r="E145" s="325">
        <v>0</v>
      </c>
      <c r="F145" s="325">
        <v>0</v>
      </c>
      <c r="G145" s="325">
        <v>0</v>
      </c>
      <c r="H145" s="325">
        <v>0</v>
      </c>
      <c r="I145" s="325">
        <v>0</v>
      </c>
      <c r="J145" s="325">
        <v>0</v>
      </c>
      <c r="K145" s="325">
        <v>0</v>
      </c>
      <c r="L145" s="325">
        <v>0</v>
      </c>
      <c r="M145" s="325">
        <v>0</v>
      </c>
      <c r="N145" s="325">
        <v>31</v>
      </c>
      <c r="O145" s="325">
        <f t="shared" si="45"/>
        <v>31</v>
      </c>
      <c r="R145" s="325">
        <f t="shared" si="40"/>
        <v>31</v>
      </c>
      <c r="T145" s="325"/>
      <c r="U145" s="325">
        <f t="shared" si="43"/>
        <v>0</v>
      </c>
      <c r="X145" s="325">
        <f t="shared" si="41"/>
        <v>0</v>
      </c>
      <c r="Z145" s="325"/>
      <c r="AA145" s="325">
        <f t="shared" si="44"/>
        <v>31</v>
      </c>
      <c r="AD145" s="325">
        <f t="shared" si="42"/>
        <v>31</v>
      </c>
      <c r="AF145" s="325"/>
    </row>
    <row r="146" spans="1:32">
      <c r="B146" t="s">
        <v>781</v>
      </c>
      <c r="C146" s="325">
        <v>0</v>
      </c>
      <c r="D146" s="325">
        <v>0</v>
      </c>
      <c r="E146" s="325">
        <v>0</v>
      </c>
      <c r="F146" s="325">
        <v>0</v>
      </c>
      <c r="G146" s="325">
        <v>0</v>
      </c>
      <c r="H146" s="325">
        <v>0</v>
      </c>
      <c r="I146" s="325">
        <v>0</v>
      </c>
      <c r="J146" s="325">
        <v>0</v>
      </c>
      <c r="K146" s="325">
        <v>0</v>
      </c>
      <c r="L146" s="325">
        <v>0</v>
      </c>
      <c r="M146" s="325">
        <v>0</v>
      </c>
      <c r="N146" s="325">
        <v>7</v>
      </c>
      <c r="O146" s="325">
        <f t="shared" si="45"/>
        <v>7</v>
      </c>
      <c r="R146" s="325">
        <f t="shared" si="40"/>
        <v>7</v>
      </c>
      <c r="T146" s="325"/>
      <c r="U146" s="325">
        <f t="shared" si="43"/>
        <v>0</v>
      </c>
      <c r="X146" s="325">
        <f t="shared" si="41"/>
        <v>0</v>
      </c>
      <c r="Z146" s="325"/>
      <c r="AA146" s="325">
        <f t="shared" si="44"/>
        <v>7</v>
      </c>
      <c r="AD146" s="325">
        <f t="shared" si="42"/>
        <v>7</v>
      </c>
      <c r="AF146" s="325"/>
    </row>
    <row r="147" spans="1:32">
      <c r="B147" t="s">
        <v>780</v>
      </c>
      <c r="C147" s="325">
        <v>0</v>
      </c>
      <c r="D147" s="325">
        <v>0</v>
      </c>
      <c r="E147" s="325">
        <v>0</v>
      </c>
      <c r="F147" s="325">
        <v>0</v>
      </c>
      <c r="G147" s="325">
        <v>0</v>
      </c>
      <c r="H147" s="325">
        <v>0</v>
      </c>
      <c r="I147" s="325">
        <v>0</v>
      </c>
      <c r="J147" s="325">
        <v>0</v>
      </c>
      <c r="K147" s="325">
        <v>0</v>
      </c>
      <c r="L147" s="325">
        <v>0</v>
      </c>
      <c r="M147" s="325">
        <v>0</v>
      </c>
      <c r="N147" s="325">
        <v>5</v>
      </c>
      <c r="O147" s="325">
        <f t="shared" si="45"/>
        <v>5</v>
      </c>
      <c r="R147" s="325">
        <f t="shared" si="40"/>
        <v>5</v>
      </c>
      <c r="T147" s="325"/>
      <c r="U147" s="325">
        <f t="shared" si="43"/>
        <v>0</v>
      </c>
      <c r="X147" s="325">
        <f t="shared" si="41"/>
        <v>0</v>
      </c>
      <c r="Z147" s="325"/>
      <c r="AA147" s="325">
        <f t="shared" si="44"/>
        <v>5</v>
      </c>
      <c r="AD147" s="325">
        <f t="shared" si="42"/>
        <v>5</v>
      </c>
      <c r="AF147" s="325"/>
    </row>
    <row r="148" spans="1:32">
      <c r="A148" t="s">
        <v>816</v>
      </c>
      <c r="B148" t="s">
        <v>782</v>
      </c>
      <c r="C148" s="325">
        <v>0</v>
      </c>
      <c r="D148" s="325">
        <v>0</v>
      </c>
      <c r="E148" s="325">
        <v>0</v>
      </c>
      <c r="F148" s="325">
        <v>0</v>
      </c>
      <c r="G148" s="325">
        <v>0</v>
      </c>
      <c r="H148" s="325">
        <v>0</v>
      </c>
      <c r="I148" s="325">
        <v>0</v>
      </c>
      <c r="J148" s="325">
        <v>0</v>
      </c>
      <c r="K148" s="325">
        <v>0</v>
      </c>
      <c r="L148" s="325">
        <v>0</v>
      </c>
      <c r="M148" s="325">
        <v>0</v>
      </c>
      <c r="N148" s="325">
        <v>24</v>
      </c>
      <c r="O148" s="325">
        <f t="shared" si="45"/>
        <v>24</v>
      </c>
      <c r="R148" s="325">
        <f t="shared" si="40"/>
        <v>24</v>
      </c>
      <c r="T148" s="325"/>
      <c r="U148" s="325">
        <f t="shared" si="43"/>
        <v>0</v>
      </c>
      <c r="X148" s="325">
        <f t="shared" si="41"/>
        <v>0</v>
      </c>
      <c r="Z148" s="325"/>
      <c r="AA148" s="325">
        <f t="shared" si="44"/>
        <v>24</v>
      </c>
      <c r="AD148" s="325">
        <f t="shared" si="42"/>
        <v>24</v>
      </c>
      <c r="AF148" s="325"/>
    </row>
    <row r="149" spans="1:32">
      <c r="B149" t="s">
        <v>781</v>
      </c>
      <c r="C149" s="325">
        <v>0</v>
      </c>
      <c r="D149" s="325">
        <v>0</v>
      </c>
      <c r="E149" s="325">
        <v>0</v>
      </c>
      <c r="F149" s="325">
        <v>0</v>
      </c>
      <c r="G149" s="325">
        <v>0</v>
      </c>
      <c r="H149" s="325">
        <v>0</v>
      </c>
      <c r="I149" s="325">
        <v>0</v>
      </c>
      <c r="J149" s="325">
        <v>0</v>
      </c>
      <c r="K149" s="325">
        <v>0</v>
      </c>
      <c r="L149" s="325">
        <v>0</v>
      </c>
      <c r="M149" s="325">
        <v>0</v>
      </c>
      <c r="N149" s="325">
        <v>6</v>
      </c>
      <c r="O149" s="325">
        <f t="shared" si="45"/>
        <v>6</v>
      </c>
      <c r="R149" s="325">
        <f t="shared" si="40"/>
        <v>6</v>
      </c>
      <c r="T149" s="325"/>
      <c r="U149" s="325">
        <f t="shared" si="43"/>
        <v>0</v>
      </c>
      <c r="X149" s="325">
        <f t="shared" si="41"/>
        <v>0</v>
      </c>
      <c r="Z149" s="325"/>
      <c r="AA149" s="325">
        <f t="shared" si="44"/>
        <v>6</v>
      </c>
      <c r="AD149" s="325">
        <f t="shared" si="42"/>
        <v>6</v>
      </c>
      <c r="AF149" s="325"/>
    </row>
    <row r="150" spans="1:32">
      <c r="B150" t="s">
        <v>780</v>
      </c>
      <c r="C150" s="325">
        <v>0</v>
      </c>
      <c r="D150" s="325">
        <v>0</v>
      </c>
      <c r="E150" s="325">
        <v>0</v>
      </c>
      <c r="F150" s="325">
        <v>0</v>
      </c>
      <c r="G150" s="325">
        <v>0</v>
      </c>
      <c r="H150" s="325">
        <v>0</v>
      </c>
      <c r="I150" s="325">
        <v>0</v>
      </c>
      <c r="J150" s="325">
        <v>0</v>
      </c>
      <c r="K150" s="325">
        <v>0</v>
      </c>
      <c r="L150" s="325">
        <v>0</v>
      </c>
      <c r="M150" s="325">
        <v>0</v>
      </c>
      <c r="N150" s="325">
        <v>9</v>
      </c>
      <c r="O150" s="325">
        <f t="shared" si="45"/>
        <v>9</v>
      </c>
      <c r="R150" s="325">
        <f t="shared" si="40"/>
        <v>9</v>
      </c>
      <c r="T150" s="325"/>
      <c r="U150" s="325">
        <f t="shared" si="43"/>
        <v>0</v>
      </c>
      <c r="X150" s="325">
        <f t="shared" si="41"/>
        <v>0</v>
      </c>
      <c r="Z150" s="325"/>
      <c r="AA150" s="325">
        <f t="shared" si="44"/>
        <v>9</v>
      </c>
      <c r="AD150" s="325">
        <f t="shared" si="42"/>
        <v>9</v>
      </c>
      <c r="AF150" s="325"/>
    </row>
    <row r="151" spans="1:32">
      <c r="A151" t="s">
        <v>815</v>
      </c>
      <c r="B151" t="s">
        <v>782</v>
      </c>
      <c r="C151" s="325">
        <v>0</v>
      </c>
      <c r="D151" s="325">
        <v>0</v>
      </c>
      <c r="E151" s="325">
        <v>0</v>
      </c>
      <c r="F151" s="325">
        <v>0</v>
      </c>
      <c r="G151" s="325">
        <v>0</v>
      </c>
      <c r="H151" s="325">
        <v>0</v>
      </c>
      <c r="I151" s="325">
        <v>0</v>
      </c>
      <c r="J151" s="325">
        <v>0</v>
      </c>
      <c r="K151" s="325">
        <v>0</v>
      </c>
      <c r="L151" s="325">
        <v>0</v>
      </c>
      <c r="M151" s="325">
        <v>0</v>
      </c>
      <c r="N151" s="325">
        <v>0</v>
      </c>
      <c r="O151" s="325">
        <f t="shared" si="45"/>
        <v>0</v>
      </c>
      <c r="R151" s="325">
        <f t="shared" si="40"/>
        <v>0</v>
      </c>
      <c r="T151" s="325"/>
      <c r="U151" s="325">
        <f t="shared" si="43"/>
        <v>0</v>
      </c>
      <c r="X151" s="325">
        <f t="shared" si="41"/>
        <v>0</v>
      </c>
      <c r="Z151" s="325"/>
      <c r="AA151" s="325">
        <f t="shared" si="44"/>
        <v>0</v>
      </c>
      <c r="AD151" s="325">
        <f t="shared" si="42"/>
        <v>0</v>
      </c>
      <c r="AF151" s="325"/>
    </row>
    <row r="152" spans="1:32">
      <c r="B152" t="s">
        <v>781</v>
      </c>
      <c r="C152" s="325">
        <v>0</v>
      </c>
      <c r="D152" s="325">
        <v>0</v>
      </c>
      <c r="E152" s="325">
        <v>0</v>
      </c>
      <c r="F152" s="325">
        <v>0</v>
      </c>
      <c r="G152" s="325">
        <v>0</v>
      </c>
      <c r="H152" s="325">
        <v>0</v>
      </c>
      <c r="I152" s="325">
        <v>0</v>
      </c>
      <c r="J152" s="325">
        <v>0</v>
      </c>
      <c r="K152" s="325">
        <v>0</v>
      </c>
      <c r="L152" s="325">
        <v>0</v>
      </c>
      <c r="M152" s="325">
        <v>0</v>
      </c>
      <c r="N152" s="325">
        <v>0</v>
      </c>
      <c r="O152" s="325">
        <f t="shared" si="45"/>
        <v>0</v>
      </c>
      <c r="R152" s="325">
        <f t="shared" si="40"/>
        <v>0</v>
      </c>
      <c r="T152" s="325"/>
      <c r="U152" s="325">
        <f t="shared" si="43"/>
        <v>0</v>
      </c>
      <c r="X152" s="325">
        <f t="shared" si="41"/>
        <v>0</v>
      </c>
      <c r="Z152" s="325"/>
      <c r="AA152" s="325">
        <f t="shared" si="44"/>
        <v>0</v>
      </c>
      <c r="AD152" s="325">
        <f t="shared" si="42"/>
        <v>0</v>
      </c>
      <c r="AF152" s="325"/>
    </row>
    <row r="153" spans="1:32">
      <c r="B153" t="s">
        <v>780</v>
      </c>
      <c r="C153" s="325">
        <v>0</v>
      </c>
      <c r="D153" s="325">
        <v>0</v>
      </c>
      <c r="E153" s="325">
        <v>0</v>
      </c>
      <c r="F153" s="325">
        <v>0</v>
      </c>
      <c r="G153" s="325">
        <v>0</v>
      </c>
      <c r="H153" s="325">
        <v>0</v>
      </c>
      <c r="I153" s="325">
        <v>0</v>
      </c>
      <c r="J153" s="325">
        <v>0</v>
      </c>
      <c r="K153" s="325">
        <v>0</v>
      </c>
      <c r="L153" s="325">
        <v>0</v>
      </c>
      <c r="M153" s="325">
        <v>0</v>
      </c>
      <c r="N153" s="325">
        <v>0</v>
      </c>
      <c r="O153" s="325">
        <f t="shared" si="45"/>
        <v>0</v>
      </c>
      <c r="R153" s="325">
        <f t="shared" ref="R153:R184" si="46">+O153+Q153</f>
        <v>0</v>
      </c>
      <c r="T153" s="325"/>
      <c r="U153" s="325">
        <f t="shared" si="43"/>
        <v>0</v>
      </c>
      <c r="X153" s="325">
        <f t="shared" ref="X153:X184" si="47">+U153+W153</f>
        <v>0</v>
      </c>
      <c r="Z153" s="325"/>
      <c r="AA153" s="325">
        <f t="shared" si="44"/>
        <v>0</v>
      </c>
      <c r="AD153" s="325">
        <f t="shared" ref="AD153:AD184" si="48">+AA153+AC153</f>
        <v>0</v>
      </c>
      <c r="AF153" s="325"/>
    </row>
    <row r="154" spans="1:32">
      <c r="A154" t="s">
        <v>814</v>
      </c>
      <c r="B154" t="s">
        <v>782</v>
      </c>
      <c r="C154" s="325">
        <v>0</v>
      </c>
      <c r="D154" s="325">
        <v>0</v>
      </c>
      <c r="E154" s="325">
        <v>0</v>
      </c>
      <c r="F154" s="325">
        <v>0</v>
      </c>
      <c r="G154" s="325">
        <v>0</v>
      </c>
      <c r="H154" s="325">
        <v>0</v>
      </c>
      <c r="I154" s="325">
        <v>0</v>
      </c>
      <c r="J154" s="325">
        <v>0</v>
      </c>
      <c r="K154" s="325">
        <v>0</v>
      </c>
      <c r="L154" s="325">
        <v>0</v>
      </c>
      <c r="M154" s="325">
        <v>0</v>
      </c>
      <c r="N154" s="325">
        <v>116.1</v>
      </c>
      <c r="O154" s="325">
        <f t="shared" si="45"/>
        <v>116.1</v>
      </c>
      <c r="R154" s="325">
        <f t="shared" si="46"/>
        <v>116.1</v>
      </c>
      <c r="T154" s="325"/>
      <c r="U154" s="325">
        <f t="shared" si="43"/>
        <v>0</v>
      </c>
      <c r="X154" s="325">
        <f t="shared" si="47"/>
        <v>0</v>
      </c>
      <c r="Z154" s="325"/>
      <c r="AA154" s="325">
        <f t="shared" si="44"/>
        <v>116.1</v>
      </c>
      <c r="AD154" s="325">
        <f t="shared" si="48"/>
        <v>116.1</v>
      </c>
      <c r="AF154" s="325"/>
    </row>
    <row r="155" spans="1:32">
      <c r="B155" t="s">
        <v>781</v>
      </c>
      <c r="C155" s="325">
        <v>0</v>
      </c>
      <c r="D155" s="325">
        <v>0</v>
      </c>
      <c r="E155" s="325">
        <v>0</v>
      </c>
      <c r="F155" s="325">
        <v>0</v>
      </c>
      <c r="G155" s="325">
        <v>0</v>
      </c>
      <c r="H155" s="325">
        <v>0</v>
      </c>
      <c r="I155" s="325">
        <v>0</v>
      </c>
      <c r="J155" s="325">
        <v>0</v>
      </c>
      <c r="K155" s="325">
        <v>0</v>
      </c>
      <c r="L155" s="325">
        <v>0</v>
      </c>
      <c r="M155" s="325">
        <v>0</v>
      </c>
      <c r="N155" s="325">
        <v>21</v>
      </c>
      <c r="O155" s="325">
        <f t="shared" si="45"/>
        <v>21</v>
      </c>
      <c r="R155" s="325">
        <f t="shared" si="46"/>
        <v>21</v>
      </c>
      <c r="T155" s="325"/>
      <c r="U155" s="325">
        <f t="shared" si="43"/>
        <v>0</v>
      </c>
      <c r="X155" s="325">
        <f t="shared" si="47"/>
        <v>0</v>
      </c>
      <c r="Z155" s="325"/>
      <c r="AA155" s="325">
        <f t="shared" si="44"/>
        <v>21</v>
      </c>
      <c r="AD155" s="325">
        <f t="shared" si="48"/>
        <v>21</v>
      </c>
      <c r="AF155" s="325"/>
    </row>
    <row r="156" spans="1:32">
      <c r="B156" t="s">
        <v>780</v>
      </c>
      <c r="C156" s="325">
        <v>0</v>
      </c>
      <c r="D156" s="325">
        <v>0</v>
      </c>
      <c r="E156" s="325">
        <v>0</v>
      </c>
      <c r="F156" s="325">
        <v>0</v>
      </c>
      <c r="G156" s="325">
        <v>0</v>
      </c>
      <c r="H156" s="325">
        <v>0</v>
      </c>
      <c r="I156" s="325">
        <v>0</v>
      </c>
      <c r="J156" s="325">
        <v>0</v>
      </c>
      <c r="K156" s="325">
        <v>0</v>
      </c>
      <c r="L156" s="325">
        <v>0</v>
      </c>
      <c r="M156" s="325">
        <v>0</v>
      </c>
      <c r="N156" s="325">
        <v>0</v>
      </c>
      <c r="O156" s="325">
        <f t="shared" si="45"/>
        <v>0</v>
      </c>
      <c r="R156" s="325">
        <f t="shared" si="46"/>
        <v>0</v>
      </c>
      <c r="T156" s="325"/>
      <c r="U156" s="325">
        <f t="shared" si="43"/>
        <v>0</v>
      </c>
      <c r="X156" s="325">
        <f t="shared" si="47"/>
        <v>0</v>
      </c>
      <c r="Z156" s="325"/>
      <c r="AA156" s="325">
        <f t="shared" si="44"/>
        <v>0</v>
      </c>
      <c r="AD156" s="325">
        <f t="shared" si="48"/>
        <v>0</v>
      </c>
      <c r="AF156" s="325"/>
    </row>
    <row r="157" spans="1:32">
      <c r="A157" t="s">
        <v>813</v>
      </c>
      <c r="B157" t="s">
        <v>782</v>
      </c>
      <c r="C157" s="325">
        <v>0</v>
      </c>
      <c r="D157" s="325">
        <v>0</v>
      </c>
      <c r="E157" s="325">
        <v>0</v>
      </c>
      <c r="F157" s="325">
        <v>0</v>
      </c>
      <c r="G157" s="325">
        <v>0</v>
      </c>
      <c r="H157" s="325">
        <v>0</v>
      </c>
      <c r="I157" s="325">
        <v>0</v>
      </c>
      <c r="J157" s="325">
        <v>0</v>
      </c>
      <c r="K157" s="325">
        <v>0</v>
      </c>
      <c r="L157" s="325">
        <v>0</v>
      </c>
      <c r="M157" s="325">
        <v>0</v>
      </c>
      <c r="N157" s="325">
        <v>0</v>
      </c>
      <c r="O157" s="325">
        <f t="shared" si="45"/>
        <v>0</v>
      </c>
      <c r="R157" s="325">
        <f t="shared" si="46"/>
        <v>0</v>
      </c>
      <c r="T157" s="325"/>
      <c r="U157" s="325">
        <f t="shared" si="43"/>
        <v>0</v>
      </c>
      <c r="X157" s="325">
        <f t="shared" si="47"/>
        <v>0</v>
      </c>
      <c r="Z157" s="325"/>
      <c r="AA157" s="325">
        <f t="shared" si="44"/>
        <v>0</v>
      </c>
      <c r="AD157" s="325">
        <f t="shared" si="48"/>
        <v>0</v>
      </c>
      <c r="AF157" s="325"/>
    </row>
    <row r="158" spans="1:32">
      <c r="B158" t="s">
        <v>781</v>
      </c>
      <c r="C158" s="325">
        <v>0</v>
      </c>
      <c r="D158" s="325">
        <v>0</v>
      </c>
      <c r="E158" s="325">
        <v>0</v>
      </c>
      <c r="F158" s="325">
        <v>0</v>
      </c>
      <c r="G158" s="325">
        <v>0</v>
      </c>
      <c r="H158" s="325">
        <v>0</v>
      </c>
      <c r="I158" s="325">
        <v>0</v>
      </c>
      <c r="J158" s="325">
        <v>0</v>
      </c>
      <c r="K158" s="325">
        <v>0</v>
      </c>
      <c r="L158" s="325">
        <v>0</v>
      </c>
      <c r="M158" s="325">
        <v>0</v>
      </c>
      <c r="N158" s="325">
        <v>0</v>
      </c>
      <c r="O158" s="325">
        <f t="shared" si="45"/>
        <v>0</v>
      </c>
      <c r="R158" s="325">
        <f t="shared" si="46"/>
        <v>0</v>
      </c>
      <c r="T158" s="325"/>
      <c r="U158" s="325">
        <f t="shared" si="43"/>
        <v>0</v>
      </c>
      <c r="X158" s="325">
        <f t="shared" si="47"/>
        <v>0</v>
      </c>
      <c r="Z158" s="325"/>
      <c r="AA158" s="325">
        <f t="shared" si="44"/>
        <v>0</v>
      </c>
      <c r="AD158" s="325">
        <f t="shared" si="48"/>
        <v>0</v>
      </c>
      <c r="AF158" s="325"/>
    </row>
    <row r="159" spans="1:32">
      <c r="B159" t="s">
        <v>780</v>
      </c>
      <c r="C159" s="325">
        <v>0</v>
      </c>
      <c r="D159" s="325">
        <v>0</v>
      </c>
      <c r="E159" s="325">
        <v>0</v>
      </c>
      <c r="F159" s="325">
        <v>0</v>
      </c>
      <c r="G159" s="325">
        <v>0</v>
      </c>
      <c r="H159" s="325">
        <v>0</v>
      </c>
      <c r="I159" s="325">
        <v>0</v>
      </c>
      <c r="J159" s="325">
        <v>0</v>
      </c>
      <c r="K159" s="325">
        <v>0</v>
      </c>
      <c r="L159" s="325">
        <v>0</v>
      </c>
      <c r="M159" s="325">
        <v>0</v>
      </c>
      <c r="N159" s="325">
        <v>0</v>
      </c>
      <c r="O159" s="325">
        <f t="shared" si="45"/>
        <v>0</v>
      </c>
      <c r="R159" s="325">
        <f t="shared" si="46"/>
        <v>0</v>
      </c>
      <c r="T159" s="325"/>
      <c r="U159" s="325">
        <f t="shared" si="43"/>
        <v>0</v>
      </c>
      <c r="X159" s="325">
        <f t="shared" si="47"/>
        <v>0</v>
      </c>
      <c r="Z159" s="325"/>
      <c r="AA159" s="325">
        <f t="shared" si="44"/>
        <v>0</v>
      </c>
      <c r="AD159" s="325">
        <f t="shared" si="48"/>
        <v>0</v>
      </c>
      <c r="AF159" s="325"/>
    </row>
    <row r="160" spans="1:32">
      <c r="A160" t="s">
        <v>812</v>
      </c>
      <c r="B160" t="s">
        <v>782</v>
      </c>
      <c r="C160" s="325">
        <v>0</v>
      </c>
      <c r="D160" s="325">
        <v>0</v>
      </c>
      <c r="E160" s="325">
        <v>0</v>
      </c>
      <c r="F160" s="325">
        <v>0</v>
      </c>
      <c r="G160" s="325">
        <v>0</v>
      </c>
      <c r="H160" s="325">
        <v>0</v>
      </c>
      <c r="I160" s="325">
        <v>0</v>
      </c>
      <c r="J160" s="325">
        <v>0</v>
      </c>
      <c r="K160" s="325">
        <v>0</v>
      </c>
      <c r="L160" s="325">
        <v>0</v>
      </c>
      <c r="M160" s="325">
        <v>0</v>
      </c>
      <c r="N160" s="325">
        <v>2419</v>
      </c>
      <c r="O160" s="325">
        <f t="shared" si="45"/>
        <v>2419</v>
      </c>
      <c r="R160" s="325">
        <f t="shared" si="46"/>
        <v>2419</v>
      </c>
      <c r="T160" s="325"/>
      <c r="U160" s="325">
        <f t="shared" si="43"/>
        <v>0</v>
      </c>
      <c r="X160" s="325">
        <f t="shared" si="47"/>
        <v>0</v>
      </c>
      <c r="Z160" s="325"/>
      <c r="AA160" s="325">
        <f t="shared" si="44"/>
        <v>2419</v>
      </c>
      <c r="AD160" s="325">
        <f t="shared" si="48"/>
        <v>2419</v>
      </c>
      <c r="AF160" s="325"/>
    </row>
    <row r="161" spans="1:32">
      <c r="B161" t="s">
        <v>781</v>
      </c>
      <c r="C161" s="325">
        <v>0</v>
      </c>
      <c r="D161" s="325">
        <v>0</v>
      </c>
      <c r="E161" s="325">
        <v>0</v>
      </c>
      <c r="F161" s="325">
        <v>0</v>
      </c>
      <c r="G161" s="325">
        <v>0</v>
      </c>
      <c r="H161" s="325">
        <v>0</v>
      </c>
      <c r="I161" s="325">
        <v>0</v>
      </c>
      <c r="J161" s="325">
        <v>0</v>
      </c>
      <c r="K161" s="325">
        <v>0</v>
      </c>
      <c r="L161" s="325">
        <v>0</v>
      </c>
      <c r="M161" s="325">
        <v>0</v>
      </c>
      <c r="N161" s="325">
        <v>0</v>
      </c>
      <c r="O161" s="325">
        <f t="shared" si="45"/>
        <v>0</v>
      </c>
      <c r="R161" s="325">
        <f t="shared" si="46"/>
        <v>0</v>
      </c>
      <c r="T161" s="325"/>
      <c r="U161" s="325">
        <f t="shared" si="43"/>
        <v>0</v>
      </c>
      <c r="X161" s="325">
        <f t="shared" si="47"/>
        <v>0</v>
      </c>
      <c r="Z161" s="325"/>
      <c r="AA161" s="325">
        <f t="shared" si="44"/>
        <v>0</v>
      </c>
      <c r="AD161" s="325">
        <f t="shared" si="48"/>
        <v>0</v>
      </c>
      <c r="AF161" s="325"/>
    </row>
    <row r="162" spans="1:32">
      <c r="B162" t="s">
        <v>780</v>
      </c>
      <c r="C162" s="325">
        <v>0</v>
      </c>
      <c r="D162" s="325">
        <v>0</v>
      </c>
      <c r="E162" s="325">
        <v>0</v>
      </c>
      <c r="F162" s="325">
        <v>0</v>
      </c>
      <c r="G162" s="325">
        <v>0</v>
      </c>
      <c r="H162" s="325">
        <v>0</v>
      </c>
      <c r="I162" s="325">
        <v>0</v>
      </c>
      <c r="J162" s="325">
        <v>0</v>
      </c>
      <c r="K162" s="325">
        <v>0</v>
      </c>
      <c r="L162" s="325">
        <v>0</v>
      </c>
      <c r="M162" s="325">
        <v>0</v>
      </c>
      <c r="N162" s="325">
        <v>0</v>
      </c>
      <c r="O162" s="325">
        <f t="shared" si="45"/>
        <v>0</v>
      </c>
      <c r="R162" s="325">
        <f t="shared" si="46"/>
        <v>0</v>
      </c>
      <c r="T162" s="325"/>
      <c r="U162" s="325">
        <f t="shared" si="43"/>
        <v>0</v>
      </c>
      <c r="X162" s="325">
        <f t="shared" si="47"/>
        <v>0</v>
      </c>
      <c r="Z162" s="325"/>
      <c r="AA162" s="325">
        <f t="shared" si="44"/>
        <v>0</v>
      </c>
      <c r="AD162" s="325">
        <f t="shared" si="48"/>
        <v>0</v>
      </c>
      <c r="AF162" s="325"/>
    </row>
    <row r="163" spans="1:32">
      <c r="A163" t="s">
        <v>811</v>
      </c>
      <c r="B163" t="s">
        <v>782</v>
      </c>
      <c r="C163" s="325">
        <v>0</v>
      </c>
      <c r="D163" s="325">
        <v>0</v>
      </c>
      <c r="E163" s="325">
        <v>0</v>
      </c>
      <c r="F163" s="325">
        <v>0</v>
      </c>
      <c r="G163" s="325">
        <v>0</v>
      </c>
      <c r="H163" s="325">
        <v>0</v>
      </c>
      <c r="I163" s="325">
        <v>0</v>
      </c>
      <c r="J163" s="325">
        <v>0</v>
      </c>
      <c r="K163" s="325">
        <v>0</v>
      </c>
      <c r="L163" s="325">
        <v>0</v>
      </c>
      <c r="M163" s="325">
        <v>0</v>
      </c>
      <c r="N163" s="325">
        <v>0.5</v>
      </c>
      <c r="O163" s="325">
        <f t="shared" si="45"/>
        <v>0.5</v>
      </c>
      <c r="R163" s="325">
        <f t="shared" si="46"/>
        <v>0.5</v>
      </c>
      <c r="T163" s="325"/>
      <c r="U163" s="325">
        <f t="shared" si="43"/>
        <v>0</v>
      </c>
      <c r="X163" s="325">
        <f t="shared" si="47"/>
        <v>0</v>
      </c>
      <c r="Z163" s="325"/>
      <c r="AA163" s="325">
        <f t="shared" si="44"/>
        <v>0.5</v>
      </c>
      <c r="AD163" s="325">
        <f t="shared" si="48"/>
        <v>0.5</v>
      </c>
      <c r="AF163" s="325"/>
    </row>
    <row r="164" spans="1:32">
      <c r="B164" t="s">
        <v>781</v>
      </c>
      <c r="C164" s="325">
        <v>0</v>
      </c>
      <c r="D164" s="325">
        <v>0</v>
      </c>
      <c r="E164" s="325">
        <v>0</v>
      </c>
      <c r="F164" s="325">
        <v>0</v>
      </c>
      <c r="G164" s="325">
        <v>0</v>
      </c>
      <c r="H164" s="325">
        <v>0</v>
      </c>
      <c r="I164" s="325">
        <v>0</v>
      </c>
      <c r="J164" s="325">
        <v>0</v>
      </c>
      <c r="K164" s="325">
        <v>0</v>
      </c>
      <c r="L164" s="325">
        <v>0</v>
      </c>
      <c r="M164" s="325">
        <v>0</v>
      </c>
      <c r="N164" s="325">
        <v>0</v>
      </c>
      <c r="O164" s="325">
        <f t="shared" si="45"/>
        <v>0</v>
      </c>
      <c r="R164" s="325">
        <f t="shared" si="46"/>
        <v>0</v>
      </c>
      <c r="T164" s="325"/>
      <c r="U164" s="325">
        <f t="shared" si="43"/>
        <v>0</v>
      </c>
      <c r="X164" s="325">
        <f t="shared" si="47"/>
        <v>0</v>
      </c>
      <c r="Z164" s="325"/>
      <c r="AA164" s="325">
        <f t="shared" si="44"/>
        <v>0</v>
      </c>
      <c r="AD164" s="325">
        <f t="shared" si="48"/>
        <v>0</v>
      </c>
      <c r="AF164" s="325"/>
    </row>
    <row r="165" spans="1:32">
      <c r="B165" t="s">
        <v>780</v>
      </c>
      <c r="C165" s="325">
        <v>0</v>
      </c>
      <c r="D165" s="325">
        <v>0</v>
      </c>
      <c r="E165" s="325">
        <v>0</v>
      </c>
      <c r="F165" s="325">
        <v>0</v>
      </c>
      <c r="G165" s="325">
        <v>0</v>
      </c>
      <c r="H165" s="325">
        <v>0</v>
      </c>
      <c r="I165" s="325">
        <v>0</v>
      </c>
      <c r="J165" s="325">
        <v>0</v>
      </c>
      <c r="K165" s="325">
        <v>0</v>
      </c>
      <c r="L165" s="325">
        <v>0</v>
      </c>
      <c r="M165" s="325">
        <v>0</v>
      </c>
      <c r="N165" s="325">
        <v>0</v>
      </c>
      <c r="O165" s="325">
        <f t="shared" si="45"/>
        <v>0</v>
      </c>
      <c r="R165" s="325">
        <f t="shared" si="46"/>
        <v>0</v>
      </c>
      <c r="T165" s="325"/>
      <c r="U165" s="325">
        <f t="shared" si="43"/>
        <v>0</v>
      </c>
      <c r="X165" s="325">
        <f t="shared" si="47"/>
        <v>0</v>
      </c>
      <c r="Z165" s="325"/>
      <c r="AA165" s="325">
        <f t="shared" si="44"/>
        <v>0</v>
      </c>
      <c r="AD165" s="325">
        <f t="shared" si="48"/>
        <v>0</v>
      </c>
      <c r="AF165" s="325"/>
    </row>
    <row r="166" spans="1:32">
      <c r="A166" t="s">
        <v>810</v>
      </c>
      <c r="B166" t="s">
        <v>782</v>
      </c>
      <c r="C166" s="325">
        <v>0</v>
      </c>
      <c r="D166" s="325">
        <v>0</v>
      </c>
      <c r="E166" s="325">
        <v>0</v>
      </c>
      <c r="F166" s="325">
        <v>0</v>
      </c>
      <c r="G166" s="325">
        <v>0</v>
      </c>
      <c r="H166" s="325">
        <v>0</v>
      </c>
      <c r="I166" s="325">
        <v>0</v>
      </c>
      <c r="J166" s="325">
        <v>0</v>
      </c>
      <c r="K166" s="325">
        <v>0</v>
      </c>
      <c r="L166" s="325">
        <v>0</v>
      </c>
      <c r="M166" s="325">
        <v>0</v>
      </c>
      <c r="N166" s="325">
        <v>51.25</v>
      </c>
      <c r="O166" s="325">
        <f t="shared" si="45"/>
        <v>51.25</v>
      </c>
      <c r="R166" s="325">
        <f t="shared" si="46"/>
        <v>51.25</v>
      </c>
      <c r="T166" s="325"/>
      <c r="U166" s="325">
        <f t="shared" si="43"/>
        <v>0</v>
      </c>
      <c r="X166" s="325">
        <f t="shared" si="47"/>
        <v>0</v>
      </c>
      <c r="Z166" s="325"/>
      <c r="AA166" s="325">
        <f t="shared" si="44"/>
        <v>51.25</v>
      </c>
      <c r="AD166" s="325">
        <f t="shared" si="48"/>
        <v>51.25</v>
      </c>
      <c r="AF166" s="325"/>
    </row>
    <row r="167" spans="1:32">
      <c r="B167" t="s">
        <v>781</v>
      </c>
      <c r="C167" s="325">
        <v>0</v>
      </c>
      <c r="D167" s="325">
        <v>0</v>
      </c>
      <c r="E167" s="325">
        <v>0</v>
      </c>
      <c r="F167" s="325">
        <v>0</v>
      </c>
      <c r="G167" s="325">
        <v>0</v>
      </c>
      <c r="H167" s="325">
        <v>0</v>
      </c>
      <c r="I167" s="325">
        <v>0</v>
      </c>
      <c r="J167" s="325">
        <v>0</v>
      </c>
      <c r="K167" s="325">
        <v>0</v>
      </c>
      <c r="L167" s="325">
        <v>0</v>
      </c>
      <c r="M167" s="325">
        <v>0</v>
      </c>
      <c r="N167" s="325">
        <v>40</v>
      </c>
      <c r="O167" s="325">
        <f t="shared" si="45"/>
        <v>40</v>
      </c>
      <c r="R167" s="325">
        <f t="shared" si="46"/>
        <v>40</v>
      </c>
      <c r="T167" s="325"/>
      <c r="U167" s="325">
        <f t="shared" si="43"/>
        <v>0</v>
      </c>
      <c r="X167" s="325">
        <f t="shared" si="47"/>
        <v>0</v>
      </c>
      <c r="Z167" s="325"/>
      <c r="AA167" s="325">
        <f t="shared" si="44"/>
        <v>40</v>
      </c>
      <c r="AD167" s="325">
        <f t="shared" si="48"/>
        <v>40</v>
      </c>
      <c r="AF167" s="325"/>
    </row>
    <row r="168" spans="1:32">
      <c r="B168" t="s">
        <v>780</v>
      </c>
      <c r="C168" s="325">
        <v>0</v>
      </c>
      <c r="D168" s="325">
        <v>0</v>
      </c>
      <c r="E168" s="325">
        <v>0</v>
      </c>
      <c r="F168" s="325">
        <v>0</v>
      </c>
      <c r="G168" s="325">
        <v>0</v>
      </c>
      <c r="H168" s="325">
        <v>0</v>
      </c>
      <c r="I168" s="325">
        <v>0</v>
      </c>
      <c r="J168" s="325">
        <v>0</v>
      </c>
      <c r="K168" s="325">
        <v>0</v>
      </c>
      <c r="L168" s="325">
        <v>0</v>
      </c>
      <c r="M168" s="325">
        <v>0</v>
      </c>
      <c r="N168" s="325">
        <v>6</v>
      </c>
      <c r="O168" s="325">
        <f t="shared" si="45"/>
        <v>6</v>
      </c>
      <c r="R168" s="325">
        <f t="shared" si="46"/>
        <v>6</v>
      </c>
      <c r="T168" s="325"/>
      <c r="U168" s="325">
        <f t="shared" si="43"/>
        <v>0</v>
      </c>
      <c r="X168" s="325">
        <f t="shared" si="47"/>
        <v>0</v>
      </c>
      <c r="Z168" s="325"/>
      <c r="AA168" s="325">
        <f t="shared" si="44"/>
        <v>6</v>
      </c>
      <c r="AD168" s="325">
        <f t="shared" si="48"/>
        <v>6</v>
      </c>
      <c r="AF168" s="325"/>
    </row>
    <row r="169" spans="1:32">
      <c r="A169" t="s">
        <v>809</v>
      </c>
      <c r="B169" t="s">
        <v>782</v>
      </c>
      <c r="C169" s="325">
        <v>0</v>
      </c>
      <c r="D169" s="325">
        <v>0</v>
      </c>
      <c r="E169" s="325">
        <v>0</v>
      </c>
      <c r="F169" s="325">
        <v>0</v>
      </c>
      <c r="G169" s="325">
        <v>0</v>
      </c>
      <c r="H169" s="325">
        <v>0</v>
      </c>
      <c r="I169" s="325">
        <v>0</v>
      </c>
      <c r="J169" s="325">
        <v>0</v>
      </c>
      <c r="K169" s="325">
        <v>0</v>
      </c>
      <c r="L169" s="325">
        <v>0</v>
      </c>
      <c r="M169" s="325">
        <v>0</v>
      </c>
      <c r="N169" s="325">
        <v>0</v>
      </c>
      <c r="O169" s="325">
        <f t="shared" si="45"/>
        <v>0</v>
      </c>
      <c r="R169" s="325">
        <f t="shared" si="46"/>
        <v>0</v>
      </c>
      <c r="T169" s="325"/>
      <c r="U169" s="325">
        <f t="shared" si="43"/>
        <v>0</v>
      </c>
      <c r="X169" s="325">
        <f t="shared" si="47"/>
        <v>0</v>
      </c>
      <c r="Z169" s="325"/>
      <c r="AA169" s="325">
        <f t="shared" si="44"/>
        <v>0</v>
      </c>
      <c r="AD169" s="325">
        <f t="shared" si="48"/>
        <v>0</v>
      </c>
      <c r="AF169" s="325"/>
    </row>
    <row r="170" spans="1:32">
      <c r="B170" t="s">
        <v>781</v>
      </c>
      <c r="C170" s="325">
        <v>0</v>
      </c>
      <c r="D170" s="325">
        <v>0</v>
      </c>
      <c r="E170" s="325">
        <v>0</v>
      </c>
      <c r="F170" s="325">
        <v>0</v>
      </c>
      <c r="G170" s="325">
        <v>0</v>
      </c>
      <c r="H170" s="325">
        <v>0</v>
      </c>
      <c r="I170" s="325">
        <v>0</v>
      </c>
      <c r="J170" s="325">
        <v>0</v>
      </c>
      <c r="K170" s="325">
        <v>0</v>
      </c>
      <c r="L170" s="325">
        <v>0</v>
      </c>
      <c r="M170" s="325">
        <v>0</v>
      </c>
      <c r="N170" s="325">
        <v>0</v>
      </c>
      <c r="O170" s="325">
        <f t="shared" si="45"/>
        <v>0</v>
      </c>
      <c r="R170" s="325">
        <f t="shared" si="46"/>
        <v>0</v>
      </c>
      <c r="T170" s="325"/>
      <c r="U170" s="325">
        <f t="shared" si="43"/>
        <v>0</v>
      </c>
      <c r="X170" s="325">
        <f t="shared" si="47"/>
        <v>0</v>
      </c>
      <c r="Z170" s="325"/>
      <c r="AA170" s="325">
        <f t="shared" si="44"/>
        <v>0</v>
      </c>
      <c r="AD170" s="325">
        <f t="shared" si="48"/>
        <v>0</v>
      </c>
      <c r="AF170" s="325"/>
    </row>
    <row r="171" spans="1:32">
      <c r="B171" t="s">
        <v>780</v>
      </c>
      <c r="C171" s="325">
        <v>0</v>
      </c>
      <c r="D171" s="325">
        <v>0</v>
      </c>
      <c r="E171" s="325">
        <v>0</v>
      </c>
      <c r="F171" s="325">
        <v>0</v>
      </c>
      <c r="G171" s="325">
        <v>0</v>
      </c>
      <c r="H171" s="325">
        <v>0</v>
      </c>
      <c r="I171" s="325">
        <v>0</v>
      </c>
      <c r="J171" s="325">
        <v>0</v>
      </c>
      <c r="K171" s="325">
        <v>0</v>
      </c>
      <c r="L171" s="325">
        <v>0</v>
      </c>
      <c r="M171" s="325">
        <v>0</v>
      </c>
      <c r="N171" s="325">
        <v>0</v>
      </c>
      <c r="O171" s="325">
        <f t="shared" si="45"/>
        <v>0</v>
      </c>
      <c r="R171" s="325">
        <f t="shared" si="46"/>
        <v>0</v>
      </c>
      <c r="T171" s="325"/>
      <c r="U171" s="325">
        <f t="shared" si="43"/>
        <v>0</v>
      </c>
      <c r="X171" s="325">
        <f t="shared" si="47"/>
        <v>0</v>
      </c>
      <c r="Z171" s="325"/>
      <c r="AA171" s="325">
        <f t="shared" si="44"/>
        <v>0</v>
      </c>
      <c r="AD171" s="325">
        <f t="shared" si="48"/>
        <v>0</v>
      </c>
      <c r="AF171" s="325"/>
    </row>
    <row r="172" spans="1:32">
      <c r="A172" t="s">
        <v>808</v>
      </c>
      <c r="B172" t="s">
        <v>782</v>
      </c>
      <c r="C172" s="325">
        <v>0</v>
      </c>
      <c r="D172" s="325">
        <v>0</v>
      </c>
      <c r="E172" s="325">
        <v>0</v>
      </c>
      <c r="F172" s="325">
        <v>0</v>
      </c>
      <c r="G172" s="325">
        <v>0</v>
      </c>
      <c r="H172" s="325">
        <v>0</v>
      </c>
      <c r="I172" s="325">
        <v>0</v>
      </c>
      <c r="J172" s="325">
        <v>0</v>
      </c>
      <c r="K172" s="325">
        <v>0</v>
      </c>
      <c r="L172" s="325">
        <v>0</v>
      </c>
      <c r="M172" s="325">
        <v>0</v>
      </c>
      <c r="N172" s="325">
        <v>4937</v>
      </c>
      <c r="O172" s="325">
        <f t="shared" si="45"/>
        <v>4937</v>
      </c>
      <c r="R172" s="325">
        <f t="shared" si="46"/>
        <v>4937</v>
      </c>
      <c r="T172" s="325"/>
      <c r="U172" s="325">
        <f t="shared" si="43"/>
        <v>0</v>
      </c>
      <c r="X172" s="325">
        <f t="shared" si="47"/>
        <v>0</v>
      </c>
      <c r="Z172" s="325"/>
      <c r="AA172" s="325">
        <f t="shared" si="44"/>
        <v>4937</v>
      </c>
      <c r="AD172" s="325">
        <f t="shared" si="48"/>
        <v>4937</v>
      </c>
      <c r="AF172" s="325"/>
    </row>
    <row r="173" spans="1:32">
      <c r="B173" t="s">
        <v>781</v>
      </c>
      <c r="C173" s="325">
        <v>0</v>
      </c>
      <c r="D173" s="325">
        <v>0</v>
      </c>
      <c r="E173" s="325">
        <v>0</v>
      </c>
      <c r="F173" s="325">
        <v>0</v>
      </c>
      <c r="G173" s="325">
        <v>0</v>
      </c>
      <c r="H173" s="325">
        <v>0</v>
      </c>
      <c r="I173" s="325">
        <v>0</v>
      </c>
      <c r="J173" s="325">
        <v>0</v>
      </c>
      <c r="K173" s="325">
        <v>0</v>
      </c>
      <c r="L173" s="325">
        <v>0</v>
      </c>
      <c r="M173" s="325">
        <v>0</v>
      </c>
      <c r="N173" s="325">
        <v>95</v>
      </c>
      <c r="O173" s="325">
        <f t="shared" si="45"/>
        <v>95</v>
      </c>
      <c r="R173" s="325">
        <f t="shared" si="46"/>
        <v>95</v>
      </c>
      <c r="T173" s="325"/>
      <c r="U173" s="325">
        <f t="shared" si="43"/>
        <v>0</v>
      </c>
      <c r="X173" s="325">
        <f t="shared" si="47"/>
        <v>0</v>
      </c>
      <c r="Z173" s="325"/>
      <c r="AA173" s="325">
        <f t="shared" si="44"/>
        <v>95</v>
      </c>
      <c r="AD173" s="325">
        <f t="shared" si="48"/>
        <v>95</v>
      </c>
      <c r="AF173" s="325"/>
    </row>
    <row r="174" spans="1:32">
      <c r="B174" t="s">
        <v>780</v>
      </c>
      <c r="C174" s="325">
        <v>0</v>
      </c>
      <c r="D174" s="325">
        <v>0</v>
      </c>
      <c r="E174" s="325">
        <v>0</v>
      </c>
      <c r="F174" s="325">
        <v>0</v>
      </c>
      <c r="G174" s="325">
        <v>0</v>
      </c>
      <c r="H174" s="325">
        <v>0</v>
      </c>
      <c r="I174" s="325">
        <v>0</v>
      </c>
      <c r="J174" s="325">
        <v>0</v>
      </c>
      <c r="K174" s="325">
        <v>0</v>
      </c>
      <c r="L174" s="325">
        <v>0</v>
      </c>
      <c r="M174" s="325">
        <v>0</v>
      </c>
      <c r="N174" s="325">
        <v>591</v>
      </c>
      <c r="O174" s="325">
        <f t="shared" si="45"/>
        <v>591</v>
      </c>
      <c r="R174" s="325">
        <f t="shared" si="46"/>
        <v>591</v>
      </c>
      <c r="T174" s="325"/>
      <c r="U174" s="325">
        <f t="shared" si="43"/>
        <v>0</v>
      </c>
      <c r="X174" s="325">
        <f t="shared" si="47"/>
        <v>0</v>
      </c>
      <c r="Z174" s="325"/>
      <c r="AA174" s="325">
        <f t="shared" si="44"/>
        <v>591</v>
      </c>
      <c r="AD174" s="325">
        <f t="shared" si="48"/>
        <v>591</v>
      </c>
      <c r="AF174" s="325"/>
    </row>
    <row r="175" spans="1:32">
      <c r="A175" t="s">
        <v>807</v>
      </c>
      <c r="B175" t="s">
        <v>782</v>
      </c>
      <c r="C175" s="325">
        <v>0</v>
      </c>
      <c r="D175" s="325">
        <v>0</v>
      </c>
      <c r="E175" s="325">
        <v>0</v>
      </c>
      <c r="F175" s="325">
        <v>0</v>
      </c>
      <c r="G175" s="325">
        <v>0</v>
      </c>
      <c r="H175" s="325">
        <v>0</v>
      </c>
      <c r="I175" s="325">
        <v>0</v>
      </c>
      <c r="J175" s="325">
        <v>0</v>
      </c>
      <c r="K175" s="325">
        <v>0</v>
      </c>
      <c r="L175" s="325">
        <v>0</v>
      </c>
      <c r="M175" s="325">
        <v>0</v>
      </c>
      <c r="N175" s="325">
        <v>1110.75</v>
      </c>
      <c r="O175" s="325">
        <f t="shared" si="45"/>
        <v>1110.75</v>
      </c>
      <c r="R175" s="325">
        <f t="shared" si="46"/>
        <v>1110.75</v>
      </c>
      <c r="T175" s="325"/>
      <c r="U175" s="325">
        <f t="shared" si="43"/>
        <v>0</v>
      </c>
      <c r="X175" s="325">
        <f t="shared" si="47"/>
        <v>0</v>
      </c>
      <c r="Z175" s="325"/>
      <c r="AA175" s="325">
        <f t="shared" si="44"/>
        <v>1110.75</v>
      </c>
      <c r="AD175" s="325">
        <f t="shared" si="48"/>
        <v>1110.75</v>
      </c>
      <c r="AF175" s="325"/>
    </row>
    <row r="176" spans="1:32">
      <c r="B176" t="s">
        <v>781</v>
      </c>
      <c r="C176" s="325">
        <v>0</v>
      </c>
      <c r="D176" s="325">
        <v>0</v>
      </c>
      <c r="E176" s="325">
        <v>0</v>
      </c>
      <c r="F176" s="325">
        <v>0</v>
      </c>
      <c r="G176" s="325">
        <v>0</v>
      </c>
      <c r="H176" s="325">
        <v>0</v>
      </c>
      <c r="I176" s="325">
        <v>0</v>
      </c>
      <c r="J176" s="325">
        <v>0</v>
      </c>
      <c r="K176" s="325">
        <v>0</v>
      </c>
      <c r="L176" s="325">
        <v>0</v>
      </c>
      <c r="M176" s="325">
        <v>0</v>
      </c>
      <c r="N176" s="325">
        <v>135.75</v>
      </c>
      <c r="O176" s="325">
        <f t="shared" si="45"/>
        <v>135.75</v>
      </c>
      <c r="R176" s="325">
        <f t="shared" si="46"/>
        <v>135.75</v>
      </c>
      <c r="T176" s="325"/>
      <c r="U176" s="325">
        <f t="shared" si="43"/>
        <v>0</v>
      </c>
      <c r="X176" s="325">
        <f t="shared" si="47"/>
        <v>0</v>
      </c>
      <c r="Z176" s="325"/>
      <c r="AA176" s="325">
        <f t="shared" si="44"/>
        <v>135.75</v>
      </c>
      <c r="AD176" s="325">
        <f t="shared" si="48"/>
        <v>135.75</v>
      </c>
      <c r="AF176" s="325"/>
    </row>
    <row r="177" spans="1:32">
      <c r="B177" t="s">
        <v>780</v>
      </c>
      <c r="C177" s="325">
        <v>0</v>
      </c>
      <c r="D177" s="325">
        <v>0</v>
      </c>
      <c r="E177" s="325">
        <v>0</v>
      </c>
      <c r="F177" s="325">
        <v>0</v>
      </c>
      <c r="G177" s="325">
        <v>0</v>
      </c>
      <c r="H177" s="325">
        <v>0</v>
      </c>
      <c r="I177" s="325">
        <v>0</v>
      </c>
      <c r="J177" s="325">
        <v>0</v>
      </c>
      <c r="K177" s="325">
        <v>0</v>
      </c>
      <c r="L177" s="325">
        <v>0</v>
      </c>
      <c r="M177" s="325">
        <v>0</v>
      </c>
      <c r="N177" s="325">
        <v>1568.75</v>
      </c>
      <c r="O177" s="325">
        <f t="shared" si="45"/>
        <v>1568.75</v>
      </c>
      <c r="R177" s="325">
        <f t="shared" si="46"/>
        <v>1568.75</v>
      </c>
      <c r="T177" s="325"/>
      <c r="U177" s="325">
        <f t="shared" si="43"/>
        <v>0</v>
      </c>
      <c r="X177" s="325">
        <f t="shared" si="47"/>
        <v>0</v>
      </c>
      <c r="Z177" s="325"/>
      <c r="AA177" s="325">
        <f t="shared" si="44"/>
        <v>1568.75</v>
      </c>
      <c r="AD177" s="325">
        <f t="shared" si="48"/>
        <v>1568.75</v>
      </c>
      <c r="AF177" s="325"/>
    </row>
    <row r="178" spans="1:32">
      <c r="A178" t="s">
        <v>806</v>
      </c>
      <c r="B178" t="s">
        <v>782</v>
      </c>
      <c r="C178" s="325">
        <v>0</v>
      </c>
      <c r="D178" s="325">
        <v>0</v>
      </c>
      <c r="E178" s="325">
        <v>0</v>
      </c>
      <c r="F178" s="325">
        <v>0</v>
      </c>
      <c r="G178" s="325">
        <v>0</v>
      </c>
      <c r="H178" s="325">
        <v>0</v>
      </c>
      <c r="I178" s="325">
        <v>0</v>
      </c>
      <c r="J178" s="325">
        <v>0</v>
      </c>
      <c r="K178" s="325">
        <v>0</v>
      </c>
      <c r="L178" s="325">
        <v>0</v>
      </c>
      <c r="M178" s="325">
        <v>0</v>
      </c>
      <c r="N178" s="325">
        <v>200</v>
      </c>
      <c r="O178" s="325">
        <f t="shared" si="45"/>
        <v>200</v>
      </c>
      <c r="R178" s="325">
        <f t="shared" si="46"/>
        <v>200</v>
      </c>
      <c r="T178" s="325"/>
      <c r="U178" s="325">
        <f t="shared" si="43"/>
        <v>0</v>
      </c>
      <c r="X178" s="325">
        <f t="shared" si="47"/>
        <v>0</v>
      </c>
      <c r="Z178" s="325"/>
      <c r="AA178" s="325">
        <f t="shared" si="44"/>
        <v>200</v>
      </c>
      <c r="AD178" s="325">
        <f t="shared" si="48"/>
        <v>200</v>
      </c>
      <c r="AF178" s="325"/>
    </row>
    <row r="179" spans="1:32">
      <c r="B179" t="s">
        <v>781</v>
      </c>
      <c r="C179" s="325">
        <v>0</v>
      </c>
      <c r="D179" s="325">
        <v>0</v>
      </c>
      <c r="E179" s="325">
        <v>0</v>
      </c>
      <c r="F179" s="325">
        <v>0</v>
      </c>
      <c r="G179" s="325">
        <v>0</v>
      </c>
      <c r="H179" s="325">
        <v>0</v>
      </c>
      <c r="I179" s="325">
        <v>0</v>
      </c>
      <c r="J179" s="325">
        <v>0</v>
      </c>
      <c r="K179" s="325">
        <v>0</v>
      </c>
      <c r="L179" s="325">
        <v>0</v>
      </c>
      <c r="M179" s="325">
        <v>0</v>
      </c>
      <c r="N179" s="325">
        <v>5000</v>
      </c>
      <c r="O179" s="325">
        <f t="shared" si="45"/>
        <v>5000</v>
      </c>
      <c r="R179" s="325">
        <f t="shared" si="46"/>
        <v>5000</v>
      </c>
      <c r="T179" s="325"/>
      <c r="U179" s="325">
        <f t="shared" si="43"/>
        <v>0</v>
      </c>
      <c r="X179" s="325">
        <f t="shared" si="47"/>
        <v>0</v>
      </c>
      <c r="Z179" s="325"/>
      <c r="AA179" s="325">
        <f t="shared" si="44"/>
        <v>5000</v>
      </c>
      <c r="AD179" s="325">
        <f t="shared" si="48"/>
        <v>5000</v>
      </c>
      <c r="AF179" s="325"/>
    </row>
    <row r="180" spans="1:32">
      <c r="B180" t="s">
        <v>780</v>
      </c>
      <c r="C180" s="325">
        <v>0</v>
      </c>
      <c r="D180" s="325">
        <v>0</v>
      </c>
      <c r="E180" s="325">
        <v>0</v>
      </c>
      <c r="F180" s="325">
        <v>0</v>
      </c>
      <c r="G180" s="325">
        <v>0</v>
      </c>
      <c r="H180" s="325">
        <v>0</v>
      </c>
      <c r="I180" s="325">
        <v>0</v>
      </c>
      <c r="J180" s="325">
        <v>0</v>
      </c>
      <c r="K180" s="325">
        <v>0</v>
      </c>
      <c r="L180" s="325">
        <v>0</v>
      </c>
      <c r="M180" s="325">
        <v>0</v>
      </c>
      <c r="N180" s="325">
        <v>13810</v>
      </c>
      <c r="O180" s="325">
        <f t="shared" si="45"/>
        <v>13810</v>
      </c>
      <c r="R180" s="325">
        <f t="shared" si="46"/>
        <v>13810</v>
      </c>
      <c r="T180" s="325"/>
      <c r="U180" s="325">
        <f t="shared" si="43"/>
        <v>0</v>
      </c>
      <c r="X180" s="325">
        <f t="shared" si="47"/>
        <v>0</v>
      </c>
      <c r="Z180" s="325"/>
      <c r="AA180" s="325">
        <f t="shared" si="44"/>
        <v>13810</v>
      </c>
      <c r="AD180" s="325">
        <f t="shared" si="48"/>
        <v>13810</v>
      </c>
      <c r="AF180" s="325"/>
    </row>
    <row r="181" spans="1:32">
      <c r="A181" t="s">
        <v>805</v>
      </c>
      <c r="B181" t="s">
        <v>782</v>
      </c>
      <c r="C181" s="325">
        <v>0</v>
      </c>
      <c r="D181" s="325">
        <v>0</v>
      </c>
      <c r="E181" s="325">
        <v>0</v>
      </c>
      <c r="F181" s="325">
        <v>0</v>
      </c>
      <c r="G181" s="325">
        <v>0</v>
      </c>
      <c r="H181" s="325">
        <v>0</v>
      </c>
      <c r="I181" s="325">
        <v>0</v>
      </c>
      <c r="J181" s="325">
        <v>0</v>
      </c>
      <c r="K181" s="325">
        <v>0</v>
      </c>
      <c r="L181" s="325">
        <v>0</v>
      </c>
      <c r="M181" s="325">
        <v>0</v>
      </c>
      <c r="N181" s="325">
        <v>0</v>
      </c>
      <c r="O181" s="325">
        <f t="shared" si="45"/>
        <v>0</v>
      </c>
      <c r="R181" s="325">
        <f t="shared" si="46"/>
        <v>0</v>
      </c>
      <c r="T181" s="325"/>
      <c r="U181" s="325">
        <f t="shared" si="43"/>
        <v>0</v>
      </c>
      <c r="X181" s="325">
        <f t="shared" si="47"/>
        <v>0</v>
      </c>
      <c r="Z181" s="325"/>
      <c r="AA181" s="325">
        <f t="shared" si="44"/>
        <v>0</v>
      </c>
      <c r="AD181" s="325">
        <f t="shared" si="48"/>
        <v>0</v>
      </c>
      <c r="AF181" s="325"/>
    </row>
    <row r="182" spans="1:32">
      <c r="B182" t="s">
        <v>781</v>
      </c>
      <c r="C182" s="325">
        <v>0</v>
      </c>
      <c r="D182" s="325">
        <v>0</v>
      </c>
      <c r="E182" s="325">
        <v>0</v>
      </c>
      <c r="F182" s="325">
        <v>0</v>
      </c>
      <c r="G182" s="325">
        <v>0</v>
      </c>
      <c r="H182" s="325">
        <v>0</v>
      </c>
      <c r="I182" s="325">
        <v>0</v>
      </c>
      <c r="J182" s="325">
        <v>0</v>
      </c>
      <c r="K182" s="325">
        <v>0</v>
      </c>
      <c r="L182" s="325">
        <v>0</v>
      </c>
      <c r="M182" s="325">
        <v>0</v>
      </c>
      <c r="N182" s="325">
        <v>0</v>
      </c>
      <c r="O182" s="325">
        <f t="shared" si="45"/>
        <v>0</v>
      </c>
      <c r="R182" s="325">
        <f t="shared" si="46"/>
        <v>0</v>
      </c>
      <c r="T182" s="325"/>
      <c r="U182" s="325">
        <f t="shared" si="43"/>
        <v>0</v>
      </c>
      <c r="X182" s="325">
        <f t="shared" si="47"/>
        <v>0</v>
      </c>
      <c r="Z182" s="325"/>
      <c r="AA182" s="325">
        <f t="shared" si="44"/>
        <v>0</v>
      </c>
      <c r="AD182" s="325">
        <f t="shared" si="48"/>
        <v>0</v>
      </c>
      <c r="AF182" s="325"/>
    </row>
    <row r="183" spans="1:32">
      <c r="B183" t="s">
        <v>780</v>
      </c>
      <c r="C183" s="325">
        <v>0</v>
      </c>
      <c r="D183" s="325">
        <v>0</v>
      </c>
      <c r="E183" s="325">
        <v>0</v>
      </c>
      <c r="F183" s="325">
        <v>0</v>
      </c>
      <c r="G183" s="325">
        <v>0</v>
      </c>
      <c r="H183" s="325">
        <v>0</v>
      </c>
      <c r="I183" s="325">
        <v>0</v>
      </c>
      <c r="J183" s="325">
        <v>0</v>
      </c>
      <c r="K183" s="325">
        <v>0</v>
      </c>
      <c r="L183" s="325">
        <v>0</v>
      </c>
      <c r="M183" s="325">
        <v>0</v>
      </c>
      <c r="N183" s="325">
        <v>0</v>
      </c>
      <c r="O183" s="325">
        <f t="shared" si="45"/>
        <v>0</v>
      </c>
      <c r="R183" s="325">
        <f t="shared" si="46"/>
        <v>0</v>
      </c>
      <c r="T183" s="325"/>
      <c r="U183" s="325">
        <f t="shared" si="43"/>
        <v>0</v>
      </c>
      <c r="X183" s="325">
        <f t="shared" si="47"/>
        <v>0</v>
      </c>
      <c r="Z183" s="325"/>
      <c r="AA183" s="325">
        <f t="shared" si="44"/>
        <v>0</v>
      </c>
      <c r="AD183" s="325">
        <f t="shared" si="48"/>
        <v>0</v>
      </c>
      <c r="AF183" s="325"/>
    </row>
    <row r="184" spans="1:32">
      <c r="A184" t="s">
        <v>804</v>
      </c>
      <c r="B184" t="s">
        <v>782</v>
      </c>
      <c r="C184" s="325">
        <v>0</v>
      </c>
      <c r="D184" s="325">
        <v>0</v>
      </c>
      <c r="E184" s="325">
        <v>0</v>
      </c>
      <c r="F184" s="325">
        <v>0</v>
      </c>
      <c r="G184" s="325">
        <v>0</v>
      </c>
      <c r="H184" s="325">
        <v>0</v>
      </c>
      <c r="I184" s="325">
        <v>0</v>
      </c>
      <c r="J184" s="325">
        <v>0</v>
      </c>
      <c r="K184" s="325">
        <v>0</v>
      </c>
      <c r="L184" s="325">
        <v>0</v>
      </c>
      <c r="M184" s="325">
        <v>0</v>
      </c>
      <c r="N184" s="325">
        <v>85</v>
      </c>
      <c r="O184" s="325">
        <f t="shared" si="45"/>
        <v>85</v>
      </c>
      <c r="Q184" s="325">
        <f>-O184</f>
        <v>-85</v>
      </c>
      <c r="R184" s="325">
        <f t="shared" si="46"/>
        <v>0</v>
      </c>
      <c r="T184" s="325"/>
      <c r="U184" s="325">
        <f t="shared" si="43"/>
        <v>0</v>
      </c>
      <c r="W184" s="325">
        <f>-U184</f>
        <v>0</v>
      </c>
      <c r="X184" s="325">
        <f t="shared" si="47"/>
        <v>0</v>
      </c>
      <c r="Z184" s="325"/>
      <c r="AA184" s="325">
        <f t="shared" si="44"/>
        <v>85</v>
      </c>
      <c r="AC184" s="325">
        <f>-AA184</f>
        <v>-85</v>
      </c>
      <c r="AD184" s="325">
        <f t="shared" si="48"/>
        <v>0</v>
      </c>
      <c r="AF184" s="325"/>
    </row>
    <row r="185" spans="1:32">
      <c r="B185" t="s">
        <v>781</v>
      </c>
      <c r="C185" s="325">
        <v>0</v>
      </c>
      <c r="D185" s="325">
        <v>0</v>
      </c>
      <c r="E185" s="325">
        <v>0</v>
      </c>
      <c r="F185" s="325">
        <v>0</v>
      </c>
      <c r="G185" s="325">
        <v>0</v>
      </c>
      <c r="H185" s="325">
        <v>0</v>
      </c>
      <c r="I185" s="325">
        <v>0</v>
      </c>
      <c r="J185" s="325">
        <v>0</v>
      </c>
      <c r="K185" s="325">
        <v>0</v>
      </c>
      <c r="L185" s="325">
        <v>0</v>
      </c>
      <c r="M185" s="325">
        <v>0</v>
      </c>
      <c r="N185" s="325">
        <v>4</v>
      </c>
      <c r="O185" s="325">
        <f t="shared" si="45"/>
        <v>4</v>
      </c>
      <c r="Q185" s="325">
        <f>-O185</f>
        <v>-4</v>
      </c>
      <c r="R185" s="325">
        <f t="shared" ref="R185:R219" si="49">+O185+Q185</f>
        <v>0</v>
      </c>
      <c r="T185" s="325"/>
      <c r="U185" s="325">
        <f t="shared" si="43"/>
        <v>0</v>
      </c>
      <c r="W185" s="325">
        <f>-U185</f>
        <v>0</v>
      </c>
      <c r="X185" s="325">
        <f t="shared" ref="X185:X219" si="50">+U185+W185</f>
        <v>0</v>
      </c>
      <c r="Z185" s="325"/>
      <c r="AA185" s="325">
        <f t="shared" si="44"/>
        <v>4</v>
      </c>
      <c r="AC185" s="325">
        <f>-AA185</f>
        <v>-4</v>
      </c>
      <c r="AD185" s="325">
        <f t="shared" ref="AD185:AD219" si="51">+AA185+AC185</f>
        <v>0</v>
      </c>
      <c r="AF185" s="325"/>
    </row>
    <row r="186" spans="1:32">
      <c r="B186" t="s">
        <v>780</v>
      </c>
      <c r="C186" s="325">
        <v>0</v>
      </c>
      <c r="D186" s="325">
        <v>0</v>
      </c>
      <c r="E186" s="325">
        <v>0</v>
      </c>
      <c r="F186" s="325">
        <v>0</v>
      </c>
      <c r="G186" s="325">
        <v>0</v>
      </c>
      <c r="H186" s="325">
        <v>0</v>
      </c>
      <c r="I186" s="325">
        <v>0</v>
      </c>
      <c r="J186" s="325">
        <v>0</v>
      </c>
      <c r="K186" s="325">
        <v>0</v>
      </c>
      <c r="L186" s="325">
        <v>0</v>
      </c>
      <c r="M186" s="325">
        <v>0</v>
      </c>
      <c r="N186" s="325">
        <v>4</v>
      </c>
      <c r="O186" s="325">
        <f t="shared" si="45"/>
        <v>4</v>
      </c>
      <c r="Q186" s="325">
        <f>-O186</f>
        <v>-4</v>
      </c>
      <c r="R186" s="325">
        <f t="shared" si="49"/>
        <v>0</v>
      </c>
      <c r="T186" s="325"/>
      <c r="U186" s="325">
        <f t="shared" si="43"/>
        <v>0</v>
      </c>
      <c r="W186" s="325">
        <f>-U186</f>
        <v>0</v>
      </c>
      <c r="X186" s="325">
        <f t="shared" si="50"/>
        <v>0</v>
      </c>
      <c r="Z186" s="325"/>
      <c r="AA186" s="325">
        <f t="shared" si="44"/>
        <v>4</v>
      </c>
      <c r="AC186" s="325">
        <f>-AA186</f>
        <v>-4</v>
      </c>
      <c r="AD186" s="325">
        <f t="shared" si="51"/>
        <v>0</v>
      </c>
      <c r="AF186" s="325"/>
    </row>
    <row r="187" spans="1:32">
      <c r="A187" t="s">
        <v>803</v>
      </c>
      <c r="B187" t="s">
        <v>782</v>
      </c>
      <c r="C187" s="325">
        <v>0</v>
      </c>
      <c r="D187" s="325">
        <v>0</v>
      </c>
      <c r="E187" s="325">
        <v>0</v>
      </c>
      <c r="F187" s="325">
        <v>0</v>
      </c>
      <c r="G187" s="325">
        <v>0</v>
      </c>
      <c r="H187" s="325">
        <v>0</v>
      </c>
      <c r="I187" s="325">
        <v>0</v>
      </c>
      <c r="J187" s="325">
        <v>0</v>
      </c>
      <c r="K187" s="325">
        <v>0</v>
      </c>
      <c r="L187" s="325">
        <v>0</v>
      </c>
      <c r="M187" s="325">
        <v>0</v>
      </c>
      <c r="N187" s="325">
        <v>10</v>
      </c>
      <c r="O187" s="325">
        <f t="shared" si="45"/>
        <v>10</v>
      </c>
      <c r="Q187" s="325">
        <f t="shared" ref="Q187:Q195" si="52">-O187</f>
        <v>-10</v>
      </c>
      <c r="R187" s="325">
        <f t="shared" si="49"/>
        <v>0</v>
      </c>
      <c r="T187" s="325"/>
      <c r="U187" s="325">
        <f t="shared" si="43"/>
        <v>0</v>
      </c>
      <c r="W187" s="325">
        <f t="shared" ref="W187:W195" si="53">-U187</f>
        <v>0</v>
      </c>
      <c r="X187" s="325">
        <f t="shared" si="50"/>
        <v>0</v>
      </c>
      <c r="Z187" s="325"/>
      <c r="AA187" s="325">
        <f t="shared" si="44"/>
        <v>10</v>
      </c>
      <c r="AC187" s="325">
        <f t="shared" ref="AC187:AC195" si="54">-AA187</f>
        <v>-10</v>
      </c>
      <c r="AD187" s="325">
        <f t="shared" si="51"/>
        <v>0</v>
      </c>
      <c r="AF187" s="325"/>
    </row>
    <row r="188" spans="1:32">
      <c r="B188" t="s">
        <v>781</v>
      </c>
      <c r="C188" s="325">
        <v>0</v>
      </c>
      <c r="D188" s="325">
        <v>0</v>
      </c>
      <c r="E188" s="325">
        <v>0</v>
      </c>
      <c r="F188" s="325">
        <v>0</v>
      </c>
      <c r="G188" s="325">
        <v>0</v>
      </c>
      <c r="H188" s="325">
        <v>0</v>
      </c>
      <c r="I188" s="325">
        <v>0</v>
      </c>
      <c r="J188" s="325">
        <v>0</v>
      </c>
      <c r="K188" s="325">
        <v>0</v>
      </c>
      <c r="L188" s="325">
        <v>0</v>
      </c>
      <c r="M188" s="325">
        <v>0</v>
      </c>
      <c r="N188" s="325">
        <v>0</v>
      </c>
      <c r="O188" s="325">
        <f t="shared" si="45"/>
        <v>0</v>
      </c>
      <c r="Q188" s="325">
        <f t="shared" si="52"/>
        <v>0</v>
      </c>
      <c r="R188" s="325">
        <f t="shared" si="49"/>
        <v>0</v>
      </c>
      <c r="T188" s="325"/>
      <c r="U188" s="325">
        <f t="shared" si="43"/>
        <v>0</v>
      </c>
      <c r="W188" s="325">
        <f t="shared" si="53"/>
        <v>0</v>
      </c>
      <c r="X188" s="325">
        <f t="shared" si="50"/>
        <v>0</v>
      </c>
      <c r="Z188" s="325"/>
      <c r="AA188" s="325">
        <f t="shared" si="44"/>
        <v>0</v>
      </c>
      <c r="AC188" s="325">
        <f t="shared" si="54"/>
        <v>0</v>
      </c>
      <c r="AD188" s="325">
        <f t="shared" si="51"/>
        <v>0</v>
      </c>
      <c r="AF188" s="325"/>
    </row>
    <row r="189" spans="1:32">
      <c r="B189" t="s">
        <v>780</v>
      </c>
      <c r="C189" s="325">
        <v>0</v>
      </c>
      <c r="D189" s="325">
        <v>0</v>
      </c>
      <c r="E189" s="325">
        <v>0</v>
      </c>
      <c r="F189" s="325">
        <v>0</v>
      </c>
      <c r="G189" s="325">
        <v>0</v>
      </c>
      <c r="H189" s="325">
        <v>0</v>
      </c>
      <c r="I189" s="325">
        <v>0</v>
      </c>
      <c r="J189" s="325">
        <v>0</v>
      </c>
      <c r="K189" s="325">
        <v>0</v>
      </c>
      <c r="L189" s="325">
        <v>0</v>
      </c>
      <c r="M189" s="325">
        <v>0</v>
      </c>
      <c r="N189" s="325">
        <v>0</v>
      </c>
      <c r="O189" s="325">
        <f t="shared" si="45"/>
        <v>0</v>
      </c>
      <c r="Q189" s="325">
        <f t="shared" si="52"/>
        <v>0</v>
      </c>
      <c r="R189" s="325">
        <f t="shared" si="49"/>
        <v>0</v>
      </c>
      <c r="T189" s="325"/>
      <c r="U189" s="325">
        <f t="shared" si="43"/>
        <v>0</v>
      </c>
      <c r="W189" s="325">
        <f t="shared" si="53"/>
        <v>0</v>
      </c>
      <c r="X189" s="325">
        <f t="shared" si="50"/>
        <v>0</v>
      </c>
      <c r="Z189" s="325"/>
      <c r="AA189" s="325">
        <f t="shared" si="44"/>
        <v>0</v>
      </c>
      <c r="AC189" s="325">
        <f t="shared" si="54"/>
        <v>0</v>
      </c>
      <c r="AD189" s="325">
        <f t="shared" si="51"/>
        <v>0</v>
      </c>
      <c r="AF189" s="325"/>
    </row>
    <row r="190" spans="1:32">
      <c r="A190" t="s">
        <v>802</v>
      </c>
      <c r="B190" t="s">
        <v>782</v>
      </c>
      <c r="C190" s="325">
        <v>0</v>
      </c>
      <c r="D190" s="325">
        <v>0</v>
      </c>
      <c r="E190" s="325">
        <v>0</v>
      </c>
      <c r="F190" s="325">
        <v>0</v>
      </c>
      <c r="G190" s="325">
        <v>0</v>
      </c>
      <c r="H190" s="325">
        <v>0</v>
      </c>
      <c r="I190" s="325">
        <v>0</v>
      </c>
      <c r="J190" s="325">
        <v>0</v>
      </c>
      <c r="K190" s="325">
        <v>0</v>
      </c>
      <c r="L190" s="325">
        <v>0</v>
      </c>
      <c r="M190" s="325">
        <v>0</v>
      </c>
      <c r="N190" s="325">
        <v>43</v>
      </c>
      <c r="O190" s="325">
        <f t="shared" si="45"/>
        <v>43</v>
      </c>
      <c r="Q190" s="325">
        <f t="shared" si="52"/>
        <v>-43</v>
      </c>
      <c r="R190" s="325">
        <f t="shared" si="49"/>
        <v>0</v>
      </c>
      <c r="T190" s="325"/>
      <c r="U190" s="325">
        <f t="shared" si="43"/>
        <v>0</v>
      </c>
      <c r="W190" s="325">
        <f t="shared" si="53"/>
        <v>0</v>
      </c>
      <c r="X190" s="325">
        <f t="shared" si="50"/>
        <v>0</v>
      </c>
      <c r="Z190" s="325"/>
      <c r="AA190" s="325">
        <f t="shared" si="44"/>
        <v>43</v>
      </c>
      <c r="AC190" s="325">
        <f t="shared" si="54"/>
        <v>-43</v>
      </c>
      <c r="AD190" s="325">
        <f t="shared" si="51"/>
        <v>0</v>
      </c>
      <c r="AF190" s="325"/>
    </row>
    <row r="191" spans="1:32">
      <c r="B191" t="s">
        <v>781</v>
      </c>
      <c r="C191" s="325">
        <v>0</v>
      </c>
      <c r="D191" s="325">
        <v>0</v>
      </c>
      <c r="E191" s="325">
        <v>0</v>
      </c>
      <c r="F191" s="325">
        <v>0</v>
      </c>
      <c r="G191" s="325">
        <v>0</v>
      </c>
      <c r="H191" s="325">
        <v>0</v>
      </c>
      <c r="I191" s="325">
        <v>0</v>
      </c>
      <c r="J191" s="325">
        <v>0</v>
      </c>
      <c r="K191" s="325">
        <v>0</v>
      </c>
      <c r="L191" s="325">
        <v>0</v>
      </c>
      <c r="M191" s="325">
        <v>0</v>
      </c>
      <c r="N191" s="325">
        <v>3</v>
      </c>
      <c r="O191" s="325">
        <f t="shared" si="45"/>
        <v>3</v>
      </c>
      <c r="Q191" s="325">
        <f t="shared" si="52"/>
        <v>-3</v>
      </c>
      <c r="R191" s="325">
        <f t="shared" si="49"/>
        <v>0</v>
      </c>
      <c r="T191" s="325"/>
      <c r="U191" s="325">
        <f t="shared" si="43"/>
        <v>0</v>
      </c>
      <c r="W191" s="325">
        <f t="shared" si="53"/>
        <v>0</v>
      </c>
      <c r="X191" s="325">
        <f t="shared" si="50"/>
        <v>0</v>
      </c>
      <c r="Z191" s="325"/>
      <c r="AA191" s="325">
        <f t="shared" si="44"/>
        <v>3</v>
      </c>
      <c r="AC191" s="325">
        <f t="shared" si="54"/>
        <v>-3</v>
      </c>
      <c r="AD191" s="325">
        <f t="shared" si="51"/>
        <v>0</v>
      </c>
      <c r="AF191" s="325"/>
    </row>
    <row r="192" spans="1:32">
      <c r="B192" t="s">
        <v>780</v>
      </c>
      <c r="C192" s="325">
        <v>0</v>
      </c>
      <c r="D192" s="325">
        <v>0</v>
      </c>
      <c r="E192" s="325">
        <v>0</v>
      </c>
      <c r="F192" s="325">
        <v>0</v>
      </c>
      <c r="G192" s="325">
        <v>0</v>
      </c>
      <c r="H192" s="325">
        <v>0</v>
      </c>
      <c r="I192" s="325">
        <v>0</v>
      </c>
      <c r="J192" s="325">
        <v>0</v>
      </c>
      <c r="K192" s="325">
        <v>0</v>
      </c>
      <c r="L192" s="325">
        <v>0</v>
      </c>
      <c r="M192" s="325">
        <v>0</v>
      </c>
      <c r="N192" s="325">
        <v>8</v>
      </c>
      <c r="O192" s="325">
        <f t="shared" si="45"/>
        <v>8</v>
      </c>
      <c r="Q192" s="325">
        <f t="shared" si="52"/>
        <v>-8</v>
      </c>
      <c r="R192" s="325">
        <f t="shared" si="49"/>
        <v>0</v>
      </c>
      <c r="T192" s="325"/>
      <c r="U192" s="325">
        <f t="shared" si="43"/>
        <v>0</v>
      </c>
      <c r="W192" s="325">
        <f t="shared" si="53"/>
        <v>0</v>
      </c>
      <c r="X192" s="325">
        <f t="shared" si="50"/>
        <v>0</v>
      </c>
      <c r="Z192" s="325"/>
      <c r="AA192" s="325">
        <f t="shared" si="44"/>
        <v>8</v>
      </c>
      <c r="AC192" s="325">
        <f t="shared" si="54"/>
        <v>-8</v>
      </c>
      <c r="AD192" s="325">
        <f t="shared" si="51"/>
        <v>0</v>
      </c>
      <c r="AF192" s="325"/>
    </row>
    <row r="193" spans="1:32">
      <c r="A193" t="s">
        <v>801</v>
      </c>
      <c r="B193" t="s">
        <v>782</v>
      </c>
      <c r="C193" s="325">
        <v>0</v>
      </c>
      <c r="D193" s="325">
        <v>0</v>
      </c>
      <c r="E193" s="325">
        <v>0</v>
      </c>
      <c r="F193" s="325">
        <v>0</v>
      </c>
      <c r="G193" s="325">
        <v>0</v>
      </c>
      <c r="H193" s="325">
        <v>0</v>
      </c>
      <c r="I193" s="325">
        <v>0</v>
      </c>
      <c r="J193" s="325">
        <v>0</v>
      </c>
      <c r="K193" s="325">
        <v>0</v>
      </c>
      <c r="L193" s="325">
        <v>0</v>
      </c>
      <c r="M193" s="325">
        <v>0</v>
      </c>
      <c r="N193" s="325">
        <v>1</v>
      </c>
      <c r="O193" s="325">
        <f t="shared" si="45"/>
        <v>1</v>
      </c>
      <c r="Q193" s="325">
        <f t="shared" si="52"/>
        <v>-1</v>
      </c>
      <c r="R193" s="325">
        <f t="shared" si="49"/>
        <v>0</v>
      </c>
      <c r="T193" s="325"/>
      <c r="U193" s="325">
        <f t="shared" si="43"/>
        <v>0</v>
      </c>
      <c r="W193" s="325">
        <f t="shared" si="53"/>
        <v>0</v>
      </c>
      <c r="X193" s="325">
        <f t="shared" si="50"/>
        <v>0</v>
      </c>
      <c r="Z193" s="325"/>
      <c r="AA193" s="325">
        <f t="shared" si="44"/>
        <v>1</v>
      </c>
      <c r="AC193" s="325">
        <f t="shared" si="54"/>
        <v>-1</v>
      </c>
      <c r="AD193" s="325">
        <f t="shared" si="51"/>
        <v>0</v>
      </c>
      <c r="AF193" s="325"/>
    </row>
    <row r="194" spans="1:32">
      <c r="B194" t="s">
        <v>781</v>
      </c>
      <c r="C194" s="325">
        <v>0</v>
      </c>
      <c r="D194" s="325">
        <v>0</v>
      </c>
      <c r="E194" s="325">
        <v>0</v>
      </c>
      <c r="F194" s="325">
        <v>0</v>
      </c>
      <c r="G194" s="325">
        <v>0</v>
      </c>
      <c r="H194" s="325">
        <v>0</v>
      </c>
      <c r="I194" s="325">
        <v>0</v>
      </c>
      <c r="J194" s="325">
        <v>0</v>
      </c>
      <c r="K194" s="325">
        <v>0</v>
      </c>
      <c r="L194" s="325">
        <v>0</v>
      </c>
      <c r="M194" s="325">
        <v>0</v>
      </c>
      <c r="N194" s="325">
        <v>0</v>
      </c>
      <c r="O194" s="325">
        <f t="shared" si="45"/>
        <v>0</v>
      </c>
      <c r="Q194" s="325">
        <f t="shared" si="52"/>
        <v>0</v>
      </c>
      <c r="R194" s="325">
        <f t="shared" si="49"/>
        <v>0</v>
      </c>
      <c r="T194" s="325"/>
      <c r="U194" s="325">
        <f t="shared" si="43"/>
        <v>0</v>
      </c>
      <c r="W194" s="325">
        <f t="shared" si="53"/>
        <v>0</v>
      </c>
      <c r="X194" s="325">
        <f t="shared" si="50"/>
        <v>0</v>
      </c>
      <c r="Z194" s="325"/>
      <c r="AA194" s="325">
        <f t="shared" si="44"/>
        <v>0</v>
      </c>
      <c r="AC194" s="325">
        <f t="shared" si="54"/>
        <v>0</v>
      </c>
      <c r="AD194" s="325">
        <f t="shared" si="51"/>
        <v>0</v>
      </c>
      <c r="AF194" s="325"/>
    </row>
    <row r="195" spans="1:32">
      <c r="B195" t="s">
        <v>780</v>
      </c>
      <c r="C195" s="325">
        <v>0</v>
      </c>
      <c r="D195" s="325">
        <v>0</v>
      </c>
      <c r="E195" s="325">
        <v>0</v>
      </c>
      <c r="F195" s="325">
        <v>0</v>
      </c>
      <c r="G195" s="325">
        <v>0</v>
      </c>
      <c r="H195" s="325">
        <v>0</v>
      </c>
      <c r="I195" s="325">
        <v>0</v>
      </c>
      <c r="J195" s="325">
        <v>0</v>
      </c>
      <c r="K195" s="325">
        <v>0</v>
      </c>
      <c r="L195" s="325">
        <v>0</v>
      </c>
      <c r="M195" s="325">
        <v>0</v>
      </c>
      <c r="N195" s="325">
        <v>0</v>
      </c>
      <c r="O195" s="325">
        <f t="shared" si="45"/>
        <v>0</v>
      </c>
      <c r="Q195" s="325">
        <f t="shared" si="52"/>
        <v>0</v>
      </c>
      <c r="R195" s="325">
        <f t="shared" si="49"/>
        <v>0</v>
      </c>
      <c r="T195" s="325"/>
      <c r="U195" s="325">
        <f t="shared" si="43"/>
        <v>0</v>
      </c>
      <c r="W195" s="325">
        <f t="shared" si="53"/>
        <v>0</v>
      </c>
      <c r="X195" s="325">
        <f t="shared" si="50"/>
        <v>0</v>
      </c>
      <c r="Z195" s="325"/>
      <c r="AA195" s="325">
        <f t="shared" si="44"/>
        <v>0</v>
      </c>
      <c r="AC195" s="325">
        <f t="shared" si="54"/>
        <v>0</v>
      </c>
      <c r="AD195" s="325">
        <f t="shared" si="51"/>
        <v>0</v>
      </c>
      <c r="AF195" s="325"/>
    </row>
    <row r="196" spans="1:32">
      <c r="A196" s="83" t="s">
        <v>1317</v>
      </c>
      <c r="B196" t="s">
        <v>782</v>
      </c>
      <c r="C196" s="325">
        <v>0</v>
      </c>
      <c r="D196" s="325">
        <v>0</v>
      </c>
      <c r="E196" s="325">
        <v>0</v>
      </c>
      <c r="F196" s="325">
        <v>0</v>
      </c>
      <c r="G196" s="325">
        <v>0</v>
      </c>
      <c r="H196" s="325">
        <v>0</v>
      </c>
      <c r="I196" s="325">
        <v>0</v>
      </c>
      <c r="J196" s="325">
        <v>0</v>
      </c>
      <c r="K196" s="325">
        <v>0</v>
      </c>
      <c r="L196" s="325">
        <v>0</v>
      </c>
      <c r="M196" s="325">
        <v>0</v>
      </c>
      <c r="N196" s="325">
        <v>605</v>
      </c>
      <c r="O196" s="325">
        <f t="shared" ref="O196:O198" si="55">SUM(C196:N196)</f>
        <v>605</v>
      </c>
      <c r="R196" s="325">
        <f t="shared" ref="R196:R198" si="56">+O196+Q196</f>
        <v>605</v>
      </c>
      <c r="T196" s="325"/>
      <c r="U196" s="325">
        <f t="shared" si="43"/>
        <v>0</v>
      </c>
      <c r="X196" s="325">
        <f t="shared" ref="X196:X198" si="57">+U196+W196</f>
        <v>0</v>
      </c>
      <c r="Z196" s="325"/>
      <c r="AA196" s="325">
        <f t="shared" si="44"/>
        <v>605</v>
      </c>
      <c r="AD196" s="325">
        <f t="shared" ref="AD196:AD198" si="58">+AA196+AC196</f>
        <v>605</v>
      </c>
      <c r="AF196" s="325"/>
    </row>
    <row r="197" spans="1:32">
      <c r="B197" t="s">
        <v>781</v>
      </c>
      <c r="C197" s="325">
        <v>0</v>
      </c>
      <c r="D197" s="325">
        <v>0</v>
      </c>
      <c r="E197" s="325">
        <v>0</v>
      </c>
      <c r="F197" s="325">
        <v>0</v>
      </c>
      <c r="G197" s="325">
        <v>0</v>
      </c>
      <c r="H197" s="325">
        <v>0</v>
      </c>
      <c r="I197" s="325">
        <v>0</v>
      </c>
      <c r="J197" s="325">
        <v>0</v>
      </c>
      <c r="K197" s="325">
        <v>0</v>
      </c>
      <c r="L197" s="325">
        <v>0</v>
      </c>
      <c r="M197" s="325">
        <v>0</v>
      </c>
      <c r="N197" s="325">
        <v>0</v>
      </c>
      <c r="O197" s="325">
        <f t="shared" si="55"/>
        <v>0</v>
      </c>
      <c r="R197" s="325">
        <f t="shared" si="56"/>
        <v>0</v>
      </c>
      <c r="T197" s="325"/>
      <c r="U197" s="325">
        <f t="shared" si="43"/>
        <v>0</v>
      </c>
      <c r="X197" s="325">
        <f t="shared" si="57"/>
        <v>0</v>
      </c>
      <c r="Z197" s="325"/>
      <c r="AA197" s="325">
        <f t="shared" si="44"/>
        <v>0</v>
      </c>
      <c r="AD197" s="325">
        <f t="shared" si="58"/>
        <v>0</v>
      </c>
      <c r="AF197" s="325"/>
    </row>
    <row r="198" spans="1:32">
      <c r="B198" t="s">
        <v>780</v>
      </c>
      <c r="C198" s="325">
        <v>0</v>
      </c>
      <c r="D198" s="325">
        <v>0</v>
      </c>
      <c r="E198" s="325">
        <v>0</v>
      </c>
      <c r="F198" s="325">
        <v>0</v>
      </c>
      <c r="G198" s="325">
        <v>0</v>
      </c>
      <c r="H198" s="325">
        <v>0</v>
      </c>
      <c r="I198" s="325">
        <v>0</v>
      </c>
      <c r="J198" s="325">
        <v>0</v>
      </c>
      <c r="K198" s="325">
        <v>0</v>
      </c>
      <c r="L198" s="325">
        <v>0</v>
      </c>
      <c r="M198" s="325">
        <v>0</v>
      </c>
      <c r="N198" s="325">
        <v>0</v>
      </c>
      <c r="O198" s="325">
        <f t="shared" si="55"/>
        <v>0</v>
      </c>
      <c r="R198" s="325">
        <f t="shared" si="56"/>
        <v>0</v>
      </c>
      <c r="T198" s="325"/>
      <c r="U198" s="325">
        <f t="shared" si="43"/>
        <v>0</v>
      </c>
      <c r="X198" s="325">
        <f t="shared" si="57"/>
        <v>0</v>
      </c>
      <c r="Z198" s="325"/>
      <c r="AA198" s="325">
        <f t="shared" si="44"/>
        <v>0</v>
      </c>
      <c r="AD198" s="325">
        <f t="shared" si="58"/>
        <v>0</v>
      </c>
      <c r="AF198" s="325"/>
    </row>
    <row r="199" spans="1:32">
      <c r="A199" t="s">
        <v>800</v>
      </c>
      <c r="B199" t="s">
        <v>782</v>
      </c>
      <c r="C199" s="325">
        <v>0</v>
      </c>
      <c r="D199" s="325">
        <v>0</v>
      </c>
      <c r="E199" s="325">
        <v>0</v>
      </c>
      <c r="F199" s="325">
        <v>0</v>
      </c>
      <c r="G199" s="325">
        <v>0</v>
      </c>
      <c r="H199" s="325">
        <v>0</v>
      </c>
      <c r="I199" s="325">
        <v>0</v>
      </c>
      <c r="J199" s="325">
        <v>0</v>
      </c>
      <c r="K199" s="325">
        <v>0</v>
      </c>
      <c r="L199" s="325">
        <v>0</v>
      </c>
      <c r="M199" s="325">
        <v>0</v>
      </c>
      <c r="N199" s="325">
        <v>12</v>
      </c>
      <c r="O199" s="325">
        <f t="shared" si="45"/>
        <v>12</v>
      </c>
      <c r="Q199" s="325">
        <f t="shared" ref="Q199:Q207" si="59">-O199</f>
        <v>-12</v>
      </c>
      <c r="R199" s="325">
        <f t="shared" si="49"/>
        <v>0</v>
      </c>
      <c r="T199" s="325"/>
      <c r="U199" s="325">
        <f t="shared" si="43"/>
        <v>0</v>
      </c>
      <c r="W199" s="325">
        <f t="shared" ref="W199:W207" si="60">-U199</f>
        <v>0</v>
      </c>
      <c r="X199" s="325">
        <f t="shared" si="50"/>
        <v>0</v>
      </c>
      <c r="Z199" s="325"/>
      <c r="AA199" s="325">
        <f t="shared" si="44"/>
        <v>12</v>
      </c>
      <c r="AC199" s="325">
        <f t="shared" ref="AC199:AC207" si="61">-AA199</f>
        <v>-12</v>
      </c>
      <c r="AD199" s="325">
        <f t="shared" si="51"/>
        <v>0</v>
      </c>
      <c r="AF199" s="325"/>
    </row>
    <row r="200" spans="1:32">
      <c r="B200" t="s">
        <v>781</v>
      </c>
      <c r="C200" s="325">
        <v>0</v>
      </c>
      <c r="D200" s="325">
        <v>0</v>
      </c>
      <c r="E200" s="325">
        <v>0</v>
      </c>
      <c r="F200" s="325">
        <v>0</v>
      </c>
      <c r="G200" s="325">
        <v>0</v>
      </c>
      <c r="H200" s="325">
        <v>0</v>
      </c>
      <c r="I200" s="325">
        <v>0</v>
      </c>
      <c r="J200" s="325">
        <v>0</v>
      </c>
      <c r="K200" s="325">
        <v>0</v>
      </c>
      <c r="L200" s="325">
        <v>0</v>
      </c>
      <c r="M200" s="325">
        <v>0</v>
      </c>
      <c r="N200" s="325">
        <v>0</v>
      </c>
      <c r="O200" s="325">
        <f t="shared" si="45"/>
        <v>0</v>
      </c>
      <c r="Q200" s="325">
        <f t="shared" si="59"/>
        <v>0</v>
      </c>
      <c r="R200" s="325">
        <f t="shared" si="49"/>
        <v>0</v>
      </c>
      <c r="T200" s="325"/>
      <c r="U200" s="325">
        <f t="shared" si="43"/>
        <v>0</v>
      </c>
      <c r="W200" s="325">
        <f t="shared" si="60"/>
        <v>0</v>
      </c>
      <c r="X200" s="325">
        <f t="shared" si="50"/>
        <v>0</v>
      </c>
      <c r="Z200" s="325"/>
      <c r="AA200" s="325">
        <f t="shared" si="44"/>
        <v>0</v>
      </c>
      <c r="AC200" s="325">
        <f t="shared" si="61"/>
        <v>0</v>
      </c>
      <c r="AD200" s="325">
        <f t="shared" si="51"/>
        <v>0</v>
      </c>
      <c r="AF200" s="325"/>
    </row>
    <row r="201" spans="1:32">
      <c r="B201" t="s">
        <v>780</v>
      </c>
      <c r="C201" s="325">
        <v>0</v>
      </c>
      <c r="D201" s="325">
        <v>0</v>
      </c>
      <c r="E201" s="325">
        <v>0</v>
      </c>
      <c r="F201" s="325">
        <v>0</v>
      </c>
      <c r="G201" s="325">
        <v>0</v>
      </c>
      <c r="H201" s="325">
        <v>0</v>
      </c>
      <c r="I201" s="325">
        <v>0</v>
      </c>
      <c r="J201" s="325">
        <v>0</v>
      </c>
      <c r="K201" s="325">
        <v>0</v>
      </c>
      <c r="L201" s="325">
        <v>0</v>
      </c>
      <c r="M201" s="325">
        <v>0</v>
      </c>
      <c r="N201" s="325">
        <v>1</v>
      </c>
      <c r="O201" s="325">
        <f t="shared" si="45"/>
        <v>1</v>
      </c>
      <c r="Q201" s="325">
        <f t="shared" si="59"/>
        <v>-1</v>
      </c>
      <c r="R201" s="325">
        <f t="shared" si="49"/>
        <v>0</v>
      </c>
      <c r="T201" s="325"/>
      <c r="U201" s="325">
        <f t="shared" si="43"/>
        <v>0</v>
      </c>
      <c r="W201" s="325">
        <f t="shared" si="60"/>
        <v>0</v>
      </c>
      <c r="X201" s="325">
        <f t="shared" si="50"/>
        <v>0</v>
      </c>
      <c r="Z201" s="325"/>
      <c r="AA201" s="325">
        <f t="shared" si="44"/>
        <v>1</v>
      </c>
      <c r="AC201" s="325">
        <f t="shared" si="61"/>
        <v>-1</v>
      </c>
      <c r="AD201" s="325">
        <f t="shared" si="51"/>
        <v>0</v>
      </c>
      <c r="AF201" s="325"/>
    </row>
    <row r="202" spans="1:32">
      <c r="A202" t="s">
        <v>799</v>
      </c>
      <c r="B202" t="s">
        <v>782</v>
      </c>
      <c r="C202" s="325">
        <v>0</v>
      </c>
      <c r="D202" s="325">
        <v>0</v>
      </c>
      <c r="E202" s="325">
        <v>0</v>
      </c>
      <c r="F202" s="325">
        <v>0</v>
      </c>
      <c r="G202" s="325">
        <v>0</v>
      </c>
      <c r="H202" s="325">
        <v>0</v>
      </c>
      <c r="I202" s="325">
        <v>0</v>
      </c>
      <c r="J202" s="325">
        <v>0</v>
      </c>
      <c r="K202" s="325">
        <v>0</v>
      </c>
      <c r="L202" s="325">
        <v>0</v>
      </c>
      <c r="M202" s="325">
        <v>0</v>
      </c>
      <c r="N202" s="325">
        <v>7</v>
      </c>
      <c r="O202" s="325">
        <f t="shared" si="45"/>
        <v>7</v>
      </c>
      <c r="Q202" s="325">
        <f t="shared" si="59"/>
        <v>-7</v>
      </c>
      <c r="R202" s="325">
        <f t="shared" si="49"/>
        <v>0</v>
      </c>
      <c r="T202" s="325"/>
      <c r="U202" s="325">
        <f t="shared" si="43"/>
        <v>0</v>
      </c>
      <c r="W202" s="325">
        <f t="shared" si="60"/>
        <v>0</v>
      </c>
      <c r="X202" s="325">
        <f t="shared" si="50"/>
        <v>0</v>
      </c>
      <c r="Z202" s="325"/>
      <c r="AA202" s="325">
        <f t="shared" si="44"/>
        <v>7</v>
      </c>
      <c r="AC202" s="325">
        <f t="shared" si="61"/>
        <v>-7</v>
      </c>
      <c r="AD202" s="325">
        <f t="shared" si="51"/>
        <v>0</v>
      </c>
      <c r="AF202" s="325"/>
    </row>
    <row r="203" spans="1:32">
      <c r="B203" t="s">
        <v>781</v>
      </c>
      <c r="C203" s="325">
        <v>0</v>
      </c>
      <c r="D203" s="325">
        <v>0</v>
      </c>
      <c r="E203" s="325">
        <v>0</v>
      </c>
      <c r="F203" s="325">
        <v>0</v>
      </c>
      <c r="G203" s="325">
        <v>0</v>
      </c>
      <c r="H203" s="325">
        <v>0</v>
      </c>
      <c r="I203" s="325">
        <v>0</v>
      </c>
      <c r="J203" s="325">
        <v>0</v>
      </c>
      <c r="K203" s="325">
        <v>0</v>
      </c>
      <c r="L203" s="325">
        <v>0</v>
      </c>
      <c r="M203" s="325">
        <v>0</v>
      </c>
      <c r="N203" s="325">
        <v>1</v>
      </c>
      <c r="O203" s="325">
        <f t="shared" si="45"/>
        <v>1</v>
      </c>
      <c r="Q203" s="325">
        <f t="shared" si="59"/>
        <v>-1</v>
      </c>
      <c r="R203" s="325">
        <f t="shared" si="49"/>
        <v>0</v>
      </c>
      <c r="T203" s="325"/>
      <c r="U203" s="325">
        <f t="shared" ref="U203:U266" si="62">+G203</f>
        <v>0</v>
      </c>
      <c r="W203" s="325">
        <f t="shared" si="60"/>
        <v>0</v>
      </c>
      <c r="X203" s="325">
        <f t="shared" si="50"/>
        <v>0</v>
      </c>
      <c r="Z203" s="325"/>
      <c r="AA203" s="325">
        <f t="shared" ref="AA203:AA266" si="63">+N203</f>
        <v>1</v>
      </c>
      <c r="AC203" s="325">
        <f t="shared" si="61"/>
        <v>-1</v>
      </c>
      <c r="AD203" s="325">
        <f t="shared" si="51"/>
        <v>0</v>
      </c>
      <c r="AF203" s="325"/>
    </row>
    <row r="204" spans="1:32">
      <c r="B204" t="s">
        <v>780</v>
      </c>
      <c r="C204" s="325">
        <v>0</v>
      </c>
      <c r="D204" s="325">
        <v>0</v>
      </c>
      <c r="E204" s="325">
        <v>0</v>
      </c>
      <c r="F204" s="325">
        <v>0</v>
      </c>
      <c r="G204" s="325">
        <v>0</v>
      </c>
      <c r="H204" s="325">
        <v>0</v>
      </c>
      <c r="I204" s="325">
        <v>0</v>
      </c>
      <c r="J204" s="325">
        <v>0</v>
      </c>
      <c r="K204" s="325">
        <v>0</v>
      </c>
      <c r="L204" s="325">
        <v>0</v>
      </c>
      <c r="M204" s="325">
        <v>0</v>
      </c>
      <c r="N204" s="325">
        <v>2</v>
      </c>
      <c r="O204" s="325">
        <f t="shared" si="45"/>
        <v>2</v>
      </c>
      <c r="Q204" s="325">
        <f t="shared" si="59"/>
        <v>-2</v>
      </c>
      <c r="R204" s="325">
        <f t="shared" si="49"/>
        <v>0</v>
      </c>
      <c r="T204" s="325"/>
      <c r="U204" s="325">
        <f t="shared" si="62"/>
        <v>0</v>
      </c>
      <c r="W204" s="325">
        <f t="shared" si="60"/>
        <v>0</v>
      </c>
      <c r="X204" s="325">
        <f t="shared" si="50"/>
        <v>0</v>
      </c>
      <c r="Z204" s="325"/>
      <c r="AA204" s="325">
        <f t="shared" si="63"/>
        <v>2</v>
      </c>
      <c r="AC204" s="325">
        <f t="shared" si="61"/>
        <v>-2</v>
      </c>
      <c r="AD204" s="325">
        <f t="shared" si="51"/>
        <v>0</v>
      </c>
      <c r="AF204" s="325"/>
    </row>
    <row r="205" spans="1:32">
      <c r="A205" t="s">
        <v>798</v>
      </c>
      <c r="B205" t="s">
        <v>782</v>
      </c>
      <c r="C205" s="325">
        <v>0</v>
      </c>
      <c r="D205" s="325">
        <v>0</v>
      </c>
      <c r="E205" s="325">
        <v>0</v>
      </c>
      <c r="F205" s="325">
        <v>0</v>
      </c>
      <c r="G205" s="325">
        <v>0</v>
      </c>
      <c r="H205" s="325">
        <v>0</v>
      </c>
      <c r="I205" s="325">
        <v>0</v>
      </c>
      <c r="J205" s="325">
        <v>0</v>
      </c>
      <c r="K205" s="325">
        <v>0</v>
      </c>
      <c r="L205" s="325">
        <v>0</v>
      </c>
      <c r="M205" s="325">
        <v>0</v>
      </c>
      <c r="N205" s="325">
        <v>0</v>
      </c>
      <c r="O205" s="325">
        <f t="shared" si="45"/>
        <v>0</v>
      </c>
      <c r="Q205" s="325">
        <f t="shared" si="59"/>
        <v>0</v>
      </c>
      <c r="R205" s="325">
        <f t="shared" si="49"/>
        <v>0</v>
      </c>
      <c r="T205" s="325"/>
      <c r="U205" s="325">
        <f t="shared" si="62"/>
        <v>0</v>
      </c>
      <c r="W205" s="325">
        <f t="shared" si="60"/>
        <v>0</v>
      </c>
      <c r="X205" s="325">
        <f t="shared" si="50"/>
        <v>0</v>
      </c>
      <c r="Z205" s="325"/>
      <c r="AA205" s="325">
        <f t="shared" si="63"/>
        <v>0</v>
      </c>
      <c r="AC205" s="325">
        <f t="shared" si="61"/>
        <v>0</v>
      </c>
      <c r="AD205" s="325">
        <f t="shared" si="51"/>
        <v>0</v>
      </c>
      <c r="AF205" s="325"/>
    </row>
    <row r="206" spans="1:32">
      <c r="B206" t="s">
        <v>781</v>
      </c>
      <c r="C206" s="325">
        <v>0</v>
      </c>
      <c r="D206" s="325">
        <v>0</v>
      </c>
      <c r="E206" s="325">
        <v>0</v>
      </c>
      <c r="F206" s="325">
        <v>0</v>
      </c>
      <c r="G206" s="325">
        <v>0</v>
      </c>
      <c r="H206" s="325">
        <v>0</v>
      </c>
      <c r="I206" s="325">
        <v>0</v>
      </c>
      <c r="J206" s="325">
        <v>0</v>
      </c>
      <c r="K206" s="325">
        <v>0</v>
      </c>
      <c r="L206" s="325">
        <v>0</v>
      </c>
      <c r="M206" s="325">
        <v>0</v>
      </c>
      <c r="N206" s="325">
        <v>0</v>
      </c>
      <c r="O206" s="325">
        <f t="shared" si="45"/>
        <v>0</v>
      </c>
      <c r="Q206" s="325">
        <f t="shared" si="59"/>
        <v>0</v>
      </c>
      <c r="R206" s="325">
        <f t="shared" si="49"/>
        <v>0</v>
      </c>
      <c r="T206" s="325"/>
      <c r="U206" s="325">
        <f t="shared" si="62"/>
        <v>0</v>
      </c>
      <c r="W206" s="325">
        <f t="shared" si="60"/>
        <v>0</v>
      </c>
      <c r="X206" s="325">
        <f t="shared" si="50"/>
        <v>0</v>
      </c>
      <c r="Z206" s="325"/>
      <c r="AA206" s="325">
        <f t="shared" si="63"/>
        <v>0</v>
      </c>
      <c r="AC206" s="325">
        <f t="shared" si="61"/>
        <v>0</v>
      </c>
      <c r="AD206" s="325">
        <f t="shared" si="51"/>
        <v>0</v>
      </c>
      <c r="AF206" s="325"/>
    </row>
    <row r="207" spans="1:32">
      <c r="B207" t="s">
        <v>780</v>
      </c>
      <c r="C207" s="325">
        <v>0</v>
      </c>
      <c r="D207" s="325">
        <v>0</v>
      </c>
      <c r="E207" s="325">
        <v>0</v>
      </c>
      <c r="F207" s="325">
        <v>0</v>
      </c>
      <c r="G207" s="325">
        <v>0</v>
      </c>
      <c r="H207" s="325">
        <v>0</v>
      </c>
      <c r="I207" s="325">
        <v>0</v>
      </c>
      <c r="J207" s="325">
        <v>0</v>
      </c>
      <c r="K207" s="325">
        <v>0</v>
      </c>
      <c r="L207" s="325">
        <v>0</v>
      </c>
      <c r="M207" s="325">
        <v>0</v>
      </c>
      <c r="N207" s="325">
        <v>0</v>
      </c>
      <c r="O207" s="325">
        <f t="shared" si="45"/>
        <v>0</v>
      </c>
      <c r="Q207" s="325">
        <f t="shared" si="59"/>
        <v>0</v>
      </c>
      <c r="R207" s="325">
        <f t="shared" si="49"/>
        <v>0</v>
      </c>
      <c r="T207" s="325"/>
      <c r="U207" s="325">
        <f t="shared" si="62"/>
        <v>0</v>
      </c>
      <c r="W207" s="325">
        <f t="shared" si="60"/>
        <v>0</v>
      </c>
      <c r="X207" s="325">
        <f t="shared" si="50"/>
        <v>0</v>
      </c>
      <c r="Z207" s="325"/>
      <c r="AA207" s="325">
        <f t="shared" si="63"/>
        <v>0</v>
      </c>
      <c r="AC207" s="325">
        <f t="shared" si="61"/>
        <v>0</v>
      </c>
      <c r="AD207" s="325">
        <f t="shared" si="51"/>
        <v>0</v>
      </c>
      <c r="AF207" s="325"/>
    </row>
    <row r="208" spans="1:32">
      <c r="A208" t="s">
        <v>797</v>
      </c>
      <c r="B208" t="s">
        <v>782</v>
      </c>
      <c r="C208" s="325">
        <v>0</v>
      </c>
      <c r="D208" s="325">
        <v>0</v>
      </c>
      <c r="E208" s="325">
        <v>0</v>
      </c>
      <c r="F208" s="325">
        <v>0</v>
      </c>
      <c r="G208" s="325">
        <v>0</v>
      </c>
      <c r="H208" s="325">
        <v>0</v>
      </c>
      <c r="I208" s="325">
        <v>0</v>
      </c>
      <c r="J208" s="325">
        <v>0</v>
      </c>
      <c r="K208" s="325">
        <v>0</v>
      </c>
      <c r="L208" s="325">
        <v>0</v>
      </c>
      <c r="M208" s="325">
        <v>0</v>
      </c>
      <c r="N208" s="325">
        <v>0</v>
      </c>
      <c r="O208" s="325">
        <f t="shared" ref="O208:O271" si="64">SUM(C208:N208)</f>
        <v>0</v>
      </c>
      <c r="R208" s="325">
        <f t="shared" si="49"/>
        <v>0</v>
      </c>
      <c r="T208" s="325"/>
      <c r="U208" s="325">
        <f t="shared" si="62"/>
        <v>0</v>
      </c>
      <c r="X208" s="325">
        <f t="shared" si="50"/>
        <v>0</v>
      </c>
      <c r="Z208" s="325"/>
      <c r="AA208" s="325">
        <f t="shared" si="63"/>
        <v>0</v>
      </c>
      <c r="AD208" s="325">
        <f t="shared" si="51"/>
        <v>0</v>
      </c>
      <c r="AF208" s="325"/>
    </row>
    <row r="209" spans="1:32">
      <c r="B209" t="s">
        <v>781</v>
      </c>
      <c r="C209" s="325">
        <v>0</v>
      </c>
      <c r="D209" s="325">
        <v>0</v>
      </c>
      <c r="E209" s="325">
        <v>0</v>
      </c>
      <c r="F209" s="325">
        <v>0</v>
      </c>
      <c r="G209" s="325">
        <v>0</v>
      </c>
      <c r="H209" s="325">
        <v>0</v>
      </c>
      <c r="I209" s="325">
        <v>0</v>
      </c>
      <c r="J209" s="325">
        <v>0</v>
      </c>
      <c r="K209" s="325">
        <v>0</v>
      </c>
      <c r="L209" s="325">
        <v>0</v>
      </c>
      <c r="M209" s="325">
        <v>0</v>
      </c>
      <c r="N209" s="325">
        <v>0</v>
      </c>
      <c r="O209" s="325">
        <f t="shared" si="64"/>
        <v>0</v>
      </c>
      <c r="R209" s="325">
        <f t="shared" si="49"/>
        <v>0</v>
      </c>
      <c r="T209" s="325"/>
      <c r="U209" s="325">
        <f t="shared" si="62"/>
        <v>0</v>
      </c>
      <c r="X209" s="325">
        <f t="shared" si="50"/>
        <v>0</v>
      </c>
      <c r="Z209" s="325"/>
      <c r="AA209" s="325">
        <f t="shared" si="63"/>
        <v>0</v>
      </c>
      <c r="AD209" s="325">
        <f t="shared" si="51"/>
        <v>0</v>
      </c>
      <c r="AF209" s="325"/>
    </row>
    <row r="210" spans="1:32">
      <c r="B210" t="s">
        <v>780</v>
      </c>
      <c r="C210" s="325">
        <v>0</v>
      </c>
      <c r="D210" s="325">
        <v>0</v>
      </c>
      <c r="E210" s="325">
        <v>0</v>
      </c>
      <c r="F210" s="325">
        <v>0</v>
      </c>
      <c r="G210" s="325">
        <v>0</v>
      </c>
      <c r="H210" s="325">
        <v>0</v>
      </c>
      <c r="I210" s="325">
        <v>0</v>
      </c>
      <c r="J210" s="325">
        <v>0</v>
      </c>
      <c r="K210" s="325">
        <v>0</v>
      </c>
      <c r="L210" s="325">
        <v>0</v>
      </c>
      <c r="M210" s="325">
        <v>0</v>
      </c>
      <c r="N210" s="325">
        <v>0</v>
      </c>
      <c r="O210" s="325">
        <f t="shared" si="64"/>
        <v>0</v>
      </c>
      <c r="R210" s="325">
        <f t="shared" si="49"/>
        <v>0</v>
      </c>
      <c r="T210" s="325"/>
      <c r="U210" s="325">
        <f t="shared" si="62"/>
        <v>0</v>
      </c>
      <c r="X210" s="325">
        <f t="shared" si="50"/>
        <v>0</v>
      </c>
      <c r="Z210" s="325"/>
      <c r="AA210" s="325">
        <f t="shared" si="63"/>
        <v>0</v>
      </c>
      <c r="AD210" s="325">
        <f t="shared" si="51"/>
        <v>0</v>
      </c>
      <c r="AF210" s="325"/>
    </row>
    <row r="211" spans="1:32">
      <c r="A211" t="s">
        <v>796</v>
      </c>
      <c r="B211" t="s">
        <v>782</v>
      </c>
      <c r="C211" s="325">
        <v>0</v>
      </c>
      <c r="D211" s="325">
        <v>0</v>
      </c>
      <c r="E211" s="325">
        <v>0</v>
      </c>
      <c r="F211" s="325">
        <v>0</v>
      </c>
      <c r="G211" s="325">
        <v>0</v>
      </c>
      <c r="H211" s="325">
        <v>0</v>
      </c>
      <c r="I211" s="325">
        <v>0</v>
      </c>
      <c r="J211" s="325">
        <v>0</v>
      </c>
      <c r="K211" s="325">
        <v>0</v>
      </c>
      <c r="L211" s="325">
        <v>0</v>
      </c>
      <c r="M211" s="325">
        <v>0</v>
      </c>
      <c r="N211" s="325">
        <v>100</v>
      </c>
      <c r="O211" s="325">
        <f t="shared" si="64"/>
        <v>100</v>
      </c>
      <c r="R211" s="325">
        <f t="shared" si="49"/>
        <v>100</v>
      </c>
      <c r="T211" s="325"/>
      <c r="U211" s="325">
        <f t="shared" si="62"/>
        <v>0</v>
      </c>
      <c r="X211" s="325">
        <f t="shared" si="50"/>
        <v>0</v>
      </c>
      <c r="Z211" s="325"/>
      <c r="AA211" s="325">
        <f t="shared" si="63"/>
        <v>100</v>
      </c>
      <c r="AD211" s="325">
        <f t="shared" si="51"/>
        <v>100</v>
      </c>
      <c r="AF211" s="325"/>
    </row>
    <row r="212" spans="1:32">
      <c r="B212" t="s">
        <v>781</v>
      </c>
      <c r="C212" s="325">
        <v>0</v>
      </c>
      <c r="D212" s="325">
        <v>0</v>
      </c>
      <c r="E212" s="325">
        <v>0</v>
      </c>
      <c r="F212" s="325">
        <v>0</v>
      </c>
      <c r="G212" s="325">
        <v>0</v>
      </c>
      <c r="H212" s="325">
        <v>0</v>
      </c>
      <c r="I212" s="325">
        <v>0</v>
      </c>
      <c r="J212" s="325">
        <v>0</v>
      </c>
      <c r="K212" s="325">
        <v>0</v>
      </c>
      <c r="L212" s="325">
        <v>0</v>
      </c>
      <c r="M212" s="325">
        <v>0</v>
      </c>
      <c r="N212" s="325">
        <v>0</v>
      </c>
      <c r="O212" s="325">
        <f t="shared" si="64"/>
        <v>0</v>
      </c>
      <c r="R212" s="325">
        <f t="shared" si="49"/>
        <v>0</v>
      </c>
      <c r="T212" s="325"/>
      <c r="U212" s="325">
        <f t="shared" si="62"/>
        <v>0</v>
      </c>
      <c r="X212" s="325">
        <f t="shared" si="50"/>
        <v>0</v>
      </c>
      <c r="Z212" s="325"/>
      <c r="AA212" s="325">
        <f t="shared" si="63"/>
        <v>0</v>
      </c>
      <c r="AD212" s="325">
        <f t="shared" si="51"/>
        <v>0</v>
      </c>
      <c r="AF212" s="325"/>
    </row>
    <row r="213" spans="1:32">
      <c r="B213" t="s">
        <v>780</v>
      </c>
      <c r="C213" s="325">
        <v>0</v>
      </c>
      <c r="D213" s="325">
        <v>0</v>
      </c>
      <c r="E213" s="325">
        <v>0</v>
      </c>
      <c r="F213" s="325">
        <v>0</v>
      </c>
      <c r="G213" s="325">
        <v>0</v>
      </c>
      <c r="H213" s="325">
        <v>0</v>
      </c>
      <c r="I213" s="325">
        <v>0</v>
      </c>
      <c r="J213" s="325">
        <v>0</v>
      </c>
      <c r="K213" s="325">
        <v>0</v>
      </c>
      <c r="L213" s="325">
        <v>0</v>
      </c>
      <c r="M213" s="325">
        <v>0</v>
      </c>
      <c r="N213" s="325">
        <v>0</v>
      </c>
      <c r="O213" s="325">
        <f t="shared" si="64"/>
        <v>0</v>
      </c>
      <c r="R213" s="325">
        <f t="shared" si="49"/>
        <v>0</v>
      </c>
      <c r="T213" s="325"/>
      <c r="U213" s="325">
        <f t="shared" si="62"/>
        <v>0</v>
      </c>
      <c r="X213" s="325">
        <f t="shared" si="50"/>
        <v>0</v>
      </c>
      <c r="Z213" s="325"/>
      <c r="AA213" s="325">
        <f t="shared" si="63"/>
        <v>0</v>
      </c>
      <c r="AD213" s="325">
        <f t="shared" si="51"/>
        <v>0</v>
      </c>
      <c r="AF213" s="325"/>
    </row>
    <row r="214" spans="1:32">
      <c r="A214" t="s">
        <v>795</v>
      </c>
      <c r="B214" t="s">
        <v>782</v>
      </c>
      <c r="C214" s="325">
        <v>0</v>
      </c>
      <c r="D214" s="325">
        <v>0</v>
      </c>
      <c r="E214" s="325">
        <v>0</v>
      </c>
      <c r="F214" s="325">
        <v>0</v>
      </c>
      <c r="G214" s="325">
        <v>0</v>
      </c>
      <c r="H214" s="325">
        <v>0</v>
      </c>
      <c r="I214" s="325">
        <v>0</v>
      </c>
      <c r="J214" s="325">
        <v>0</v>
      </c>
      <c r="K214" s="325">
        <v>0</v>
      </c>
      <c r="L214" s="325">
        <v>0</v>
      </c>
      <c r="M214" s="325">
        <v>0</v>
      </c>
      <c r="N214" s="325">
        <v>33</v>
      </c>
      <c r="O214" s="325">
        <f t="shared" si="64"/>
        <v>33</v>
      </c>
      <c r="R214" s="325">
        <f t="shared" si="49"/>
        <v>33</v>
      </c>
      <c r="T214" s="325"/>
      <c r="U214" s="325">
        <f t="shared" si="62"/>
        <v>0</v>
      </c>
      <c r="X214" s="325">
        <f t="shared" si="50"/>
        <v>0</v>
      </c>
      <c r="Z214" s="325"/>
      <c r="AA214" s="325">
        <f t="shared" si="63"/>
        <v>33</v>
      </c>
      <c r="AD214" s="325">
        <f t="shared" si="51"/>
        <v>33</v>
      </c>
      <c r="AF214" s="325"/>
    </row>
    <row r="215" spans="1:32">
      <c r="B215" t="s">
        <v>781</v>
      </c>
      <c r="C215" s="325">
        <v>0</v>
      </c>
      <c r="D215" s="325">
        <v>0</v>
      </c>
      <c r="E215" s="325">
        <v>0</v>
      </c>
      <c r="F215" s="325">
        <v>0</v>
      </c>
      <c r="G215" s="325">
        <v>0</v>
      </c>
      <c r="H215" s="325">
        <v>0</v>
      </c>
      <c r="I215" s="325">
        <v>0</v>
      </c>
      <c r="J215" s="325">
        <v>0</v>
      </c>
      <c r="K215" s="325">
        <v>0</v>
      </c>
      <c r="L215" s="325">
        <v>0</v>
      </c>
      <c r="M215" s="325">
        <v>0</v>
      </c>
      <c r="N215" s="325">
        <v>0</v>
      </c>
      <c r="O215" s="325">
        <f t="shared" si="64"/>
        <v>0</v>
      </c>
      <c r="R215" s="325">
        <f t="shared" si="49"/>
        <v>0</v>
      </c>
      <c r="T215" s="325"/>
      <c r="U215" s="325">
        <f t="shared" si="62"/>
        <v>0</v>
      </c>
      <c r="X215" s="325">
        <f t="shared" si="50"/>
        <v>0</v>
      </c>
      <c r="Z215" s="325"/>
      <c r="AA215" s="325">
        <f t="shared" si="63"/>
        <v>0</v>
      </c>
      <c r="AD215" s="325">
        <f t="shared" si="51"/>
        <v>0</v>
      </c>
      <c r="AF215" s="325"/>
    </row>
    <row r="216" spans="1:32">
      <c r="B216" t="s">
        <v>780</v>
      </c>
      <c r="C216" s="325">
        <v>0</v>
      </c>
      <c r="D216" s="325">
        <v>0</v>
      </c>
      <c r="E216" s="325">
        <v>0</v>
      </c>
      <c r="F216" s="325">
        <v>0</v>
      </c>
      <c r="G216" s="325">
        <v>0</v>
      </c>
      <c r="H216" s="325">
        <v>0</v>
      </c>
      <c r="I216" s="325">
        <v>0</v>
      </c>
      <c r="J216" s="325">
        <v>0</v>
      </c>
      <c r="K216" s="325">
        <v>0</v>
      </c>
      <c r="L216" s="325">
        <v>0</v>
      </c>
      <c r="M216" s="325">
        <v>0</v>
      </c>
      <c r="N216" s="325">
        <v>0</v>
      </c>
      <c r="O216" s="325">
        <f t="shared" si="64"/>
        <v>0</v>
      </c>
      <c r="R216" s="325">
        <f t="shared" si="49"/>
        <v>0</v>
      </c>
      <c r="T216" s="325"/>
      <c r="U216" s="325">
        <f t="shared" si="62"/>
        <v>0</v>
      </c>
      <c r="X216" s="325">
        <f t="shared" si="50"/>
        <v>0</v>
      </c>
      <c r="Z216" s="325"/>
      <c r="AA216" s="325">
        <f t="shared" si="63"/>
        <v>0</v>
      </c>
      <c r="AD216" s="325">
        <f t="shared" si="51"/>
        <v>0</v>
      </c>
      <c r="AF216" s="325"/>
    </row>
    <row r="217" spans="1:32">
      <c r="A217" t="s">
        <v>774</v>
      </c>
      <c r="B217" t="s">
        <v>782</v>
      </c>
      <c r="C217" s="325">
        <v>0</v>
      </c>
      <c r="D217" s="325">
        <v>0</v>
      </c>
      <c r="E217" s="325">
        <v>0</v>
      </c>
      <c r="F217" s="325">
        <v>0</v>
      </c>
      <c r="G217" s="325">
        <v>0</v>
      </c>
      <c r="H217" s="325">
        <v>0</v>
      </c>
      <c r="I217" s="325">
        <v>0</v>
      </c>
      <c r="J217" s="325">
        <v>0</v>
      </c>
      <c r="K217" s="325">
        <v>0</v>
      </c>
      <c r="L217" s="325">
        <v>0</v>
      </c>
      <c r="M217" s="325">
        <v>0</v>
      </c>
      <c r="N217" s="325">
        <v>88</v>
      </c>
      <c r="O217" s="325">
        <f t="shared" si="64"/>
        <v>88</v>
      </c>
      <c r="R217" s="325">
        <f t="shared" si="49"/>
        <v>88</v>
      </c>
      <c r="T217" s="325"/>
      <c r="U217" s="325">
        <f t="shared" si="62"/>
        <v>0</v>
      </c>
      <c r="X217" s="325">
        <f t="shared" si="50"/>
        <v>0</v>
      </c>
      <c r="Z217" s="325"/>
      <c r="AA217" s="325">
        <f t="shared" si="63"/>
        <v>88</v>
      </c>
      <c r="AD217" s="325">
        <f t="shared" si="51"/>
        <v>88</v>
      </c>
      <c r="AF217" s="325"/>
    </row>
    <row r="218" spans="1:32">
      <c r="B218" t="s">
        <v>781</v>
      </c>
      <c r="C218" s="325">
        <v>0</v>
      </c>
      <c r="D218" s="325">
        <v>0</v>
      </c>
      <c r="E218" s="325">
        <v>0</v>
      </c>
      <c r="F218" s="325">
        <v>0</v>
      </c>
      <c r="G218" s="325">
        <v>0</v>
      </c>
      <c r="H218" s="325">
        <v>0</v>
      </c>
      <c r="I218" s="325">
        <v>0</v>
      </c>
      <c r="J218" s="325">
        <v>0</v>
      </c>
      <c r="K218" s="325">
        <v>0</v>
      </c>
      <c r="L218" s="325">
        <v>0</v>
      </c>
      <c r="M218" s="325">
        <v>0</v>
      </c>
      <c r="N218" s="325">
        <v>0</v>
      </c>
      <c r="O218" s="325">
        <f t="shared" si="64"/>
        <v>0</v>
      </c>
      <c r="R218" s="325">
        <f t="shared" si="49"/>
        <v>0</v>
      </c>
      <c r="T218" s="325"/>
      <c r="U218" s="325">
        <f t="shared" si="62"/>
        <v>0</v>
      </c>
      <c r="X218" s="325">
        <f t="shared" si="50"/>
        <v>0</v>
      </c>
      <c r="Z218" s="325"/>
      <c r="AA218" s="325">
        <f t="shared" si="63"/>
        <v>0</v>
      </c>
      <c r="AD218" s="325">
        <f t="shared" si="51"/>
        <v>0</v>
      </c>
      <c r="AF218" s="325"/>
    </row>
    <row r="219" spans="1:32">
      <c r="B219" t="s">
        <v>780</v>
      </c>
      <c r="C219" s="325">
        <v>0</v>
      </c>
      <c r="D219" s="325">
        <v>0</v>
      </c>
      <c r="E219" s="325">
        <v>0</v>
      </c>
      <c r="F219" s="325">
        <v>0</v>
      </c>
      <c r="G219" s="325">
        <v>0</v>
      </c>
      <c r="H219" s="325">
        <v>0</v>
      </c>
      <c r="I219" s="325">
        <v>0</v>
      </c>
      <c r="J219" s="325">
        <v>0</v>
      </c>
      <c r="K219" s="325">
        <v>0</v>
      </c>
      <c r="L219" s="325">
        <v>0</v>
      </c>
      <c r="M219" s="325">
        <v>0</v>
      </c>
      <c r="N219" s="325">
        <v>0</v>
      </c>
      <c r="O219" s="325">
        <f t="shared" si="64"/>
        <v>0</v>
      </c>
      <c r="R219" s="325">
        <f t="shared" si="49"/>
        <v>0</v>
      </c>
      <c r="T219" s="325"/>
      <c r="U219" s="325">
        <f t="shared" si="62"/>
        <v>0</v>
      </c>
      <c r="X219" s="325">
        <f t="shared" si="50"/>
        <v>0</v>
      </c>
      <c r="Z219" s="325"/>
      <c r="AA219" s="325">
        <f t="shared" si="63"/>
        <v>0</v>
      </c>
      <c r="AD219" s="325">
        <f t="shared" si="51"/>
        <v>0</v>
      </c>
      <c r="AF219" s="325"/>
    </row>
    <row r="220" spans="1:32">
      <c r="A220" t="s">
        <v>794</v>
      </c>
      <c r="B220" t="s">
        <v>782</v>
      </c>
      <c r="C220" s="325">
        <v>0</v>
      </c>
      <c r="D220" s="325">
        <v>0</v>
      </c>
      <c r="E220" s="325">
        <v>0</v>
      </c>
      <c r="F220" s="325">
        <v>0</v>
      </c>
      <c r="G220" s="325">
        <v>0</v>
      </c>
      <c r="H220" s="325">
        <v>0</v>
      </c>
      <c r="I220" s="325">
        <v>0</v>
      </c>
      <c r="J220" s="325">
        <v>0</v>
      </c>
      <c r="K220" s="325">
        <v>0</v>
      </c>
      <c r="L220" s="325">
        <v>0</v>
      </c>
      <c r="M220" s="325">
        <v>0</v>
      </c>
      <c r="N220" s="325">
        <v>905</v>
      </c>
      <c r="O220" s="325">
        <f t="shared" si="64"/>
        <v>905</v>
      </c>
      <c r="R220" s="325">
        <f t="shared" ref="R220:R251" si="65">+O220+Q220</f>
        <v>905</v>
      </c>
      <c r="T220" s="325"/>
      <c r="U220" s="325">
        <f t="shared" si="62"/>
        <v>0</v>
      </c>
      <c r="X220" s="325">
        <f t="shared" ref="X220:X251" si="66">+U220+W220</f>
        <v>0</v>
      </c>
      <c r="Z220" s="325"/>
      <c r="AA220" s="325">
        <f t="shared" si="63"/>
        <v>905</v>
      </c>
      <c r="AD220" s="325">
        <f t="shared" ref="AD220:AD251" si="67">+AA220+AC220</f>
        <v>905</v>
      </c>
      <c r="AF220" s="325"/>
    </row>
    <row r="221" spans="1:32">
      <c r="B221" t="s">
        <v>781</v>
      </c>
      <c r="C221" s="325">
        <v>0</v>
      </c>
      <c r="D221" s="325">
        <v>0</v>
      </c>
      <c r="E221" s="325">
        <v>0</v>
      </c>
      <c r="F221" s="325">
        <v>0</v>
      </c>
      <c r="G221" s="325">
        <v>0</v>
      </c>
      <c r="H221" s="325">
        <v>0</v>
      </c>
      <c r="I221" s="325">
        <v>0</v>
      </c>
      <c r="J221" s="325">
        <v>0</v>
      </c>
      <c r="K221" s="325">
        <v>0</v>
      </c>
      <c r="L221" s="325">
        <v>0</v>
      </c>
      <c r="M221" s="325">
        <v>0</v>
      </c>
      <c r="N221" s="325">
        <v>0</v>
      </c>
      <c r="O221" s="325">
        <f t="shared" si="64"/>
        <v>0</v>
      </c>
      <c r="R221" s="325">
        <f t="shared" si="65"/>
        <v>0</v>
      </c>
      <c r="T221" s="325"/>
      <c r="U221" s="325">
        <f t="shared" si="62"/>
        <v>0</v>
      </c>
      <c r="X221" s="325">
        <f t="shared" si="66"/>
        <v>0</v>
      </c>
      <c r="Z221" s="325"/>
      <c r="AA221" s="325">
        <f t="shared" si="63"/>
        <v>0</v>
      </c>
      <c r="AD221" s="325">
        <f t="shared" si="67"/>
        <v>0</v>
      </c>
      <c r="AF221" s="325"/>
    </row>
    <row r="222" spans="1:32">
      <c r="B222" t="s">
        <v>780</v>
      </c>
      <c r="C222" s="325">
        <v>0</v>
      </c>
      <c r="D222" s="325">
        <v>0</v>
      </c>
      <c r="E222" s="325">
        <v>0</v>
      </c>
      <c r="F222" s="325">
        <v>0</v>
      </c>
      <c r="G222" s="325">
        <v>0</v>
      </c>
      <c r="H222" s="325">
        <v>0</v>
      </c>
      <c r="I222" s="325">
        <v>0</v>
      </c>
      <c r="J222" s="325">
        <v>0</v>
      </c>
      <c r="K222" s="325">
        <v>0</v>
      </c>
      <c r="L222" s="325">
        <v>0</v>
      </c>
      <c r="M222" s="325">
        <v>0</v>
      </c>
      <c r="N222" s="325">
        <v>0</v>
      </c>
      <c r="O222" s="325">
        <f t="shared" si="64"/>
        <v>0</v>
      </c>
      <c r="R222" s="325">
        <f t="shared" si="65"/>
        <v>0</v>
      </c>
      <c r="T222" s="325"/>
      <c r="U222" s="325">
        <f t="shared" si="62"/>
        <v>0</v>
      </c>
      <c r="X222" s="325">
        <f t="shared" si="66"/>
        <v>0</v>
      </c>
      <c r="Z222" s="325"/>
      <c r="AA222" s="325">
        <f t="shared" si="63"/>
        <v>0</v>
      </c>
      <c r="AD222" s="325">
        <f t="shared" si="67"/>
        <v>0</v>
      </c>
      <c r="AF222" s="325"/>
    </row>
    <row r="223" spans="1:32">
      <c r="A223" t="s">
        <v>773</v>
      </c>
      <c r="B223" t="s">
        <v>782</v>
      </c>
      <c r="C223" s="325">
        <v>0</v>
      </c>
      <c r="D223" s="325">
        <v>0</v>
      </c>
      <c r="E223" s="325">
        <v>0</v>
      </c>
      <c r="F223" s="325">
        <v>0</v>
      </c>
      <c r="G223" s="325">
        <v>0</v>
      </c>
      <c r="H223" s="325">
        <v>0</v>
      </c>
      <c r="I223" s="325">
        <v>0</v>
      </c>
      <c r="J223" s="325">
        <v>0</v>
      </c>
      <c r="K223" s="325">
        <v>0</v>
      </c>
      <c r="L223" s="325">
        <v>0</v>
      </c>
      <c r="M223" s="325">
        <v>0</v>
      </c>
      <c r="N223" s="325">
        <v>97</v>
      </c>
      <c r="O223" s="325">
        <f t="shared" si="64"/>
        <v>97</v>
      </c>
      <c r="R223" s="325">
        <f t="shared" si="65"/>
        <v>97</v>
      </c>
      <c r="T223" s="325"/>
      <c r="U223" s="325">
        <f t="shared" si="62"/>
        <v>0</v>
      </c>
      <c r="X223" s="325">
        <f t="shared" si="66"/>
        <v>0</v>
      </c>
      <c r="Z223" s="325"/>
      <c r="AA223" s="325">
        <f t="shared" si="63"/>
        <v>97</v>
      </c>
      <c r="AD223" s="325">
        <f t="shared" si="67"/>
        <v>97</v>
      </c>
      <c r="AF223" s="325"/>
    </row>
    <row r="224" spans="1:32">
      <c r="B224" t="s">
        <v>781</v>
      </c>
      <c r="C224" s="325">
        <v>0</v>
      </c>
      <c r="D224" s="325">
        <v>0</v>
      </c>
      <c r="E224" s="325">
        <v>0</v>
      </c>
      <c r="F224" s="325">
        <v>0</v>
      </c>
      <c r="G224" s="325">
        <v>0</v>
      </c>
      <c r="H224" s="325">
        <v>0</v>
      </c>
      <c r="I224" s="325">
        <v>0</v>
      </c>
      <c r="J224" s="325">
        <v>0</v>
      </c>
      <c r="K224" s="325">
        <v>0</v>
      </c>
      <c r="L224" s="325">
        <v>0</v>
      </c>
      <c r="M224" s="325">
        <v>0</v>
      </c>
      <c r="N224" s="325">
        <v>12</v>
      </c>
      <c r="O224" s="325">
        <f t="shared" si="64"/>
        <v>12</v>
      </c>
      <c r="R224" s="325">
        <f t="shared" si="65"/>
        <v>12</v>
      </c>
      <c r="T224" s="325"/>
      <c r="U224" s="325">
        <f t="shared" si="62"/>
        <v>0</v>
      </c>
      <c r="X224" s="325">
        <f t="shared" si="66"/>
        <v>0</v>
      </c>
      <c r="Z224" s="325"/>
      <c r="AA224" s="325">
        <f t="shared" si="63"/>
        <v>12</v>
      </c>
      <c r="AD224" s="325">
        <f t="shared" si="67"/>
        <v>12</v>
      </c>
      <c r="AF224" s="325"/>
    </row>
    <row r="225" spans="1:32">
      <c r="B225" t="s">
        <v>780</v>
      </c>
      <c r="C225" s="325">
        <v>0</v>
      </c>
      <c r="D225" s="325">
        <v>0</v>
      </c>
      <c r="E225" s="325">
        <v>0</v>
      </c>
      <c r="F225" s="325">
        <v>0</v>
      </c>
      <c r="G225" s="325">
        <v>0</v>
      </c>
      <c r="H225" s="325">
        <v>0</v>
      </c>
      <c r="I225" s="325">
        <v>0</v>
      </c>
      <c r="J225" s="325">
        <v>0</v>
      </c>
      <c r="K225" s="325">
        <v>0</v>
      </c>
      <c r="L225" s="325">
        <v>0</v>
      </c>
      <c r="M225" s="325">
        <v>0</v>
      </c>
      <c r="N225" s="325">
        <v>57</v>
      </c>
      <c r="O225" s="325">
        <f t="shared" si="64"/>
        <v>57</v>
      </c>
      <c r="R225" s="325">
        <f t="shared" si="65"/>
        <v>57</v>
      </c>
      <c r="T225" s="325"/>
      <c r="U225" s="325">
        <f t="shared" si="62"/>
        <v>0</v>
      </c>
      <c r="X225" s="325">
        <f t="shared" si="66"/>
        <v>0</v>
      </c>
      <c r="Z225" s="325"/>
      <c r="AA225" s="325">
        <f t="shared" si="63"/>
        <v>57</v>
      </c>
      <c r="AD225" s="325">
        <f t="shared" si="67"/>
        <v>57</v>
      </c>
      <c r="AF225" s="325"/>
    </row>
    <row r="226" spans="1:32">
      <c r="A226" t="s">
        <v>793</v>
      </c>
      <c r="B226" t="s">
        <v>782</v>
      </c>
      <c r="C226" s="325">
        <v>0</v>
      </c>
      <c r="D226" s="325">
        <v>0</v>
      </c>
      <c r="E226" s="325">
        <v>0</v>
      </c>
      <c r="F226" s="325">
        <v>0</v>
      </c>
      <c r="G226" s="325">
        <v>0</v>
      </c>
      <c r="H226" s="325">
        <v>0</v>
      </c>
      <c r="I226" s="325">
        <v>0</v>
      </c>
      <c r="J226" s="325">
        <v>0</v>
      </c>
      <c r="K226" s="325">
        <v>0</v>
      </c>
      <c r="L226" s="325">
        <v>0</v>
      </c>
      <c r="M226" s="325">
        <v>0</v>
      </c>
      <c r="N226" s="325">
        <v>1867</v>
      </c>
      <c r="O226" s="325">
        <f t="shared" si="64"/>
        <v>1867</v>
      </c>
      <c r="R226" s="325">
        <f t="shared" si="65"/>
        <v>1867</v>
      </c>
      <c r="T226" s="325"/>
      <c r="U226" s="325">
        <f t="shared" si="62"/>
        <v>0</v>
      </c>
      <c r="X226" s="325">
        <f t="shared" si="66"/>
        <v>0</v>
      </c>
      <c r="Z226" s="325"/>
      <c r="AA226" s="325">
        <f t="shared" si="63"/>
        <v>1867</v>
      </c>
      <c r="AD226" s="325">
        <f t="shared" si="67"/>
        <v>1867</v>
      </c>
      <c r="AF226" s="325"/>
    </row>
    <row r="227" spans="1:32">
      <c r="B227" t="s">
        <v>781</v>
      </c>
      <c r="C227" s="325">
        <v>0</v>
      </c>
      <c r="D227" s="325">
        <v>0</v>
      </c>
      <c r="E227" s="325">
        <v>0</v>
      </c>
      <c r="F227" s="325">
        <v>0</v>
      </c>
      <c r="G227" s="325">
        <v>0</v>
      </c>
      <c r="H227" s="325">
        <v>0</v>
      </c>
      <c r="I227" s="325">
        <v>0</v>
      </c>
      <c r="J227" s="325">
        <v>0</v>
      </c>
      <c r="K227" s="325">
        <v>0</v>
      </c>
      <c r="L227" s="325">
        <v>0</v>
      </c>
      <c r="M227" s="325">
        <v>0</v>
      </c>
      <c r="N227" s="325">
        <v>348</v>
      </c>
      <c r="O227" s="325">
        <f t="shared" si="64"/>
        <v>348</v>
      </c>
      <c r="R227" s="325">
        <f t="shared" si="65"/>
        <v>348</v>
      </c>
      <c r="T227" s="325"/>
      <c r="U227" s="325">
        <f t="shared" si="62"/>
        <v>0</v>
      </c>
      <c r="X227" s="325">
        <f t="shared" si="66"/>
        <v>0</v>
      </c>
      <c r="Z227" s="325"/>
      <c r="AA227" s="325">
        <f t="shared" si="63"/>
        <v>348</v>
      </c>
      <c r="AD227" s="325">
        <f t="shared" si="67"/>
        <v>348</v>
      </c>
      <c r="AF227" s="325"/>
    </row>
    <row r="228" spans="1:32">
      <c r="B228" t="s">
        <v>780</v>
      </c>
      <c r="C228" s="325">
        <v>0</v>
      </c>
      <c r="D228" s="325">
        <v>0</v>
      </c>
      <c r="E228" s="325">
        <v>0</v>
      </c>
      <c r="F228" s="325">
        <v>0</v>
      </c>
      <c r="G228" s="325">
        <v>0</v>
      </c>
      <c r="H228" s="325">
        <v>0</v>
      </c>
      <c r="I228" s="325">
        <v>0</v>
      </c>
      <c r="J228" s="325">
        <v>0</v>
      </c>
      <c r="K228" s="325">
        <v>0</v>
      </c>
      <c r="L228" s="325">
        <v>0</v>
      </c>
      <c r="M228" s="325">
        <v>0</v>
      </c>
      <c r="N228" s="325">
        <v>1442</v>
      </c>
      <c r="O228" s="325">
        <f t="shared" si="64"/>
        <v>1442</v>
      </c>
      <c r="R228" s="325">
        <f t="shared" si="65"/>
        <v>1442</v>
      </c>
      <c r="T228" s="325"/>
      <c r="U228" s="325">
        <f t="shared" si="62"/>
        <v>0</v>
      </c>
      <c r="X228" s="325">
        <f t="shared" si="66"/>
        <v>0</v>
      </c>
      <c r="Z228" s="325"/>
      <c r="AA228" s="325">
        <f t="shared" si="63"/>
        <v>1442</v>
      </c>
      <c r="AD228" s="325">
        <f t="shared" si="67"/>
        <v>1442</v>
      </c>
      <c r="AF228" s="325"/>
    </row>
    <row r="229" spans="1:32">
      <c r="A229" t="s">
        <v>772</v>
      </c>
      <c r="B229" t="s">
        <v>782</v>
      </c>
      <c r="C229" s="325">
        <v>0</v>
      </c>
      <c r="D229" s="325">
        <v>0</v>
      </c>
      <c r="E229" s="325">
        <v>0</v>
      </c>
      <c r="F229" s="325">
        <v>0</v>
      </c>
      <c r="G229" s="325">
        <v>0</v>
      </c>
      <c r="H229" s="325">
        <v>0</v>
      </c>
      <c r="I229" s="325">
        <v>0</v>
      </c>
      <c r="J229" s="325">
        <v>0</v>
      </c>
      <c r="K229" s="325">
        <v>0</v>
      </c>
      <c r="L229" s="325">
        <v>0</v>
      </c>
      <c r="M229" s="325">
        <v>0</v>
      </c>
      <c r="N229" s="325">
        <v>139</v>
      </c>
      <c r="O229" s="325">
        <f t="shared" si="64"/>
        <v>139</v>
      </c>
      <c r="R229" s="325">
        <f t="shared" si="65"/>
        <v>139</v>
      </c>
      <c r="T229" s="325"/>
      <c r="U229" s="325">
        <f t="shared" si="62"/>
        <v>0</v>
      </c>
      <c r="X229" s="325">
        <f t="shared" si="66"/>
        <v>0</v>
      </c>
      <c r="Z229" s="325"/>
      <c r="AA229" s="325">
        <f t="shared" si="63"/>
        <v>139</v>
      </c>
      <c r="AD229" s="325">
        <f t="shared" si="67"/>
        <v>139</v>
      </c>
      <c r="AF229" s="325"/>
    </row>
    <row r="230" spans="1:32">
      <c r="B230" t="s">
        <v>781</v>
      </c>
      <c r="C230" s="325">
        <v>0</v>
      </c>
      <c r="D230" s="325">
        <v>0</v>
      </c>
      <c r="E230" s="325">
        <v>0</v>
      </c>
      <c r="F230" s="325">
        <v>0</v>
      </c>
      <c r="G230" s="325">
        <v>0</v>
      </c>
      <c r="H230" s="325">
        <v>0</v>
      </c>
      <c r="I230" s="325">
        <v>0</v>
      </c>
      <c r="J230" s="325">
        <v>0</v>
      </c>
      <c r="K230" s="325">
        <v>0</v>
      </c>
      <c r="L230" s="325">
        <v>0</v>
      </c>
      <c r="M230" s="325">
        <v>0</v>
      </c>
      <c r="N230" s="325">
        <v>96</v>
      </c>
      <c r="O230" s="325">
        <f t="shared" si="64"/>
        <v>96</v>
      </c>
      <c r="R230" s="325">
        <f t="shared" si="65"/>
        <v>96</v>
      </c>
      <c r="T230" s="325"/>
      <c r="U230" s="325">
        <f t="shared" si="62"/>
        <v>0</v>
      </c>
      <c r="X230" s="325">
        <f t="shared" si="66"/>
        <v>0</v>
      </c>
      <c r="Z230" s="325"/>
      <c r="AA230" s="325">
        <f t="shared" si="63"/>
        <v>96</v>
      </c>
      <c r="AD230" s="325">
        <f t="shared" si="67"/>
        <v>96</v>
      </c>
      <c r="AF230" s="325"/>
    </row>
    <row r="231" spans="1:32">
      <c r="B231" t="s">
        <v>780</v>
      </c>
      <c r="C231" s="325">
        <v>0</v>
      </c>
      <c r="D231" s="325">
        <v>0</v>
      </c>
      <c r="E231" s="325">
        <v>0</v>
      </c>
      <c r="F231" s="325">
        <v>0</v>
      </c>
      <c r="G231" s="325">
        <v>0</v>
      </c>
      <c r="H231" s="325">
        <v>0</v>
      </c>
      <c r="I231" s="325">
        <v>0</v>
      </c>
      <c r="J231" s="325">
        <v>0</v>
      </c>
      <c r="K231" s="325">
        <v>0</v>
      </c>
      <c r="L231" s="325">
        <v>0</v>
      </c>
      <c r="M231" s="325">
        <v>0</v>
      </c>
      <c r="N231" s="325">
        <v>523</v>
      </c>
      <c r="O231" s="325">
        <f t="shared" si="64"/>
        <v>523</v>
      </c>
      <c r="R231" s="325">
        <f t="shared" si="65"/>
        <v>523</v>
      </c>
      <c r="T231" s="325"/>
      <c r="U231" s="325">
        <f t="shared" si="62"/>
        <v>0</v>
      </c>
      <c r="X231" s="325">
        <f t="shared" si="66"/>
        <v>0</v>
      </c>
      <c r="Z231" s="325"/>
      <c r="AA231" s="325">
        <f t="shared" si="63"/>
        <v>523</v>
      </c>
      <c r="AD231" s="325">
        <f t="shared" si="67"/>
        <v>523</v>
      </c>
      <c r="AF231" s="325"/>
    </row>
    <row r="232" spans="1:32">
      <c r="A232" t="s">
        <v>792</v>
      </c>
      <c r="B232" t="s">
        <v>782</v>
      </c>
      <c r="C232" s="325">
        <v>0</v>
      </c>
      <c r="D232" s="325">
        <v>0</v>
      </c>
      <c r="E232" s="325">
        <v>0</v>
      </c>
      <c r="F232" s="325">
        <v>0</v>
      </c>
      <c r="G232" s="325">
        <v>0</v>
      </c>
      <c r="H232" s="325">
        <v>0</v>
      </c>
      <c r="I232" s="325">
        <v>0</v>
      </c>
      <c r="J232" s="325">
        <v>0</v>
      </c>
      <c r="K232" s="325">
        <v>0</v>
      </c>
      <c r="L232" s="325">
        <v>0</v>
      </c>
      <c r="M232" s="325">
        <v>0</v>
      </c>
      <c r="N232" s="325">
        <v>2780</v>
      </c>
      <c r="O232" s="325">
        <f t="shared" si="64"/>
        <v>2780</v>
      </c>
      <c r="R232" s="325">
        <f t="shared" si="65"/>
        <v>2780</v>
      </c>
      <c r="T232" s="325"/>
      <c r="U232" s="325">
        <f t="shared" si="62"/>
        <v>0</v>
      </c>
      <c r="X232" s="325">
        <f t="shared" si="66"/>
        <v>0</v>
      </c>
      <c r="Z232" s="325"/>
      <c r="AA232" s="325">
        <f t="shared" si="63"/>
        <v>2780</v>
      </c>
      <c r="AD232" s="325">
        <f t="shared" si="67"/>
        <v>2780</v>
      </c>
      <c r="AF232" s="325"/>
    </row>
    <row r="233" spans="1:32">
      <c r="B233" t="s">
        <v>781</v>
      </c>
      <c r="C233" s="325">
        <v>0</v>
      </c>
      <c r="D233" s="325">
        <v>0</v>
      </c>
      <c r="E233" s="325">
        <v>0</v>
      </c>
      <c r="F233" s="325">
        <v>0</v>
      </c>
      <c r="G233" s="325">
        <v>0</v>
      </c>
      <c r="H233" s="325">
        <v>0</v>
      </c>
      <c r="I233" s="325">
        <v>0</v>
      </c>
      <c r="J233" s="325">
        <v>0</v>
      </c>
      <c r="K233" s="325">
        <v>0</v>
      </c>
      <c r="L233" s="325">
        <v>0</v>
      </c>
      <c r="M233" s="325">
        <v>0</v>
      </c>
      <c r="N233" s="325">
        <v>960</v>
      </c>
      <c r="O233" s="325">
        <f t="shared" si="64"/>
        <v>960</v>
      </c>
      <c r="R233" s="325">
        <f t="shared" si="65"/>
        <v>960</v>
      </c>
      <c r="T233" s="325"/>
      <c r="U233" s="325">
        <f t="shared" si="62"/>
        <v>0</v>
      </c>
      <c r="X233" s="325">
        <f t="shared" si="66"/>
        <v>0</v>
      </c>
      <c r="Z233" s="325"/>
      <c r="AA233" s="325">
        <f t="shared" si="63"/>
        <v>960</v>
      </c>
      <c r="AD233" s="325">
        <f t="shared" si="67"/>
        <v>960</v>
      </c>
      <c r="AF233" s="325"/>
    </row>
    <row r="234" spans="1:32">
      <c r="B234" t="s">
        <v>780</v>
      </c>
      <c r="C234" s="325">
        <v>0</v>
      </c>
      <c r="D234" s="325">
        <v>0</v>
      </c>
      <c r="E234" s="325">
        <v>0</v>
      </c>
      <c r="F234" s="325">
        <v>0</v>
      </c>
      <c r="G234" s="325">
        <v>0</v>
      </c>
      <c r="H234" s="325">
        <v>0</v>
      </c>
      <c r="I234" s="325">
        <v>0</v>
      </c>
      <c r="J234" s="325">
        <v>0</v>
      </c>
      <c r="K234" s="325">
        <v>0</v>
      </c>
      <c r="L234" s="325">
        <v>0</v>
      </c>
      <c r="M234" s="325">
        <v>0</v>
      </c>
      <c r="N234" s="325">
        <v>2876</v>
      </c>
      <c r="O234" s="325">
        <f t="shared" si="64"/>
        <v>2876</v>
      </c>
      <c r="R234" s="325">
        <f t="shared" si="65"/>
        <v>2876</v>
      </c>
      <c r="T234" s="325"/>
      <c r="U234" s="325">
        <f t="shared" si="62"/>
        <v>0</v>
      </c>
      <c r="X234" s="325">
        <f t="shared" si="66"/>
        <v>0</v>
      </c>
      <c r="Z234" s="325"/>
      <c r="AA234" s="325">
        <f t="shared" si="63"/>
        <v>2876</v>
      </c>
      <c r="AD234" s="325">
        <f t="shared" si="67"/>
        <v>2876</v>
      </c>
      <c r="AF234" s="325"/>
    </row>
    <row r="235" spans="1:32">
      <c r="A235" t="s">
        <v>791</v>
      </c>
      <c r="B235" t="s">
        <v>782</v>
      </c>
      <c r="C235" s="325">
        <v>0</v>
      </c>
      <c r="D235" s="325">
        <v>0</v>
      </c>
      <c r="E235" s="325">
        <v>0</v>
      </c>
      <c r="F235" s="325">
        <v>0</v>
      </c>
      <c r="G235" s="325">
        <v>0</v>
      </c>
      <c r="H235" s="325">
        <v>0</v>
      </c>
      <c r="I235" s="325">
        <v>0</v>
      </c>
      <c r="J235" s="325">
        <v>0</v>
      </c>
      <c r="K235" s="325">
        <v>0</v>
      </c>
      <c r="L235" s="325">
        <v>0</v>
      </c>
      <c r="M235" s="325">
        <v>0</v>
      </c>
      <c r="N235" s="325">
        <v>0</v>
      </c>
      <c r="O235" s="325">
        <f t="shared" si="64"/>
        <v>0</v>
      </c>
      <c r="R235" s="325">
        <f t="shared" si="65"/>
        <v>0</v>
      </c>
      <c r="T235" s="325"/>
      <c r="U235" s="325">
        <f t="shared" si="62"/>
        <v>0</v>
      </c>
      <c r="X235" s="325">
        <f t="shared" si="66"/>
        <v>0</v>
      </c>
      <c r="Z235" s="325"/>
      <c r="AA235" s="325">
        <f t="shared" si="63"/>
        <v>0</v>
      </c>
      <c r="AD235" s="325">
        <f t="shared" si="67"/>
        <v>0</v>
      </c>
      <c r="AF235" s="325"/>
    </row>
    <row r="236" spans="1:32">
      <c r="B236" t="s">
        <v>781</v>
      </c>
      <c r="C236" s="325">
        <v>0</v>
      </c>
      <c r="D236" s="325">
        <v>0</v>
      </c>
      <c r="E236" s="325">
        <v>0</v>
      </c>
      <c r="F236" s="325">
        <v>0</v>
      </c>
      <c r="G236" s="325">
        <v>0</v>
      </c>
      <c r="H236" s="325">
        <v>0</v>
      </c>
      <c r="I236" s="325">
        <v>0</v>
      </c>
      <c r="J236" s="325">
        <v>0</v>
      </c>
      <c r="K236" s="325">
        <v>0</v>
      </c>
      <c r="L236" s="325">
        <v>0</v>
      </c>
      <c r="M236" s="325">
        <v>0</v>
      </c>
      <c r="N236" s="325">
        <v>0</v>
      </c>
      <c r="O236" s="325">
        <f t="shared" si="64"/>
        <v>0</v>
      </c>
      <c r="R236" s="325">
        <f t="shared" si="65"/>
        <v>0</v>
      </c>
      <c r="T236" s="325"/>
      <c r="U236" s="325">
        <f t="shared" si="62"/>
        <v>0</v>
      </c>
      <c r="X236" s="325">
        <f t="shared" si="66"/>
        <v>0</v>
      </c>
      <c r="Z236" s="325"/>
      <c r="AA236" s="325">
        <f t="shared" si="63"/>
        <v>0</v>
      </c>
      <c r="AD236" s="325">
        <f t="shared" si="67"/>
        <v>0</v>
      </c>
      <c r="AF236" s="325"/>
    </row>
    <row r="237" spans="1:32">
      <c r="B237" t="s">
        <v>780</v>
      </c>
      <c r="C237" s="325">
        <v>0</v>
      </c>
      <c r="D237" s="325">
        <v>0</v>
      </c>
      <c r="E237" s="325">
        <v>0</v>
      </c>
      <c r="F237" s="325">
        <v>0</v>
      </c>
      <c r="G237" s="325">
        <v>0</v>
      </c>
      <c r="H237" s="325">
        <v>0</v>
      </c>
      <c r="I237" s="325">
        <v>0</v>
      </c>
      <c r="J237" s="325">
        <v>0</v>
      </c>
      <c r="K237" s="325">
        <v>0</v>
      </c>
      <c r="L237" s="325">
        <v>0</v>
      </c>
      <c r="M237" s="325">
        <v>0</v>
      </c>
      <c r="N237" s="325">
        <v>0</v>
      </c>
      <c r="O237" s="325">
        <f t="shared" si="64"/>
        <v>0</v>
      </c>
      <c r="R237" s="325">
        <f t="shared" si="65"/>
        <v>0</v>
      </c>
      <c r="T237" s="325"/>
      <c r="U237" s="325">
        <f t="shared" si="62"/>
        <v>0</v>
      </c>
      <c r="X237" s="325">
        <f t="shared" si="66"/>
        <v>0</v>
      </c>
      <c r="Z237" s="325"/>
      <c r="AA237" s="325">
        <f t="shared" si="63"/>
        <v>0</v>
      </c>
      <c r="AD237" s="325">
        <f t="shared" si="67"/>
        <v>0</v>
      </c>
      <c r="AF237" s="325"/>
    </row>
    <row r="238" spans="1:32">
      <c r="A238" t="s">
        <v>790</v>
      </c>
      <c r="B238" t="s">
        <v>782</v>
      </c>
      <c r="C238" s="325">
        <v>0</v>
      </c>
      <c r="D238" s="325">
        <v>0</v>
      </c>
      <c r="E238" s="325">
        <v>0</v>
      </c>
      <c r="F238" s="325">
        <v>0</v>
      </c>
      <c r="G238" s="325">
        <v>0</v>
      </c>
      <c r="H238" s="325">
        <v>0</v>
      </c>
      <c r="I238" s="325">
        <v>0</v>
      </c>
      <c r="J238" s="325">
        <v>0</v>
      </c>
      <c r="K238" s="325">
        <v>0</v>
      </c>
      <c r="L238" s="325">
        <v>0</v>
      </c>
      <c r="M238" s="325">
        <v>0</v>
      </c>
      <c r="N238" s="325">
        <v>0</v>
      </c>
      <c r="O238" s="325">
        <f t="shared" si="64"/>
        <v>0</v>
      </c>
      <c r="R238" s="325">
        <f t="shared" si="65"/>
        <v>0</v>
      </c>
      <c r="T238" s="325"/>
      <c r="U238" s="325">
        <f t="shared" si="62"/>
        <v>0</v>
      </c>
      <c r="X238" s="325">
        <f t="shared" si="66"/>
        <v>0</v>
      </c>
      <c r="Z238" s="325"/>
      <c r="AA238" s="325">
        <f t="shared" si="63"/>
        <v>0</v>
      </c>
      <c r="AD238" s="325">
        <f t="shared" si="67"/>
        <v>0</v>
      </c>
      <c r="AF238" s="325"/>
    </row>
    <row r="239" spans="1:32">
      <c r="B239" t="s">
        <v>781</v>
      </c>
      <c r="C239" s="325">
        <v>0</v>
      </c>
      <c r="D239" s="325">
        <v>0</v>
      </c>
      <c r="E239" s="325">
        <v>0</v>
      </c>
      <c r="F239" s="325">
        <v>0</v>
      </c>
      <c r="G239" s="325">
        <v>0</v>
      </c>
      <c r="H239" s="325">
        <v>0</v>
      </c>
      <c r="I239" s="325">
        <v>0</v>
      </c>
      <c r="J239" s="325">
        <v>0</v>
      </c>
      <c r="K239" s="325">
        <v>0</v>
      </c>
      <c r="L239" s="325">
        <v>0</v>
      </c>
      <c r="M239" s="325">
        <v>0</v>
      </c>
      <c r="N239" s="325">
        <v>0</v>
      </c>
      <c r="O239" s="325">
        <f t="shared" si="64"/>
        <v>0</v>
      </c>
      <c r="R239" s="325">
        <f t="shared" si="65"/>
        <v>0</v>
      </c>
      <c r="T239" s="325"/>
      <c r="U239" s="325">
        <f t="shared" si="62"/>
        <v>0</v>
      </c>
      <c r="X239" s="325">
        <f t="shared" si="66"/>
        <v>0</v>
      </c>
      <c r="Z239" s="325"/>
      <c r="AA239" s="325">
        <f t="shared" si="63"/>
        <v>0</v>
      </c>
      <c r="AD239" s="325">
        <f t="shared" si="67"/>
        <v>0</v>
      </c>
      <c r="AF239" s="325"/>
    </row>
    <row r="240" spans="1:32">
      <c r="B240" t="s">
        <v>780</v>
      </c>
      <c r="C240" s="325">
        <v>0</v>
      </c>
      <c r="D240" s="325">
        <v>0</v>
      </c>
      <c r="E240" s="325">
        <v>0</v>
      </c>
      <c r="F240" s="325">
        <v>0</v>
      </c>
      <c r="G240" s="325">
        <v>0</v>
      </c>
      <c r="H240" s="325">
        <v>0</v>
      </c>
      <c r="I240" s="325">
        <v>0</v>
      </c>
      <c r="J240" s="325">
        <v>0</v>
      </c>
      <c r="K240" s="325">
        <v>0</v>
      </c>
      <c r="L240" s="325">
        <v>0</v>
      </c>
      <c r="M240" s="325">
        <v>0</v>
      </c>
      <c r="N240" s="325">
        <v>0</v>
      </c>
      <c r="O240" s="325">
        <f t="shared" si="64"/>
        <v>0</v>
      </c>
      <c r="R240" s="325">
        <f t="shared" si="65"/>
        <v>0</v>
      </c>
      <c r="T240" s="325"/>
      <c r="U240" s="325">
        <f t="shared" si="62"/>
        <v>0</v>
      </c>
      <c r="X240" s="325">
        <f t="shared" si="66"/>
        <v>0</v>
      </c>
      <c r="Z240" s="325"/>
      <c r="AA240" s="325">
        <f t="shared" si="63"/>
        <v>0</v>
      </c>
      <c r="AD240" s="325">
        <f t="shared" si="67"/>
        <v>0</v>
      </c>
      <c r="AF240" s="325"/>
    </row>
    <row r="241" spans="1:32">
      <c r="A241" t="s">
        <v>789</v>
      </c>
      <c r="B241" t="s">
        <v>782</v>
      </c>
      <c r="C241" s="325">
        <v>0</v>
      </c>
      <c r="D241" s="325">
        <v>0</v>
      </c>
      <c r="E241" s="325">
        <v>0</v>
      </c>
      <c r="F241" s="325">
        <v>0</v>
      </c>
      <c r="G241" s="325">
        <v>0</v>
      </c>
      <c r="H241" s="325">
        <v>0</v>
      </c>
      <c r="I241" s="325">
        <v>0</v>
      </c>
      <c r="J241" s="325">
        <v>0</v>
      </c>
      <c r="K241" s="325">
        <v>0</v>
      </c>
      <c r="L241" s="325">
        <v>0</v>
      </c>
      <c r="M241" s="325">
        <v>0</v>
      </c>
      <c r="N241" s="325">
        <v>2122</v>
      </c>
      <c r="O241" s="325">
        <f t="shared" si="64"/>
        <v>2122</v>
      </c>
      <c r="R241" s="325">
        <f t="shared" si="65"/>
        <v>2122</v>
      </c>
      <c r="T241" s="325"/>
      <c r="U241" s="325">
        <f t="shared" si="62"/>
        <v>0</v>
      </c>
      <c r="X241" s="325">
        <f t="shared" si="66"/>
        <v>0</v>
      </c>
      <c r="Z241" s="325"/>
      <c r="AA241" s="325">
        <f t="shared" si="63"/>
        <v>2122</v>
      </c>
      <c r="AD241" s="325">
        <f t="shared" si="67"/>
        <v>2122</v>
      </c>
      <c r="AF241" s="325"/>
    </row>
    <row r="242" spans="1:32">
      <c r="B242" t="s">
        <v>781</v>
      </c>
      <c r="C242" s="325">
        <v>0</v>
      </c>
      <c r="D242" s="325">
        <v>0</v>
      </c>
      <c r="E242" s="325">
        <v>0</v>
      </c>
      <c r="F242" s="325">
        <v>0</v>
      </c>
      <c r="G242" s="325">
        <v>0</v>
      </c>
      <c r="H242" s="325">
        <v>0</v>
      </c>
      <c r="I242" s="325">
        <v>0</v>
      </c>
      <c r="J242" s="325">
        <v>0</v>
      </c>
      <c r="K242" s="325">
        <v>0</v>
      </c>
      <c r="L242" s="325">
        <v>0</v>
      </c>
      <c r="M242" s="325">
        <v>0</v>
      </c>
      <c r="N242" s="325">
        <v>0</v>
      </c>
      <c r="O242" s="325">
        <f t="shared" si="64"/>
        <v>0</v>
      </c>
      <c r="R242" s="325">
        <f t="shared" si="65"/>
        <v>0</v>
      </c>
      <c r="T242" s="325"/>
      <c r="U242" s="325">
        <f t="shared" si="62"/>
        <v>0</v>
      </c>
      <c r="X242" s="325">
        <f t="shared" si="66"/>
        <v>0</v>
      </c>
      <c r="Z242" s="325"/>
      <c r="AA242" s="325">
        <f t="shared" si="63"/>
        <v>0</v>
      </c>
      <c r="AD242" s="325">
        <f t="shared" si="67"/>
        <v>0</v>
      </c>
      <c r="AF242" s="325"/>
    </row>
    <row r="243" spans="1:32">
      <c r="B243" t="s">
        <v>780</v>
      </c>
      <c r="C243" s="325">
        <v>0</v>
      </c>
      <c r="D243" s="325">
        <v>0</v>
      </c>
      <c r="E243" s="325">
        <v>0</v>
      </c>
      <c r="F243" s="325">
        <v>0</v>
      </c>
      <c r="G243" s="325">
        <v>0</v>
      </c>
      <c r="H243" s="325">
        <v>0</v>
      </c>
      <c r="I243" s="325">
        <v>0</v>
      </c>
      <c r="J243" s="325">
        <v>0</v>
      </c>
      <c r="K243" s="325">
        <v>0</v>
      </c>
      <c r="L243" s="325">
        <v>0</v>
      </c>
      <c r="M243" s="325">
        <v>0</v>
      </c>
      <c r="N243" s="325">
        <v>0</v>
      </c>
      <c r="O243" s="325">
        <f t="shared" si="64"/>
        <v>0</v>
      </c>
      <c r="R243" s="325">
        <f t="shared" si="65"/>
        <v>0</v>
      </c>
      <c r="T243" s="325"/>
      <c r="U243" s="325">
        <f t="shared" si="62"/>
        <v>0</v>
      </c>
      <c r="X243" s="325">
        <f t="shared" si="66"/>
        <v>0</v>
      </c>
      <c r="Z243" s="325"/>
      <c r="AA243" s="325">
        <f t="shared" si="63"/>
        <v>0</v>
      </c>
      <c r="AD243" s="325">
        <f t="shared" si="67"/>
        <v>0</v>
      </c>
      <c r="AF243" s="325"/>
    </row>
    <row r="244" spans="1:32">
      <c r="A244" t="s">
        <v>788</v>
      </c>
      <c r="B244" t="s">
        <v>782</v>
      </c>
      <c r="C244" s="325">
        <v>0</v>
      </c>
      <c r="D244" s="325">
        <v>0</v>
      </c>
      <c r="E244" s="325">
        <v>0</v>
      </c>
      <c r="F244" s="325">
        <v>0</v>
      </c>
      <c r="G244" s="325">
        <v>0</v>
      </c>
      <c r="H244" s="325">
        <v>0</v>
      </c>
      <c r="I244" s="325">
        <v>0</v>
      </c>
      <c r="J244" s="325">
        <v>0</v>
      </c>
      <c r="K244" s="325">
        <v>0</v>
      </c>
      <c r="L244" s="325">
        <v>0</v>
      </c>
      <c r="M244" s="325">
        <v>0</v>
      </c>
      <c r="N244" s="325">
        <v>53</v>
      </c>
      <c r="O244" s="325">
        <f t="shared" si="64"/>
        <v>53</v>
      </c>
      <c r="R244" s="325">
        <f t="shared" si="65"/>
        <v>53</v>
      </c>
      <c r="T244" s="325"/>
      <c r="U244" s="325">
        <f t="shared" si="62"/>
        <v>0</v>
      </c>
      <c r="X244" s="325">
        <f t="shared" si="66"/>
        <v>0</v>
      </c>
      <c r="Z244" s="325"/>
      <c r="AA244" s="325">
        <f t="shared" si="63"/>
        <v>53</v>
      </c>
      <c r="AD244" s="325">
        <f t="shared" si="67"/>
        <v>53</v>
      </c>
      <c r="AF244" s="325"/>
    </row>
    <row r="245" spans="1:32">
      <c r="B245" t="s">
        <v>781</v>
      </c>
      <c r="C245" s="325">
        <v>0</v>
      </c>
      <c r="D245" s="325">
        <v>0</v>
      </c>
      <c r="E245" s="325">
        <v>0</v>
      </c>
      <c r="F245" s="325">
        <v>0</v>
      </c>
      <c r="G245" s="325">
        <v>0</v>
      </c>
      <c r="H245" s="325">
        <v>0</v>
      </c>
      <c r="I245" s="325">
        <v>0</v>
      </c>
      <c r="J245" s="325">
        <v>0</v>
      </c>
      <c r="K245" s="325">
        <v>0</v>
      </c>
      <c r="L245" s="325">
        <v>0</v>
      </c>
      <c r="M245" s="325">
        <v>0</v>
      </c>
      <c r="N245" s="325">
        <v>0</v>
      </c>
      <c r="O245" s="325">
        <f t="shared" si="64"/>
        <v>0</v>
      </c>
      <c r="R245" s="325">
        <f t="shared" si="65"/>
        <v>0</v>
      </c>
      <c r="T245" s="325"/>
      <c r="U245" s="325">
        <f t="shared" si="62"/>
        <v>0</v>
      </c>
      <c r="X245" s="325">
        <f t="shared" si="66"/>
        <v>0</v>
      </c>
      <c r="Z245" s="325"/>
      <c r="AA245" s="325">
        <f t="shared" si="63"/>
        <v>0</v>
      </c>
      <c r="AD245" s="325">
        <f t="shared" si="67"/>
        <v>0</v>
      </c>
      <c r="AF245" s="325"/>
    </row>
    <row r="246" spans="1:32">
      <c r="B246" t="s">
        <v>780</v>
      </c>
      <c r="C246" s="325">
        <v>0</v>
      </c>
      <c r="D246" s="325">
        <v>0</v>
      </c>
      <c r="E246" s="325">
        <v>0</v>
      </c>
      <c r="F246" s="325">
        <v>0</v>
      </c>
      <c r="G246" s="325">
        <v>0</v>
      </c>
      <c r="H246" s="325">
        <v>0</v>
      </c>
      <c r="I246" s="325">
        <v>0</v>
      </c>
      <c r="J246" s="325">
        <v>0</v>
      </c>
      <c r="K246" s="325">
        <v>0</v>
      </c>
      <c r="L246" s="325">
        <v>0</v>
      </c>
      <c r="M246" s="325">
        <v>0</v>
      </c>
      <c r="N246" s="325">
        <v>0</v>
      </c>
      <c r="O246" s="325">
        <f t="shared" si="64"/>
        <v>0</v>
      </c>
      <c r="R246" s="325">
        <f t="shared" si="65"/>
        <v>0</v>
      </c>
      <c r="T246" s="325"/>
      <c r="U246" s="325">
        <f t="shared" si="62"/>
        <v>0</v>
      </c>
      <c r="X246" s="325">
        <f t="shared" si="66"/>
        <v>0</v>
      </c>
      <c r="Z246" s="325"/>
      <c r="AA246" s="325">
        <f t="shared" si="63"/>
        <v>0</v>
      </c>
      <c r="AD246" s="325">
        <f t="shared" si="67"/>
        <v>0</v>
      </c>
      <c r="AF246" s="325"/>
    </row>
    <row r="247" spans="1:32">
      <c r="A247" t="s">
        <v>787</v>
      </c>
      <c r="B247" t="s">
        <v>782</v>
      </c>
      <c r="C247" s="325">
        <v>0</v>
      </c>
      <c r="D247" s="325">
        <v>0</v>
      </c>
      <c r="E247" s="325">
        <v>0</v>
      </c>
      <c r="F247" s="325">
        <v>0</v>
      </c>
      <c r="G247" s="325">
        <v>0</v>
      </c>
      <c r="H247" s="325">
        <v>0</v>
      </c>
      <c r="I247" s="325">
        <v>0</v>
      </c>
      <c r="J247" s="325">
        <v>0</v>
      </c>
      <c r="K247" s="325">
        <v>0</v>
      </c>
      <c r="L247" s="325">
        <v>0</v>
      </c>
      <c r="M247" s="325">
        <v>0</v>
      </c>
      <c r="N247" s="325">
        <v>6156</v>
      </c>
      <c r="O247" s="325">
        <f t="shared" si="64"/>
        <v>6156</v>
      </c>
      <c r="R247" s="325">
        <f t="shared" si="65"/>
        <v>6156</v>
      </c>
      <c r="T247" s="325"/>
      <c r="U247" s="325">
        <f t="shared" si="62"/>
        <v>0</v>
      </c>
      <c r="X247" s="325">
        <f t="shared" si="66"/>
        <v>0</v>
      </c>
      <c r="Z247" s="325"/>
      <c r="AA247" s="325">
        <f t="shared" si="63"/>
        <v>6156</v>
      </c>
      <c r="AD247" s="325">
        <f t="shared" si="67"/>
        <v>6156</v>
      </c>
      <c r="AF247" s="325"/>
    </row>
    <row r="248" spans="1:32">
      <c r="B248" t="s">
        <v>781</v>
      </c>
      <c r="C248" s="325">
        <v>0</v>
      </c>
      <c r="D248" s="325">
        <v>0</v>
      </c>
      <c r="E248" s="325">
        <v>0</v>
      </c>
      <c r="F248" s="325">
        <v>0</v>
      </c>
      <c r="G248" s="325">
        <v>0</v>
      </c>
      <c r="H248" s="325">
        <v>0</v>
      </c>
      <c r="I248" s="325">
        <v>0</v>
      </c>
      <c r="J248" s="325">
        <v>0</v>
      </c>
      <c r="K248" s="325">
        <v>0</v>
      </c>
      <c r="L248" s="325">
        <v>0</v>
      </c>
      <c r="M248" s="325">
        <v>0</v>
      </c>
      <c r="N248" s="325">
        <v>0</v>
      </c>
      <c r="O248" s="325">
        <f t="shared" si="64"/>
        <v>0</v>
      </c>
      <c r="R248" s="325">
        <f t="shared" si="65"/>
        <v>0</v>
      </c>
      <c r="T248" s="325"/>
      <c r="U248" s="325">
        <f t="shared" si="62"/>
        <v>0</v>
      </c>
      <c r="X248" s="325">
        <f t="shared" si="66"/>
        <v>0</v>
      </c>
      <c r="Z248" s="325"/>
      <c r="AA248" s="325">
        <f t="shared" si="63"/>
        <v>0</v>
      </c>
      <c r="AD248" s="325">
        <f t="shared" si="67"/>
        <v>0</v>
      </c>
      <c r="AF248" s="325"/>
    </row>
    <row r="249" spans="1:32">
      <c r="B249" t="s">
        <v>780</v>
      </c>
      <c r="C249" s="325">
        <v>0</v>
      </c>
      <c r="D249" s="325">
        <v>0</v>
      </c>
      <c r="E249" s="325">
        <v>0</v>
      </c>
      <c r="F249" s="325">
        <v>0</v>
      </c>
      <c r="G249" s="325">
        <v>0</v>
      </c>
      <c r="H249" s="325">
        <v>0</v>
      </c>
      <c r="I249" s="325">
        <v>0</v>
      </c>
      <c r="J249" s="325">
        <v>0</v>
      </c>
      <c r="K249" s="325">
        <v>0</v>
      </c>
      <c r="L249" s="325">
        <v>0</v>
      </c>
      <c r="M249" s="325">
        <v>0</v>
      </c>
      <c r="N249" s="325">
        <v>0</v>
      </c>
      <c r="O249" s="325">
        <f t="shared" si="64"/>
        <v>0</v>
      </c>
      <c r="R249" s="325">
        <f t="shared" si="65"/>
        <v>0</v>
      </c>
      <c r="T249" s="325"/>
      <c r="U249" s="325">
        <f t="shared" si="62"/>
        <v>0</v>
      </c>
      <c r="X249" s="325">
        <f t="shared" si="66"/>
        <v>0</v>
      </c>
      <c r="Z249" s="325"/>
      <c r="AA249" s="325">
        <f t="shared" si="63"/>
        <v>0</v>
      </c>
      <c r="AD249" s="325">
        <f t="shared" si="67"/>
        <v>0</v>
      </c>
      <c r="AF249" s="325"/>
    </row>
    <row r="250" spans="1:32">
      <c r="A250" t="s">
        <v>786</v>
      </c>
      <c r="B250" t="s">
        <v>782</v>
      </c>
      <c r="C250" s="325">
        <v>0</v>
      </c>
      <c r="D250" s="325">
        <v>0</v>
      </c>
      <c r="E250" s="325">
        <v>0</v>
      </c>
      <c r="F250" s="325">
        <v>0</v>
      </c>
      <c r="G250" s="325">
        <v>0</v>
      </c>
      <c r="H250" s="325">
        <v>0</v>
      </c>
      <c r="I250" s="325">
        <v>0</v>
      </c>
      <c r="J250" s="325">
        <v>0</v>
      </c>
      <c r="K250" s="325">
        <v>0</v>
      </c>
      <c r="L250" s="325">
        <v>0</v>
      </c>
      <c r="M250" s="325">
        <v>0</v>
      </c>
      <c r="N250" s="325">
        <v>0</v>
      </c>
      <c r="O250" s="325">
        <f t="shared" si="64"/>
        <v>0</v>
      </c>
      <c r="R250" s="325">
        <f t="shared" si="65"/>
        <v>0</v>
      </c>
      <c r="T250" s="325"/>
      <c r="U250" s="325">
        <f t="shared" si="62"/>
        <v>0</v>
      </c>
      <c r="X250" s="325">
        <f t="shared" si="66"/>
        <v>0</v>
      </c>
      <c r="Z250" s="325"/>
      <c r="AA250" s="325">
        <f t="shared" si="63"/>
        <v>0</v>
      </c>
      <c r="AD250" s="325">
        <f t="shared" si="67"/>
        <v>0</v>
      </c>
      <c r="AF250" s="325"/>
    </row>
    <row r="251" spans="1:32">
      <c r="B251" t="s">
        <v>781</v>
      </c>
      <c r="C251" s="325">
        <v>0</v>
      </c>
      <c r="D251" s="325">
        <v>0</v>
      </c>
      <c r="E251" s="325">
        <v>0</v>
      </c>
      <c r="F251" s="325">
        <v>0</v>
      </c>
      <c r="G251" s="325">
        <v>0</v>
      </c>
      <c r="H251" s="325">
        <v>0</v>
      </c>
      <c r="I251" s="325">
        <v>0</v>
      </c>
      <c r="J251" s="325">
        <v>0</v>
      </c>
      <c r="K251" s="325">
        <v>0</v>
      </c>
      <c r="L251" s="325">
        <v>0</v>
      </c>
      <c r="M251" s="325">
        <v>0</v>
      </c>
      <c r="N251" s="325">
        <v>224.31</v>
      </c>
      <c r="O251" s="325">
        <f t="shared" si="64"/>
        <v>224.31</v>
      </c>
      <c r="R251" s="325">
        <f t="shared" si="65"/>
        <v>224.31</v>
      </c>
      <c r="T251" s="325"/>
      <c r="U251" s="325">
        <f t="shared" si="62"/>
        <v>0</v>
      </c>
      <c r="X251" s="325">
        <f t="shared" si="66"/>
        <v>0</v>
      </c>
      <c r="Z251" s="325"/>
      <c r="AA251" s="325">
        <f t="shared" si="63"/>
        <v>224.31</v>
      </c>
      <c r="AD251" s="325">
        <f t="shared" si="67"/>
        <v>224.31</v>
      </c>
      <c r="AF251" s="325"/>
    </row>
    <row r="252" spans="1:32">
      <c r="B252" t="s">
        <v>780</v>
      </c>
      <c r="C252" s="325">
        <v>0</v>
      </c>
      <c r="D252" s="325">
        <v>0</v>
      </c>
      <c r="E252" s="325">
        <v>0</v>
      </c>
      <c r="F252" s="325">
        <v>0</v>
      </c>
      <c r="G252" s="325">
        <v>0</v>
      </c>
      <c r="H252" s="325">
        <v>0</v>
      </c>
      <c r="I252" s="325">
        <v>0</v>
      </c>
      <c r="J252" s="325">
        <v>0</v>
      </c>
      <c r="K252" s="325">
        <v>0</v>
      </c>
      <c r="L252" s="325">
        <v>0</v>
      </c>
      <c r="M252" s="325">
        <v>0</v>
      </c>
      <c r="N252" s="325">
        <v>1127.6199999999999</v>
      </c>
      <c r="O252" s="325">
        <f t="shared" si="64"/>
        <v>1127.6199999999999</v>
      </c>
      <c r="R252" s="325">
        <f t="shared" ref="R252:R276" si="68">+O252+Q252</f>
        <v>1127.6199999999999</v>
      </c>
      <c r="T252" s="325"/>
      <c r="U252" s="325">
        <f t="shared" si="62"/>
        <v>0</v>
      </c>
      <c r="X252" s="325">
        <f t="shared" ref="X252:X276" si="69">+U252+W252</f>
        <v>0</v>
      </c>
      <c r="Z252" s="325"/>
      <c r="AA252" s="325">
        <f t="shared" si="63"/>
        <v>1127.6199999999999</v>
      </c>
      <c r="AD252" s="325">
        <f t="shared" ref="AD252:AD276" si="70">+AA252+AC252</f>
        <v>1127.6199999999999</v>
      </c>
      <c r="AF252" s="325"/>
    </row>
    <row r="253" spans="1:32">
      <c r="A253" s="693" t="s">
        <v>1405</v>
      </c>
      <c r="B253" t="s">
        <v>782</v>
      </c>
      <c r="C253" s="325">
        <v>0</v>
      </c>
      <c r="D253" s="325">
        <v>0</v>
      </c>
      <c r="E253" s="325">
        <v>0</v>
      </c>
      <c r="F253" s="325">
        <v>0</v>
      </c>
      <c r="G253" s="325">
        <v>0</v>
      </c>
      <c r="H253" s="325">
        <v>0</v>
      </c>
      <c r="I253" s="325">
        <v>0</v>
      </c>
      <c r="J253" s="325">
        <v>0</v>
      </c>
      <c r="K253" s="325">
        <v>0</v>
      </c>
      <c r="L253" s="325">
        <v>0</v>
      </c>
      <c r="M253" s="325">
        <v>0</v>
      </c>
      <c r="N253" s="325">
        <v>70</v>
      </c>
      <c r="O253" s="325">
        <f t="shared" si="64"/>
        <v>70</v>
      </c>
      <c r="R253" s="325">
        <f t="shared" si="68"/>
        <v>70</v>
      </c>
      <c r="T253" s="325"/>
      <c r="U253" s="325">
        <f t="shared" si="62"/>
        <v>0</v>
      </c>
      <c r="X253" s="325">
        <f t="shared" si="69"/>
        <v>0</v>
      </c>
      <c r="Z253" s="325"/>
      <c r="AA253" s="325">
        <f t="shared" si="63"/>
        <v>70</v>
      </c>
      <c r="AD253" s="325">
        <f t="shared" si="70"/>
        <v>70</v>
      </c>
      <c r="AF253" s="325"/>
    </row>
    <row r="254" spans="1:32">
      <c r="B254" t="s">
        <v>781</v>
      </c>
      <c r="C254" s="325">
        <v>0</v>
      </c>
      <c r="D254" s="325">
        <v>0</v>
      </c>
      <c r="E254" s="325">
        <v>0</v>
      </c>
      <c r="F254" s="325">
        <v>0</v>
      </c>
      <c r="G254" s="325">
        <v>0</v>
      </c>
      <c r="H254" s="325">
        <v>0</v>
      </c>
      <c r="I254" s="325">
        <v>0</v>
      </c>
      <c r="J254" s="325">
        <v>0</v>
      </c>
      <c r="K254" s="325">
        <v>0</v>
      </c>
      <c r="L254" s="325">
        <v>0</v>
      </c>
      <c r="M254" s="325">
        <v>0</v>
      </c>
      <c r="N254" s="325">
        <v>0</v>
      </c>
      <c r="O254" s="325">
        <f t="shared" si="64"/>
        <v>0</v>
      </c>
      <c r="R254" s="325">
        <f t="shared" si="68"/>
        <v>0</v>
      </c>
      <c r="T254" s="325"/>
      <c r="U254" s="325">
        <f t="shared" si="62"/>
        <v>0</v>
      </c>
      <c r="X254" s="325">
        <f t="shared" si="69"/>
        <v>0</v>
      </c>
      <c r="Z254" s="325"/>
      <c r="AA254" s="325">
        <f t="shared" si="63"/>
        <v>0</v>
      </c>
      <c r="AD254" s="325">
        <f t="shared" si="70"/>
        <v>0</v>
      </c>
      <c r="AF254" s="325"/>
    </row>
    <row r="255" spans="1:32">
      <c r="B255" t="s">
        <v>780</v>
      </c>
      <c r="C255" s="325">
        <v>0</v>
      </c>
      <c r="D255" s="325">
        <v>0</v>
      </c>
      <c r="E255" s="325">
        <v>0</v>
      </c>
      <c r="F255" s="325">
        <v>0</v>
      </c>
      <c r="G255" s="325">
        <v>0</v>
      </c>
      <c r="H255" s="325">
        <v>0</v>
      </c>
      <c r="I255" s="325">
        <v>0</v>
      </c>
      <c r="J255" s="325">
        <v>0</v>
      </c>
      <c r="K255" s="325">
        <v>0</v>
      </c>
      <c r="L255" s="325">
        <v>0</v>
      </c>
      <c r="M255" s="325">
        <v>0</v>
      </c>
      <c r="N255" s="325">
        <v>0</v>
      </c>
      <c r="O255" s="325">
        <f t="shared" si="64"/>
        <v>0</v>
      </c>
      <c r="R255" s="325">
        <f t="shared" si="68"/>
        <v>0</v>
      </c>
      <c r="T255" s="325"/>
      <c r="U255" s="325">
        <f t="shared" si="62"/>
        <v>0</v>
      </c>
      <c r="X255" s="325">
        <f t="shared" si="69"/>
        <v>0</v>
      </c>
      <c r="Z255" s="325"/>
      <c r="AA255" s="325">
        <f t="shared" si="63"/>
        <v>0</v>
      </c>
      <c r="AD255" s="325">
        <f t="shared" si="70"/>
        <v>0</v>
      </c>
      <c r="AF255" s="325"/>
    </row>
    <row r="256" spans="1:32">
      <c r="A256" t="s">
        <v>771</v>
      </c>
      <c r="B256" t="s">
        <v>782</v>
      </c>
      <c r="C256" s="325">
        <v>0</v>
      </c>
      <c r="D256" s="325">
        <v>0</v>
      </c>
      <c r="E256" s="325">
        <v>0</v>
      </c>
      <c r="F256" s="325">
        <v>0</v>
      </c>
      <c r="G256" s="325">
        <v>0</v>
      </c>
      <c r="H256" s="325">
        <v>0</v>
      </c>
      <c r="I256" s="325">
        <v>0</v>
      </c>
      <c r="J256" s="325">
        <v>0</v>
      </c>
      <c r="K256" s="325">
        <v>0</v>
      </c>
      <c r="L256" s="325">
        <v>0</v>
      </c>
      <c r="M256" s="325">
        <v>0</v>
      </c>
      <c r="N256" s="325">
        <v>7746</v>
      </c>
      <c r="O256" s="325">
        <f t="shared" si="64"/>
        <v>7746</v>
      </c>
      <c r="Q256" s="325">
        <f>-Q184+Q277</f>
        <v>85</v>
      </c>
      <c r="R256" s="325">
        <f t="shared" si="68"/>
        <v>7831</v>
      </c>
      <c r="T256" s="325"/>
      <c r="U256" s="325">
        <f t="shared" si="62"/>
        <v>0</v>
      </c>
      <c r="W256" s="325">
        <f>-W184+W277</f>
        <v>0</v>
      </c>
      <c r="X256" s="325">
        <f t="shared" si="69"/>
        <v>0</v>
      </c>
      <c r="Z256" s="325"/>
      <c r="AA256" s="325">
        <f t="shared" si="63"/>
        <v>7746</v>
      </c>
      <c r="AC256" s="325">
        <f>-AC184+AC277</f>
        <v>85</v>
      </c>
      <c r="AD256" s="325">
        <f t="shared" si="70"/>
        <v>7831</v>
      </c>
      <c r="AF256" s="325"/>
    </row>
    <row r="257" spans="1:32">
      <c r="B257" t="s">
        <v>781</v>
      </c>
      <c r="C257" s="325">
        <v>0</v>
      </c>
      <c r="D257" s="325">
        <v>0</v>
      </c>
      <c r="E257" s="325">
        <v>0</v>
      </c>
      <c r="F257" s="325">
        <v>0</v>
      </c>
      <c r="G257" s="325">
        <v>0</v>
      </c>
      <c r="H257" s="325">
        <v>0</v>
      </c>
      <c r="I257" s="325">
        <v>0</v>
      </c>
      <c r="J257" s="325">
        <v>0</v>
      </c>
      <c r="K257" s="325">
        <v>0</v>
      </c>
      <c r="L257" s="325">
        <v>0</v>
      </c>
      <c r="M257" s="325">
        <v>0</v>
      </c>
      <c r="N257" s="325">
        <v>716</v>
      </c>
      <c r="O257" s="325">
        <f t="shared" si="64"/>
        <v>716</v>
      </c>
      <c r="Q257" s="325">
        <f t="shared" ref="Q257:Q258" si="71">-Q185+Q278</f>
        <v>4</v>
      </c>
      <c r="R257" s="325">
        <f t="shared" si="68"/>
        <v>720</v>
      </c>
      <c r="T257" s="325"/>
      <c r="U257" s="325">
        <f t="shared" si="62"/>
        <v>0</v>
      </c>
      <c r="W257" s="325">
        <f t="shared" ref="W257:W258" si="72">-W185+W278</f>
        <v>0</v>
      </c>
      <c r="X257" s="325">
        <f t="shared" si="69"/>
        <v>0</v>
      </c>
      <c r="Z257" s="325"/>
      <c r="AA257" s="325">
        <f t="shared" si="63"/>
        <v>716</v>
      </c>
      <c r="AC257" s="325">
        <f t="shared" ref="AC257:AC258" si="73">-AC185+AC278</f>
        <v>4</v>
      </c>
      <c r="AD257" s="325">
        <f t="shared" si="70"/>
        <v>720</v>
      </c>
      <c r="AF257" s="325"/>
    </row>
    <row r="258" spans="1:32">
      <c r="B258" t="s">
        <v>780</v>
      </c>
      <c r="C258" s="325">
        <v>0</v>
      </c>
      <c r="D258" s="325">
        <v>0</v>
      </c>
      <c r="E258" s="325">
        <v>0</v>
      </c>
      <c r="F258" s="325">
        <v>0</v>
      </c>
      <c r="G258" s="325">
        <v>0</v>
      </c>
      <c r="H258" s="325">
        <v>0</v>
      </c>
      <c r="I258" s="325">
        <v>0</v>
      </c>
      <c r="J258" s="325">
        <v>0</v>
      </c>
      <c r="K258" s="325">
        <v>0</v>
      </c>
      <c r="L258" s="325">
        <v>0</v>
      </c>
      <c r="M258" s="325">
        <v>0</v>
      </c>
      <c r="N258" s="325">
        <v>1618</v>
      </c>
      <c r="O258" s="325">
        <f t="shared" si="64"/>
        <v>1618</v>
      </c>
      <c r="Q258" s="325">
        <f t="shared" si="71"/>
        <v>4</v>
      </c>
      <c r="R258" s="325">
        <f t="shared" si="68"/>
        <v>1622</v>
      </c>
      <c r="T258" s="325"/>
      <c r="U258" s="325">
        <f t="shared" si="62"/>
        <v>0</v>
      </c>
      <c r="W258" s="325">
        <f t="shared" si="72"/>
        <v>0</v>
      </c>
      <c r="X258" s="325">
        <f t="shared" si="69"/>
        <v>0</v>
      </c>
      <c r="Z258" s="325"/>
      <c r="AA258" s="325">
        <f t="shared" si="63"/>
        <v>1618</v>
      </c>
      <c r="AC258" s="325">
        <f t="shared" si="73"/>
        <v>4</v>
      </c>
      <c r="AD258" s="325">
        <f t="shared" si="70"/>
        <v>1622</v>
      </c>
      <c r="AF258" s="325"/>
    </row>
    <row r="259" spans="1:32">
      <c r="A259" t="s">
        <v>770</v>
      </c>
      <c r="B259" t="s">
        <v>782</v>
      </c>
      <c r="C259" s="325">
        <v>0</v>
      </c>
      <c r="D259" s="325">
        <v>0</v>
      </c>
      <c r="E259" s="325">
        <v>0</v>
      </c>
      <c r="F259" s="325">
        <v>0</v>
      </c>
      <c r="G259" s="325">
        <v>0</v>
      </c>
      <c r="H259" s="325">
        <v>0</v>
      </c>
      <c r="I259" s="325">
        <v>0</v>
      </c>
      <c r="J259" s="325">
        <v>0</v>
      </c>
      <c r="K259" s="325">
        <v>0</v>
      </c>
      <c r="L259" s="325">
        <v>0</v>
      </c>
      <c r="M259" s="325">
        <v>0</v>
      </c>
      <c r="N259" s="325">
        <v>1951</v>
      </c>
      <c r="O259" s="325">
        <f t="shared" si="64"/>
        <v>1951</v>
      </c>
      <c r="Q259" s="325">
        <f t="shared" ref="Q259:Q267" si="74">-Q187</f>
        <v>10</v>
      </c>
      <c r="R259" s="325">
        <f t="shared" si="68"/>
        <v>1961</v>
      </c>
      <c r="T259" s="325"/>
      <c r="U259" s="325">
        <f t="shared" si="62"/>
        <v>0</v>
      </c>
      <c r="W259" s="325">
        <f t="shared" ref="W259:W267" si="75">-W187</f>
        <v>0</v>
      </c>
      <c r="X259" s="325">
        <f t="shared" si="69"/>
        <v>0</v>
      </c>
      <c r="Z259" s="325"/>
      <c r="AA259" s="325">
        <f t="shared" si="63"/>
        <v>1951</v>
      </c>
      <c r="AC259" s="325">
        <f t="shared" ref="AC259:AC267" si="76">-AC187</f>
        <v>10</v>
      </c>
      <c r="AD259" s="325">
        <f t="shared" si="70"/>
        <v>1961</v>
      </c>
      <c r="AF259" s="325"/>
    </row>
    <row r="260" spans="1:32">
      <c r="B260" t="s">
        <v>781</v>
      </c>
      <c r="C260" s="325">
        <v>0</v>
      </c>
      <c r="D260" s="325">
        <v>0</v>
      </c>
      <c r="E260" s="325">
        <v>0</v>
      </c>
      <c r="F260" s="325">
        <v>0</v>
      </c>
      <c r="G260" s="325">
        <v>0</v>
      </c>
      <c r="H260" s="325">
        <v>0</v>
      </c>
      <c r="I260" s="325">
        <v>0</v>
      </c>
      <c r="J260" s="325">
        <v>0</v>
      </c>
      <c r="K260" s="325">
        <v>0</v>
      </c>
      <c r="L260" s="325">
        <v>0</v>
      </c>
      <c r="M260" s="325">
        <v>0</v>
      </c>
      <c r="N260" s="325">
        <v>0</v>
      </c>
      <c r="O260" s="325">
        <f t="shared" si="64"/>
        <v>0</v>
      </c>
      <c r="Q260" s="325">
        <f t="shared" si="74"/>
        <v>0</v>
      </c>
      <c r="R260" s="325">
        <f t="shared" si="68"/>
        <v>0</v>
      </c>
      <c r="T260" s="325"/>
      <c r="U260" s="325">
        <f t="shared" si="62"/>
        <v>0</v>
      </c>
      <c r="W260" s="325">
        <f t="shared" si="75"/>
        <v>0</v>
      </c>
      <c r="X260" s="325">
        <f t="shared" si="69"/>
        <v>0</v>
      </c>
      <c r="Z260" s="325"/>
      <c r="AA260" s="325">
        <f t="shared" si="63"/>
        <v>0</v>
      </c>
      <c r="AC260" s="325">
        <f t="shared" si="76"/>
        <v>0</v>
      </c>
      <c r="AD260" s="325">
        <f t="shared" si="70"/>
        <v>0</v>
      </c>
      <c r="AF260" s="325"/>
    </row>
    <row r="261" spans="1:32">
      <c r="B261" t="s">
        <v>780</v>
      </c>
      <c r="C261" s="325">
        <v>0</v>
      </c>
      <c r="D261" s="325">
        <v>0</v>
      </c>
      <c r="E261" s="325">
        <v>0</v>
      </c>
      <c r="F261" s="325">
        <v>0</v>
      </c>
      <c r="G261" s="325">
        <v>0</v>
      </c>
      <c r="H261" s="325">
        <v>0</v>
      </c>
      <c r="I261" s="325">
        <v>0</v>
      </c>
      <c r="J261" s="325">
        <v>0</v>
      </c>
      <c r="K261" s="325">
        <v>0</v>
      </c>
      <c r="L261" s="325">
        <v>0</v>
      </c>
      <c r="M261" s="325">
        <v>0</v>
      </c>
      <c r="N261" s="325">
        <v>0</v>
      </c>
      <c r="O261" s="325">
        <f t="shared" si="64"/>
        <v>0</v>
      </c>
      <c r="Q261" s="325">
        <f t="shared" si="74"/>
        <v>0</v>
      </c>
      <c r="R261" s="325">
        <f t="shared" si="68"/>
        <v>0</v>
      </c>
      <c r="T261" s="325"/>
      <c r="U261" s="325">
        <f t="shared" si="62"/>
        <v>0</v>
      </c>
      <c r="W261" s="325">
        <f t="shared" si="75"/>
        <v>0</v>
      </c>
      <c r="X261" s="325">
        <f t="shared" si="69"/>
        <v>0</v>
      </c>
      <c r="Z261" s="325"/>
      <c r="AA261" s="325">
        <f t="shared" si="63"/>
        <v>0</v>
      </c>
      <c r="AC261" s="325">
        <f t="shared" si="76"/>
        <v>0</v>
      </c>
      <c r="AD261" s="325">
        <f t="shared" si="70"/>
        <v>0</v>
      </c>
      <c r="AF261" s="325"/>
    </row>
    <row r="262" spans="1:32">
      <c r="A262" t="s">
        <v>769</v>
      </c>
      <c r="B262" t="s">
        <v>782</v>
      </c>
      <c r="C262" s="325">
        <v>0</v>
      </c>
      <c r="D262" s="325">
        <v>0</v>
      </c>
      <c r="E262" s="325">
        <v>0</v>
      </c>
      <c r="F262" s="325">
        <v>0</v>
      </c>
      <c r="G262" s="325">
        <v>0</v>
      </c>
      <c r="H262" s="325">
        <v>0</v>
      </c>
      <c r="I262" s="325">
        <v>0</v>
      </c>
      <c r="J262" s="325">
        <v>0</v>
      </c>
      <c r="K262" s="325">
        <v>0</v>
      </c>
      <c r="L262" s="325">
        <v>0</v>
      </c>
      <c r="M262" s="325">
        <v>0</v>
      </c>
      <c r="N262" s="325">
        <v>6803</v>
      </c>
      <c r="O262" s="325">
        <f t="shared" si="64"/>
        <v>6803</v>
      </c>
      <c r="Q262" s="325">
        <f>-Q190+Q280</f>
        <v>43</v>
      </c>
      <c r="R262" s="325">
        <f t="shared" si="68"/>
        <v>6846</v>
      </c>
      <c r="T262" s="325"/>
      <c r="U262" s="325">
        <f t="shared" si="62"/>
        <v>0</v>
      </c>
      <c r="W262" s="325">
        <f>-W190+W280</f>
        <v>0</v>
      </c>
      <c r="X262" s="325">
        <f t="shared" si="69"/>
        <v>0</v>
      </c>
      <c r="Z262" s="325"/>
      <c r="AA262" s="325">
        <f t="shared" si="63"/>
        <v>6803</v>
      </c>
      <c r="AC262" s="325">
        <f>-AC190+AC280</f>
        <v>43</v>
      </c>
      <c r="AD262" s="325">
        <f t="shared" si="70"/>
        <v>6846</v>
      </c>
      <c r="AF262" s="325"/>
    </row>
    <row r="263" spans="1:32">
      <c r="B263" t="s">
        <v>781</v>
      </c>
      <c r="C263" s="325">
        <v>0</v>
      </c>
      <c r="D263" s="325">
        <v>0</v>
      </c>
      <c r="E263" s="325">
        <v>0</v>
      </c>
      <c r="F263" s="325">
        <v>0</v>
      </c>
      <c r="G263" s="325">
        <v>0</v>
      </c>
      <c r="H263" s="325">
        <v>0</v>
      </c>
      <c r="I263" s="325">
        <v>0</v>
      </c>
      <c r="J263" s="325">
        <v>0</v>
      </c>
      <c r="K263" s="325">
        <v>0</v>
      </c>
      <c r="L263" s="325">
        <v>0</v>
      </c>
      <c r="M263" s="325">
        <v>0</v>
      </c>
      <c r="N263" s="325">
        <v>578</v>
      </c>
      <c r="O263" s="325">
        <f t="shared" si="64"/>
        <v>578</v>
      </c>
      <c r="Q263" s="325">
        <f t="shared" ref="Q263:Q264" si="77">-Q191+Q281</f>
        <v>3</v>
      </c>
      <c r="R263" s="325">
        <f t="shared" si="68"/>
        <v>581</v>
      </c>
      <c r="T263" s="325"/>
      <c r="U263" s="325">
        <f t="shared" si="62"/>
        <v>0</v>
      </c>
      <c r="W263" s="325">
        <f t="shared" ref="W263:W264" si="78">-W191+W281</f>
        <v>0</v>
      </c>
      <c r="X263" s="325">
        <f t="shared" si="69"/>
        <v>0</v>
      </c>
      <c r="Z263" s="325"/>
      <c r="AA263" s="325">
        <f t="shared" si="63"/>
        <v>578</v>
      </c>
      <c r="AC263" s="325">
        <f t="shared" ref="AC263:AC264" si="79">-AC191+AC281</f>
        <v>3</v>
      </c>
      <c r="AD263" s="325">
        <f t="shared" si="70"/>
        <v>581</v>
      </c>
      <c r="AF263" s="325"/>
    </row>
    <row r="264" spans="1:32">
      <c r="B264" t="s">
        <v>780</v>
      </c>
      <c r="C264" s="325">
        <v>0</v>
      </c>
      <c r="D264" s="325">
        <v>0</v>
      </c>
      <c r="E264" s="325">
        <v>0</v>
      </c>
      <c r="F264" s="325">
        <v>0</v>
      </c>
      <c r="G264" s="325">
        <v>0</v>
      </c>
      <c r="H264" s="325">
        <v>0</v>
      </c>
      <c r="I264" s="325">
        <v>0</v>
      </c>
      <c r="J264" s="325">
        <v>0</v>
      </c>
      <c r="K264" s="325">
        <v>0</v>
      </c>
      <c r="L264" s="325">
        <v>0</v>
      </c>
      <c r="M264" s="325">
        <v>0</v>
      </c>
      <c r="N264" s="325">
        <v>1893</v>
      </c>
      <c r="O264" s="325">
        <f t="shared" si="64"/>
        <v>1893</v>
      </c>
      <c r="Q264" s="325">
        <f t="shared" si="77"/>
        <v>8</v>
      </c>
      <c r="R264" s="325">
        <f t="shared" si="68"/>
        <v>1901</v>
      </c>
      <c r="T264" s="325"/>
      <c r="U264" s="325">
        <f t="shared" si="62"/>
        <v>0</v>
      </c>
      <c r="W264" s="325">
        <f t="shared" si="78"/>
        <v>0</v>
      </c>
      <c r="X264" s="325">
        <f t="shared" si="69"/>
        <v>0</v>
      </c>
      <c r="Z264" s="325"/>
      <c r="AA264" s="325">
        <f t="shared" si="63"/>
        <v>1893</v>
      </c>
      <c r="AC264" s="325">
        <f t="shared" si="79"/>
        <v>8</v>
      </c>
      <c r="AD264" s="325">
        <f t="shared" si="70"/>
        <v>1901</v>
      </c>
      <c r="AF264" s="325"/>
    </row>
    <row r="265" spans="1:32">
      <c r="A265" t="s">
        <v>768</v>
      </c>
      <c r="B265" t="s">
        <v>782</v>
      </c>
      <c r="C265" s="325">
        <v>0</v>
      </c>
      <c r="D265" s="325">
        <v>0</v>
      </c>
      <c r="E265" s="325">
        <v>0</v>
      </c>
      <c r="F265" s="325">
        <v>0</v>
      </c>
      <c r="G265" s="325">
        <v>0</v>
      </c>
      <c r="H265" s="325">
        <v>0</v>
      </c>
      <c r="I265" s="325">
        <v>0</v>
      </c>
      <c r="J265" s="325">
        <v>0</v>
      </c>
      <c r="K265" s="325">
        <v>0</v>
      </c>
      <c r="L265" s="325">
        <v>0</v>
      </c>
      <c r="M265" s="325">
        <v>0</v>
      </c>
      <c r="N265" s="325">
        <v>621</v>
      </c>
      <c r="O265" s="325">
        <f t="shared" si="64"/>
        <v>621</v>
      </c>
      <c r="Q265" s="325">
        <f t="shared" si="74"/>
        <v>1</v>
      </c>
      <c r="R265" s="325">
        <f t="shared" si="68"/>
        <v>622</v>
      </c>
      <c r="T265" s="325"/>
      <c r="U265" s="325">
        <f t="shared" si="62"/>
        <v>0</v>
      </c>
      <c r="W265" s="325">
        <f t="shared" si="75"/>
        <v>0</v>
      </c>
      <c r="X265" s="325">
        <f t="shared" si="69"/>
        <v>0</v>
      </c>
      <c r="Z265" s="325"/>
      <c r="AA265" s="325">
        <f t="shared" si="63"/>
        <v>621</v>
      </c>
      <c r="AC265" s="325">
        <f t="shared" si="76"/>
        <v>1</v>
      </c>
      <c r="AD265" s="325">
        <f t="shared" si="70"/>
        <v>622</v>
      </c>
      <c r="AF265" s="325"/>
    </row>
    <row r="266" spans="1:32">
      <c r="B266" t="s">
        <v>781</v>
      </c>
      <c r="C266" s="325">
        <v>0</v>
      </c>
      <c r="D266" s="325">
        <v>0</v>
      </c>
      <c r="E266" s="325">
        <v>0</v>
      </c>
      <c r="F266" s="325">
        <v>0</v>
      </c>
      <c r="G266" s="325">
        <v>0</v>
      </c>
      <c r="H266" s="325">
        <v>0</v>
      </c>
      <c r="I266" s="325">
        <v>0</v>
      </c>
      <c r="J266" s="325">
        <v>0</v>
      </c>
      <c r="K266" s="325">
        <v>0</v>
      </c>
      <c r="L266" s="325">
        <v>0</v>
      </c>
      <c r="M266" s="325">
        <v>0</v>
      </c>
      <c r="N266" s="325">
        <v>45</v>
      </c>
      <c r="O266" s="325">
        <f t="shared" si="64"/>
        <v>45</v>
      </c>
      <c r="Q266" s="325">
        <f t="shared" si="74"/>
        <v>0</v>
      </c>
      <c r="R266" s="325">
        <f t="shared" si="68"/>
        <v>45</v>
      </c>
      <c r="T266" s="325"/>
      <c r="U266" s="325">
        <f t="shared" si="62"/>
        <v>0</v>
      </c>
      <c r="W266" s="325">
        <f t="shared" si="75"/>
        <v>0</v>
      </c>
      <c r="X266" s="325">
        <f t="shared" si="69"/>
        <v>0</v>
      </c>
      <c r="Z266" s="325"/>
      <c r="AA266" s="325">
        <f t="shared" si="63"/>
        <v>45</v>
      </c>
      <c r="AC266" s="325">
        <f t="shared" si="76"/>
        <v>0</v>
      </c>
      <c r="AD266" s="325">
        <f t="shared" si="70"/>
        <v>45</v>
      </c>
      <c r="AF266" s="325"/>
    </row>
    <row r="267" spans="1:32">
      <c r="B267" t="s">
        <v>780</v>
      </c>
      <c r="C267" s="325">
        <v>0</v>
      </c>
      <c r="D267" s="325">
        <v>0</v>
      </c>
      <c r="E267" s="325">
        <v>0</v>
      </c>
      <c r="F267" s="325">
        <v>0</v>
      </c>
      <c r="G267" s="325">
        <v>0</v>
      </c>
      <c r="H267" s="325">
        <v>0</v>
      </c>
      <c r="I267" s="325">
        <v>0</v>
      </c>
      <c r="J267" s="325">
        <v>0</v>
      </c>
      <c r="K267" s="325">
        <v>0</v>
      </c>
      <c r="L267" s="325">
        <v>0</v>
      </c>
      <c r="M267" s="325">
        <v>0</v>
      </c>
      <c r="N267" s="325">
        <v>0</v>
      </c>
      <c r="O267" s="325">
        <f t="shared" si="64"/>
        <v>0</v>
      </c>
      <c r="Q267" s="325">
        <f t="shared" si="74"/>
        <v>0</v>
      </c>
      <c r="R267" s="325">
        <f t="shared" si="68"/>
        <v>0</v>
      </c>
      <c r="T267" s="325"/>
      <c r="U267" s="325">
        <f t="shared" ref="U267:U285" si="80">+G267</f>
        <v>0</v>
      </c>
      <c r="W267" s="325">
        <f t="shared" si="75"/>
        <v>0</v>
      </c>
      <c r="X267" s="325">
        <f t="shared" si="69"/>
        <v>0</v>
      </c>
      <c r="Z267" s="325"/>
      <c r="AA267" s="325">
        <f t="shared" ref="AA267:AA285" si="81">+N267</f>
        <v>0</v>
      </c>
      <c r="AC267" s="325">
        <f t="shared" si="76"/>
        <v>0</v>
      </c>
      <c r="AD267" s="325">
        <f t="shared" si="70"/>
        <v>0</v>
      </c>
      <c r="AF267" s="325"/>
    </row>
    <row r="268" spans="1:32">
      <c r="A268" t="s">
        <v>767</v>
      </c>
      <c r="B268" t="s">
        <v>782</v>
      </c>
      <c r="C268" s="325">
        <v>0</v>
      </c>
      <c r="D268" s="325">
        <v>0</v>
      </c>
      <c r="E268" s="325">
        <v>0</v>
      </c>
      <c r="F268" s="325">
        <v>0</v>
      </c>
      <c r="G268" s="325">
        <v>0</v>
      </c>
      <c r="H268" s="325">
        <v>0</v>
      </c>
      <c r="I268" s="325">
        <v>0</v>
      </c>
      <c r="J268" s="325">
        <v>0</v>
      </c>
      <c r="K268" s="325">
        <v>0</v>
      </c>
      <c r="L268" s="325">
        <v>0</v>
      </c>
      <c r="M268" s="325">
        <v>0</v>
      </c>
      <c r="N268" s="325">
        <v>1826</v>
      </c>
      <c r="O268" s="325">
        <f t="shared" si="64"/>
        <v>1826</v>
      </c>
      <c r="Q268" s="325">
        <f>-Q199</f>
        <v>12</v>
      </c>
      <c r="R268" s="325">
        <f t="shared" si="68"/>
        <v>1838</v>
      </c>
      <c r="T268" s="325"/>
      <c r="U268" s="325">
        <f t="shared" si="80"/>
        <v>0</v>
      </c>
      <c r="W268" s="325">
        <f>-W199</f>
        <v>0</v>
      </c>
      <c r="X268" s="325">
        <f t="shared" si="69"/>
        <v>0</v>
      </c>
      <c r="Z268" s="325"/>
      <c r="AA268" s="325">
        <f t="shared" si="81"/>
        <v>1826</v>
      </c>
      <c r="AC268" s="325">
        <f>-AC199</f>
        <v>12</v>
      </c>
      <c r="AD268" s="325">
        <f t="shared" si="70"/>
        <v>1838</v>
      </c>
      <c r="AF268" s="325"/>
    </row>
    <row r="269" spans="1:32">
      <c r="B269" t="s">
        <v>781</v>
      </c>
      <c r="C269" s="325">
        <v>0</v>
      </c>
      <c r="D269" s="325">
        <v>0</v>
      </c>
      <c r="E269" s="325">
        <v>0</v>
      </c>
      <c r="F269" s="325">
        <v>0</v>
      </c>
      <c r="G269" s="325">
        <v>0</v>
      </c>
      <c r="H269" s="325">
        <v>0</v>
      </c>
      <c r="I269" s="325">
        <v>0</v>
      </c>
      <c r="J269" s="325">
        <v>0</v>
      </c>
      <c r="K269" s="325">
        <v>0</v>
      </c>
      <c r="L269" s="325">
        <v>0</v>
      </c>
      <c r="M269" s="325">
        <v>0</v>
      </c>
      <c r="N269" s="325">
        <v>656</v>
      </c>
      <c r="O269" s="325">
        <f t="shared" si="64"/>
        <v>656</v>
      </c>
      <c r="Q269" s="325">
        <f t="shared" ref="Q269:Q276" si="82">-Q200</f>
        <v>0</v>
      </c>
      <c r="R269" s="325">
        <f t="shared" si="68"/>
        <v>656</v>
      </c>
      <c r="T269" s="325"/>
      <c r="U269" s="325">
        <f t="shared" si="80"/>
        <v>0</v>
      </c>
      <c r="W269" s="325">
        <f t="shared" ref="W269:W276" si="83">-W200</f>
        <v>0</v>
      </c>
      <c r="X269" s="325">
        <f t="shared" si="69"/>
        <v>0</v>
      </c>
      <c r="Z269" s="325"/>
      <c r="AA269" s="325">
        <f t="shared" si="81"/>
        <v>656</v>
      </c>
      <c r="AC269" s="325">
        <f t="shared" ref="AC269:AC276" si="84">-AC200</f>
        <v>0</v>
      </c>
      <c r="AD269" s="325">
        <f t="shared" si="70"/>
        <v>656</v>
      </c>
      <c r="AF269" s="325"/>
    </row>
    <row r="270" spans="1:32">
      <c r="B270" t="s">
        <v>780</v>
      </c>
      <c r="C270" s="325">
        <v>0</v>
      </c>
      <c r="D270" s="325">
        <v>0</v>
      </c>
      <c r="E270" s="325">
        <v>0</v>
      </c>
      <c r="F270" s="325">
        <v>0</v>
      </c>
      <c r="G270" s="325">
        <v>0</v>
      </c>
      <c r="H270" s="325">
        <v>0</v>
      </c>
      <c r="I270" s="325">
        <v>0</v>
      </c>
      <c r="J270" s="325">
        <v>0</v>
      </c>
      <c r="K270" s="325">
        <v>0</v>
      </c>
      <c r="L270" s="325">
        <v>0</v>
      </c>
      <c r="M270" s="325">
        <v>0</v>
      </c>
      <c r="N270" s="325">
        <v>709</v>
      </c>
      <c r="O270" s="325">
        <f t="shared" si="64"/>
        <v>709</v>
      </c>
      <c r="Q270" s="325">
        <f t="shared" si="82"/>
        <v>1</v>
      </c>
      <c r="R270" s="325">
        <f t="shared" si="68"/>
        <v>710</v>
      </c>
      <c r="T270" s="325"/>
      <c r="U270" s="325">
        <f t="shared" si="80"/>
        <v>0</v>
      </c>
      <c r="W270" s="325">
        <f t="shared" si="83"/>
        <v>0</v>
      </c>
      <c r="X270" s="325">
        <f t="shared" si="69"/>
        <v>0</v>
      </c>
      <c r="Z270" s="325"/>
      <c r="AA270" s="325">
        <f t="shared" si="81"/>
        <v>709</v>
      </c>
      <c r="AC270" s="325">
        <f t="shared" si="84"/>
        <v>1</v>
      </c>
      <c r="AD270" s="325">
        <f t="shared" si="70"/>
        <v>710</v>
      </c>
      <c r="AF270" s="325"/>
    </row>
    <row r="271" spans="1:32">
      <c r="A271" t="s">
        <v>766</v>
      </c>
      <c r="B271" t="s">
        <v>782</v>
      </c>
      <c r="C271" s="325">
        <v>0</v>
      </c>
      <c r="D271" s="325">
        <v>0</v>
      </c>
      <c r="E271" s="325">
        <v>0</v>
      </c>
      <c r="F271" s="325">
        <v>0</v>
      </c>
      <c r="G271" s="325">
        <v>0</v>
      </c>
      <c r="H271" s="325">
        <v>0</v>
      </c>
      <c r="I271" s="325">
        <v>0</v>
      </c>
      <c r="J271" s="325">
        <v>0</v>
      </c>
      <c r="K271" s="325">
        <v>0</v>
      </c>
      <c r="L271" s="325">
        <v>0</v>
      </c>
      <c r="M271" s="325">
        <v>0</v>
      </c>
      <c r="N271" s="325">
        <v>2110</v>
      </c>
      <c r="O271" s="325">
        <f t="shared" si="64"/>
        <v>2110</v>
      </c>
      <c r="Q271" s="325">
        <f t="shared" si="82"/>
        <v>7</v>
      </c>
      <c r="R271" s="325">
        <f t="shared" si="68"/>
        <v>2117</v>
      </c>
      <c r="T271" s="325"/>
      <c r="U271" s="325">
        <f t="shared" si="80"/>
        <v>0</v>
      </c>
      <c r="W271" s="325">
        <f t="shared" si="83"/>
        <v>0</v>
      </c>
      <c r="X271" s="325">
        <f t="shared" si="69"/>
        <v>0</v>
      </c>
      <c r="Z271" s="325"/>
      <c r="AA271" s="325">
        <f t="shared" si="81"/>
        <v>2110</v>
      </c>
      <c r="AC271" s="325">
        <f t="shared" si="84"/>
        <v>7</v>
      </c>
      <c r="AD271" s="325">
        <f t="shared" si="70"/>
        <v>2117</v>
      </c>
      <c r="AF271" s="325"/>
    </row>
    <row r="272" spans="1:32">
      <c r="B272" t="s">
        <v>781</v>
      </c>
      <c r="C272" s="325">
        <v>0</v>
      </c>
      <c r="D272" s="325">
        <v>0</v>
      </c>
      <c r="E272" s="325">
        <v>0</v>
      </c>
      <c r="F272" s="325">
        <v>0</v>
      </c>
      <c r="G272" s="325">
        <v>0</v>
      </c>
      <c r="H272" s="325">
        <v>0</v>
      </c>
      <c r="I272" s="325">
        <v>0</v>
      </c>
      <c r="J272" s="325">
        <v>0</v>
      </c>
      <c r="K272" s="325">
        <v>0</v>
      </c>
      <c r="L272" s="325">
        <v>0</v>
      </c>
      <c r="M272" s="325">
        <v>0</v>
      </c>
      <c r="N272" s="325">
        <v>174</v>
      </c>
      <c r="O272" s="325">
        <f t="shared" ref="O272:O285" si="85">SUM(C272:N272)</f>
        <v>174</v>
      </c>
      <c r="Q272" s="325">
        <f t="shared" si="82"/>
        <v>1</v>
      </c>
      <c r="R272" s="325">
        <f t="shared" si="68"/>
        <v>175</v>
      </c>
      <c r="T272" s="325"/>
      <c r="U272" s="325">
        <f t="shared" si="80"/>
        <v>0</v>
      </c>
      <c r="W272" s="325">
        <f t="shared" si="83"/>
        <v>0</v>
      </c>
      <c r="X272" s="325">
        <f t="shared" si="69"/>
        <v>0</v>
      </c>
      <c r="Z272" s="325"/>
      <c r="AA272" s="325">
        <f t="shared" si="81"/>
        <v>174</v>
      </c>
      <c r="AC272" s="325">
        <f t="shared" si="84"/>
        <v>1</v>
      </c>
      <c r="AD272" s="325">
        <f t="shared" si="70"/>
        <v>175</v>
      </c>
      <c r="AF272" s="325"/>
    </row>
    <row r="273" spans="1:32">
      <c r="B273" t="s">
        <v>780</v>
      </c>
      <c r="C273" s="325">
        <v>0</v>
      </c>
      <c r="D273" s="325">
        <v>0</v>
      </c>
      <c r="E273" s="325">
        <v>0</v>
      </c>
      <c r="F273" s="325">
        <v>0</v>
      </c>
      <c r="G273" s="325">
        <v>0</v>
      </c>
      <c r="H273" s="325">
        <v>0</v>
      </c>
      <c r="I273" s="325">
        <v>0</v>
      </c>
      <c r="J273" s="325">
        <v>0</v>
      </c>
      <c r="K273" s="325">
        <v>0</v>
      </c>
      <c r="L273" s="325">
        <v>0</v>
      </c>
      <c r="M273" s="325">
        <v>0</v>
      </c>
      <c r="N273" s="325">
        <v>2664</v>
      </c>
      <c r="O273" s="325">
        <f t="shared" si="85"/>
        <v>2664</v>
      </c>
      <c r="Q273" s="325">
        <f t="shared" si="82"/>
        <v>2</v>
      </c>
      <c r="R273" s="325">
        <f t="shared" si="68"/>
        <v>2666</v>
      </c>
      <c r="T273" s="325"/>
      <c r="U273" s="325">
        <f t="shared" si="80"/>
        <v>0</v>
      </c>
      <c r="W273" s="325">
        <f t="shared" si="83"/>
        <v>0</v>
      </c>
      <c r="X273" s="325">
        <f t="shared" si="69"/>
        <v>0</v>
      </c>
      <c r="Z273" s="325"/>
      <c r="AA273" s="325">
        <f t="shared" si="81"/>
        <v>2664</v>
      </c>
      <c r="AC273" s="325">
        <f t="shared" si="84"/>
        <v>2</v>
      </c>
      <c r="AD273" s="325">
        <f t="shared" si="70"/>
        <v>2666</v>
      </c>
      <c r="AF273" s="325"/>
    </row>
    <row r="274" spans="1:32">
      <c r="A274" t="s">
        <v>765</v>
      </c>
      <c r="B274" t="s">
        <v>782</v>
      </c>
      <c r="C274" s="325">
        <v>0</v>
      </c>
      <c r="D274" s="325">
        <v>0</v>
      </c>
      <c r="E274" s="325">
        <v>0</v>
      </c>
      <c r="F274" s="325">
        <v>0</v>
      </c>
      <c r="G274" s="325">
        <v>0</v>
      </c>
      <c r="H274" s="325">
        <v>0</v>
      </c>
      <c r="I274" s="325">
        <v>0</v>
      </c>
      <c r="J274" s="325">
        <v>0</v>
      </c>
      <c r="K274" s="325">
        <v>0</v>
      </c>
      <c r="L274" s="325">
        <v>0</v>
      </c>
      <c r="M274" s="325">
        <v>0</v>
      </c>
      <c r="N274" s="325">
        <v>0</v>
      </c>
      <c r="O274" s="325">
        <f t="shared" si="85"/>
        <v>0</v>
      </c>
      <c r="Q274" s="325">
        <f t="shared" si="82"/>
        <v>0</v>
      </c>
      <c r="R274" s="325">
        <f t="shared" si="68"/>
        <v>0</v>
      </c>
      <c r="T274" s="325"/>
      <c r="U274" s="325">
        <f t="shared" si="80"/>
        <v>0</v>
      </c>
      <c r="W274" s="325">
        <f t="shared" si="83"/>
        <v>0</v>
      </c>
      <c r="X274" s="325">
        <f t="shared" si="69"/>
        <v>0</v>
      </c>
      <c r="Z274" s="325"/>
      <c r="AA274" s="325">
        <f t="shared" si="81"/>
        <v>0</v>
      </c>
      <c r="AC274" s="325">
        <f t="shared" si="84"/>
        <v>0</v>
      </c>
      <c r="AD274" s="325">
        <f t="shared" si="70"/>
        <v>0</v>
      </c>
      <c r="AF274" s="325"/>
    </row>
    <row r="275" spans="1:32">
      <c r="B275" t="s">
        <v>781</v>
      </c>
      <c r="C275" s="325">
        <v>0</v>
      </c>
      <c r="D275" s="325">
        <v>0</v>
      </c>
      <c r="E275" s="325">
        <v>0</v>
      </c>
      <c r="F275" s="325">
        <v>0</v>
      </c>
      <c r="G275" s="325">
        <v>0</v>
      </c>
      <c r="H275" s="325">
        <v>0</v>
      </c>
      <c r="I275" s="325">
        <v>0</v>
      </c>
      <c r="J275" s="325">
        <v>0</v>
      </c>
      <c r="K275" s="325">
        <v>0</v>
      </c>
      <c r="L275" s="325">
        <v>0</v>
      </c>
      <c r="M275" s="325">
        <v>0</v>
      </c>
      <c r="N275" s="325">
        <v>0</v>
      </c>
      <c r="O275" s="325">
        <f t="shared" si="85"/>
        <v>0</v>
      </c>
      <c r="Q275" s="325">
        <f t="shared" si="82"/>
        <v>0</v>
      </c>
      <c r="R275" s="325">
        <f t="shared" si="68"/>
        <v>0</v>
      </c>
      <c r="T275" s="325"/>
      <c r="U275" s="325">
        <f t="shared" si="80"/>
        <v>0</v>
      </c>
      <c r="W275" s="325">
        <f t="shared" si="83"/>
        <v>0</v>
      </c>
      <c r="X275" s="325">
        <f t="shared" si="69"/>
        <v>0</v>
      </c>
      <c r="Z275" s="325"/>
      <c r="AA275" s="325">
        <f t="shared" si="81"/>
        <v>0</v>
      </c>
      <c r="AC275" s="325">
        <f t="shared" si="84"/>
        <v>0</v>
      </c>
      <c r="AD275" s="325">
        <f t="shared" si="70"/>
        <v>0</v>
      </c>
      <c r="AF275" s="325"/>
    </row>
    <row r="276" spans="1:32">
      <c r="B276" t="s">
        <v>780</v>
      </c>
      <c r="C276" s="325">
        <v>0</v>
      </c>
      <c r="D276" s="325">
        <v>0</v>
      </c>
      <c r="E276" s="325">
        <v>0</v>
      </c>
      <c r="F276" s="325">
        <v>0</v>
      </c>
      <c r="G276" s="325">
        <v>0</v>
      </c>
      <c r="H276" s="325">
        <v>0</v>
      </c>
      <c r="I276" s="325">
        <v>0</v>
      </c>
      <c r="J276" s="325">
        <v>0</v>
      </c>
      <c r="K276" s="325">
        <v>0</v>
      </c>
      <c r="L276" s="325">
        <v>0</v>
      </c>
      <c r="M276" s="325">
        <v>0</v>
      </c>
      <c r="N276" s="325">
        <v>0</v>
      </c>
      <c r="O276" s="325">
        <f t="shared" si="85"/>
        <v>0</v>
      </c>
      <c r="Q276" s="325">
        <f t="shared" si="82"/>
        <v>0</v>
      </c>
      <c r="R276" s="325">
        <f t="shared" si="68"/>
        <v>0</v>
      </c>
      <c r="T276" s="325"/>
      <c r="U276" s="325">
        <f t="shared" si="80"/>
        <v>0</v>
      </c>
      <c r="W276" s="325">
        <f t="shared" si="83"/>
        <v>0</v>
      </c>
      <c r="X276" s="325">
        <f t="shared" si="69"/>
        <v>0</v>
      </c>
      <c r="Z276" s="325"/>
      <c r="AA276" s="325">
        <f t="shared" si="81"/>
        <v>0</v>
      </c>
      <c r="AC276" s="325">
        <f t="shared" si="84"/>
        <v>0</v>
      </c>
      <c r="AD276" s="325">
        <f t="shared" si="70"/>
        <v>0</v>
      </c>
      <c r="AF276" s="325"/>
    </row>
    <row r="277" spans="1:32">
      <c r="A277" t="s">
        <v>785</v>
      </c>
      <c r="B277" t="s">
        <v>782</v>
      </c>
      <c r="C277" s="325">
        <v>0</v>
      </c>
      <c r="D277" s="325">
        <v>0</v>
      </c>
      <c r="E277" s="325">
        <v>0</v>
      </c>
      <c r="F277" s="325">
        <v>0</v>
      </c>
      <c r="G277" s="325">
        <v>0</v>
      </c>
      <c r="H277" s="325">
        <v>0</v>
      </c>
      <c r="I277" s="325">
        <v>0</v>
      </c>
      <c r="J277" s="325">
        <v>0</v>
      </c>
      <c r="K277" s="325">
        <v>0</v>
      </c>
      <c r="L277" s="325">
        <v>0</v>
      </c>
      <c r="M277" s="325">
        <v>0</v>
      </c>
      <c r="N277" s="325">
        <v>0</v>
      </c>
      <c r="O277" s="325">
        <f t="shared" si="85"/>
        <v>0</v>
      </c>
      <c r="P277">
        <v>2</v>
      </c>
      <c r="Q277" s="325">
        <f t="shared" ref="Q277:Q282" si="86">+O277/P277</f>
        <v>0</v>
      </c>
      <c r="T277" s="325"/>
      <c r="U277" s="325">
        <f t="shared" si="80"/>
        <v>0</v>
      </c>
      <c r="V277">
        <v>2</v>
      </c>
      <c r="W277" s="325">
        <f t="shared" ref="W277:W282" si="87">+U277/V277</f>
        <v>0</v>
      </c>
      <c r="Z277" s="325"/>
      <c r="AA277" s="325">
        <f t="shared" si="81"/>
        <v>0</v>
      </c>
      <c r="AB277">
        <v>2</v>
      </c>
      <c r="AC277" s="325">
        <f t="shared" ref="AC277:AC282" si="88">+AA277/AB277</f>
        <v>0</v>
      </c>
      <c r="AF277" s="325"/>
    </row>
    <row r="278" spans="1:32">
      <c r="B278" t="s">
        <v>781</v>
      </c>
      <c r="C278" s="325">
        <v>0</v>
      </c>
      <c r="D278" s="325">
        <v>0</v>
      </c>
      <c r="E278" s="325">
        <v>0</v>
      </c>
      <c r="F278" s="325">
        <v>0</v>
      </c>
      <c r="G278" s="325">
        <v>0</v>
      </c>
      <c r="H278" s="325">
        <v>0</v>
      </c>
      <c r="I278" s="325">
        <v>0</v>
      </c>
      <c r="J278" s="325">
        <v>0</v>
      </c>
      <c r="K278" s="325">
        <v>0</v>
      </c>
      <c r="L278" s="325">
        <v>0</v>
      </c>
      <c r="M278" s="325">
        <v>0</v>
      </c>
      <c r="N278" s="325">
        <v>0</v>
      </c>
      <c r="O278" s="325">
        <f t="shared" si="85"/>
        <v>0</v>
      </c>
      <c r="P278">
        <v>2</v>
      </c>
      <c r="Q278" s="325">
        <f t="shared" si="86"/>
        <v>0</v>
      </c>
      <c r="T278" s="325"/>
      <c r="U278" s="325">
        <f t="shared" si="80"/>
        <v>0</v>
      </c>
      <c r="V278">
        <v>2</v>
      </c>
      <c r="W278" s="325">
        <f t="shared" si="87"/>
        <v>0</v>
      </c>
      <c r="Z278" s="325"/>
      <c r="AA278" s="325">
        <f t="shared" si="81"/>
        <v>0</v>
      </c>
      <c r="AB278">
        <v>2</v>
      </c>
      <c r="AC278" s="325">
        <f t="shared" si="88"/>
        <v>0</v>
      </c>
      <c r="AF278" s="325"/>
    </row>
    <row r="279" spans="1:32">
      <c r="B279" t="s">
        <v>780</v>
      </c>
      <c r="C279" s="325">
        <v>0</v>
      </c>
      <c r="D279" s="325">
        <v>0</v>
      </c>
      <c r="E279" s="325">
        <v>0</v>
      </c>
      <c r="F279" s="325">
        <v>0</v>
      </c>
      <c r="G279" s="325">
        <v>0</v>
      </c>
      <c r="H279" s="325">
        <v>0</v>
      </c>
      <c r="I279" s="325">
        <v>0</v>
      </c>
      <c r="J279" s="325">
        <v>0</v>
      </c>
      <c r="K279" s="325">
        <v>0</v>
      </c>
      <c r="L279" s="325">
        <v>0</v>
      </c>
      <c r="M279" s="325">
        <v>0</v>
      </c>
      <c r="N279" s="325">
        <v>0</v>
      </c>
      <c r="O279" s="325">
        <f t="shared" si="85"/>
        <v>0</v>
      </c>
      <c r="P279">
        <v>2</v>
      </c>
      <c r="Q279" s="325">
        <f t="shared" si="86"/>
        <v>0</v>
      </c>
      <c r="T279" s="325"/>
      <c r="U279" s="325">
        <f t="shared" si="80"/>
        <v>0</v>
      </c>
      <c r="V279">
        <v>2</v>
      </c>
      <c r="W279" s="325">
        <f t="shared" si="87"/>
        <v>0</v>
      </c>
      <c r="Z279" s="325"/>
      <c r="AA279" s="325">
        <f t="shared" si="81"/>
        <v>0</v>
      </c>
      <c r="AB279">
        <v>2</v>
      </c>
      <c r="AC279" s="325">
        <f t="shared" si="88"/>
        <v>0</v>
      </c>
      <c r="AF279" s="325"/>
    </row>
    <row r="280" spans="1:32">
      <c r="A280" t="s">
        <v>784</v>
      </c>
      <c r="B280" t="s">
        <v>782</v>
      </c>
      <c r="C280" s="325">
        <v>0</v>
      </c>
      <c r="D280" s="325">
        <v>0</v>
      </c>
      <c r="E280" s="325">
        <v>0</v>
      </c>
      <c r="F280" s="325">
        <v>0</v>
      </c>
      <c r="G280" s="325">
        <v>0</v>
      </c>
      <c r="H280" s="325">
        <v>0</v>
      </c>
      <c r="I280" s="325">
        <v>0</v>
      </c>
      <c r="J280" s="325">
        <v>0</v>
      </c>
      <c r="K280" s="325">
        <v>0</v>
      </c>
      <c r="L280" s="325">
        <v>0</v>
      </c>
      <c r="M280" s="325">
        <v>0</v>
      </c>
      <c r="N280" s="325">
        <v>0</v>
      </c>
      <c r="O280" s="325">
        <f t="shared" si="85"/>
        <v>0</v>
      </c>
      <c r="P280">
        <v>2</v>
      </c>
      <c r="Q280" s="325">
        <f t="shared" si="86"/>
        <v>0</v>
      </c>
      <c r="T280" s="325"/>
      <c r="U280" s="325">
        <f t="shared" si="80"/>
        <v>0</v>
      </c>
      <c r="V280">
        <v>2</v>
      </c>
      <c r="W280" s="325">
        <f t="shared" si="87"/>
        <v>0</v>
      </c>
      <c r="Z280" s="325"/>
      <c r="AA280" s="325">
        <f t="shared" si="81"/>
        <v>0</v>
      </c>
      <c r="AB280">
        <v>2</v>
      </c>
      <c r="AC280" s="325">
        <f t="shared" si="88"/>
        <v>0</v>
      </c>
      <c r="AF280" s="325"/>
    </row>
    <row r="281" spans="1:32">
      <c r="B281" t="s">
        <v>781</v>
      </c>
      <c r="C281" s="325">
        <v>0</v>
      </c>
      <c r="D281" s="325">
        <v>0</v>
      </c>
      <c r="E281" s="325">
        <v>0</v>
      </c>
      <c r="F281" s="325">
        <v>0</v>
      </c>
      <c r="G281" s="325">
        <v>0</v>
      </c>
      <c r="H281" s="325">
        <v>0</v>
      </c>
      <c r="I281" s="325">
        <v>0</v>
      </c>
      <c r="J281" s="325">
        <v>0</v>
      </c>
      <c r="K281" s="325">
        <v>0</v>
      </c>
      <c r="L281" s="325">
        <v>0</v>
      </c>
      <c r="M281" s="325">
        <v>0</v>
      </c>
      <c r="N281" s="325">
        <v>0</v>
      </c>
      <c r="O281" s="325">
        <f t="shared" si="85"/>
        <v>0</v>
      </c>
      <c r="P281">
        <v>2</v>
      </c>
      <c r="Q281" s="325">
        <f t="shared" si="86"/>
        <v>0</v>
      </c>
      <c r="T281" s="325"/>
      <c r="U281" s="325">
        <f t="shared" si="80"/>
        <v>0</v>
      </c>
      <c r="V281">
        <v>2</v>
      </c>
      <c r="W281" s="325">
        <f t="shared" si="87"/>
        <v>0</v>
      </c>
      <c r="Z281" s="325"/>
      <c r="AA281" s="325">
        <f t="shared" si="81"/>
        <v>0</v>
      </c>
      <c r="AB281">
        <v>2</v>
      </c>
      <c r="AC281" s="325">
        <f t="shared" si="88"/>
        <v>0</v>
      </c>
      <c r="AF281" s="325"/>
    </row>
    <row r="282" spans="1:32">
      <c r="B282" t="s">
        <v>780</v>
      </c>
      <c r="C282" s="325">
        <v>0</v>
      </c>
      <c r="D282" s="325">
        <v>0</v>
      </c>
      <c r="E282" s="325">
        <v>0</v>
      </c>
      <c r="F282" s="325">
        <v>0</v>
      </c>
      <c r="G282" s="325">
        <v>0</v>
      </c>
      <c r="H282" s="325">
        <v>0</v>
      </c>
      <c r="I282" s="325">
        <v>0</v>
      </c>
      <c r="J282" s="325">
        <v>0</v>
      </c>
      <c r="K282" s="325">
        <v>0</v>
      </c>
      <c r="L282" s="325">
        <v>0</v>
      </c>
      <c r="M282" s="325">
        <v>0</v>
      </c>
      <c r="N282" s="325">
        <v>0</v>
      </c>
      <c r="O282" s="325">
        <f t="shared" si="85"/>
        <v>0</v>
      </c>
      <c r="P282">
        <v>2</v>
      </c>
      <c r="Q282" s="325">
        <f t="shared" si="86"/>
        <v>0</v>
      </c>
      <c r="T282" s="325"/>
      <c r="U282" s="325">
        <f t="shared" si="80"/>
        <v>0</v>
      </c>
      <c r="V282">
        <v>2</v>
      </c>
      <c r="W282" s="325">
        <f t="shared" si="87"/>
        <v>0</v>
      </c>
      <c r="Z282" s="325"/>
      <c r="AA282" s="325">
        <f t="shared" si="81"/>
        <v>0</v>
      </c>
      <c r="AB282">
        <v>2</v>
      </c>
      <c r="AC282" s="325">
        <f t="shared" si="88"/>
        <v>0</v>
      </c>
      <c r="AF282" s="325"/>
    </row>
    <row r="283" spans="1:32">
      <c r="A283" t="s">
        <v>783</v>
      </c>
      <c r="B283" t="s">
        <v>782</v>
      </c>
      <c r="C283" s="325">
        <v>0</v>
      </c>
      <c r="D283" s="325">
        <v>0</v>
      </c>
      <c r="E283" s="325">
        <v>0</v>
      </c>
      <c r="F283" s="325">
        <v>0</v>
      </c>
      <c r="G283" s="325">
        <v>0</v>
      </c>
      <c r="H283" s="325">
        <v>0</v>
      </c>
      <c r="I283" s="325">
        <v>0</v>
      </c>
      <c r="J283" s="325">
        <v>0</v>
      </c>
      <c r="K283" s="325">
        <v>0</v>
      </c>
      <c r="L283" s="325">
        <v>0</v>
      </c>
      <c r="M283" s="325">
        <v>0</v>
      </c>
      <c r="N283" s="325">
        <v>0</v>
      </c>
      <c r="O283" s="325">
        <f t="shared" si="85"/>
        <v>0</v>
      </c>
      <c r="R283" s="325">
        <f>+O283+Q283</f>
        <v>0</v>
      </c>
      <c r="T283" s="325"/>
      <c r="U283" s="325">
        <f t="shared" si="80"/>
        <v>0</v>
      </c>
      <c r="X283" s="325">
        <f>+U283+W283</f>
        <v>0</v>
      </c>
      <c r="Z283" s="325"/>
      <c r="AA283" s="325">
        <f t="shared" si="81"/>
        <v>0</v>
      </c>
      <c r="AD283" s="325">
        <f>+AA283+AC283</f>
        <v>0</v>
      </c>
      <c r="AF283" s="325"/>
    </row>
    <row r="284" spans="1:32">
      <c r="B284" t="s">
        <v>781</v>
      </c>
      <c r="C284" s="325">
        <v>0</v>
      </c>
      <c r="D284" s="325">
        <v>0</v>
      </c>
      <c r="E284" s="325">
        <v>0</v>
      </c>
      <c r="F284" s="325">
        <v>0</v>
      </c>
      <c r="G284" s="325">
        <v>0</v>
      </c>
      <c r="H284" s="325">
        <v>0</v>
      </c>
      <c r="I284" s="325">
        <v>0</v>
      </c>
      <c r="J284" s="325">
        <v>0</v>
      </c>
      <c r="K284" s="325">
        <v>0</v>
      </c>
      <c r="L284" s="325">
        <v>0</v>
      </c>
      <c r="M284" s="325">
        <v>0</v>
      </c>
      <c r="N284" s="325">
        <v>0</v>
      </c>
      <c r="O284" s="325">
        <f t="shared" si="85"/>
        <v>0</v>
      </c>
      <c r="R284" s="325">
        <f>+O284+Q284</f>
        <v>0</v>
      </c>
      <c r="T284" s="325"/>
      <c r="U284" s="325">
        <f t="shared" si="80"/>
        <v>0</v>
      </c>
      <c r="X284" s="325">
        <f>+U284+W284</f>
        <v>0</v>
      </c>
      <c r="Z284" s="325"/>
      <c r="AA284" s="325">
        <f t="shared" si="81"/>
        <v>0</v>
      </c>
      <c r="AD284" s="325">
        <f>+AA284+AC284</f>
        <v>0</v>
      </c>
      <c r="AF284" s="325"/>
    </row>
    <row r="285" spans="1:32">
      <c r="B285" t="s">
        <v>780</v>
      </c>
      <c r="C285" s="325">
        <v>0</v>
      </c>
      <c r="D285" s="325">
        <v>0</v>
      </c>
      <c r="E285" s="325">
        <v>0</v>
      </c>
      <c r="F285" s="325">
        <v>0</v>
      </c>
      <c r="G285" s="325">
        <v>0</v>
      </c>
      <c r="H285" s="325">
        <v>0</v>
      </c>
      <c r="I285" s="325">
        <v>0</v>
      </c>
      <c r="J285" s="325">
        <v>0</v>
      </c>
      <c r="K285" s="325">
        <v>0</v>
      </c>
      <c r="L285" s="325">
        <v>0</v>
      </c>
      <c r="M285" s="325">
        <v>0</v>
      </c>
      <c r="N285" s="325">
        <v>0</v>
      </c>
      <c r="O285" s="325">
        <f t="shared" si="85"/>
        <v>0</v>
      </c>
      <c r="R285" s="325">
        <f>+O285+Q285</f>
        <v>0</v>
      </c>
      <c r="T285" s="325"/>
      <c r="U285" s="325">
        <f t="shared" si="80"/>
        <v>0</v>
      </c>
      <c r="X285" s="325">
        <f>+U285+W285</f>
        <v>0</v>
      </c>
      <c r="Z285" s="325"/>
      <c r="AA285" s="325">
        <f t="shared" si="81"/>
        <v>0</v>
      </c>
      <c r="AD285" s="325">
        <f>+AA285+AC285</f>
        <v>0</v>
      </c>
      <c r="AF285" s="325"/>
    </row>
    <row r="289" spans="30:30">
      <c r="AD289" s="325">
        <f>SUM(AD10:AD285)</f>
        <v>120308.05944572747</v>
      </c>
    </row>
  </sheetData>
  <printOptions headings="1"/>
  <pageMargins left="0" right="0" top="0.09" bottom="0.4" header="0.5" footer="0.5"/>
  <pageSetup scale="73" fitToHeight="4"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workbookViewId="0">
      <selection activeCell="E4" sqref="E4"/>
    </sheetView>
  </sheetViews>
  <sheetFormatPr defaultRowHeight="12.75"/>
  <cols>
    <col min="3" max="3" width="3.140625" customWidth="1"/>
    <col min="6" max="6" width="10" customWidth="1"/>
    <col min="18" max="18" width="10.140625" bestFit="1" customWidth="1"/>
    <col min="19" max="20" width="10.140625" customWidth="1"/>
    <col min="21" max="21" width="10.85546875" customWidth="1"/>
  </cols>
  <sheetData>
    <row r="1" spans="1:35">
      <c r="A1" t="s">
        <v>0</v>
      </c>
    </row>
    <row r="3" spans="1:35">
      <c r="A3" t="s">
        <v>883</v>
      </c>
      <c r="E3" s="693" t="s">
        <v>1414</v>
      </c>
      <c r="F3" s="693" t="s">
        <v>702</v>
      </c>
      <c r="G3" s="717"/>
      <c r="H3" s="718"/>
    </row>
    <row r="4" spans="1:35">
      <c r="G4" s="196"/>
      <c r="H4" s="196"/>
    </row>
    <row r="5" spans="1:35">
      <c r="A5" s="708" t="s">
        <v>1371</v>
      </c>
      <c r="B5" s="196"/>
    </row>
    <row r="6" spans="1:35">
      <c r="X6" t="s">
        <v>327</v>
      </c>
    </row>
    <row r="7" spans="1:35">
      <c r="D7" s="2"/>
      <c r="E7" s="2"/>
      <c r="F7" s="2"/>
      <c r="G7" s="2"/>
      <c r="H7" s="2"/>
      <c r="I7" s="2"/>
      <c r="Q7" s="2" t="s">
        <v>100</v>
      </c>
      <c r="R7" s="2" t="s">
        <v>100</v>
      </c>
      <c r="S7" s="695" t="s">
        <v>152</v>
      </c>
      <c r="T7" s="695" t="s">
        <v>152</v>
      </c>
    </row>
    <row r="8" spans="1:35">
      <c r="Q8" s="54">
        <v>43831</v>
      </c>
      <c r="R8" s="54">
        <v>43831</v>
      </c>
      <c r="S8" s="54">
        <v>43831</v>
      </c>
      <c r="T8" s="54">
        <v>43831</v>
      </c>
      <c r="U8" s="2" t="s">
        <v>114</v>
      </c>
    </row>
    <row r="9" spans="1:35">
      <c r="A9" t="s">
        <v>882</v>
      </c>
      <c r="D9" s="2" t="s">
        <v>519</v>
      </c>
      <c r="E9" s="2" t="s">
        <v>518</v>
      </c>
      <c r="F9" s="2" t="s">
        <v>517</v>
      </c>
      <c r="G9" s="2" t="s">
        <v>516</v>
      </c>
      <c r="H9" s="2" t="s">
        <v>515</v>
      </c>
      <c r="I9" s="2" t="s">
        <v>514</v>
      </c>
      <c r="J9" s="2" t="s">
        <v>513</v>
      </c>
      <c r="K9" s="2" t="s">
        <v>512</v>
      </c>
      <c r="L9" s="2" t="s">
        <v>511</v>
      </c>
      <c r="M9" s="2" t="s">
        <v>510</v>
      </c>
      <c r="N9" s="2" t="s">
        <v>509</v>
      </c>
      <c r="O9" s="2" t="s">
        <v>508</v>
      </c>
      <c r="P9" s="2" t="s">
        <v>119</v>
      </c>
      <c r="Q9" s="709" t="s">
        <v>1372</v>
      </c>
      <c r="R9" s="709" t="s">
        <v>1372</v>
      </c>
      <c r="S9" s="709" t="s">
        <v>1372</v>
      </c>
      <c r="T9" s="709" t="s">
        <v>1372</v>
      </c>
      <c r="U9" s="2" t="s">
        <v>152</v>
      </c>
      <c r="W9" s="2"/>
      <c r="X9" s="2" t="s">
        <v>519</v>
      </c>
      <c r="Y9" s="2" t="s">
        <v>518</v>
      </c>
      <c r="Z9" s="2" t="s">
        <v>517</v>
      </c>
      <c r="AA9" s="2" t="s">
        <v>516</v>
      </c>
      <c r="AB9" s="2" t="s">
        <v>515</v>
      </c>
      <c r="AC9" s="2" t="s">
        <v>514</v>
      </c>
      <c r="AD9" s="2" t="s">
        <v>513</v>
      </c>
      <c r="AE9" s="2" t="s">
        <v>512</v>
      </c>
      <c r="AF9" s="2" t="s">
        <v>511</v>
      </c>
      <c r="AG9" s="2" t="s">
        <v>510</v>
      </c>
      <c r="AH9" s="2" t="s">
        <v>509</v>
      </c>
      <c r="AI9" s="2" t="s">
        <v>508</v>
      </c>
    </row>
    <row r="11" spans="1:35">
      <c r="A11" t="s">
        <v>451</v>
      </c>
    </row>
    <row r="12" spans="1:35">
      <c r="A12" t="s">
        <v>881</v>
      </c>
      <c r="D12">
        <v>19</v>
      </c>
      <c r="E12">
        <v>19</v>
      </c>
      <c r="F12">
        <v>19</v>
      </c>
      <c r="G12">
        <v>19</v>
      </c>
      <c r="H12">
        <v>19</v>
      </c>
      <c r="I12">
        <v>19</v>
      </c>
      <c r="J12">
        <v>19</v>
      </c>
      <c r="K12">
        <v>19</v>
      </c>
      <c r="L12">
        <v>19</v>
      </c>
      <c r="M12">
        <v>19</v>
      </c>
      <c r="N12">
        <v>19</v>
      </c>
      <c r="O12">
        <v>19</v>
      </c>
      <c r="P12">
        <f>SUM(D12:O12)</f>
        <v>228</v>
      </c>
      <c r="Q12" s="53">
        <v>17.7</v>
      </c>
      <c r="R12" s="53">
        <v>17.7</v>
      </c>
      <c r="S12" s="53">
        <f>SUM(D12:E12)*Q12</f>
        <v>672.6</v>
      </c>
      <c r="T12" s="53">
        <f>SUM(F12:O12)*R12</f>
        <v>3363</v>
      </c>
      <c r="U12" s="53">
        <f>+S12+T12</f>
        <v>4035.6</v>
      </c>
      <c r="W12" s="84"/>
      <c r="X12" s="53">
        <f t="shared" ref="X12:AI16" si="0">D12*$R12</f>
        <v>336.3</v>
      </c>
      <c r="Y12" s="53">
        <f t="shared" si="0"/>
        <v>336.3</v>
      </c>
      <c r="Z12" s="53">
        <f t="shared" si="0"/>
        <v>336.3</v>
      </c>
      <c r="AA12" s="53">
        <f t="shared" si="0"/>
        <v>336.3</v>
      </c>
      <c r="AB12" s="53">
        <f t="shared" si="0"/>
        <v>336.3</v>
      </c>
      <c r="AC12" s="53">
        <f t="shared" si="0"/>
        <v>336.3</v>
      </c>
      <c r="AD12" s="53">
        <f t="shared" si="0"/>
        <v>336.3</v>
      </c>
      <c r="AE12" s="53">
        <f t="shared" si="0"/>
        <v>336.3</v>
      </c>
      <c r="AF12" s="53">
        <f t="shared" si="0"/>
        <v>336.3</v>
      </c>
      <c r="AG12" s="53">
        <f t="shared" si="0"/>
        <v>336.3</v>
      </c>
      <c r="AH12" s="53">
        <f t="shared" si="0"/>
        <v>336.3</v>
      </c>
      <c r="AI12" s="53">
        <f t="shared" si="0"/>
        <v>336.3</v>
      </c>
    </row>
    <row r="13" spans="1:35">
      <c r="A13" t="s">
        <v>878</v>
      </c>
      <c r="D13">
        <v>187</v>
      </c>
      <c r="E13">
        <v>188</v>
      </c>
      <c r="F13">
        <v>187</v>
      </c>
      <c r="G13">
        <v>187</v>
      </c>
      <c r="H13">
        <v>190</v>
      </c>
      <c r="I13">
        <v>190</v>
      </c>
      <c r="J13">
        <v>186</v>
      </c>
      <c r="K13">
        <v>189</v>
      </c>
      <c r="L13">
        <v>187</v>
      </c>
      <c r="M13">
        <v>189</v>
      </c>
      <c r="N13">
        <v>188</v>
      </c>
      <c r="O13">
        <v>183</v>
      </c>
      <c r="P13">
        <f>SUM(D13:O13)</f>
        <v>2251</v>
      </c>
      <c r="Q13" s="53">
        <v>19.399999999999999</v>
      </c>
      <c r="R13" s="53">
        <v>19.399999999999999</v>
      </c>
      <c r="S13" s="53">
        <f t="shared" ref="S13:S16" si="1">SUM(D13:E13)*Q13</f>
        <v>7274.9999999999991</v>
      </c>
      <c r="T13" s="53">
        <f t="shared" ref="T13:T16" si="2">SUM(F13:O13)*R13</f>
        <v>36394.399999999994</v>
      </c>
      <c r="U13" s="53">
        <f t="shared" ref="U13:U16" si="3">+S13+T13</f>
        <v>43669.399999999994</v>
      </c>
      <c r="W13" s="84"/>
      <c r="X13" s="53">
        <f t="shared" si="0"/>
        <v>3627.7999999999997</v>
      </c>
      <c r="Y13" s="53">
        <f t="shared" si="0"/>
        <v>3647.2</v>
      </c>
      <c r="Z13" s="53">
        <f t="shared" si="0"/>
        <v>3627.7999999999997</v>
      </c>
      <c r="AA13" s="53">
        <f t="shared" si="0"/>
        <v>3627.7999999999997</v>
      </c>
      <c r="AB13" s="53">
        <f t="shared" si="0"/>
        <v>3685.9999999999995</v>
      </c>
      <c r="AC13" s="53">
        <f t="shared" si="0"/>
        <v>3685.9999999999995</v>
      </c>
      <c r="AD13" s="53">
        <f t="shared" si="0"/>
        <v>3608.3999999999996</v>
      </c>
      <c r="AE13" s="53">
        <f t="shared" si="0"/>
        <v>3666.6</v>
      </c>
      <c r="AF13" s="53">
        <f t="shared" si="0"/>
        <v>3627.7999999999997</v>
      </c>
      <c r="AG13" s="53">
        <f t="shared" si="0"/>
        <v>3666.6</v>
      </c>
      <c r="AH13" s="53">
        <f t="shared" si="0"/>
        <v>3647.2</v>
      </c>
      <c r="AI13" s="53">
        <f t="shared" si="0"/>
        <v>3550.2</v>
      </c>
    </row>
    <row r="14" spans="1:35">
      <c r="A14" t="s">
        <v>877</v>
      </c>
      <c r="D14">
        <v>11</v>
      </c>
      <c r="E14">
        <v>11</v>
      </c>
      <c r="F14">
        <v>11</v>
      </c>
      <c r="G14">
        <v>11</v>
      </c>
      <c r="H14">
        <v>11</v>
      </c>
      <c r="I14">
        <v>11</v>
      </c>
      <c r="J14">
        <v>12</v>
      </c>
      <c r="K14">
        <v>12</v>
      </c>
      <c r="L14">
        <v>11</v>
      </c>
      <c r="M14">
        <v>11</v>
      </c>
      <c r="N14">
        <v>11</v>
      </c>
      <c r="O14">
        <v>11</v>
      </c>
      <c r="P14">
        <f>SUM(D14:O14)</f>
        <v>134</v>
      </c>
      <c r="Q14" s="53">
        <v>29.75</v>
      </c>
      <c r="R14" s="53">
        <v>29.75</v>
      </c>
      <c r="S14" s="53">
        <f t="shared" si="1"/>
        <v>654.5</v>
      </c>
      <c r="T14" s="53">
        <f t="shared" si="2"/>
        <v>3332</v>
      </c>
      <c r="U14" s="53">
        <f t="shared" si="3"/>
        <v>3986.5</v>
      </c>
      <c r="W14" s="84"/>
      <c r="X14" s="53">
        <f t="shared" si="0"/>
        <v>327.25</v>
      </c>
      <c r="Y14" s="53">
        <f t="shared" si="0"/>
        <v>327.25</v>
      </c>
      <c r="Z14" s="53">
        <f t="shared" si="0"/>
        <v>327.25</v>
      </c>
      <c r="AA14" s="53">
        <f t="shared" si="0"/>
        <v>327.25</v>
      </c>
      <c r="AB14" s="53">
        <f t="shared" si="0"/>
        <v>327.25</v>
      </c>
      <c r="AC14" s="53">
        <f t="shared" si="0"/>
        <v>327.25</v>
      </c>
      <c r="AD14" s="53">
        <f t="shared" si="0"/>
        <v>357</v>
      </c>
      <c r="AE14" s="53">
        <f t="shared" si="0"/>
        <v>357</v>
      </c>
      <c r="AF14" s="53">
        <f t="shared" si="0"/>
        <v>327.25</v>
      </c>
      <c r="AG14" s="53">
        <f t="shared" si="0"/>
        <v>327.25</v>
      </c>
      <c r="AH14" s="53">
        <f t="shared" si="0"/>
        <v>327.25</v>
      </c>
      <c r="AI14" s="53">
        <f t="shared" si="0"/>
        <v>327.25</v>
      </c>
    </row>
    <row r="15" spans="1:35">
      <c r="A15" t="s">
        <v>880</v>
      </c>
      <c r="D15">
        <v>6</v>
      </c>
      <c r="E15">
        <v>6</v>
      </c>
      <c r="F15">
        <v>6</v>
      </c>
      <c r="G15">
        <v>6</v>
      </c>
      <c r="H15">
        <v>5</v>
      </c>
      <c r="I15">
        <v>5</v>
      </c>
      <c r="J15">
        <v>6</v>
      </c>
      <c r="K15">
        <v>6</v>
      </c>
      <c r="L15">
        <v>6</v>
      </c>
      <c r="M15">
        <v>6</v>
      </c>
      <c r="N15">
        <v>6</v>
      </c>
      <c r="O15">
        <v>6</v>
      </c>
      <c r="P15">
        <f>SUM(D15:O15)</f>
        <v>70</v>
      </c>
      <c r="Q15" s="53">
        <v>46.95</v>
      </c>
      <c r="R15" s="53">
        <v>46.95</v>
      </c>
      <c r="S15" s="53">
        <f t="shared" si="1"/>
        <v>563.40000000000009</v>
      </c>
      <c r="T15" s="53">
        <f t="shared" si="2"/>
        <v>2723.1000000000004</v>
      </c>
      <c r="U15" s="53">
        <f t="shared" si="3"/>
        <v>3286.5000000000005</v>
      </c>
      <c r="W15" s="84"/>
      <c r="X15" s="53">
        <f t="shared" si="0"/>
        <v>281.70000000000005</v>
      </c>
      <c r="Y15" s="53">
        <f t="shared" si="0"/>
        <v>281.70000000000005</v>
      </c>
      <c r="Z15" s="53">
        <f t="shared" si="0"/>
        <v>281.70000000000005</v>
      </c>
      <c r="AA15" s="53">
        <f t="shared" si="0"/>
        <v>281.70000000000005</v>
      </c>
      <c r="AB15" s="53">
        <f t="shared" si="0"/>
        <v>234.75</v>
      </c>
      <c r="AC15" s="53">
        <f t="shared" si="0"/>
        <v>234.75</v>
      </c>
      <c r="AD15" s="53">
        <f t="shared" si="0"/>
        <v>281.70000000000005</v>
      </c>
      <c r="AE15" s="53">
        <f t="shared" si="0"/>
        <v>281.70000000000005</v>
      </c>
      <c r="AF15" s="53">
        <f t="shared" si="0"/>
        <v>281.70000000000005</v>
      </c>
      <c r="AG15" s="53">
        <f t="shared" si="0"/>
        <v>281.70000000000005</v>
      </c>
      <c r="AH15" s="53">
        <f t="shared" si="0"/>
        <v>281.70000000000005</v>
      </c>
      <c r="AI15" s="53">
        <f t="shared" si="0"/>
        <v>281.70000000000005</v>
      </c>
    </row>
    <row r="16" spans="1:35">
      <c r="A16" t="s">
        <v>879</v>
      </c>
      <c r="D16">
        <v>0</v>
      </c>
      <c r="E16">
        <v>0</v>
      </c>
      <c r="F16">
        <v>0</v>
      </c>
      <c r="G16">
        <v>0</v>
      </c>
      <c r="H16">
        <v>0</v>
      </c>
      <c r="I16">
        <v>0</v>
      </c>
      <c r="J16">
        <v>0</v>
      </c>
      <c r="K16">
        <v>0</v>
      </c>
      <c r="L16">
        <v>0</v>
      </c>
      <c r="M16">
        <v>0</v>
      </c>
      <c r="N16">
        <v>0</v>
      </c>
      <c r="O16">
        <v>0</v>
      </c>
      <c r="P16">
        <f>SUM(D16:O16)</f>
        <v>0</v>
      </c>
      <c r="Q16" s="53">
        <v>0</v>
      </c>
      <c r="R16" s="53">
        <v>0</v>
      </c>
      <c r="S16" s="53">
        <f t="shared" si="1"/>
        <v>0</v>
      </c>
      <c r="T16" s="53">
        <f t="shared" si="2"/>
        <v>0</v>
      </c>
      <c r="U16" s="53">
        <f t="shared" si="3"/>
        <v>0</v>
      </c>
      <c r="W16" s="84"/>
      <c r="X16" s="53">
        <f t="shared" si="0"/>
        <v>0</v>
      </c>
      <c r="Y16" s="53">
        <f t="shared" si="0"/>
        <v>0</v>
      </c>
      <c r="Z16" s="53">
        <f t="shared" si="0"/>
        <v>0</v>
      </c>
      <c r="AA16" s="53">
        <f t="shared" si="0"/>
        <v>0</v>
      </c>
      <c r="AB16" s="53">
        <f t="shared" si="0"/>
        <v>0</v>
      </c>
      <c r="AC16" s="53">
        <f t="shared" si="0"/>
        <v>0</v>
      </c>
      <c r="AD16" s="53">
        <f t="shared" si="0"/>
        <v>0</v>
      </c>
      <c r="AE16" s="53">
        <f t="shared" si="0"/>
        <v>0</v>
      </c>
      <c r="AF16" s="53">
        <f t="shared" si="0"/>
        <v>0</v>
      </c>
      <c r="AG16" s="53">
        <f t="shared" si="0"/>
        <v>0</v>
      </c>
      <c r="AH16" s="53">
        <f t="shared" si="0"/>
        <v>0</v>
      </c>
      <c r="AI16" s="53">
        <f t="shared" si="0"/>
        <v>0</v>
      </c>
    </row>
    <row r="17" spans="1:35">
      <c r="A17" t="s">
        <v>426</v>
      </c>
      <c r="Q17" s="53"/>
      <c r="R17" s="53"/>
      <c r="S17" s="53"/>
      <c r="T17" s="53"/>
      <c r="U17" s="53"/>
      <c r="W17" s="84"/>
      <c r="X17" s="53"/>
      <c r="Y17" s="53"/>
      <c r="Z17" s="53"/>
      <c r="AA17" s="53"/>
      <c r="AB17" s="53"/>
      <c r="AC17" s="53"/>
      <c r="AD17" s="53"/>
      <c r="AE17" s="53"/>
      <c r="AF17" s="53"/>
      <c r="AG17" s="53"/>
      <c r="AH17" s="53"/>
      <c r="AI17" s="53"/>
    </row>
    <row r="18" spans="1:35">
      <c r="A18" t="s">
        <v>878</v>
      </c>
      <c r="D18">
        <v>12</v>
      </c>
      <c r="E18">
        <v>13</v>
      </c>
      <c r="F18">
        <v>13</v>
      </c>
      <c r="G18">
        <v>13</v>
      </c>
      <c r="H18">
        <v>13</v>
      </c>
      <c r="I18">
        <v>13</v>
      </c>
      <c r="J18">
        <v>12</v>
      </c>
      <c r="K18">
        <v>12</v>
      </c>
      <c r="L18">
        <v>11</v>
      </c>
      <c r="M18">
        <v>11</v>
      </c>
      <c r="N18">
        <v>11</v>
      </c>
      <c r="O18">
        <v>8</v>
      </c>
      <c r="P18">
        <f t="shared" ref="P18:P31" si="4">SUM(D18:O18)</f>
        <v>142</v>
      </c>
      <c r="Q18" s="53">
        <v>24.5</v>
      </c>
      <c r="R18" s="53">
        <v>24.5</v>
      </c>
      <c r="S18" s="53">
        <f t="shared" ref="S18:S31" si="5">SUM(D18:E18)*Q18</f>
        <v>612.5</v>
      </c>
      <c r="T18" s="53">
        <f t="shared" ref="T18:T31" si="6">SUM(F18:O18)*R18</f>
        <v>2866.5</v>
      </c>
      <c r="U18" s="53">
        <f t="shared" ref="U18:U31" si="7">+S18+T18</f>
        <v>3479</v>
      </c>
      <c r="W18" s="84"/>
      <c r="X18" s="53">
        <f t="shared" ref="X18:X31" si="8">D18*$R18</f>
        <v>294</v>
      </c>
      <c r="Y18" s="53">
        <f t="shared" ref="Y18:Y31" si="9">E18*$R18</f>
        <v>318.5</v>
      </c>
      <c r="Z18" s="53">
        <f t="shared" ref="Z18:Z31" si="10">F18*$R18</f>
        <v>318.5</v>
      </c>
      <c r="AA18" s="53">
        <f t="shared" ref="AA18:AA31" si="11">G18*$R18</f>
        <v>318.5</v>
      </c>
      <c r="AB18" s="53">
        <f t="shared" ref="AB18:AB31" si="12">H18*$R18</f>
        <v>318.5</v>
      </c>
      <c r="AC18" s="53">
        <f t="shared" ref="AC18:AC31" si="13">I18*$R18</f>
        <v>318.5</v>
      </c>
      <c r="AD18" s="53">
        <f t="shared" ref="AD18:AD31" si="14">J18*$R18</f>
        <v>294</v>
      </c>
      <c r="AE18" s="53">
        <f t="shared" ref="AE18:AE31" si="15">K18*$R18</f>
        <v>294</v>
      </c>
      <c r="AF18" s="53">
        <f t="shared" ref="AF18:AF31" si="16">L18*$R18</f>
        <v>269.5</v>
      </c>
      <c r="AG18" s="53">
        <f t="shared" ref="AG18:AG31" si="17">M18*$R18</f>
        <v>269.5</v>
      </c>
      <c r="AH18" s="53">
        <f t="shared" ref="AH18:AH31" si="18">N18*$R18</f>
        <v>269.5</v>
      </c>
      <c r="AI18" s="53">
        <f t="shared" ref="AI18:AI31" si="19">O18*$R18</f>
        <v>196</v>
      </c>
    </row>
    <row r="19" spans="1:35">
      <c r="A19" t="s">
        <v>877</v>
      </c>
      <c r="D19">
        <v>0</v>
      </c>
      <c r="E19">
        <v>0</v>
      </c>
      <c r="F19">
        <v>0</v>
      </c>
      <c r="G19">
        <v>0</v>
      </c>
      <c r="H19">
        <v>0</v>
      </c>
      <c r="I19">
        <v>0</v>
      </c>
      <c r="J19">
        <v>0</v>
      </c>
      <c r="K19">
        <v>0</v>
      </c>
      <c r="L19">
        <v>0</v>
      </c>
      <c r="M19">
        <v>0</v>
      </c>
      <c r="N19">
        <v>0</v>
      </c>
      <c r="O19">
        <v>0</v>
      </c>
      <c r="P19">
        <f t="shared" si="4"/>
        <v>0</v>
      </c>
      <c r="Q19" s="53">
        <v>38.700000000000003</v>
      </c>
      <c r="R19" s="53">
        <v>38.700000000000003</v>
      </c>
      <c r="S19" s="53">
        <f t="shared" si="5"/>
        <v>0</v>
      </c>
      <c r="T19" s="53">
        <f t="shared" si="6"/>
        <v>0</v>
      </c>
      <c r="U19" s="53">
        <f t="shared" si="7"/>
        <v>0</v>
      </c>
      <c r="W19" s="84"/>
      <c r="X19" s="53">
        <f t="shared" si="8"/>
        <v>0</v>
      </c>
      <c r="Y19" s="53">
        <f t="shared" si="9"/>
        <v>0</v>
      </c>
      <c r="Z19" s="53">
        <f t="shared" si="10"/>
        <v>0</v>
      </c>
      <c r="AA19" s="53">
        <f t="shared" si="11"/>
        <v>0</v>
      </c>
      <c r="AB19" s="53">
        <f t="shared" si="12"/>
        <v>0</v>
      </c>
      <c r="AC19" s="53">
        <f t="shared" si="13"/>
        <v>0</v>
      </c>
      <c r="AD19" s="53">
        <f t="shared" si="14"/>
        <v>0</v>
      </c>
      <c r="AE19" s="53">
        <f t="shared" si="15"/>
        <v>0</v>
      </c>
      <c r="AF19" s="53">
        <f t="shared" si="16"/>
        <v>0</v>
      </c>
      <c r="AG19" s="53">
        <f t="shared" si="17"/>
        <v>0</v>
      </c>
      <c r="AH19" s="53">
        <f t="shared" si="18"/>
        <v>0</v>
      </c>
      <c r="AI19" s="53">
        <f t="shared" si="19"/>
        <v>0</v>
      </c>
    </row>
    <row r="20" spans="1:35">
      <c r="A20" t="s">
        <v>425</v>
      </c>
      <c r="D20">
        <v>10</v>
      </c>
      <c r="E20">
        <v>10</v>
      </c>
      <c r="F20">
        <v>10</v>
      </c>
      <c r="G20">
        <v>10</v>
      </c>
      <c r="H20">
        <v>10</v>
      </c>
      <c r="I20">
        <v>10</v>
      </c>
      <c r="J20">
        <v>10</v>
      </c>
      <c r="K20">
        <v>11</v>
      </c>
      <c r="L20">
        <v>11</v>
      </c>
      <c r="M20">
        <v>9</v>
      </c>
      <c r="N20">
        <v>9</v>
      </c>
      <c r="O20">
        <v>10</v>
      </c>
      <c r="P20">
        <f t="shared" si="4"/>
        <v>120</v>
      </c>
      <c r="Q20" s="53">
        <v>57.45</v>
      </c>
      <c r="R20" s="53">
        <v>57.45</v>
      </c>
      <c r="S20" s="53">
        <f t="shared" si="5"/>
        <v>1149</v>
      </c>
      <c r="T20" s="53">
        <f t="shared" si="6"/>
        <v>5745</v>
      </c>
      <c r="U20" s="53">
        <f t="shared" si="7"/>
        <v>6894</v>
      </c>
      <c r="W20" s="84"/>
      <c r="X20" s="53">
        <f t="shared" si="8"/>
        <v>574.5</v>
      </c>
      <c r="Y20" s="53">
        <f t="shared" si="9"/>
        <v>574.5</v>
      </c>
      <c r="Z20" s="53">
        <f t="shared" si="10"/>
        <v>574.5</v>
      </c>
      <c r="AA20" s="53">
        <f t="shared" si="11"/>
        <v>574.5</v>
      </c>
      <c r="AB20" s="53">
        <f t="shared" si="12"/>
        <v>574.5</v>
      </c>
      <c r="AC20" s="53">
        <f t="shared" si="13"/>
        <v>574.5</v>
      </c>
      <c r="AD20" s="53">
        <f t="shared" si="14"/>
        <v>574.5</v>
      </c>
      <c r="AE20" s="53">
        <f t="shared" si="15"/>
        <v>631.95000000000005</v>
      </c>
      <c r="AF20" s="53">
        <f t="shared" si="16"/>
        <v>631.95000000000005</v>
      </c>
      <c r="AG20" s="53">
        <f t="shared" si="17"/>
        <v>517.05000000000007</v>
      </c>
      <c r="AH20" s="53">
        <f t="shared" si="18"/>
        <v>517.05000000000007</v>
      </c>
      <c r="AI20" s="53">
        <f t="shared" si="19"/>
        <v>574.5</v>
      </c>
    </row>
    <row r="21" spans="1:35">
      <c r="A21" t="s">
        <v>876</v>
      </c>
      <c r="D21">
        <v>10</v>
      </c>
      <c r="E21">
        <v>10</v>
      </c>
      <c r="F21">
        <v>10</v>
      </c>
      <c r="G21">
        <v>10</v>
      </c>
      <c r="H21">
        <v>10</v>
      </c>
      <c r="I21">
        <v>10</v>
      </c>
      <c r="J21">
        <v>10</v>
      </c>
      <c r="K21">
        <v>11</v>
      </c>
      <c r="L21">
        <v>11</v>
      </c>
      <c r="M21">
        <v>10</v>
      </c>
      <c r="N21">
        <v>10</v>
      </c>
      <c r="O21">
        <v>10</v>
      </c>
      <c r="P21">
        <f t="shared" si="4"/>
        <v>122</v>
      </c>
      <c r="Q21" s="53">
        <v>9</v>
      </c>
      <c r="R21" s="53">
        <v>9</v>
      </c>
      <c r="S21" s="53">
        <f t="shared" si="5"/>
        <v>180</v>
      </c>
      <c r="T21" s="53">
        <f t="shared" si="6"/>
        <v>918</v>
      </c>
      <c r="U21" s="53">
        <f t="shared" si="7"/>
        <v>1098</v>
      </c>
      <c r="W21" s="84"/>
      <c r="X21" s="53">
        <f t="shared" si="8"/>
        <v>90</v>
      </c>
      <c r="Y21" s="53">
        <f t="shared" si="9"/>
        <v>90</v>
      </c>
      <c r="Z21" s="53">
        <f t="shared" si="10"/>
        <v>90</v>
      </c>
      <c r="AA21" s="53">
        <f t="shared" si="11"/>
        <v>90</v>
      </c>
      <c r="AB21" s="53">
        <f t="shared" si="12"/>
        <v>90</v>
      </c>
      <c r="AC21" s="53">
        <f t="shared" si="13"/>
        <v>90</v>
      </c>
      <c r="AD21" s="53">
        <f t="shared" si="14"/>
        <v>90</v>
      </c>
      <c r="AE21" s="53">
        <f t="shared" si="15"/>
        <v>99</v>
      </c>
      <c r="AF21" s="53">
        <f t="shared" si="16"/>
        <v>99</v>
      </c>
      <c r="AG21" s="53">
        <f t="shared" si="17"/>
        <v>90</v>
      </c>
      <c r="AH21" s="53">
        <f t="shared" si="18"/>
        <v>90</v>
      </c>
      <c r="AI21" s="53">
        <f t="shared" si="19"/>
        <v>90</v>
      </c>
    </row>
    <row r="22" spans="1:35">
      <c r="A22" t="s">
        <v>423</v>
      </c>
      <c r="D22">
        <v>6</v>
      </c>
      <c r="E22">
        <v>6</v>
      </c>
      <c r="F22">
        <v>6</v>
      </c>
      <c r="G22">
        <v>6</v>
      </c>
      <c r="H22">
        <v>6</v>
      </c>
      <c r="I22">
        <v>6</v>
      </c>
      <c r="J22">
        <v>6</v>
      </c>
      <c r="K22">
        <v>6</v>
      </c>
      <c r="L22">
        <v>6</v>
      </c>
      <c r="M22">
        <v>6</v>
      </c>
      <c r="N22">
        <v>6</v>
      </c>
      <c r="O22">
        <v>6</v>
      </c>
      <c r="P22">
        <f t="shared" si="4"/>
        <v>72</v>
      </c>
      <c r="Q22" s="53">
        <v>98.9</v>
      </c>
      <c r="R22" s="53">
        <v>98.9</v>
      </c>
      <c r="S22" s="53">
        <f t="shared" si="5"/>
        <v>1186.8000000000002</v>
      </c>
      <c r="T22" s="53">
        <f t="shared" si="6"/>
        <v>5934</v>
      </c>
      <c r="U22" s="53">
        <f t="shared" si="7"/>
        <v>7120.8</v>
      </c>
      <c r="W22" s="84"/>
      <c r="X22" s="53">
        <f t="shared" si="8"/>
        <v>593.40000000000009</v>
      </c>
      <c r="Y22" s="53">
        <f t="shared" si="9"/>
        <v>593.40000000000009</v>
      </c>
      <c r="Z22" s="53">
        <f t="shared" si="10"/>
        <v>593.40000000000009</v>
      </c>
      <c r="AA22" s="53">
        <f t="shared" si="11"/>
        <v>593.40000000000009</v>
      </c>
      <c r="AB22" s="53">
        <f t="shared" si="12"/>
        <v>593.40000000000009</v>
      </c>
      <c r="AC22" s="53">
        <f t="shared" si="13"/>
        <v>593.40000000000009</v>
      </c>
      <c r="AD22" s="53">
        <f t="shared" si="14"/>
        <v>593.40000000000009</v>
      </c>
      <c r="AE22" s="53">
        <f t="shared" si="15"/>
        <v>593.40000000000009</v>
      </c>
      <c r="AF22" s="53">
        <f t="shared" si="16"/>
        <v>593.40000000000009</v>
      </c>
      <c r="AG22" s="53">
        <f t="shared" si="17"/>
        <v>593.40000000000009</v>
      </c>
      <c r="AH22" s="53">
        <f t="shared" si="18"/>
        <v>593.40000000000009</v>
      </c>
      <c r="AI22" s="53">
        <f t="shared" si="19"/>
        <v>593.40000000000009</v>
      </c>
    </row>
    <row r="23" spans="1:35">
      <c r="A23" t="s">
        <v>875</v>
      </c>
      <c r="D23">
        <v>12</v>
      </c>
      <c r="E23">
        <v>12</v>
      </c>
      <c r="F23">
        <v>12</v>
      </c>
      <c r="G23">
        <v>12</v>
      </c>
      <c r="H23">
        <v>12</v>
      </c>
      <c r="I23">
        <v>12</v>
      </c>
      <c r="J23">
        <v>13</v>
      </c>
      <c r="K23">
        <v>14</v>
      </c>
      <c r="L23">
        <v>14</v>
      </c>
      <c r="M23">
        <v>14</v>
      </c>
      <c r="N23">
        <v>13</v>
      </c>
      <c r="O23">
        <v>13</v>
      </c>
      <c r="P23">
        <f t="shared" si="4"/>
        <v>153</v>
      </c>
      <c r="Q23" s="53">
        <v>11.75</v>
      </c>
      <c r="R23" s="53">
        <v>11.75</v>
      </c>
      <c r="S23" s="53">
        <f t="shared" si="5"/>
        <v>282</v>
      </c>
      <c r="T23" s="53">
        <f t="shared" si="6"/>
        <v>1515.75</v>
      </c>
      <c r="U23" s="53">
        <f t="shared" si="7"/>
        <v>1797.75</v>
      </c>
      <c r="W23" s="84"/>
      <c r="X23" s="53">
        <f t="shared" si="8"/>
        <v>141</v>
      </c>
      <c r="Y23" s="53">
        <f t="shared" si="9"/>
        <v>141</v>
      </c>
      <c r="Z23" s="53">
        <f t="shared" si="10"/>
        <v>141</v>
      </c>
      <c r="AA23" s="53">
        <f t="shared" si="11"/>
        <v>141</v>
      </c>
      <c r="AB23" s="53">
        <f t="shared" si="12"/>
        <v>141</v>
      </c>
      <c r="AC23" s="53">
        <f t="shared" si="13"/>
        <v>141</v>
      </c>
      <c r="AD23" s="53">
        <f t="shared" si="14"/>
        <v>152.75</v>
      </c>
      <c r="AE23" s="53">
        <f t="shared" si="15"/>
        <v>164.5</v>
      </c>
      <c r="AF23" s="53">
        <f t="shared" si="16"/>
        <v>164.5</v>
      </c>
      <c r="AG23" s="53">
        <f t="shared" si="17"/>
        <v>164.5</v>
      </c>
      <c r="AH23" s="53">
        <f t="shared" si="18"/>
        <v>152.75</v>
      </c>
      <c r="AI23" s="53">
        <f t="shared" si="19"/>
        <v>152.75</v>
      </c>
    </row>
    <row r="24" spans="1:35">
      <c r="A24" t="s">
        <v>421</v>
      </c>
      <c r="D24">
        <v>1</v>
      </c>
      <c r="E24">
        <v>0</v>
      </c>
      <c r="F24">
        <v>0</v>
      </c>
      <c r="G24">
        <v>1</v>
      </c>
      <c r="H24">
        <v>0.5</v>
      </c>
      <c r="I24">
        <v>1</v>
      </c>
      <c r="J24">
        <v>1</v>
      </c>
      <c r="K24">
        <v>1</v>
      </c>
      <c r="L24">
        <v>1</v>
      </c>
      <c r="M24">
        <v>1</v>
      </c>
      <c r="N24">
        <v>1</v>
      </c>
      <c r="O24">
        <v>1</v>
      </c>
      <c r="P24">
        <f t="shared" si="4"/>
        <v>9.5</v>
      </c>
      <c r="Q24" s="53">
        <v>180.15</v>
      </c>
      <c r="R24" s="53">
        <v>180.15</v>
      </c>
      <c r="S24" s="53">
        <f t="shared" si="5"/>
        <v>180.15</v>
      </c>
      <c r="T24" s="53">
        <f t="shared" si="6"/>
        <v>1531.2750000000001</v>
      </c>
      <c r="U24" s="53">
        <f t="shared" si="7"/>
        <v>1711.4250000000002</v>
      </c>
      <c r="W24" s="84"/>
      <c r="X24" s="53">
        <f t="shared" si="8"/>
        <v>180.15</v>
      </c>
      <c r="Y24" s="53">
        <f t="shared" si="9"/>
        <v>0</v>
      </c>
      <c r="Z24" s="53">
        <f t="shared" si="10"/>
        <v>0</v>
      </c>
      <c r="AA24" s="53">
        <f t="shared" si="11"/>
        <v>180.15</v>
      </c>
      <c r="AB24" s="53">
        <f t="shared" si="12"/>
        <v>90.075000000000003</v>
      </c>
      <c r="AC24" s="53">
        <f t="shared" si="13"/>
        <v>180.15</v>
      </c>
      <c r="AD24" s="53">
        <f t="shared" si="14"/>
        <v>180.15</v>
      </c>
      <c r="AE24" s="53">
        <f t="shared" si="15"/>
        <v>180.15</v>
      </c>
      <c r="AF24" s="53">
        <f t="shared" si="16"/>
        <v>180.15</v>
      </c>
      <c r="AG24" s="53">
        <f t="shared" si="17"/>
        <v>180.15</v>
      </c>
      <c r="AH24" s="53">
        <f t="shared" si="18"/>
        <v>180.15</v>
      </c>
      <c r="AI24" s="53">
        <f t="shared" si="19"/>
        <v>180.15</v>
      </c>
    </row>
    <row r="25" spans="1:35">
      <c r="A25" t="s">
        <v>874</v>
      </c>
      <c r="D25">
        <v>2</v>
      </c>
      <c r="E25">
        <v>1</v>
      </c>
      <c r="F25">
        <v>1</v>
      </c>
      <c r="G25">
        <v>1</v>
      </c>
      <c r="H25">
        <v>1.5</v>
      </c>
      <c r="I25">
        <v>2</v>
      </c>
      <c r="J25">
        <v>2</v>
      </c>
      <c r="K25">
        <v>2</v>
      </c>
      <c r="L25">
        <v>2</v>
      </c>
      <c r="M25">
        <v>2</v>
      </c>
      <c r="N25">
        <v>2</v>
      </c>
      <c r="O25">
        <v>2</v>
      </c>
      <c r="P25">
        <f t="shared" si="4"/>
        <v>20.5</v>
      </c>
      <c r="Q25" s="53">
        <v>21.5</v>
      </c>
      <c r="R25" s="53">
        <v>21.5</v>
      </c>
      <c r="S25" s="53">
        <f t="shared" si="5"/>
        <v>64.5</v>
      </c>
      <c r="T25" s="53">
        <f t="shared" si="6"/>
        <v>376.25</v>
      </c>
      <c r="U25" s="53">
        <f t="shared" si="7"/>
        <v>440.75</v>
      </c>
      <c r="W25" s="84"/>
      <c r="X25" s="53">
        <f t="shared" si="8"/>
        <v>43</v>
      </c>
      <c r="Y25" s="53">
        <f t="shared" si="9"/>
        <v>21.5</v>
      </c>
      <c r="Z25" s="53">
        <f t="shared" si="10"/>
        <v>21.5</v>
      </c>
      <c r="AA25" s="53">
        <f t="shared" si="11"/>
        <v>21.5</v>
      </c>
      <c r="AB25" s="53">
        <f t="shared" si="12"/>
        <v>32.25</v>
      </c>
      <c r="AC25" s="53">
        <f t="shared" si="13"/>
        <v>43</v>
      </c>
      <c r="AD25" s="53">
        <f t="shared" si="14"/>
        <v>43</v>
      </c>
      <c r="AE25" s="53">
        <f t="shared" si="15"/>
        <v>43</v>
      </c>
      <c r="AF25" s="53">
        <f t="shared" si="16"/>
        <v>43</v>
      </c>
      <c r="AG25" s="53">
        <f t="shared" si="17"/>
        <v>43</v>
      </c>
      <c r="AH25" s="53">
        <f t="shared" si="18"/>
        <v>43</v>
      </c>
      <c r="AI25" s="53">
        <f t="shared" si="19"/>
        <v>43</v>
      </c>
    </row>
    <row r="26" spans="1:35">
      <c r="A26" t="s">
        <v>420</v>
      </c>
      <c r="D26">
        <v>0</v>
      </c>
      <c r="E26">
        <v>0</v>
      </c>
      <c r="F26">
        <v>0</v>
      </c>
      <c r="G26">
        <v>0</v>
      </c>
      <c r="H26">
        <v>0</v>
      </c>
      <c r="I26">
        <v>0</v>
      </c>
      <c r="J26">
        <v>0</v>
      </c>
      <c r="K26">
        <v>0</v>
      </c>
      <c r="L26">
        <v>0</v>
      </c>
      <c r="M26">
        <v>0</v>
      </c>
      <c r="N26">
        <v>0</v>
      </c>
      <c r="O26">
        <v>0</v>
      </c>
      <c r="P26">
        <f t="shared" si="4"/>
        <v>0</v>
      </c>
      <c r="Q26" s="53">
        <v>279.3</v>
      </c>
      <c r="R26" s="53">
        <v>279.3</v>
      </c>
      <c r="S26" s="53">
        <f t="shared" si="5"/>
        <v>0</v>
      </c>
      <c r="T26" s="53">
        <f t="shared" si="6"/>
        <v>0</v>
      </c>
      <c r="U26" s="53">
        <f t="shared" si="7"/>
        <v>0</v>
      </c>
      <c r="W26" s="84"/>
      <c r="X26" s="53">
        <f t="shared" si="8"/>
        <v>0</v>
      </c>
      <c r="Y26" s="53">
        <f t="shared" si="9"/>
        <v>0</v>
      </c>
      <c r="Z26" s="53">
        <f t="shared" si="10"/>
        <v>0</v>
      </c>
      <c r="AA26" s="53">
        <f t="shared" si="11"/>
        <v>0</v>
      </c>
      <c r="AB26" s="53">
        <f t="shared" si="12"/>
        <v>0</v>
      </c>
      <c r="AC26" s="53">
        <f t="shared" si="13"/>
        <v>0</v>
      </c>
      <c r="AD26" s="53">
        <f t="shared" si="14"/>
        <v>0</v>
      </c>
      <c r="AE26" s="53">
        <f t="shared" si="15"/>
        <v>0</v>
      </c>
      <c r="AF26" s="53">
        <f t="shared" si="16"/>
        <v>0</v>
      </c>
      <c r="AG26" s="53">
        <f t="shared" si="17"/>
        <v>0</v>
      </c>
      <c r="AH26" s="53">
        <f t="shared" si="18"/>
        <v>0</v>
      </c>
      <c r="AI26" s="53">
        <f t="shared" si="19"/>
        <v>0</v>
      </c>
    </row>
    <row r="27" spans="1:35">
      <c r="A27" t="s">
        <v>873</v>
      </c>
      <c r="D27">
        <v>0</v>
      </c>
      <c r="E27">
        <v>0</v>
      </c>
      <c r="F27">
        <v>0</v>
      </c>
      <c r="G27">
        <v>0</v>
      </c>
      <c r="H27">
        <v>0</v>
      </c>
      <c r="I27">
        <v>0</v>
      </c>
      <c r="J27">
        <v>0</v>
      </c>
      <c r="K27">
        <v>0</v>
      </c>
      <c r="L27">
        <v>0</v>
      </c>
      <c r="M27">
        <v>0</v>
      </c>
      <c r="N27">
        <v>0</v>
      </c>
      <c r="O27">
        <v>0</v>
      </c>
      <c r="P27">
        <f t="shared" si="4"/>
        <v>0</v>
      </c>
      <c r="Q27" s="53">
        <v>32</v>
      </c>
      <c r="R27" s="53">
        <v>32</v>
      </c>
      <c r="S27" s="53">
        <f t="shared" si="5"/>
        <v>0</v>
      </c>
      <c r="T27" s="53">
        <f t="shared" si="6"/>
        <v>0</v>
      </c>
      <c r="U27" s="53">
        <f t="shared" si="7"/>
        <v>0</v>
      </c>
      <c r="W27" s="84"/>
      <c r="X27" s="53">
        <f t="shared" si="8"/>
        <v>0</v>
      </c>
      <c r="Y27" s="53">
        <f t="shared" si="9"/>
        <v>0</v>
      </c>
      <c r="Z27" s="53">
        <f t="shared" si="10"/>
        <v>0</v>
      </c>
      <c r="AA27" s="53">
        <f t="shared" si="11"/>
        <v>0</v>
      </c>
      <c r="AB27" s="53">
        <f t="shared" si="12"/>
        <v>0</v>
      </c>
      <c r="AC27" s="53">
        <f t="shared" si="13"/>
        <v>0</v>
      </c>
      <c r="AD27" s="53">
        <f t="shared" si="14"/>
        <v>0</v>
      </c>
      <c r="AE27" s="53">
        <f t="shared" si="15"/>
        <v>0</v>
      </c>
      <c r="AF27" s="53">
        <f t="shared" si="16"/>
        <v>0</v>
      </c>
      <c r="AG27" s="53">
        <f t="shared" si="17"/>
        <v>0</v>
      </c>
      <c r="AH27" s="53">
        <f t="shared" si="18"/>
        <v>0</v>
      </c>
      <c r="AI27" s="53">
        <f t="shared" si="19"/>
        <v>0</v>
      </c>
    </row>
    <row r="28" spans="1:35">
      <c r="A28" t="s">
        <v>872</v>
      </c>
      <c r="D28">
        <v>0</v>
      </c>
      <c r="E28">
        <v>0</v>
      </c>
      <c r="F28">
        <v>1</v>
      </c>
      <c r="G28">
        <v>1</v>
      </c>
      <c r="H28">
        <v>1</v>
      </c>
      <c r="I28">
        <v>0</v>
      </c>
      <c r="J28">
        <v>0</v>
      </c>
      <c r="K28">
        <v>0</v>
      </c>
      <c r="L28">
        <v>0</v>
      </c>
      <c r="M28">
        <v>1</v>
      </c>
      <c r="N28">
        <v>1</v>
      </c>
      <c r="O28">
        <v>1</v>
      </c>
      <c r="P28">
        <f t="shared" si="4"/>
        <v>6</v>
      </c>
      <c r="Q28" s="53">
        <v>114.9</v>
      </c>
      <c r="R28" s="53">
        <v>114.9</v>
      </c>
      <c r="S28" s="53">
        <f t="shared" si="5"/>
        <v>0</v>
      </c>
      <c r="T28" s="53">
        <f t="shared" si="6"/>
        <v>689.40000000000009</v>
      </c>
      <c r="U28" s="53">
        <f t="shared" si="7"/>
        <v>689.40000000000009</v>
      </c>
      <c r="W28" s="84"/>
      <c r="X28" s="53">
        <f t="shared" si="8"/>
        <v>0</v>
      </c>
      <c r="Y28" s="53">
        <f t="shared" si="9"/>
        <v>0</v>
      </c>
      <c r="Z28" s="53">
        <f t="shared" si="10"/>
        <v>114.9</v>
      </c>
      <c r="AA28" s="53">
        <f t="shared" si="11"/>
        <v>114.9</v>
      </c>
      <c r="AB28" s="53">
        <f t="shared" si="12"/>
        <v>114.9</v>
      </c>
      <c r="AC28" s="53">
        <f t="shared" si="13"/>
        <v>0</v>
      </c>
      <c r="AD28" s="53">
        <f t="shared" si="14"/>
        <v>0</v>
      </c>
      <c r="AE28" s="53">
        <f t="shared" si="15"/>
        <v>0</v>
      </c>
      <c r="AF28" s="53">
        <f t="shared" si="16"/>
        <v>0</v>
      </c>
      <c r="AG28" s="53">
        <f t="shared" si="17"/>
        <v>114.9</v>
      </c>
      <c r="AH28" s="53">
        <f t="shared" si="18"/>
        <v>114.9</v>
      </c>
      <c r="AI28" s="53">
        <f t="shared" si="19"/>
        <v>114.9</v>
      </c>
    </row>
    <row r="29" spans="1:35">
      <c r="A29" t="s">
        <v>871</v>
      </c>
      <c r="D29">
        <v>6</v>
      </c>
      <c r="E29">
        <v>6</v>
      </c>
      <c r="F29">
        <v>6</v>
      </c>
      <c r="G29">
        <v>6</v>
      </c>
      <c r="H29">
        <v>6</v>
      </c>
      <c r="I29">
        <v>6</v>
      </c>
      <c r="J29">
        <v>7</v>
      </c>
      <c r="K29">
        <v>8</v>
      </c>
      <c r="L29">
        <v>8</v>
      </c>
      <c r="M29">
        <v>8</v>
      </c>
      <c r="N29">
        <v>7</v>
      </c>
      <c r="O29">
        <v>7</v>
      </c>
      <c r="P29">
        <f t="shared" si="4"/>
        <v>81</v>
      </c>
      <c r="Q29" s="53">
        <v>197.8</v>
      </c>
      <c r="R29" s="53">
        <v>197.8</v>
      </c>
      <c r="S29" s="53">
        <f t="shared" si="5"/>
        <v>2373.6000000000004</v>
      </c>
      <c r="T29" s="53">
        <f t="shared" si="6"/>
        <v>13648.2</v>
      </c>
      <c r="U29" s="53">
        <f t="shared" si="7"/>
        <v>16021.800000000001</v>
      </c>
      <c r="W29" s="84"/>
      <c r="X29" s="53">
        <f t="shared" si="8"/>
        <v>1186.8000000000002</v>
      </c>
      <c r="Y29" s="53">
        <f t="shared" si="9"/>
        <v>1186.8000000000002</v>
      </c>
      <c r="Z29" s="53">
        <f t="shared" si="10"/>
        <v>1186.8000000000002</v>
      </c>
      <c r="AA29" s="53">
        <f t="shared" si="11"/>
        <v>1186.8000000000002</v>
      </c>
      <c r="AB29" s="53">
        <f t="shared" si="12"/>
        <v>1186.8000000000002</v>
      </c>
      <c r="AC29" s="53">
        <f t="shared" si="13"/>
        <v>1186.8000000000002</v>
      </c>
      <c r="AD29" s="53">
        <f t="shared" si="14"/>
        <v>1384.6000000000001</v>
      </c>
      <c r="AE29" s="53">
        <f t="shared" si="15"/>
        <v>1582.4</v>
      </c>
      <c r="AF29" s="53">
        <f t="shared" si="16"/>
        <v>1582.4</v>
      </c>
      <c r="AG29" s="53">
        <f t="shared" si="17"/>
        <v>1582.4</v>
      </c>
      <c r="AH29" s="53">
        <f t="shared" si="18"/>
        <v>1384.6000000000001</v>
      </c>
      <c r="AI29" s="53">
        <f t="shared" si="19"/>
        <v>1384.6000000000001</v>
      </c>
    </row>
    <row r="30" spans="1:35">
      <c r="A30" t="s">
        <v>870</v>
      </c>
      <c r="D30">
        <v>1</v>
      </c>
      <c r="E30">
        <v>1</v>
      </c>
      <c r="F30">
        <v>1</v>
      </c>
      <c r="G30">
        <v>1</v>
      </c>
      <c r="H30">
        <v>1</v>
      </c>
      <c r="I30">
        <v>1</v>
      </c>
      <c r="J30">
        <v>1</v>
      </c>
      <c r="K30">
        <v>1</v>
      </c>
      <c r="L30">
        <v>1</v>
      </c>
      <c r="M30">
        <v>1</v>
      </c>
      <c r="N30">
        <v>1</v>
      </c>
      <c r="O30">
        <v>1</v>
      </c>
      <c r="P30">
        <f t="shared" si="4"/>
        <v>12</v>
      </c>
      <c r="Q30" s="53">
        <v>360.3</v>
      </c>
      <c r="R30" s="53">
        <v>360.3</v>
      </c>
      <c r="S30" s="53">
        <f t="shared" si="5"/>
        <v>720.6</v>
      </c>
      <c r="T30" s="53">
        <f t="shared" si="6"/>
        <v>3603</v>
      </c>
      <c r="U30" s="53">
        <f t="shared" si="7"/>
        <v>4323.6000000000004</v>
      </c>
      <c r="W30" s="84"/>
      <c r="X30" s="53">
        <f t="shared" si="8"/>
        <v>360.3</v>
      </c>
      <c r="Y30" s="53">
        <f t="shared" si="9"/>
        <v>360.3</v>
      </c>
      <c r="Z30" s="53">
        <f t="shared" si="10"/>
        <v>360.3</v>
      </c>
      <c r="AA30" s="53">
        <f t="shared" si="11"/>
        <v>360.3</v>
      </c>
      <c r="AB30" s="53">
        <f t="shared" si="12"/>
        <v>360.3</v>
      </c>
      <c r="AC30" s="53">
        <f t="shared" si="13"/>
        <v>360.3</v>
      </c>
      <c r="AD30" s="53">
        <f t="shared" si="14"/>
        <v>360.3</v>
      </c>
      <c r="AE30" s="53">
        <f t="shared" si="15"/>
        <v>360.3</v>
      </c>
      <c r="AF30" s="53">
        <f t="shared" si="16"/>
        <v>360.3</v>
      </c>
      <c r="AG30" s="53">
        <f t="shared" si="17"/>
        <v>360.3</v>
      </c>
      <c r="AH30" s="53">
        <f t="shared" si="18"/>
        <v>360.3</v>
      </c>
      <c r="AI30" s="53">
        <f t="shared" si="19"/>
        <v>360.3</v>
      </c>
    </row>
    <row r="31" spans="1:35">
      <c r="A31" t="s">
        <v>869</v>
      </c>
      <c r="D31">
        <v>0</v>
      </c>
      <c r="E31">
        <v>0</v>
      </c>
      <c r="F31">
        <v>0</v>
      </c>
      <c r="G31">
        <v>0</v>
      </c>
      <c r="H31">
        <v>0</v>
      </c>
      <c r="I31">
        <v>0</v>
      </c>
      <c r="J31">
        <v>0</v>
      </c>
      <c r="K31">
        <v>0</v>
      </c>
      <c r="L31">
        <v>0</v>
      </c>
      <c r="M31">
        <v>0</v>
      </c>
      <c r="N31">
        <v>0</v>
      </c>
      <c r="O31">
        <v>0</v>
      </c>
      <c r="P31">
        <f t="shared" si="4"/>
        <v>0</v>
      </c>
      <c r="Q31" s="53">
        <v>558.6</v>
      </c>
      <c r="R31" s="53">
        <v>558.6</v>
      </c>
      <c r="S31" s="53">
        <f t="shared" si="5"/>
        <v>0</v>
      </c>
      <c r="T31" s="53">
        <f t="shared" si="6"/>
        <v>0</v>
      </c>
      <c r="U31" s="53">
        <f t="shared" si="7"/>
        <v>0</v>
      </c>
      <c r="W31" s="84"/>
      <c r="X31" s="53">
        <f t="shared" si="8"/>
        <v>0</v>
      </c>
      <c r="Y31" s="53">
        <f t="shared" si="9"/>
        <v>0</v>
      </c>
      <c r="Z31" s="53">
        <f t="shared" si="10"/>
        <v>0</v>
      </c>
      <c r="AA31" s="53">
        <f t="shared" si="11"/>
        <v>0</v>
      </c>
      <c r="AB31" s="53">
        <f t="shared" si="12"/>
        <v>0</v>
      </c>
      <c r="AC31" s="53">
        <f t="shared" si="13"/>
        <v>0</v>
      </c>
      <c r="AD31" s="53">
        <f t="shared" si="14"/>
        <v>0</v>
      </c>
      <c r="AE31" s="53">
        <f t="shared" si="15"/>
        <v>0</v>
      </c>
      <c r="AF31" s="53">
        <f t="shared" si="16"/>
        <v>0</v>
      </c>
      <c r="AG31" s="53">
        <f t="shared" si="17"/>
        <v>0</v>
      </c>
      <c r="AH31" s="53">
        <f t="shared" si="18"/>
        <v>0</v>
      </c>
      <c r="AI31" s="53">
        <f t="shared" si="19"/>
        <v>0</v>
      </c>
    </row>
    <row r="32" spans="1:35">
      <c r="Q32" s="53"/>
      <c r="R32" s="53"/>
      <c r="S32" s="53"/>
      <c r="T32" s="53"/>
      <c r="U32" s="53"/>
      <c r="W32" s="84"/>
      <c r="X32" s="53"/>
      <c r="Y32" s="53"/>
      <c r="Z32" s="53"/>
      <c r="AA32" s="53"/>
      <c r="AB32" s="53"/>
      <c r="AC32" s="53"/>
      <c r="AD32" s="53"/>
      <c r="AE32" s="53"/>
      <c r="AF32" s="53"/>
      <c r="AG32" s="53"/>
      <c r="AH32" s="53"/>
      <c r="AI32" s="53"/>
    </row>
    <row r="33" spans="1:35">
      <c r="A33" t="s">
        <v>868</v>
      </c>
      <c r="D33">
        <v>3.5</v>
      </c>
      <c r="E33">
        <v>1</v>
      </c>
      <c r="F33">
        <v>2</v>
      </c>
      <c r="G33">
        <v>0</v>
      </c>
      <c r="H33">
        <v>1.5</v>
      </c>
      <c r="I33">
        <v>0</v>
      </c>
      <c r="J33">
        <v>13</v>
      </c>
      <c r="K33">
        <v>16</v>
      </c>
      <c r="L33">
        <v>6.5</v>
      </c>
      <c r="M33">
        <v>4</v>
      </c>
      <c r="N33">
        <v>3</v>
      </c>
      <c r="O33">
        <v>2</v>
      </c>
      <c r="P33">
        <f>SUM(D33:O33)</f>
        <v>52.5</v>
      </c>
      <c r="Q33" s="53">
        <v>20.45</v>
      </c>
      <c r="R33" s="53">
        <v>20.45</v>
      </c>
      <c r="S33" s="53">
        <f>SUM(D33:E33)*Q33</f>
        <v>92.024999999999991</v>
      </c>
      <c r="T33" s="53">
        <f>SUM(F33:O33)*R33</f>
        <v>981.59999999999991</v>
      </c>
      <c r="U33" s="57">
        <f>+S33+T33</f>
        <v>1073.625</v>
      </c>
      <c r="W33" s="84"/>
      <c r="X33" s="57">
        <f t="shared" ref="X33:AI33" si="20">D33*$R33</f>
        <v>71.575000000000003</v>
      </c>
      <c r="Y33" s="57">
        <f t="shared" si="20"/>
        <v>20.45</v>
      </c>
      <c r="Z33" s="57">
        <f t="shared" si="20"/>
        <v>40.9</v>
      </c>
      <c r="AA33" s="57">
        <f t="shared" si="20"/>
        <v>0</v>
      </c>
      <c r="AB33" s="57">
        <f t="shared" si="20"/>
        <v>30.674999999999997</v>
      </c>
      <c r="AC33" s="57">
        <f t="shared" si="20"/>
        <v>0</v>
      </c>
      <c r="AD33" s="57">
        <f t="shared" si="20"/>
        <v>265.84999999999997</v>
      </c>
      <c r="AE33" s="57">
        <f t="shared" si="20"/>
        <v>327.2</v>
      </c>
      <c r="AF33" s="57">
        <f t="shared" si="20"/>
        <v>132.92499999999998</v>
      </c>
      <c r="AG33" s="57">
        <f t="shared" si="20"/>
        <v>81.8</v>
      </c>
      <c r="AH33" s="57">
        <f t="shared" si="20"/>
        <v>61.349999999999994</v>
      </c>
      <c r="AI33" s="57">
        <f t="shared" si="20"/>
        <v>40.9</v>
      </c>
    </row>
    <row r="34" spans="1:35">
      <c r="P34">
        <f>SUM(P12:P33)</f>
        <v>3473.5</v>
      </c>
      <c r="Q34" s="53"/>
      <c r="R34" s="53"/>
      <c r="S34" s="53"/>
      <c r="T34" s="53"/>
      <c r="U34" s="53"/>
      <c r="W34" s="84"/>
      <c r="X34" s="53"/>
      <c r="Y34" s="53"/>
      <c r="Z34" s="53"/>
      <c r="AA34" s="53"/>
      <c r="AB34" s="53"/>
      <c r="AC34" s="53"/>
      <c r="AD34" s="53"/>
      <c r="AE34" s="53"/>
      <c r="AF34" s="53"/>
      <c r="AG34" s="53"/>
      <c r="AH34" s="53"/>
      <c r="AI34" s="53"/>
    </row>
    <row r="35" spans="1:35">
      <c r="A35" t="s">
        <v>4</v>
      </c>
      <c r="Q35" s="53"/>
      <c r="R35" s="53"/>
      <c r="S35" s="53"/>
      <c r="T35" s="53"/>
      <c r="U35" s="53">
        <f>SUM(U12:U33)</f>
        <v>99628.150000000009</v>
      </c>
      <c r="W35" s="84"/>
      <c r="X35" s="53">
        <f t="shared" ref="X35:AI35" si="21">SUM(X12:X33)</f>
        <v>8107.7750000000005</v>
      </c>
      <c r="Y35" s="53">
        <f t="shared" si="21"/>
        <v>7898.9000000000005</v>
      </c>
      <c r="Z35" s="53">
        <f t="shared" si="21"/>
        <v>8014.85</v>
      </c>
      <c r="AA35" s="53">
        <f t="shared" si="21"/>
        <v>8154.1</v>
      </c>
      <c r="AB35" s="53">
        <f t="shared" si="21"/>
        <v>8116.6999999999989</v>
      </c>
      <c r="AC35" s="53">
        <f t="shared" si="21"/>
        <v>8071.9499999999989</v>
      </c>
      <c r="AD35" s="53">
        <f t="shared" si="21"/>
        <v>8521.9499999999989</v>
      </c>
      <c r="AE35" s="53">
        <f t="shared" si="21"/>
        <v>8917.4999999999982</v>
      </c>
      <c r="AF35" s="53">
        <f t="shared" si="21"/>
        <v>8630.1749999999975</v>
      </c>
      <c r="AG35" s="53">
        <f t="shared" si="21"/>
        <v>8608.8499999999967</v>
      </c>
      <c r="AH35" s="53">
        <f t="shared" si="21"/>
        <v>8359.4499999999989</v>
      </c>
      <c r="AI35" s="53">
        <f t="shared" si="21"/>
        <v>8225.9500000000007</v>
      </c>
    </row>
    <row r="36" spans="1:35">
      <c r="U36" s="53"/>
      <c r="W36" s="84"/>
      <c r="X36" s="53"/>
      <c r="Y36" s="53"/>
      <c r="Z36" s="53"/>
      <c r="AA36" s="53"/>
      <c r="AB36" s="53"/>
      <c r="AC36" s="53"/>
      <c r="AD36" s="53"/>
      <c r="AE36" s="53"/>
      <c r="AF36" s="53"/>
      <c r="AG36" s="53"/>
      <c r="AH36" s="53"/>
      <c r="AI36" s="53"/>
    </row>
    <row r="37" spans="1:35">
      <c r="A37" t="s">
        <v>867</v>
      </c>
      <c r="U37" s="57">
        <f>SUM(X37:AI37)</f>
        <v>104963.68999999999</v>
      </c>
      <c r="W37" s="84"/>
      <c r="X37" s="57">
        <f>'Monthy Income Statements'!C12</f>
        <v>8657.16</v>
      </c>
      <c r="Y37" s="57">
        <f>'Monthy Income Statements'!D12</f>
        <v>8449.16</v>
      </c>
      <c r="Z37" s="57">
        <f>'Monthy Income Statements'!E12</f>
        <v>8411.9500000000007</v>
      </c>
      <c r="AA37" s="57">
        <f>'Monthy Income Statements'!F12</f>
        <v>8401.4</v>
      </c>
      <c r="AB37" s="57">
        <f>'Monthy Income Statements'!G12</f>
        <v>8526.0499999999993</v>
      </c>
      <c r="AC37" s="57">
        <f>'Monthy Income Statements'!H12</f>
        <v>8430.98</v>
      </c>
      <c r="AD37" s="57">
        <f>'Monthy Income Statements'!I12</f>
        <v>8830.41</v>
      </c>
      <c r="AE37" s="57">
        <f>'Monthy Income Statements'!J12</f>
        <v>9035.81</v>
      </c>
      <c r="AF37" s="57">
        <f>'Monthy Income Statements'!K12</f>
        <v>8824.67</v>
      </c>
      <c r="AG37" s="57">
        <f>'Monthy Income Statements'!L12</f>
        <v>8776.0300000000007</v>
      </c>
      <c r="AH37" s="57">
        <f>'Monthy Income Statements'!M12</f>
        <v>9339.06</v>
      </c>
      <c r="AI37" s="57">
        <f>'Monthy Income Statements'!N12</f>
        <v>9281.01</v>
      </c>
    </row>
    <row r="38" spans="1:35">
      <c r="W38" s="84"/>
    </row>
    <row r="39" spans="1:35">
      <c r="A39" t="s">
        <v>260</v>
      </c>
      <c r="U39" s="53">
        <f>+U35-U37</f>
        <v>-5335.539999999979</v>
      </c>
      <c r="V39" s="139">
        <f>+U39/U37</f>
        <v>-5.0832244941083717E-2</v>
      </c>
      <c r="W39" s="84"/>
      <c r="X39" s="53">
        <f t="shared" ref="X39:AI39" si="22">+X35-X37</f>
        <v>-549.38499999999931</v>
      </c>
      <c r="Y39" s="53">
        <f t="shared" si="22"/>
        <v>-550.25999999999931</v>
      </c>
      <c r="Z39" s="53">
        <f t="shared" si="22"/>
        <v>-397.10000000000036</v>
      </c>
      <c r="AA39" s="53">
        <f t="shared" si="22"/>
        <v>-247.29999999999927</v>
      </c>
      <c r="AB39" s="53">
        <f t="shared" si="22"/>
        <v>-409.35000000000036</v>
      </c>
      <c r="AC39" s="53">
        <f t="shared" si="22"/>
        <v>-359.03000000000065</v>
      </c>
      <c r="AD39" s="53">
        <f t="shared" si="22"/>
        <v>-308.46000000000095</v>
      </c>
      <c r="AE39" s="53">
        <f t="shared" si="22"/>
        <v>-118.31000000000131</v>
      </c>
      <c r="AF39" s="53">
        <f t="shared" si="22"/>
        <v>-194.49500000000262</v>
      </c>
      <c r="AG39" s="53">
        <f t="shared" si="22"/>
        <v>-167.18000000000393</v>
      </c>
      <c r="AH39" s="53">
        <f t="shared" si="22"/>
        <v>-979.61000000000058</v>
      </c>
      <c r="AI39" s="53">
        <f t="shared" si="22"/>
        <v>-1055.0599999999995</v>
      </c>
    </row>
    <row r="40" spans="1:35">
      <c r="W40" s="84"/>
      <c r="X40" s="84"/>
      <c r="Y40" s="84"/>
      <c r="Z40" s="84"/>
      <c r="AA40" s="84"/>
      <c r="AB40" s="84"/>
      <c r="AC40" s="84"/>
      <c r="AD40" s="84"/>
      <c r="AE40" s="84"/>
      <c r="AF40" s="84"/>
      <c r="AG40" s="84"/>
      <c r="AH40" s="84"/>
    </row>
    <row r="41" spans="1:35">
      <c r="W41" s="84"/>
      <c r="X41" s="84"/>
      <c r="Y41" s="84"/>
      <c r="Z41" s="84"/>
      <c r="AA41" s="84"/>
      <c r="AB41" s="84"/>
      <c r="AC41" s="84"/>
      <c r="AD41" s="84"/>
      <c r="AE41" s="84"/>
      <c r="AF41" s="84"/>
      <c r="AG41" s="84"/>
      <c r="AH41" s="84"/>
    </row>
  </sheetData>
  <pageMargins left="0.2" right="0.45" top="0.54" bottom="0.45" header="0.5" footer="0.5"/>
  <pageSetup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workbookViewId="0">
      <selection activeCell="F4" sqref="F4"/>
    </sheetView>
  </sheetViews>
  <sheetFormatPr defaultRowHeight="12.75"/>
  <cols>
    <col min="1" max="1" width="12.7109375" customWidth="1"/>
    <col min="3" max="3" width="0.7109375" customWidth="1"/>
    <col min="17" max="17" width="10.140625" customWidth="1"/>
    <col min="18" max="20" width="11.5703125" customWidth="1"/>
    <col min="21" max="21" width="10.7109375" bestFit="1" customWidth="1"/>
    <col min="24" max="24" width="9.5703125" bestFit="1" customWidth="1"/>
    <col min="35" max="35" width="10.42578125" customWidth="1"/>
  </cols>
  <sheetData>
    <row r="1" spans="1:34">
      <c r="A1" t="s">
        <v>0</v>
      </c>
    </row>
    <row r="3" spans="1:34">
      <c r="A3" t="s">
        <v>890</v>
      </c>
      <c r="E3" s="718"/>
      <c r="F3" s="693" t="s">
        <v>1414</v>
      </c>
      <c r="G3" s="693" t="s">
        <v>702</v>
      </c>
    </row>
    <row r="5" spans="1:34">
      <c r="A5" s="693" t="s">
        <v>1366</v>
      </c>
    </row>
    <row r="7" spans="1:34">
      <c r="Q7" s="2" t="s">
        <v>100</v>
      </c>
      <c r="R7" s="2" t="s">
        <v>100</v>
      </c>
      <c r="S7" s="695" t="s">
        <v>152</v>
      </c>
      <c r="T7" s="695" t="s">
        <v>152</v>
      </c>
    </row>
    <row r="8" spans="1:34">
      <c r="Q8" s="698"/>
      <c r="R8" s="698" t="s">
        <v>1367</v>
      </c>
      <c r="S8" s="698"/>
      <c r="T8" s="706">
        <v>43831</v>
      </c>
      <c r="U8" s="2" t="s">
        <v>114</v>
      </c>
    </row>
    <row r="9" spans="1:34">
      <c r="A9" t="s">
        <v>882</v>
      </c>
      <c r="D9" s="2" t="s">
        <v>519</v>
      </c>
      <c r="E9" s="2" t="s">
        <v>518</v>
      </c>
      <c r="F9" s="2" t="s">
        <v>517</v>
      </c>
      <c r="G9" s="2" t="s">
        <v>516</v>
      </c>
      <c r="H9" s="2" t="s">
        <v>515</v>
      </c>
      <c r="I9" s="2" t="s">
        <v>514</v>
      </c>
      <c r="J9" s="2" t="s">
        <v>513</v>
      </c>
      <c r="K9" s="2" t="s">
        <v>512</v>
      </c>
      <c r="L9" s="2" t="s">
        <v>511</v>
      </c>
      <c r="M9" s="2" t="s">
        <v>510</v>
      </c>
      <c r="N9" s="2" t="s">
        <v>509</v>
      </c>
      <c r="O9" s="2" t="s">
        <v>508</v>
      </c>
      <c r="P9" s="2" t="s">
        <v>119</v>
      </c>
      <c r="Q9" s="328"/>
      <c r="R9" s="328">
        <v>44196</v>
      </c>
      <c r="S9" s="328"/>
      <c r="T9" s="705">
        <v>44196</v>
      </c>
      <c r="U9" s="2" t="s">
        <v>152</v>
      </c>
      <c r="W9" s="2"/>
      <c r="AG9" s="2"/>
      <c r="AH9" s="2"/>
    </row>
    <row r="11" spans="1:34">
      <c r="A11" t="s">
        <v>451</v>
      </c>
    </row>
    <row r="12" spans="1:34">
      <c r="A12" t="s">
        <v>881</v>
      </c>
      <c r="D12">
        <v>0</v>
      </c>
      <c r="E12">
        <v>0</v>
      </c>
      <c r="F12">
        <v>0</v>
      </c>
      <c r="G12">
        <v>0</v>
      </c>
      <c r="H12">
        <v>0</v>
      </c>
      <c r="I12">
        <v>0</v>
      </c>
      <c r="J12">
        <v>0</v>
      </c>
      <c r="K12">
        <v>0</v>
      </c>
      <c r="L12">
        <v>0</v>
      </c>
      <c r="M12">
        <v>0</v>
      </c>
      <c r="N12">
        <v>0</v>
      </c>
      <c r="O12">
        <v>0</v>
      </c>
      <c r="P12">
        <f>SUM(D12:O12)</f>
        <v>0</v>
      </c>
      <c r="Q12" s="53">
        <v>0</v>
      </c>
      <c r="R12" s="53">
        <v>0</v>
      </c>
      <c r="S12" s="53">
        <f>SUM(D12:F12)*Q12</f>
        <v>0</v>
      </c>
      <c r="T12" s="53">
        <f>SUM(D12:O12)*R12</f>
        <v>0</v>
      </c>
      <c r="U12" s="53">
        <f>+S12+T12</f>
        <v>0</v>
      </c>
      <c r="W12" s="84"/>
      <c r="X12" t="s">
        <v>152</v>
      </c>
      <c r="AG12" s="84"/>
      <c r="AH12" s="84"/>
    </row>
    <row r="13" spans="1:34">
      <c r="A13" t="s">
        <v>889</v>
      </c>
      <c r="D13">
        <v>0</v>
      </c>
      <c r="E13">
        <v>0</v>
      </c>
      <c r="F13">
        <v>0</v>
      </c>
      <c r="G13">
        <v>0</v>
      </c>
      <c r="H13">
        <v>0</v>
      </c>
      <c r="I13">
        <v>0</v>
      </c>
      <c r="J13">
        <v>0</v>
      </c>
      <c r="K13">
        <v>0</v>
      </c>
      <c r="L13">
        <v>0</v>
      </c>
      <c r="M13">
        <v>0</v>
      </c>
      <c r="N13">
        <v>0</v>
      </c>
      <c r="O13">
        <v>0</v>
      </c>
      <c r="P13">
        <f>SUM(D13:O13)</f>
        <v>0</v>
      </c>
      <c r="Q13" s="53">
        <v>0</v>
      </c>
      <c r="R13" s="53">
        <v>15.05</v>
      </c>
      <c r="S13" s="53">
        <f t="shared" ref="S13:S16" si="0">SUM(D13:F13)*Q13</f>
        <v>0</v>
      </c>
      <c r="T13" s="53">
        <f t="shared" ref="T13:T16" si="1">SUM(D13:O13)*R13</f>
        <v>0</v>
      </c>
      <c r="U13" s="53">
        <f t="shared" ref="U13:U16" si="2">+S13+T13</f>
        <v>0</v>
      </c>
      <c r="W13" s="84"/>
      <c r="AG13" s="84"/>
      <c r="AH13" s="84"/>
    </row>
    <row r="14" spans="1:34">
      <c r="A14" t="s">
        <v>888</v>
      </c>
      <c r="D14">
        <v>576</v>
      </c>
      <c r="E14">
        <v>578</v>
      </c>
      <c r="F14">
        <v>578</v>
      </c>
      <c r="G14">
        <v>580</v>
      </c>
      <c r="H14">
        <v>580</v>
      </c>
      <c r="I14">
        <v>580</v>
      </c>
      <c r="J14">
        <v>586</v>
      </c>
      <c r="K14">
        <v>585</v>
      </c>
      <c r="L14">
        <v>584</v>
      </c>
      <c r="M14">
        <v>582</v>
      </c>
      <c r="N14">
        <v>581</v>
      </c>
      <c r="O14">
        <v>577</v>
      </c>
      <c r="P14">
        <f>SUM(D14:O14)</f>
        <v>6967</v>
      </c>
      <c r="Q14" s="53">
        <v>0</v>
      </c>
      <c r="R14" s="53">
        <v>18.899999999999999</v>
      </c>
      <c r="S14" s="53">
        <f t="shared" si="0"/>
        <v>0</v>
      </c>
      <c r="T14" s="53">
        <f t="shared" si="1"/>
        <v>131676.29999999999</v>
      </c>
      <c r="U14" s="53">
        <f t="shared" si="2"/>
        <v>131676.29999999999</v>
      </c>
      <c r="W14" s="84"/>
      <c r="X14" s="6"/>
      <c r="AG14" s="84"/>
      <c r="AH14" s="84"/>
    </row>
    <row r="15" spans="1:34">
      <c r="A15" t="s">
        <v>887</v>
      </c>
      <c r="D15">
        <v>42</v>
      </c>
      <c r="E15">
        <v>42</v>
      </c>
      <c r="F15">
        <v>42</v>
      </c>
      <c r="G15">
        <v>42</v>
      </c>
      <c r="H15">
        <v>42</v>
      </c>
      <c r="I15">
        <v>45</v>
      </c>
      <c r="J15">
        <v>46</v>
      </c>
      <c r="K15">
        <v>46</v>
      </c>
      <c r="L15">
        <v>49</v>
      </c>
      <c r="M15">
        <v>49</v>
      </c>
      <c r="N15">
        <v>49</v>
      </c>
      <c r="O15">
        <v>49</v>
      </c>
      <c r="P15">
        <f>SUM(D15:O15)</f>
        <v>543</v>
      </c>
      <c r="Q15" s="53">
        <v>0</v>
      </c>
      <c r="R15" s="53">
        <v>28.75</v>
      </c>
      <c r="S15" s="53">
        <f t="shared" si="0"/>
        <v>0</v>
      </c>
      <c r="T15" s="53">
        <f t="shared" si="1"/>
        <v>15611.25</v>
      </c>
      <c r="U15" s="53">
        <f t="shared" si="2"/>
        <v>15611.25</v>
      </c>
      <c r="W15" s="84"/>
      <c r="X15" s="6"/>
      <c r="AG15" s="84"/>
      <c r="AH15" s="84"/>
    </row>
    <row r="16" spans="1:34">
      <c r="A16" t="s">
        <v>879</v>
      </c>
      <c r="D16">
        <v>0</v>
      </c>
      <c r="E16">
        <v>0</v>
      </c>
      <c r="F16">
        <v>0</v>
      </c>
      <c r="G16">
        <v>0</v>
      </c>
      <c r="H16">
        <v>0</v>
      </c>
      <c r="I16">
        <v>0</v>
      </c>
      <c r="J16">
        <v>0</v>
      </c>
      <c r="K16">
        <v>0</v>
      </c>
      <c r="L16">
        <v>0</v>
      </c>
      <c r="M16">
        <v>0</v>
      </c>
      <c r="N16">
        <v>0</v>
      </c>
      <c r="O16">
        <v>0</v>
      </c>
      <c r="P16">
        <f>SUM(D16:O16)</f>
        <v>0</v>
      </c>
      <c r="Q16" s="53">
        <v>0</v>
      </c>
      <c r="R16" s="53">
        <v>0</v>
      </c>
      <c r="S16" s="53">
        <f t="shared" si="0"/>
        <v>0</v>
      </c>
      <c r="T16" s="53">
        <f t="shared" si="1"/>
        <v>0</v>
      </c>
      <c r="U16" s="53">
        <f t="shared" si="2"/>
        <v>0</v>
      </c>
      <c r="W16" s="84"/>
      <c r="X16" s="6"/>
      <c r="AG16" s="84"/>
      <c r="AH16" s="84"/>
    </row>
    <row r="17" spans="1:35">
      <c r="A17" t="s">
        <v>426</v>
      </c>
      <c r="Q17" s="53"/>
      <c r="R17" s="53"/>
      <c r="S17" s="53"/>
      <c r="T17" s="53"/>
      <c r="U17" s="53"/>
      <c r="W17" s="84"/>
      <c r="X17" s="6"/>
      <c r="AG17" s="84"/>
      <c r="AH17" s="84"/>
    </row>
    <row r="18" spans="1:35">
      <c r="A18" t="s">
        <v>886</v>
      </c>
      <c r="D18">
        <v>0</v>
      </c>
      <c r="E18">
        <v>0</v>
      </c>
      <c r="F18">
        <v>0</v>
      </c>
      <c r="G18">
        <v>0</v>
      </c>
      <c r="H18">
        <v>0</v>
      </c>
      <c r="I18">
        <v>0</v>
      </c>
      <c r="J18">
        <v>0</v>
      </c>
      <c r="K18">
        <v>0</v>
      </c>
      <c r="L18">
        <v>0</v>
      </c>
      <c r="M18">
        <v>0</v>
      </c>
      <c r="N18">
        <v>0</v>
      </c>
      <c r="O18">
        <v>0</v>
      </c>
      <c r="P18">
        <f t="shared" ref="P18:P27" si="3">SUM(D18:O18)</f>
        <v>0</v>
      </c>
      <c r="Q18" s="53">
        <v>0</v>
      </c>
      <c r="R18" s="53">
        <v>21.75</v>
      </c>
      <c r="S18" s="53">
        <f t="shared" ref="S18:S27" si="4">SUM(D18:F18)*Q18</f>
        <v>0</v>
      </c>
      <c r="T18" s="53">
        <f t="shared" ref="T18:T27" si="5">SUM(D18:O18)*R18</f>
        <v>0</v>
      </c>
      <c r="U18" s="53">
        <f t="shared" ref="U18:U27" si="6">+S18+T18</f>
        <v>0</v>
      </c>
      <c r="W18" s="84"/>
      <c r="X18" s="6"/>
      <c r="AG18" s="84"/>
      <c r="AH18" s="84"/>
    </row>
    <row r="19" spans="1:35">
      <c r="A19" t="s">
        <v>885</v>
      </c>
      <c r="D19">
        <v>0</v>
      </c>
      <c r="E19">
        <v>0</v>
      </c>
      <c r="F19">
        <v>0</v>
      </c>
      <c r="G19">
        <v>0</v>
      </c>
      <c r="H19">
        <v>0</v>
      </c>
      <c r="I19">
        <v>0</v>
      </c>
      <c r="J19">
        <v>0</v>
      </c>
      <c r="K19">
        <v>0</v>
      </c>
      <c r="L19">
        <v>0</v>
      </c>
      <c r="M19">
        <v>0</v>
      </c>
      <c r="N19">
        <v>0</v>
      </c>
      <c r="O19">
        <v>0</v>
      </c>
      <c r="P19">
        <f t="shared" si="3"/>
        <v>0</v>
      </c>
      <c r="Q19" s="53">
        <v>0</v>
      </c>
      <c r="R19" s="53">
        <v>31.95</v>
      </c>
      <c r="S19" s="53">
        <f t="shared" si="4"/>
        <v>0</v>
      </c>
      <c r="T19" s="53">
        <f t="shared" si="5"/>
        <v>0</v>
      </c>
      <c r="U19" s="53">
        <f t="shared" si="6"/>
        <v>0</v>
      </c>
      <c r="W19" s="84"/>
      <c r="X19" s="6"/>
      <c r="AG19" s="84"/>
      <c r="AH19" s="84"/>
    </row>
    <row r="20" spans="1:35">
      <c r="A20" t="s">
        <v>425</v>
      </c>
      <c r="D20">
        <v>29</v>
      </c>
      <c r="E20">
        <v>29</v>
      </c>
      <c r="F20">
        <v>29</v>
      </c>
      <c r="G20">
        <v>28</v>
      </c>
      <c r="H20">
        <v>28</v>
      </c>
      <c r="I20">
        <v>27</v>
      </c>
      <c r="J20">
        <v>2</v>
      </c>
      <c r="K20">
        <v>27</v>
      </c>
      <c r="L20">
        <v>27</v>
      </c>
      <c r="M20">
        <v>28</v>
      </c>
      <c r="N20">
        <v>28</v>
      </c>
      <c r="O20">
        <v>28</v>
      </c>
      <c r="P20">
        <f t="shared" si="3"/>
        <v>310</v>
      </c>
      <c r="Q20" s="53">
        <v>0</v>
      </c>
      <c r="R20" s="53">
        <v>60.3</v>
      </c>
      <c r="S20" s="53">
        <f t="shared" si="4"/>
        <v>0</v>
      </c>
      <c r="T20" s="53">
        <f t="shared" si="5"/>
        <v>18693</v>
      </c>
      <c r="U20" s="53">
        <f t="shared" si="6"/>
        <v>18693</v>
      </c>
      <c r="W20" s="84"/>
      <c r="X20" s="6"/>
      <c r="AG20" s="84"/>
      <c r="AH20" s="84"/>
    </row>
    <row r="21" spans="1:35">
      <c r="A21" t="s">
        <v>423</v>
      </c>
      <c r="D21">
        <v>9</v>
      </c>
      <c r="E21">
        <v>9</v>
      </c>
      <c r="F21">
        <v>9</v>
      </c>
      <c r="G21">
        <v>9</v>
      </c>
      <c r="H21">
        <v>9</v>
      </c>
      <c r="I21">
        <v>8</v>
      </c>
      <c r="J21">
        <v>8</v>
      </c>
      <c r="K21">
        <v>8</v>
      </c>
      <c r="L21">
        <v>8</v>
      </c>
      <c r="M21">
        <v>8</v>
      </c>
      <c r="N21">
        <v>8</v>
      </c>
      <c r="O21">
        <v>8</v>
      </c>
      <c r="P21">
        <f t="shared" si="3"/>
        <v>101</v>
      </c>
      <c r="Q21" s="53">
        <v>0</v>
      </c>
      <c r="R21" s="53">
        <v>107.45</v>
      </c>
      <c r="S21" s="53">
        <f t="shared" si="4"/>
        <v>0</v>
      </c>
      <c r="T21" s="53">
        <f t="shared" si="5"/>
        <v>10852.45</v>
      </c>
      <c r="U21" s="53">
        <f t="shared" si="6"/>
        <v>10852.45</v>
      </c>
      <c r="W21" s="84"/>
      <c r="X21" s="6"/>
      <c r="AG21" s="84"/>
      <c r="AH21" s="84"/>
    </row>
    <row r="22" spans="1:35">
      <c r="A22" t="s">
        <v>421</v>
      </c>
      <c r="D22">
        <v>0</v>
      </c>
      <c r="E22">
        <v>0</v>
      </c>
      <c r="F22">
        <v>0</v>
      </c>
      <c r="G22">
        <v>0</v>
      </c>
      <c r="H22">
        <v>0</v>
      </c>
      <c r="I22">
        <v>0</v>
      </c>
      <c r="J22">
        <v>0</v>
      </c>
      <c r="K22">
        <v>0</v>
      </c>
      <c r="L22">
        <v>0</v>
      </c>
      <c r="M22">
        <v>0</v>
      </c>
      <c r="N22">
        <v>0</v>
      </c>
      <c r="O22">
        <v>0</v>
      </c>
      <c r="P22">
        <f t="shared" si="3"/>
        <v>0</v>
      </c>
      <c r="Q22" s="53">
        <v>0</v>
      </c>
      <c r="R22" s="53">
        <v>191.95</v>
      </c>
      <c r="S22" s="53">
        <f t="shared" si="4"/>
        <v>0</v>
      </c>
      <c r="T22" s="53">
        <f t="shared" si="5"/>
        <v>0</v>
      </c>
      <c r="U22" s="53">
        <f t="shared" si="6"/>
        <v>0</v>
      </c>
      <c r="W22" s="84"/>
      <c r="X22" s="6"/>
      <c r="AG22" s="84"/>
      <c r="AH22" s="84"/>
    </row>
    <row r="23" spans="1:35">
      <c r="A23" t="s">
        <v>420</v>
      </c>
      <c r="D23">
        <v>0</v>
      </c>
      <c r="E23">
        <v>0</v>
      </c>
      <c r="F23">
        <v>0</v>
      </c>
      <c r="G23">
        <v>0</v>
      </c>
      <c r="H23">
        <v>0</v>
      </c>
      <c r="I23">
        <v>0</v>
      </c>
      <c r="J23">
        <v>0</v>
      </c>
      <c r="K23">
        <v>0</v>
      </c>
      <c r="L23">
        <v>0</v>
      </c>
      <c r="M23">
        <v>0</v>
      </c>
      <c r="N23">
        <v>0</v>
      </c>
      <c r="O23">
        <v>0</v>
      </c>
      <c r="P23">
        <f t="shared" si="3"/>
        <v>0</v>
      </c>
      <c r="Q23" s="53">
        <v>0</v>
      </c>
      <c r="R23" s="53">
        <v>290.8</v>
      </c>
      <c r="S23" s="53">
        <f t="shared" si="4"/>
        <v>0</v>
      </c>
      <c r="T23" s="53">
        <f t="shared" si="5"/>
        <v>0</v>
      </c>
      <c r="U23" s="53">
        <f t="shared" si="6"/>
        <v>0</v>
      </c>
      <c r="W23" s="84"/>
      <c r="X23" s="6"/>
      <c r="AG23" s="84"/>
      <c r="AH23" s="84"/>
    </row>
    <row r="24" spans="1:35">
      <c r="A24" t="s">
        <v>872</v>
      </c>
      <c r="D24">
        <v>4</v>
      </c>
      <c r="E24">
        <v>4</v>
      </c>
      <c r="F24">
        <v>4</v>
      </c>
      <c r="G24">
        <v>3</v>
      </c>
      <c r="H24">
        <v>3</v>
      </c>
      <c r="I24">
        <v>3</v>
      </c>
      <c r="J24">
        <v>4</v>
      </c>
      <c r="K24">
        <v>3</v>
      </c>
      <c r="L24">
        <v>4</v>
      </c>
      <c r="M24">
        <v>3</v>
      </c>
      <c r="N24">
        <v>3</v>
      </c>
      <c r="O24">
        <v>3</v>
      </c>
      <c r="P24">
        <f t="shared" si="3"/>
        <v>41</v>
      </c>
      <c r="Q24" s="53">
        <v>0</v>
      </c>
      <c r="R24" s="53">
        <v>120.6</v>
      </c>
      <c r="S24" s="53">
        <f t="shared" si="4"/>
        <v>0</v>
      </c>
      <c r="T24" s="53">
        <f t="shared" si="5"/>
        <v>4944.5999999999995</v>
      </c>
      <c r="U24" s="53">
        <f t="shared" si="6"/>
        <v>4944.5999999999995</v>
      </c>
      <c r="W24" s="84"/>
      <c r="X24" s="6"/>
      <c r="AG24" s="84"/>
      <c r="AH24" s="84"/>
    </row>
    <row r="25" spans="1:35">
      <c r="A25" t="s">
        <v>871</v>
      </c>
      <c r="D25">
        <v>6</v>
      </c>
      <c r="E25">
        <v>6</v>
      </c>
      <c r="F25">
        <v>6</v>
      </c>
      <c r="G25">
        <v>5</v>
      </c>
      <c r="H25">
        <v>5</v>
      </c>
      <c r="I25">
        <v>5</v>
      </c>
      <c r="J25">
        <v>5</v>
      </c>
      <c r="K25">
        <v>5</v>
      </c>
      <c r="L25">
        <v>5</v>
      </c>
      <c r="M25">
        <v>5</v>
      </c>
      <c r="N25">
        <v>5</v>
      </c>
      <c r="O25">
        <v>5</v>
      </c>
      <c r="P25">
        <f t="shared" si="3"/>
        <v>63</v>
      </c>
      <c r="Q25" s="53">
        <v>0</v>
      </c>
      <c r="R25" s="53">
        <v>214.9</v>
      </c>
      <c r="S25" s="53">
        <f t="shared" si="4"/>
        <v>0</v>
      </c>
      <c r="T25" s="53">
        <f t="shared" si="5"/>
        <v>13538.7</v>
      </c>
      <c r="U25" s="53">
        <f t="shared" si="6"/>
        <v>13538.7</v>
      </c>
      <c r="W25" s="84"/>
      <c r="X25" s="6"/>
      <c r="AG25" s="84"/>
      <c r="AH25" s="84"/>
    </row>
    <row r="26" spans="1:35">
      <c r="A26" t="s">
        <v>870</v>
      </c>
      <c r="D26">
        <v>8</v>
      </c>
      <c r="E26">
        <v>8</v>
      </c>
      <c r="F26">
        <v>8</v>
      </c>
      <c r="G26">
        <v>8</v>
      </c>
      <c r="H26">
        <v>8</v>
      </c>
      <c r="I26">
        <v>8</v>
      </c>
      <c r="J26">
        <v>8</v>
      </c>
      <c r="K26">
        <v>8</v>
      </c>
      <c r="L26">
        <v>8</v>
      </c>
      <c r="M26">
        <v>8</v>
      </c>
      <c r="N26">
        <v>8</v>
      </c>
      <c r="O26">
        <v>8</v>
      </c>
      <c r="P26">
        <f t="shared" si="3"/>
        <v>96</v>
      </c>
      <c r="Q26" s="53">
        <v>0</v>
      </c>
      <c r="R26" s="53">
        <v>383.9</v>
      </c>
      <c r="S26" s="53">
        <f t="shared" si="4"/>
        <v>0</v>
      </c>
      <c r="T26" s="53">
        <f t="shared" si="5"/>
        <v>36854.399999999994</v>
      </c>
      <c r="U26" s="53">
        <f t="shared" si="6"/>
        <v>36854.399999999994</v>
      </c>
      <c r="W26" s="84"/>
      <c r="AG26" s="84"/>
      <c r="AH26" s="84"/>
    </row>
    <row r="27" spans="1:35">
      <c r="A27" t="s">
        <v>869</v>
      </c>
      <c r="D27">
        <v>3</v>
      </c>
      <c r="E27">
        <v>3</v>
      </c>
      <c r="F27">
        <v>3</v>
      </c>
      <c r="G27">
        <v>3</v>
      </c>
      <c r="H27">
        <v>3</v>
      </c>
      <c r="I27">
        <v>3</v>
      </c>
      <c r="J27">
        <v>3</v>
      </c>
      <c r="K27">
        <v>3</v>
      </c>
      <c r="L27">
        <v>3</v>
      </c>
      <c r="M27">
        <v>3</v>
      </c>
      <c r="N27">
        <v>3</v>
      </c>
      <c r="O27">
        <v>3</v>
      </c>
      <c r="P27">
        <f t="shared" si="3"/>
        <v>36</v>
      </c>
      <c r="Q27" s="53">
        <v>0</v>
      </c>
      <c r="R27" s="53">
        <v>581.6</v>
      </c>
      <c r="S27" s="53">
        <f t="shared" si="4"/>
        <v>0</v>
      </c>
      <c r="T27" s="53">
        <f t="shared" si="5"/>
        <v>20937.600000000002</v>
      </c>
      <c r="U27" s="53">
        <f t="shared" si="6"/>
        <v>20937.600000000002</v>
      </c>
      <c r="W27" s="84"/>
      <c r="AG27" s="84"/>
      <c r="AH27" s="84"/>
    </row>
    <row r="28" spans="1:35">
      <c r="Q28" s="53"/>
      <c r="R28" s="53"/>
      <c r="S28" s="53"/>
      <c r="T28" s="53"/>
      <c r="U28" s="53"/>
      <c r="W28" s="84"/>
      <c r="AG28" s="84"/>
      <c r="AH28" s="84"/>
    </row>
    <row r="29" spans="1:35">
      <c r="A29" t="s">
        <v>868</v>
      </c>
      <c r="D29">
        <v>0</v>
      </c>
      <c r="E29">
        <v>0</v>
      </c>
      <c r="F29">
        <v>0</v>
      </c>
      <c r="G29">
        <v>0</v>
      </c>
      <c r="H29">
        <v>0</v>
      </c>
      <c r="I29">
        <v>0</v>
      </c>
      <c r="J29">
        <v>8.5</v>
      </c>
      <c r="K29">
        <v>2</v>
      </c>
      <c r="L29">
        <v>7</v>
      </c>
      <c r="M29">
        <v>3.5</v>
      </c>
      <c r="N29">
        <v>6.5</v>
      </c>
      <c r="O29" s="76">
        <v>1.5</v>
      </c>
      <c r="P29" s="76">
        <f>SUM(D29:O29)</f>
        <v>29</v>
      </c>
      <c r="Q29" s="53">
        <v>0</v>
      </c>
      <c r="R29" s="53">
        <v>20.85</v>
      </c>
      <c r="S29" s="53">
        <f>SUM(D29:F29)*Q29</f>
        <v>0</v>
      </c>
      <c r="T29" s="53">
        <f>SUM(D29:O29)*R29</f>
        <v>604.65000000000009</v>
      </c>
      <c r="U29" s="53">
        <f>+S29+T29</f>
        <v>604.65000000000009</v>
      </c>
      <c r="W29" s="84"/>
      <c r="X29" s="84">
        <f>SUM(X14:X26)</f>
        <v>0</v>
      </c>
      <c r="AG29" s="84"/>
      <c r="AH29" s="84"/>
    </row>
    <row r="30" spans="1:35">
      <c r="P30" s="441">
        <f>SUM(P12:P29)</f>
        <v>8186</v>
      </c>
      <c r="Q30" s="53"/>
      <c r="R30" s="53"/>
      <c r="S30" s="53"/>
      <c r="T30" s="53"/>
      <c r="U30" s="53"/>
      <c r="W30" s="84"/>
      <c r="AG30" s="84"/>
      <c r="AH30" s="84"/>
    </row>
    <row r="31" spans="1:35">
      <c r="A31" t="s">
        <v>4</v>
      </c>
      <c r="Q31" s="53"/>
      <c r="R31" s="53"/>
      <c r="S31" s="53"/>
      <c r="T31" s="53"/>
      <c r="U31" s="53">
        <f>SUM(U12:U29)</f>
        <v>253712.95</v>
      </c>
      <c r="W31" s="84"/>
      <c r="X31" s="84"/>
      <c r="Y31" s="84"/>
      <c r="Z31" s="84"/>
      <c r="AA31" s="84"/>
      <c r="AB31" s="84"/>
      <c r="AC31" s="84"/>
      <c r="AD31" s="84"/>
      <c r="AE31" s="84"/>
      <c r="AF31" s="84"/>
      <c r="AG31" s="84"/>
      <c r="AH31" s="84"/>
      <c r="AI31" s="84"/>
    </row>
    <row r="32" spans="1:35">
      <c r="Q32" s="53"/>
      <c r="R32" s="53"/>
      <c r="S32" s="53"/>
      <c r="T32" s="53"/>
      <c r="U32" s="258"/>
      <c r="W32" s="84"/>
      <c r="X32" s="84"/>
      <c r="Y32" s="84"/>
      <c r="Z32" s="84"/>
      <c r="AA32" s="84"/>
      <c r="AB32" s="84"/>
      <c r="AC32" s="84"/>
      <c r="AD32" s="84"/>
      <c r="AE32" s="84"/>
      <c r="AF32" s="84"/>
      <c r="AG32" s="84"/>
      <c r="AH32" s="84"/>
      <c r="AI32" s="84"/>
    </row>
    <row r="33" spans="1:36">
      <c r="U33" s="53"/>
      <c r="W33" s="84"/>
      <c r="X33" s="84"/>
      <c r="Y33" s="84"/>
      <c r="Z33" s="84"/>
      <c r="AA33" s="84"/>
      <c r="AB33" s="84"/>
      <c r="AC33" s="84"/>
      <c r="AD33" s="84"/>
      <c r="AE33" s="84"/>
      <c r="AF33" s="84"/>
      <c r="AG33" s="84"/>
      <c r="AH33" s="84"/>
    </row>
    <row r="34" spans="1:36">
      <c r="A34" t="s">
        <v>867</v>
      </c>
      <c r="U34" s="57">
        <f>-'Monthy Income Statements'!O11</f>
        <v>-238465.85</v>
      </c>
      <c r="W34" s="84"/>
      <c r="X34" s="84"/>
      <c r="Y34" s="84"/>
      <c r="Z34" s="84"/>
      <c r="AA34" s="84"/>
      <c r="AB34" s="84"/>
      <c r="AC34" s="84"/>
      <c r="AD34" s="84"/>
      <c r="AE34" s="84"/>
      <c r="AF34" s="84"/>
      <c r="AG34" s="84"/>
      <c r="AH34" s="84"/>
    </row>
    <row r="35" spans="1:36">
      <c r="W35" s="84"/>
      <c r="X35" s="84"/>
      <c r="Y35" s="84"/>
      <c r="Z35" s="84"/>
      <c r="AA35" s="84"/>
      <c r="AB35" s="84"/>
      <c r="AC35" s="84"/>
      <c r="AD35" s="84"/>
      <c r="AE35" s="84"/>
      <c r="AF35" s="84"/>
      <c r="AG35" s="84"/>
      <c r="AH35" s="84"/>
      <c r="AI35" s="84"/>
    </row>
    <row r="36" spans="1:36">
      <c r="A36" t="s">
        <v>260</v>
      </c>
      <c r="U36" s="53">
        <f>+U31+U32+U34</f>
        <v>15247.100000000006</v>
      </c>
      <c r="V36" s="139">
        <f>+U36/U34</f>
        <v>-6.3938295567268877E-2</v>
      </c>
      <c r="W36" s="84"/>
      <c r="X36" s="84"/>
      <c r="Y36" s="84"/>
      <c r="Z36" s="84"/>
      <c r="AA36" s="84"/>
      <c r="AB36" s="84"/>
      <c r="AC36" s="84"/>
      <c r="AD36" s="84"/>
      <c r="AE36" s="84"/>
      <c r="AF36" s="84"/>
      <c r="AG36" s="84"/>
      <c r="AH36" s="84"/>
    </row>
    <row r="37" spans="1:36">
      <c r="W37" s="84"/>
      <c r="X37" s="84"/>
      <c r="Y37" s="84"/>
      <c r="Z37" s="84"/>
      <c r="AA37" s="84"/>
      <c r="AB37" s="84"/>
      <c r="AC37" s="84"/>
      <c r="AD37" s="84"/>
      <c r="AE37" s="84"/>
      <c r="AF37" s="84"/>
      <c r="AG37" s="84"/>
      <c r="AH37" s="84"/>
    </row>
    <row r="38" spans="1:36">
      <c r="A38" t="s">
        <v>884</v>
      </c>
      <c r="W38" s="84"/>
      <c r="X38" s="84"/>
      <c r="Y38" s="84"/>
      <c r="Z38" s="84"/>
      <c r="AA38" s="84"/>
      <c r="AB38" s="84"/>
      <c r="AC38" s="84"/>
      <c r="AD38" s="84"/>
      <c r="AE38" s="84"/>
      <c r="AF38" s="84"/>
      <c r="AG38" s="84"/>
      <c r="AH38" s="84"/>
    </row>
    <row r="39" spans="1:36">
      <c r="A39" t="s">
        <v>425</v>
      </c>
      <c r="P39">
        <f>ROUND((+P20/12)*52,0)</f>
        <v>1343</v>
      </c>
      <c r="W39" s="84"/>
      <c r="X39" s="84"/>
      <c r="Y39" s="84"/>
      <c r="Z39" s="84"/>
      <c r="AA39" s="84"/>
      <c r="AB39" s="84"/>
      <c r="AC39" s="84"/>
      <c r="AD39" s="84"/>
      <c r="AE39" s="84"/>
      <c r="AF39" s="84"/>
      <c r="AG39" s="84"/>
      <c r="AH39" s="84"/>
    </row>
    <row r="40" spans="1:36">
      <c r="A40" t="s">
        <v>423</v>
      </c>
      <c r="P40">
        <f>ROUND((+P21/12)*52,0)</f>
        <v>438</v>
      </c>
      <c r="W40" s="327"/>
      <c r="X40" s="327"/>
      <c r="Y40" s="327"/>
      <c r="Z40" s="327"/>
      <c r="AA40" s="327"/>
      <c r="AB40" s="327"/>
      <c r="AC40" s="327"/>
      <c r="AD40" s="327"/>
      <c r="AE40" s="327"/>
      <c r="AF40" s="327"/>
      <c r="AG40" s="327"/>
      <c r="AH40" s="327"/>
      <c r="AI40" s="327"/>
      <c r="AJ40" s="327"/>
    </row>
    <row r="41" spans="1:36">
      <c r="A41" t="s">
        <v>421</v>
      </c>
      <c r="P41">
        <f>ROUND((+P22/12)*52,0)</f>
        <v>0</v>
      </c>
      <c r="W41" s="327"/>
      <c r="X41" s="327"/>
      <c r="Y41" s="327"/>
      <c r="Z41" s="327"/>
      <c r="AA41" s="327"/>
      <c r="AB41" s="327"/>
      <c r="AC41" s="327"/>
      <c r="AD41" s="327"/>
      <c r="AE41" s="327"/>
      <c r="AF41" s="327"/>
      <c r="AG41" s="327"/>
      <c r="AH41" s="327"/>
      <c r="AI41" s="327"/>
      <c r="AJ41" s="327"/>
    </row>
    <row r="42" spans="1:36">
      <c r="A42" t="s">
        <v>420</v>
      </c>
      <c r="P42">
        <f>ROUND((+P23/12)*52,0)</f>
        <v>0</v>
      </c>
      <c r="W42" s="327"/>
      <c r="X42" s="327"/>
      <c r="Y42" s="327"/>
      <c r="Z42" s="327"/>
      <c r="AA42" s="327"/>
      <c r="AB42" s="327"/>
      <c r="AC42" s="327"/>
      <c r="AD42" s="327"/>
      <c r="AE42" s="327"/>
      <c r="AF42" s="327"/>
      <c r="AG42" s="327"/>
      <c r="AH42" s="327"/>
      <c r="AI42" s="327"/>
      <c r="AJ42" s="327"/>
    </row>
    <row r="43" spans="1:36">
      <c r="A43" t="s">
        <v>872</v>
      </c>
      <c r="P43">
        <f>ROUND((+P24/12)*104,0)</f>
        <v>355</v>
      </c>
      <c r="W43" s="327"/>
      <c r="X43" s="327"/>
      <c r="Y43" s="327"/>
      <c r="Z43" s="327"/>
      <c r="AA43" s="327"/>
      <c r="AB43" s="327"/>
      <c r="AC43" s="327"/>
      <c r="AD43" s="327"/>
      <c r="AE43" s="327"/>
      <c r="AF43" s="327"/>
      <c r="AG43" s="327"/>
      <c r="AH43" s="327"/>
      <c r="AI43" s="327"/>
      <c r="AJ43" s="327"/>
    </row>
    <row r="44" spans="1:36">
      <c r="A44" t="s">
        <v>871</v>
      </c>
      <c r="P44">
        <f>ROUND((+P25/12)*104,0)</f>
        <v>546</v>
      </c>
      <c r="W44" s="327"/>
      <c r="X44" s="327"/>
      <c r="Y44" s="327"/>
      <c r="Z44" s="327"/>
      <c r="AA44" s="327"/>
      <c r="AB44" s="327"/>
      <c r="AC44" s="327"/>
      <c r="AD44" s="327"/>
      <c r="AE44" s="327"/>
      <c r="AF44" s="327"/>
      <c r="AG44" s="327"/>
      <c r="AH44" s="327"/>
      <c r="AI44" s="327"/>
      <c r="AJ44" s="327"/>
    </row>
    <row r="45" spans="1:36">
      <c r="A45" t="s">
        <v>870</v>
      </c>
      <c r="P45">
        <f>ROUND((+P26/12)*104,0)</f>
        <v>832</v>
      </c>
      <c r="W45" s="327"/>
      <c r="X45" s="327"/>
      <c r="Y45" s="327"/>
      <c r="Z45" s="327"/>
      <c r="AA45" s="327"/>
      <c r="AB45" s="327"/>
      <c r="AC45" s="327"/>
      <c r="AD45" s="327"/>
      <c r="AE45" s="327"/>
      <c r="AF45" s="327"/>
      <c r="AG45" s="327"/>
      <c r="AH45" s="327"/>
      <c r="AI45" s="327"/>
      <c r="AJ45" s="327"/>
    </row>
    <row r="46" spans="1:36">
      <c r="A46" t="s">
        <v>869</v>
      </c>
      <c r="P46">
        <f>ROUND((+P27/12)*104,0)</f>
        <v>312</v>
      </c>
    </row>
    <row r="47" spans="1:36">
      <c r="W47" s="327"/>
    </row>
    <row r="49" spans="1:1">
      <c r="A49" s="693" t="s">
        <v>1368</v>
      </c>
    </row>
  </sheetData>
  <pageMargins left="0.22" right="0.35" top="0.44" bottom="0.53" header="0.5" footer="0.5"/>
  <pageSetup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107"/>
  <sheetViews>
    <sheetView zoomScaleNormal="100" workbookViewId="0">
      <selection activeCell="E11" sqref="E11"/>
    </sheetView>
  </sheetViews>
  <sheetFormatPr defaultRowHeight="12.75"/>
  <cols>
    <col min="1" max="1" width="6" customWidth="1"/>
    <col min="2" max="2" width="27.140625" customWidth="1"/>
    <col min="3" max="3" width="12.140625" customWidth="1"/>
    <col min="4" max="4" width="12" customWidth="1"/>
    <col min="5" max="5" width="10.5703125" customWidth="1"/>
    <col min="6" max="6" width="13" customWidth="1"/>
    <col min="7" max="7" width="11.5703125" customWidth="1"/>
    <col min="8" max="8" width="12.28515625" customWidth="1"/>
    <col min="9" max="9" width="13" customWidth="1"/>
    <col min="10" max="11" width="11.7109375" customWidth="1"/>
    <col min="12" max="12" width="13.85546875" customWidth="1"/>
    <col min="15" max="15" width="10.42578125" customWidth="1"/>
    <col min="17" max="17" width="13.42578125" bestFit="1" customWidth="1"/>
    <col min="18" max="18" width="10.42578125" customWidth="1"/>
    <col min="19" max="19" width="11.85546875" customWidth="1"/>
    <col min="21" max="21" width="11.7109375" bestFit="1" customWidth="1"/>
  </cols>
  <sheetData>
    <row r="1" spans="1:22">
      <c r="A1" t="s">
        <v>0</v>
      </c>
      <c r="E1" s="157">
        <f>IF('Priceout-Chelan'!K80=0,0,'Priceout-Chelan'!K80)</f>
        <v>0</v>
      </c>
      <c r="H1" s="157">
        <f>IF('Priceout-Chelan'!N80=0,0,'Priceout-Chelan'!N80)</f>
        <v>0</v>
      </c>
      <c r="K1" s="156">
        <f>IF('Priceout-Okanogan'!K76=0,0,'Priceout-Okanogan'!K76)</f>
        <v>0</v>
      </c>
    </row>
    <row r="2" spans="1:22">
      <c r="D2" s="155"/>
    </row>
    <row r="3" spans="1:22">
      <c r="A3" t="s">
        <v>478</v>
      </c>
      <c r="C3" s="693" t="s">
        <v>1414</v>
      </c>
      <c r="D3" s="693" t="s">
        <v>702</v>
      </c>
    </row>
    <row r="4" spans="1:22">
      <c r="E4">
        <f>+E21/(D21-D15)</f>
        <v>4.2902211583195043E-2</v>
      </c>
      <c r="H4">
        <f>+H21/(G21-G15)</f>
        <v>5.3438473290778971E-2</v>
      </c>
      <c r="K4">
        <f>+K21/(J21-J15)</f>
        <v>-0.22365295724004985</v>
      </c>
    </row>
    <row r="5" spans="1:22">
      <c r="A5" s="722" t="s">
        <v>1372</v>
      </c>
      <c r="F5" s="2" t="s">
        <v>477</v>
      </c>
      <c r="I5" s="2" t="s">
        <v>476</v>
      </c>
      <c r="L5" s="2" t="s">
        <v>475</v>
      </c>
    </row>
    <row r="6" spans="1:22" ht="13.5" thickBot="1">
      <c r="A6" s="1"/>
      <c r="C6" s="2" t="s">
        <v>89</v>
      </c>
      <c r="D6" s="2" t="s">
        <v>477</v>
      </c>
      <c r="E6" s="2" t="s">
        <v>98</v>
      </c>
      <c r="F6" s="2" t="s">
        <v>101</v>
      </c>
      <c r="G6" s="2" t="s">
        <v>476</v>
      </c>
      <c r="H6" s="2" t="s">
        <v>98</v>
      </c>
      <c r="I6" s="2" t="s">
        <v>101</v>
      </c>
      <c r="J6" s="2" t="s">
        <v>475</v>
      </c>
      <c r="K6" s="2" t="s">
        <v>98</v>
      </c>
      <c r="L6" s="2" t="s">
        <v>101</v>
      </c>
      <c r="Q6" s="742" t="s">
        <v>1133</v>
      </c>
      <c r="R6" s="742"/>
      <c r="S6" s="742"/>
      <c r="T6" s="742"/>
      <c r="U6" s="742"/>
      <c r="V6" s="742"/>
    </row>
    <row r="7" spans="1:22">
      <c r="C7" s="2" t="s">
        <v>97</v>
      </c>
      <c r="D7" s="2" t="s">
        <v>89</v>
      </c>
      <c r="E7" s="2" t="s">
        <v>99</v>
      </c>
      <c r="F7" s="2" t="s">
        <v>102</v>
      </c>
      <c r="G7" s="2" t="s">
        <v>89</v>
      </c>
      <c r="H7" s="2" t="s">
        <v>99</v>
      </c>
      <c r="I7" s="2" t="s">
        <v>102</v>
      </c>
      <c r="J7" s="2" t="s">
        <v>89</v>
      </c>
      <c r="K7" s="2" t="s">
        <v>99</v>
      </c>
      <c r="L7" s="2" t="s">
        <v>102</v>
      </c>
      <c r="Q7" t="s">
        <v>477</v>
      </c>
      <c r="S7" t="s">
        <v>476</v>
      </c>
      <c r="U7" t="s">
        <v>475</v>
      </c>
    </row>
    <row r="8" spans="1:22" ht="13.5" thickBot="1">
      <c r="C8" s="4" t="s">
        <v>96</v>
      </c>
      <c r="D8" s="4" t="s">
        <v>94</v>
      </c>
      <c r="E8" s="4" t="s">
        <v>100</v>
      </c>
      <c r="F8" s="4" t="s">
        <v>100</v>
      </c>
      <c r="G8" s="4" t="s">
        <v>94</v>
      </c>
      <c r="H8" s="4" t="s">
        <v>100</v>
      </c>
      <c r="I8" s="4" t="s">
        <v>100</v>
      </c>
      <c r="J8" s="4" t="s">
        <v>94</v>
      </c>
      <c r="K8" s="4" t="s">
        <v>100</v>
      </c>
      <c r="L8" s="4" t="s">
        <v>100</v>
      </c>
    </row>
    <row r="9" spans="1:22" ht="13.5" thickTop="1">
      <c r="D9" s="154"/>
      <c r="F9" s="153"/>
      <c r="I9" s="153"/>
    </row>
    <row r="10" spans="1:22">
      <c r="A10" t="s">
        <v>3</v>
      </c>
      <c r="D10" s="118"/>
      <c r="F10" s="145"/>
      <c r="I10" s="145"/>
    </row>
    <row r="11" spans="1:22">
      <c r="A11">
        <v>3100</v>
      </c>
      <c r="B11" t="s">
        <v>5</v>
      </c>
      <c r="C11" s="6">
        <f>'Results of Operations Staff '!N11</f>
        <v>1870785.01</v>
      </c>
      <c r="D11" s="121">
        <f>+'Cost Allocations'!F11</f>
        <v>1438300.3117046272</v>
      </c>
      <c r="E11" s="6">
        <f>+IF(E1=0,+'Lurito-Chelan'!E10,'Priceout-Chelan'!J80-('Priceout-Chelan'!J70-'Priceout-Chelan'!E70))</f>
        <v>65735.21109639635</v>
      </c>
      <c r="F11" s="147">
        <f t="shared" ref="F11:F19" si="0">+D11+E11</f>
        <v>1504035.5228010237</v>
      </c>
      <c r="G11" s="6">
        <f>+'Cost Allocations'!I11</f>
        <v>110150.47011060211</v>
      </c>
      <c r="H11" s="6">
        <f>+IF(H1=0,+'Lurito-Douglas'!E10,'Priceout-Douglas'!J76-('Priceout-Douglas'!J66-'Priceout-Douglas'!E66))</f>
        <v>7480.5010231960814</v>
      </c>
      <c r="I11" s="147">
        <f t="shared" ref="I11:I19" si="1">+G11+H11</f>
        <v>117630.97113379819</v>
      </c>
      <c r="J11" s="6">
        <f>+'Cost Allocations'!L11</f>
        <v>322334.22818477079</v>
      </c>
      <c r="K11" s="6">
        <f>+IF(K1=0,+'Lurito-Okanogan'!E10,'Priceout-Okanogan'!J76-('Priceout-Okanogan'!J66-'Priceout-Okanogan'!E66))</f>
        <v>-98687.54755372103</v>
      </c>
      <c r="L11" s="6">
        <f t="shared" ref="L11:L19" si="2">+J11+K11</f>
        <v>223646.68063104976</v>
      </c>
      <c r="O11" s="6">
        <f t="shared" ref="O11:O43" si="3">+C11-D11-G11-J11</f>
        <v>0</v>
      </c>
      <c r="Q11" s="56">
        <f>'Priceout-Chelan'!E35+'Priceout-Chelan'!E52</f>
        <v>1423102.8875000002</v>
      </c>
      <c r="R11" s="380">
        <f>(Q11-D11)/Q11</f>
        <v>-1.0679076220079027E-2</v>
      </c>
      <c r="S11" s="56">
        <f>'Priceout-Douglas'!E32+'Priceout-Douglas'!E49</f>
        <v>105069.85500000001</v>
      </c>
      <c r="T11" s="380">
        <f>(S11-G11)/S11</f>
        <v>-4.8354640925335798E-2</v>
      </c>
      <c r="U11" s="56">
        <f>'Priceout-Okanogan'!E32+'Priceout-Okanogan'!E49</f>
        <v>321792.53284064669</v>
      </c>
      <c r="V11" s="380">
        <f>(U11-J11)/U11</f>
        <v>-1.6833682849699812E-3</v>
      </c>
    </row>
    <row r="12" spans="1:22">
      <c r="A12">
        <v>3112</v>
      </c>
      <c r="B12" t="s">
        <v>6</v>
      </c>
      <c r="C12" s="6">
        <f>'Results of Operations Staff '!N12</f>
        <v>0</v>
      </c>
      <c r="D12" s="121">
        <f>+'Cost Allocations'!F12</f>
        <v>0</v>
      </c>
      <c r="F12" s="147">
        <f t="shared" si="0"/>
        <v>0</v>
      </c>
      <c r="G12" s="6">
        <f>+'Cost Allocations'!I12</f>
        <v>0</v>
      </c>
      <c r="I12" s="147">
        <f t="shared" si="1"/>
        <v>0</v>
      </c>
      <c r="J12" s="6">
        <f>+'Cost Allocations'!L12</f>
        <v>0</v>
      </c>
      <c r="L12" s="6">
        <f t="shared" si="2"/>
        <v>0</v>
      </c>
      <c r="O12" s="6">
        <f t="shared" si="3"/>
        <v>0</v>
      </c>
      <c r="R12" s="94"/>
      <c r="T12" s="94"/>
      <c r="V12" s="94"/>
    </row>
    <row r="13" spans="1:22">
      <c r="A13">
        <v>3114</v>
      </c>
      <c r="B13" t="s">
        <v>7</v>
      </c>
      <c r="C13" s="6">
        <f>'Results of Operations Staff '!N13</f>
        <v>0</v>
      </c>
      <c r="D13" s="121">
        <f>+'Cost Allocations'!F13</f>
        <v>0</v>
      </c>
      <c r="F13" s="147">
        <f t="shared" si="0"/>
        <v>0</v>
      </c>
      <c r="G13" s="6">
        <f>+'Cost Allocations'!I13</f>
        <v>0</v>
      </c>
      <c r="I13" s="147">
        <f t="shared" si="1"/>
        <v>0</v>
      </c>
      <c r="J13" s="6">
        <f>+'Cost Allocations'!L13</f>
        <v>0</v>
      </c>
      <c r="L13" s="6">
        <f t="shared" si="2"/>
        <v>0</v>
      </c>
      <c r="O13" s="6">
        <f t="shared" si="3"/>
        <v>0</v>
      </c>
      <c r="R13" s="94"/>
      <c r="T13" s="94"/>
      <c r="V13" s="94"/>
    </row>
    <row r="14" spans="1:22">
      <c r="A14">
        <v>3300</v>
      </c>
      <c r="B14" t="s">
        <v>8</v>
      </c>
      <c r="C14" s="6">
        <f>'Results of Operations Staff '!N14</f>
        <v>242661.77999999997</v>
      </c>
      <c r="D14" s="121">
        <f>+'Cost Allocations'!F14</f>
        <v>93910.002650007969</v>
      </c>
      <c r="E14" s="6">
        <f>+IF(E1=0,0,'Priceout-Chelan'!J70-'Priceout-Chelan'!E70)</f>
        <v>0</v>
      </c>
      <c r="F14" s="147">
        <f t="shared" si="0"/>
        <v>93910.002650007969</v>
      </c>
      <c r="G14" s="6">
        <f>+'Cost Allocations'!I14</f>
        <v>29832.964342920579</v>
      </c>
      <c r="H14" s="6">
        <f>+IF(H1=0,0,'Priceout-Douglas'!J66-'Priceout-Douglas'!E66)</f>
        <v>0</v>
      </c>
      <c r="I14" s="147">
        <f t="shared" si="1"/>
        <v>29832.964342920579</v>
      </c>
      <c r="J14" s="6">
        <f>+'Cost Allocations'!L14</f>
        <v>118918.81300707141</v>
      </c>
      <c r="K14" s="6">
        <f>+IF(K1=0,0,'Priceout-Okanogan'!J66-'Priceout-Okanogan'!E66)</f>
        <v>0</v>
      </c>
      <c r="L14" s="6">
        <f t="shared" si="2"/>
        <v>118918.81300707141</v>
      </c>
      <c r="O14" s="6">
        <f t="shared" si="3"/>
        <v>0</v>
      </c>
      <c r="Q14" s="6">
        <f>'Priceout-Chelan'!E70</f>
        <v>94741.15</v>
      </c>
      <c r="R14" s="380">
        <f>(Q14-D14)/Q14</f>
        <v>8.7728231079317164E-3</v>
      </c>
      <c r="S14" s="6">
        <f>'Priceout-Douglas'!E66</f>
        <v>30097</v>
      </c>
      <c r="T14" s="380">
        <f>(S14-G14)/S14</f>
        <v>8.7728231079317234E-3</v>
      </c>
      <c r="U14" s="56">
        <f>'Priceout-Okanogan'!E66</f>
        <v>119971.3</v>
      </c>
      <c r="V14" s="380">
        <f>(U14-J14)/U14</f>
        <v>8.7728231079315828E-3</v>
      </c>
    </row>
    <row r="15" spans="1:22">
      <c r="A15">
        <v>3310</v>
      </c>
      <c r="B15" t="s">
        <v>9</v>
      </c>
      <c r="C15" s="6">
        <f>'Results of Operations Staff '!N15</f>
        <v>324314.84000000003</v>
      </c>
      <c r="D15" s="121">
        <f>+'Cost Allocations'!F15</f>
        <v>214854.62367119832</v>
      </c>
      <c r="F15" s="147">
        <f t="shared" si="0"/>
        <v>214854.62367119832</v>
      </c>
      <c r="G15" s="6">
        <f>+'Cost Allocations'!I15</f>
        <v>18161.458895588912</v>
      </c>
      <c r="I15" s="147">
        <f t="shared" si="1"/>
        <v>18161.458895588912</v>
      </c>
      <c r="J15" s="6">
        <f>+'Cost Allocations'!L15</f>
        <v>91298.757433212813</v>
      </c>
      <c r="L15" s="6">
        <f t="shared" si="2"/>
        <v>91298.757433212813</v>
      </c>
      <c r="O15" s="6">
        <f t="shared" si="3"/>
        <v>0</v>
      </c>
      <c r="R15" s="58"/>
      <c r="T15" s="56"/>
    </row>
    <row r="16" spans="1:22">
      <c r="A16">
        <v>3410</v>
      </c>
      <c r="B16" t="s">
        <v>328</v>
      </c>
      <c r="C16" s="6">
        <f>'Results of Operations Staff '!N16</f>
        <v>0</v>
      </c>
      <c r="D16" s="121">
        <f>+'Cost Allocations'!F18</f>
        <v>0</v>
      </c>
      <c r="F16" s="147">
        <f t="shared" si="0"/>
        <v>0</v>
      </c>
      <c r="G16" s="6">
        <f>+'Cost Allocations'!I18</f>
        <v>0</v>
      </c>
      <c r="I16" s="147">
        <f t="shared" si="1"/>
        <v>0</v>
      </c>
      <c r="J16" s="6">
        <f>+'Cost Allocations'!L18</f>
        <v>0</v>
      </c>
      <c r="L16" s="6">
        <f t="shared" si="2"/>
        <v>0</v>
      </c>
      <c r="O16" s="6">
        <f t="shared" si="3"/>
        <v>0</v>
      </c>
      <c r="R16" s="58"/>
      <c r="T16" s="56"/>
    </row>
    <row r="17" spans="1:18">
      <c r="A17">
        <v>3450</v>
      </c>
      <c r="B17" t="s">
        <v>329</v>
      </c>
      <c r="C17" s="6">
        <f>'Results of Operations Staff '!N17</f>
        <v>0</v>
      </c>
      <c r="D17" s="121">
        <f>+'Cost Allocations'!F19</f>
        <v>0</v>
      </c>
      <c r="F17" s="147">
        <f t="shared" si="0"/>
        <v>0</v>
      </c>
      <c r="G17" s="6">
        <f>+'Cost Allocations'!I19</f>
        <v>0</v>
      </c>
      <c r="I17" s="147">
        <f t="shared" si="1"/>
        <v>0</v>
      </c>
      <c r="J17" s="6">
        <f>+'Cost Allocations'!L19</f>
        <v>0</v>
      </c>
      <c r="L17" s="6">
        <f t="shared" si="2"/>
        <v>0</v>
      </c>
      <c r="O17" s="6">
        <f t="shared" si="3"/>
        <v>0</v>
      </c>
      <c r="R17" s="58"/>
    </row>
    <row r="18" spans="1:18">
      <c r="A18">
        <v>3460</v>
      </c>
      <c r="B18" t="s">
        <v>10</v>
      </c>
      <c r="C18" s="6">
        <f>'Results of Operations Staff '!N18</f>
        <v>0</v>
      </c>
      <c r="D18" s="121">
        <f>+'Cost Allocations'!F18</f>
        <v>0</v>
      </c>
      <c r="F18" s="147">
        <f t="shared" si="0"/>
        <v>0</v>
      </c>
      <c r="G18" s="6">
        <f>+'Cost Allocations'!I18</f>
        <v>0</v>
      </c>
      <c r="I18" s="147">
        <f t="shared" si="1"/>
        <v>0</v>
      </c>
      <c r="J18" s="6">
        <f>+'Cost Allocations'!L18</f>
        <v>0</v>
      </c>
      <c r="L18" s="6">
        <f t="shared" si="2"/>
        <v>0</v>
      </c>
      <c r="O18" s="6">
        <f t="shared" si="3"/>
        <v>0</v>
      </c>
      <c r="R18" s="58"/>
    </row>
    <row r="19" spans="1:18" ht="13.5" thickBot="1">
      <c r="A19">
        <v>3500</v>
      </c>
      <c r="B19" t="s">
        <v>11</v>
      </c>
      <c r="C19" s="6">
        <f>'Results of Operations Staff '!N19</f>
        <v>0</v>
      </c>
      <c r="D19" s="151">
        <f>+'Cost Allocations'!F19</f>
        <v>0</v>
      </c>
      <c r="E19" s="5"/>
      <c r="F19" s="150">
        <f t="shared" si="0"/>
        <v>0</v>
      </c>
      <c r="G19" s="7">
        <f>+'Cost Allocations'!I19</f>
        <v>0</v>
      </c>
      <c r="H19" s="5"/>
      <c r="I19" s="150">
        <f t="shared" si="1"/>
        <v>0</v>
      </c>
      <c r="J19" s="7">
        <f>+'Cost Allocations'!L19</f>
        <v>0</v>
      </c>
      <c r="K19" s="5"/>
      <c r="L19" s="7">
        <f t="shared" si="2"/>
        <v>0</v>
      </c>
      <c r="O19" s="6">
        <f t="shared" si="3"/>
        <v>0</v>
      </c>
      <c r="Q19" s="18"/>
    </row>
    <row r="20" spans="1:18">
      <c r="A20">
        <v>0</v>
      </c>
      <c r="D20" s="118"/>
      <c r="F20" s="145"/>
      <c r="I20" s="145"/>
      <c r="O20" s="6">
        <f t="shared" si="3"/>
        <v>0</v>
      </c>
    </row>
    <row r="21" spans="1:18" ht="13.5" thickBot="1">
      <c r="B21" t="s">
        <v>4</v>
      </c>
      <c r="C21" s="152">
        <f t="shared" ref="C21:L21" si="4">SUM(C11:C19)</f>
        <v>2437761.63</v>
      </c>
      <c r="D21" s="151">
        <f t="shared" si="4"/>
        <v>1747064.9380258336</v>
      </c>
      <c r="E21" s="7">
        <f t="shared" si="4"/>
        <v>65735.21109639635</v>
      </c>
      <c r="F21" s="150">
        <f t="shared" si="4"/>
        <v>1812800.14912223</v>
      </c>
      <c r="G21" s="7">
        <f t="shared" si="4"/>
        <v>158144.8933491116</v>
      </c>
      <c r="H21" s="7">
        <f t="shared" si="4"/>
        <v>7480.5010231960814</v>
      </c>
      <c r="I21" s="150">
        <f t="shared" si="4"/>
        <v>165625.39437230767</v>
      </c>
      <c r="J21" s="7">
        <f t="shared" si="4"/>
        <v>532551.798625055</v>
      </c>
      <c r="K21" s="7">
        <f t="shared" si="4"/>
        <v>-98687.54755372103</v>
      </c>
      <c r="L21" s="7">
        <f t="shared" si="4"/>
        <v>433864.251071334</v>
      </c>
      <c r="O21" s="6">
        <f t="shared" si="3"/>
        <v>0</v>
      </c>
    </row>
    <row r="22" spans="1:18">
      <c r="D22" s="118"/>
      <c r="F22" s="145"/>
      <c r="I22" s="145"/>
      <c r="O22" s="6">
        <f t="shared" si="3"/>
        <v>0</v>
      </c>
    </row>
    <row r="23" spans="1:18">
      <c r="A23" t="s">
        <v>12</v>
      </c>
      <c r="D23" s="118"/>
      <c r="F23" s="145"/>
      <c r="I23" s="145"/>
      <c r="O23" s="6">
        <f t="shared" si="3"/>
        <v>0</v>
      </c>
    </row>
    <row r="24" spans="1:18">
      <c r="A24" t="s">
        <v>13</v>
      </c>
      <c r="D24" s="118"/>
      <c r="F24" s="145"/>
      <c r="I24" s="145"/>
      <c r="O24" s="6">
        <f t="shared" si="3"/>
        <v>0</v>
      </c>
    </row>
    <row r="25" spans="1:18">
      <c r="A25">
        <v>4116</v>
      </c>
      <c r="B25" t="s">
        <v>29</v>
      </c>
      <c r="C25" s="6">
        <f>'Results of Operations Staff '!N25</f>
        <v>69878.025088750408</v>
      </c>
      <c r="D25" s="121">
        <f>+'Cost Allocations'!F25</f>
        <v>54870.842058941831</v>
      </c>
      <c r="F25" s="147">
        <f t="shared" ref="F25:F38" si="5">+D25+E25</f>
        <v>54870.842058941831</v>
      </c>
      <c r="G25" s="6">
        <f>+'Cost Allocations'!I25</f>
        <v>4695.4989847867364</v>
      </c>
      <c r="I25" s="147">
        <f t="shared" ref="I25:I38" si="6">+G25+H25</f>
        <v>4695.4989847867364</v>
      </c>
      <c r="J25" s="6">
        <f>+'Cost Allocations'!L25</f>
        <v>10311.684045021851</v>
      </c>
      <c r="L25" s="6">
        <f t="shared" ref="L25:L38" si="7">+J25+K25</f>
        <v>10311.684045021851</v>
      </c>
      <c r="O25" s="6">
        <f t="shared" si="3"/>
        <v>0</v>
      </c>
    </row>
    <row r="26" spans="1:18">
      <c r="A26">
        <v>4117</v>
      </c>
      <c r="B26" t="s">
        <v>278</v>
      </c>
      <c r="C26" s="6">
        <f>'Results of Operations Staff '!N26</f>
        <v>2615</v>
      </c>
      <c r="D26" s="121">
        <f>+'Cost Allocations'!F26</f>
        <v>2053.3959252839954</v>
      </c>
      <c r="F26" s="147">
        <f t="shared" si="5"/>
        <v>2053.3959252839954</v>
      </c>
      <c r="G26" s="6">
        <f>+'Cost Allocations'!I26</f>
        <v>175.71661233445556</v>
      </c>
      <c r="I26" s="147">
        <f t="shared" si="6"/>
        <v>175.71661233445556</v>
      </c>
      <c r="J26" s="6">
        <f>+'Cost Allocations'!L26</f>
        <v>385.88746238154943</v>
      </c>
      <c r="L26" s="6">
        <f t="shared" si="7"/>
        <v>385.88746238154943</v>
      </c>
      <c r="O26" s="6">
        <f t="shared" si="3"/>
        <v>-4.5474735088646412E-13</v>
      </c>
    </row>
    <row r="27" spans="1:18">
      <c r="A27">
        <v>4118</v>
      </c>
      <c r="B27" t="s">
        <v>30</v>
      </c>
      <c r="C27" s="6">
        <f>'Results of Operations Staff '!N27</f>
        <v>13733.572088724584</v>
      </c>
      <c r="D27" s="121">
        <f>+'Cost Allocations'!F27</f>
        <v>11124.193391866915</v>
      </c>
      <c r="F27" s="147">
        <f t="shared" si="5"/>
        <v>11124.193391866915</v>
      </c>
      <c r="G27" s="6">
        <f>+'Cost Allocations'!I27</f>
        <v>686.67860443622931</v>
      </c>
      <c r="I27" s="147">
        <f t="shared" si="6"/>
        <v>686.67860443622931</v>
      </c>
      <c r="J27" s="6">
        <f>+'Cost Allocations'!L27</f>
        <v>1922.7000924214419</v>
      </c>
      <c r="L27" s="6">
        <f t="shared" si="7"/>
        <v>1922.7000924214419</v>
      </c>
      <c r="O27" s="6">
        <f t="shared" si="3"/>
        <v>0</v>
      </c>
    </row>
    <row r="28" spans="1:18">
      <c r="A28">
        <v>4119</v>
      </c>
      <c r="B28" t="s">
        <v>279</v>
      </c>
      <c r="C28" s="6">
        <f>'Results of Operations Staff '!N28</f>
        <v>338</v>
      </c>
      <c r="D28" s="121">
        <f>+'Cost Allocations'!F28</f>
        <v>273.78000000000003</v>
      </c>
      <c r="F28" s="147">
        <f t="shared" si="5"/>
        <v>273.78000000000003</v>
      </c>
      <c r="G28" s="6">
        <f>+'Cost Allocations'!I28</f>
        <v>16.900000000000002</v>
      </c>
      <c r="I28" s="147">
        <f t="shared" si="6"/>
        <v>16.900000000000002</v>
      </c>
      <c r="J28" s="6">
        <f>+'Cost Allocations'!L28</f>
        <v>47.320000000000007</v>
      </c>
      <c r="L28" s="6">
        <f t="shared" si="7"/>
        <v>47.320000000000007</v>
      </c>
      <c r="O28" s="6">
        <f t="shared" si="3"/>
        <v>0</v>
      </c>
    </row>
    <row r="29" spans="1:18">
      <c r="A29">
        <v>4122</v>
      </c>
      <c r="B29" t="s">
        <v>330</v>
      </c>
      <c r="C29" s="6">
        <f>'Results of Operations Staff '!N29</f>
        <v>0</v>
      </c>
      <c r="D29" s="121">
        <f>+'Cost Allocations'!F29</f>
        <v>0</v>
      </c>
      <c r="F29" s="147">
        <f t="shared" si="5"/>
        <v>0</v>
      </c>
      <c r="G29" s="6">
        <f>+'Cost Allocations'!I29</f>
        <v>0</v>
      </c>
      <c r="I29" s="147">
        <f t="shared" si="6"/>
        <v>0</v>
      </c>
      <c r="J29" s="6">
        <f>+'Cost Allocations'!L29</f>
        <v>0</v>
      </c>
      <c r="L29" s="6">
        <f t="shared" si="7"/>
        <v>0</v>
      </c>
      <c r="O29" s="6">
        <f t="shared" si="3"/>
        <v>0</v>
      </c>
    </row>
    <row r="30" spans="1:18">
      <c r="A30">
        <v>4132</v>
      </c>
      <c r="B30" t="s">
        <v>31</v>
      </c>
      <c r="C30" s="6">
        <f>'Results of Operations Staff '!N30</f>
        <v>34021.531966467439</v>
      </c>
      <c r="D30" s="121">
        <f>+'Cost Allocations'!F30</f>
        <v>26714.980922318711</v>
      </c>
      <c r="F30" s="147">
        <f t="shared" si="5"/>
        <v>26714.980922318711</v>
      </c>
      <c r="G30" s="6">
        <f>+'Cost Allocations'!I30</f>
        <v>2286.0987929545108</v>
      </c>
      <c r="I30" s="147">
        <f t="shared" si="6"/>
        <v>2286.0987929545108</v>
      </c>
      <c r="J30" s="6">
        <f>+'Cost Allocations'!L30</f>
        <v>5020.4522511942205</v>
      </c>
      <c r="L30" s="6">
        <f t="shared" si="7"/>
        <v>5020.4522511942205</v>
      </c>
      <c r="O30" s="6">
        <f t="shared" si="3"/>
        <v>0</v>
      </c>
    </row>
    <row r="31" spans="1:18">
      <c r="A31">
        <v>4133</v>
      </c>
      <c r="B31" t="s">
        <v>280</v>
      </c>
      <c r="C31" s="6">
        <f>'Results of Operations Staff '!N31</f>
        <v>4755.2</v>
      </c>
      <c r="D31" s="121">
        <f>+'Cost Allocations'!F31</f>
        <v>3733.9611104820092</v>
      </c>
      <c r="F31" s="147">
        <f t="shared" si="5"/>
        <v>3733.9611104820092</v>
      </c>
      <c r="G31" s="6">
        <f>+'Cost Allocations'!I31</f>
        <v>319.52873230317516</v>
      </c>
      <c r="I31" s="147">
        <f t="shared" si="6"/>
        <v>319.52873230317516</v>
      </c>
      <c r="J31" s="6">
        <f>+'Cost Allocations'!L31</f>
        <v>701.71015721481604</v>
      </c>
      <c r="L31" s="6">
        <f t="shared" si="7"/>
        <v>701.71015721481604</v>
      </c>
      <c r="O31" s="6">
        <f t="shared" si="3"/>
        <v>0</v>
      </c>
    </row>
    <row r="32" spans="1:18">
      <c r="A32">
        <v>4134</v>
      </c>
      <c r="B32" t="s">
        <v>32</v>
      </c>
      <c r="C32" s="6">
        <f>'Results of Operations Staff '!N32</f>
        <v>9385.61</v>
      </c>
      <c r="D32" s="121">
        <f>+'Cost Allocations'!F32</f>
        <v>7602.3441000000012</v>
      </c>
      <c r="F32" s="147">
        <f t="shared" si="5"/>
        <v>7602.3441000000012</v>
      </c>
      <c r="G32" s="6">
        <f>+'Cost Allocations'!I32</f>
        <v>469.28050000000007</v>
      </c>
      <c r="I32" s="147">
        <f t="shared" si="6"/>
        <v>469.28050000000007</v>
      </c>
      <c r="J32" s="6">
        <f>+'Cost Allocations'!L32</f>
        <v>1313.9854000000003</v>
      </c>
      <c r="L32" s="6">
        <f t="shared" si="7"/>
        <v>1313.9854000000003</v>
      </c>
      <c r="O32" s="6">
        <f t="shared" si="3"/>
        <v>0</v>
      </c>
    </row>
    <row r="33" spans="1:15">
      <c r="A33">
        <v>4135</v>
      </c>
      <c r="B33" t="s">
        <v>281</v>
      </c>
      <c r="C33" s="6">
        <f>'Results of Operations Staff '!N33</f>
        <v>0</v>
      </c>
      <c r="D33" s="121">
        <f>+'Cost Allocations'!F33</f>
        <v>0</v>
      </c>
      <c r="F33" s="147">
        <f t="shared" si="5"/>
        <v>0</v>
      </c>
      <c r="G33" s="6">
        <f>+'Cost Allocations'!I33</f>
        <v>0</v>
      </c>
      <c r="I33" s="147">
        <f t="shared" si="6"/>
        <v>0</v>
      </c>
      <c r="J33" s="6">
        <f>+'Cost Allocations'!L33</f>
        <v>0</v>
      </c>
      <c r="L33" s="6">
        <f t="shared" si="7"/>
        <v>0</v>
      </c>
      <c r="O33" s="6">
        <f t="shared" si="3"/>
        <v>0</v>
      </c>
    </row>
    <row r="34" spans="1:15">
      <c r="A34">
        <v>4138</v>
      </c>
      <c r="B34" t="s">
        <v>331</v>
      </c>
      <c r="C34" s="6">
        <f>'Results of Operations Staff '!N34</f>
        <v>0</v>
      </c>
      <c r="D34" s="121">
        <f>+'Cost Allocations'!F34</f>
        <v>0</v>
      </c>
      <c r="F34" s="147">
        <f t="shared" si="5"/>
        <v>0</v>
      </c>
      <c r="G34" s="6">
        <f>+'Cost Allocations'!I34</f>
        <v>0</v>
      </c>
      <c r="I34" s="147">
        <f t="shared" si="6"/>
        <v>0</v>
      </c>
      <c r="J34" s="6">
        <f>+'Cost Allocations'!L34</f>
        <v>0</v>
      </c>
      <c r="L34" s="6">
        <f t="shared" si="7"/>
        <v>0</v>
      </c>
      <c r="O34" s="6">
        <f t="shared" si="3"/>
        <v>0</v>
      </c>
    </row>
    <row r="35" spans="1:15">
      <c r="A35">
        <v>4160</v>
      </c>
      <c r="B35" t="s">
        <v>33</v>
      </c>
      <c r="C35" s="6">
        <f>'Results of Operations Staff '!N35</f>
        <v>16311.417067689647</v>
      </c>
      <c r="D35" s="121">
        <f>+'Cost Allocations'!F35</f>
        <v>11366.871793108256</v>
      </c>
      <c r="F35" s="147">
        <f t="shared" si="5"/>
        <v>11366.871793108256</v>
      </c>
      <c r="G35" s="6">
        <f>+'Cost Allocations'!I35</f>
        <v>1514.4840202302589</v>
      </c>
      <c r="I35" s="147">
        <f t="shared" si="6"/>
        <v>1514.4840202302589</v>
      </c>
      <c r="J35" s="6">
        <f>+'Cost Allocations'!L35</f>
        <v>3430.061254351132</v>
      </c>
      <c r="L35" s="6">
        <f t="shared" si="7"/>
        <v>3430.061254351132</v>
      </c>
      <c r="O35" s="6">
        <f t="shared" si="3"/>
        <v>0</v>
      </c>
    </row>
    <row r="36" spans="1:15">
      <c r="A36">
        <v>4161</v>
      </c>
      <c r="B36" t="s">
        <v>282</v>
      </c>
      <c r="C36" s="6">
        <f>'Results of Operations Staff '!N36</f>
        <v>3649.63</v>
      </c>
      <c r="D36" s="121">
        <f>+'Cost Allocations'!F36</f>
        <v>2543.3030208305263</v>
      </c>
      <c r="F36" s="147">
        <f t="shared" si="5"/>
        <v>2543.3030208305263</v>
      </c>
      <c r="G36" s="6">
        <f>+'Cost Allocations'!I36</f>
        <v>338.86119714893965</v>
      </c>
      <c r="I36" s="147">
        <f t="shared" si="6"/>
        <v>338.86119714893965</v>
      </c>
      <c r="J36" s="6">
        <f>+'Cost Allocations'!L36</f>
        <v>767.46578202053411</v>
      </c>
      <c r="L36" s="6">
        <f t="shared" si="7"/>
        <v>767.46578202053411</v>
      </c>
      <c r="O36" s="6">
        <f t="shared" si="3"/>
        <v>0</v>
      </c>
    </row>
    <row r="37" spans="1:15">
      <c r="A37">
        <v>4162</v>
      </c>
      <c r="B37" t="s">
        <v>1305</v>
      </c>
      <c r="C37" s="6">
        <f>'Results of Operations Staff '!N37</f>
        <v>0</v>
      </c>
      <c r="D37" s="121">
        <f>+'Cost Allocations'!F37</f>
        <v>0</v>
      </c>
      <c r="F37" s="147">
        <f t="shared" ref="F37" si="8">+D37+E37</f>
        <v>0</v>
      </c>
      <c r="G37" s="6">
        <f>+'Cost Allocations'!I37</f>
        <v>0</v>
      </c>
      <c r="I37" s="147">
        <f t="shared" ref="I37" si="9">+G37+H37</f>
        <v>0</v>
      </c>
      <c r="J37" s="6">
        <f>+'Cost Allocations'!L37</f>
        <v>0</v>
      </c>
      <c r="L37" s="6">
        <f t="shared" ref="L37" si="10">+J37+K37</f>
        <v>0</v>
      </c>
      <c r="O37" s="6">
        <f t="shared" ref="O37" si="11">+C37-D37-G37-J37</f>
        <v>0</v>
      </c>
    </row>
    <row r="38" spans="1:15">
      <c r="A38">
        <v>4180</v>
      </c>
      <c r="B38" t="s">
        <v>34</v>
      </c>
      <c r="C38" s="6">
        <f>'Results of Operations Staff '!N38</f>
        <v>16293.031866953086</v>
      </c>
      <c r="D38" s="121">
        <f>+'Cost Allocations'!F38</f>
        <v>12793.89875568786</v>
      </c>
      <c r="F38" s="147">
        <f t="shared" si="5"/>
        <v>12793.89875568786</v>
      </c>
      <c r="G38" s="6">
        <f>+'Cost Allocations'!I38</f>
        <v>1094.8207894142738</v>
      </c>
      <c r="I38" s="147">
        <f t="shared" si="6"/>
        <v>1094.8207894142738</v>
      </c>
      <c r="J38" s="6">
        <f>+'Cost Allocations'!L38</f>
        <v>2404.312321850954</v>
      </c>
      <c r="L38" s="6">
        <f t="shared" si="7"/>
        <v>2404.312321850954</v>
      </c>
      <c r="O38" s="6">
        <f t="shared" si="3"/>
        <v>0</v>
      </c>
    </row>
    <row r="39" spans="1:15">
      <c r="A39" t="s">
        <v>16</v>
      </c>
      <c r="C39" s="6">
        <f>'Results of Operations Staff '!N39</f>
        <v>0</v>
      </c>
      <c r="D39" s="121"/>
      <c r="F39" s="147"/>
      <c r="G39" s="6"/>
      <c r="I39" s="147"/>
      <c r="J39" s="6"/>
      <c r="L39" s="6"/>
      <c r="O39" s="6">
        <f t="shared" si="3"/>
        <v>0</v>
      </c>
    </row>
    <row r="40" spans="1:15">
      <c r="A40">
        <v>4210</v>
      </c>
      <c r="B40" t="s">
        <v>35</v>
      </c>
      <c r="C40" s="6">
        <f>'Results of Operations Staff '!N40</f>
        <v>0</v>
      </c>
      <c r="D40" s="121">
        <f>+'Cost Allocations'!F40</f>
        <v>0</v>
      </c>
      <c r="F40" s="147">
        <f t="shared" ref="F40:F49" si="12">+D40+E40</f>
        <v>0</v>
      </c>
      <c r="G40" s="6">
        <f>+'Cost Allocations'!I40</f>
        <v>0</v>
      </c>
      <c r="I40" s="147">
        <f t="shared" ref="I40:I49" si="13">+G40+H40</f>
        <v>0</v>
      </c>
      <c r="J40" s="6">
        <f>+'Cost Allocations'!L40</f>
        <v>0</v>
      </c>
      <c r="L40" s="6">
        <f t="shared" ref="L40:L49" si="14">+J40+K40</f>
        <v>0</v>
      </c>
      <c r="O40" s="6">
        <f t="shared" si="3"/>
        <v>0</v>
      </c>
    </row>
    <row r="41" spans="1:15">
      <c r="A41">
        <v>4213</v>
      </c>
      <c r="B41" t="s">
        <v>36</v>
      </c>
      <c r="C41" s="6">
        <f>'Results of Operations Staff '!N41</f>
        <v>266344.19749630976</v>
      </c>
      <c r="D41" s="121">
        <f>+'Cost Allocations'!F41</f>
        <v>209143.43780572014</v>
      </c>
      <c r="F41" s="147">
        <f t="shared" si="12"/>
        <v>209143.43780572014</v>
      </c>
      <c r="G41" s="6">
        <f>+'Cost Allocations'!I41</f>
        <v>17897.170209939093</v>
      </c>
      <c r="I41" s="147">
        <f t="shared" si="13"/>
        <v>17897.170209939093</v>
      </c>
      <c r="J41" s="6">
        <f>+'Cost Allocations'!L41</f>
        <v>39303.58948065056</v>
      </c>
      <c r="L41" s="6">
        <f t="shared" si="14"/>
        <v>39303.58948065056</v>
      </c>
      <c r="O41" s="6">
        <f t="shared" si="3"/>
        <v>0</v>
      </c>
    </row>
    <row r="42" spans="1:15">
      <c r="A42">
        <v>4215</v>
      </c>
      <c r="B42" t="s">
        <v>37</v>
      </c>
      <c r="C42" s="6">
        <f>'Results of Operations Staff '!N42</f>
        <v>31237.64</v>
      </c>
      <c r="D42" s="121">
        <f>+'Cost Allocations'!F42</f>
        <v>12088.953007680053</v>
      </c>
      <c r="F42" s="147">
        <f t="shared" si="12"/>
        <v>12088.953007680053</v>
      </c>
      <c r="G42" s="6">
        <f>+'Cost Allocations'!I42</f>
        <v>3840.3715668655759</v>
      </c>
      <c r="I42" s="147">
        <f t="shared" si="13"/>
        <v>3840.3715668655759</v>
      </c>
      <c r="J42" s="6">
        <f>+'Cost Allocations'!L42</f>
        <v>15308.31542545437</v>
      </c>
      <c r="L42" s="6">
        <f t="shared" si="14"/>
        <v>15308.31542545437</v>
      </c>
      <c r="O42" s="6">
        <f t="shared" si="3"/>
        <v>0</v>
      </c>
    </row>
    <row r="43" spans="1:15">
      <c r="A43">
        <v>4216</v>
      </c>
      <c r="B43" t="s">
        <v>285</v>
      </c>
      <c r="C43" s="6">
        <f>'Results of Operations Staff '!N43</f>
        <v>11530.366345859609</v>
      </c>
      <c r="D43" s="121">
        <f>+'Cost Allocations'!F43</f>
        <v>9054.0754384779484</v>
      </c>
      <c r="F43" s="147">
        <f t="shared" si="12"/>
        <v>9054.0754384779484</v>
      </c>
      <c r="G43" s="6">
        <f>+'Cost Allocations'!I43</f>
        <v>774.79040660407873</v>
      </c>
      <c r="I43" s="147">
        <f t="shared" si="13"/>
        <v>774.79040660407873</v>
      </c>
      <c r="J43" s="6">
        <f>+'Cost Allocations'!L43</f>
        <v>1701.5005007775846</v>
      </c>
      <c r="L43" s="6">
        <f t="shared" si="14"/>
        <v>1701.5005007775846</v>
      </c>
      <c r="O43" s="6">
        <f t="shared" si="3"/>
        <v>-2.5011104298755527E-12</v>
      </c>
    </row>
    <row r="44" spans="1:15">
      <c r="A44">
        <v>4222</v>
      </c>
      <c r="B44" t="s">
        <v>332</v>
      </c>
      <c r="C44" s="6">
        <f>'Results of Operations Staff '!N44</f>
        <v>0</v>
      </c>
      <c r="D44" s="121">
        <f>+'Cost Allocations'!F44</f>
        <v>0</v>
      </c>
      <c r="F44" s="147">
        <f t="shared" si="12"/>
        <v>0</v>
      </c>
      <c r="G44" s="6">
        <f>+'Cost Allocations'!I44</f>
        <v>0</v>
      </c>
      <c r="I44" s="147">
        <f t="shared" si="13"/>
        <v>0</v>
      </c>
      <c r="J44" s="6">
        <f>+'Cost Allocations'!L44</f>
        <v>0</v>
      </c>
      <c r="L44" s="6">
        <f t="shared" si="14"/>
        <v>0</v>
      </c>
      <c r="O44" s="6">
        <f t="shared" ref="O44:O75" si="15">+C44-D44-G44-J44</f>
        <v>0</v>
      </c>
    </row>
    <row r="45" spans="1:15">
      <c r="A45">
        <v>4240</v>
      </c>
      <c r="B45" t="s">
        <v>38</v>
      </c>
      <c r="C45" s="6">
        <f>'Results of Operations Staff '!N45</f>
        <v>49251.183525316934</v>
      </c>
      <c r="D45" s="121">
        <f>+'Cost Allocations'!F45</f>
        <v>38673.873639120473</v>
      </c>
      <c r="F45" s="147">
        <f t="shared" si="12"/>
        <v>38673.873639120473</v>
      </c>
      <c r="G45" s="6">
        <f>+'Cost Allocations'!I45</f>
        <v>3309.4650564173003</v>
      </c>
      <c r="I45" s="147">
        <f t="shared" si="13"/>
        <v>3309.4650564173003</v>
      </c>
      <c r="J45" s="6">
        <f>+'Cost Allocations'!L45</f>
        <v>7267.8448297791683</v>
      </c>
      <c r="L45" s="6">
        <f t="shared" si="14"/>
        <v>7267.8448297791683</v>
      </c>
      <c r="O45" s="6">
        <f t="shared" si="15"/>
        <v>-8.1854523159563541E-12</v>
      </c>
    </row>
    <row r="46" spans="1:15">
      <c r="A46">
        <v>4241</v>
      </c>
      <c r="B46" t="s">
        <v>283</v>
      </c>
      <c r="C46" s="6">
        <f>'Results of Operations Staff '!N46</f>
        <v>13080.209660599165</v>
      </c>
      <c r="D46" s="121">
        <f>+'Cost Allocations'!F46</f>
        <v>10271.070447011349</v>
      </c>
      <c r="F46" s="147">
        <f t="shared" si="12"/>
        <v>10271.070447011349</v>
      </c>
      <c r="G46" s="6">
        <f>+'Cost Allocations'!I46</f>
        <v>878.93312817778349</v>
      </c>
      <c r="I46" s="147">
        <f t="shared" si="13"/>
        <v>878.93312817778349</v>
      </c>
      <c r="J46" s="6">
        <f>+'Cost Allocations'!L46</f>
        <v>1930.2060854100343</v>
      </c>
      <c r="L46" s="6">
        <f t="shared" si="14"/>
        <v>1930.2060854100343</v>
      </c>
      <c r="O46" s="6">
        <f t="shared" si="15"/>
        <v>-2.0463630789890885E-12</v>
      </c>
    </row>
    <row r="47" spans="1:15">
      <c r="A47">
        <v>4244</v>
      </c>
      <c r="B47" t="s">
        <v>333</v>
      </c>
      <c r="C47" s="6">
        <f>'Results of Operations Staff '!N47</f>
        <v>0</v>
      </c>
      <c r="D47" s="121">
        <f>+'Cost Allocations'!F47</f>
        <v>0</v>
      </c>
      <c r="F47" s="147">
        <f t="shared" si="12"/>
        <v>0</v>
      </c>
      <c r="G47" s="6">
        <f>+'Cost Allocations'!I47</f>
        <v>0</v>
      </c>
      <c r="I47" s="147">
        <f t="shared" si="13"/>
        <v>0</v>
      </c>
      <c r="J47" s="6">
        <f>+'Cost Allocations'!L47</f>
        <v>0</v>
      </c>
      <c r="L47" s="6">
        <f t="shared" si="14"/>
        <v>0</v>
      </c>
      <c r="O47" s="6">
        <f t="shared" si="15"/>
        <v>0</v>
      </c>
    </row>
    <row r="48" spans="1:15">
      <c r="A48">
        <v>4280</v>
      </c>
      <c r="B48" t="s">
        <v>39</v>
      </c>
      <c r="C48" s="6">
        <f>'Results of Operations Staff '!N48</f>
        <v>6467.7605488018826</v>
      </c>
      <c r="D48" s="121">
        <f>+'Cost Allocations'!F48</f>
        <v>5078.7277845592207</v>
      </c>
      <c r="F48" s="147">
        <f t="shared" si="12"/>
        <v>5078.7277845592207</v>
      </c>
      <c r="G48" s="6">
        <f>+'Cost Allocations'!I48</f>
        <v>434.60534341334835</v>
      </c>
      <c r="I48" s="147">
        <f t="shared" si="13"/>
        <v>434.60534341334835</v>
      </c>
      <c r="J48" s="6">
        <f>+'Cost Allocations'!L48</f>
        <v>954.42742082931397</v>
      </c>
      <c r="L48" s="6">
        <f t="shared" si="14"/>
        <v>954.42742082931397</v>
      </c>
      <c r="O48" s="6">
        <f t="shared" si="15"/>
        <v>0</v>
      </c>
    </row>
    <row r="49" spans="1:15">
      <c r="A49">
        <v>4282</v>
      </c>
      <c r="B49" t="s">
        <v>335</v>
      </c>
      <c r="C49" s="6">
        <f>'Results of Operations Staff '!N49</f>
        <v>0</v>
      </c>
      <c r="D49" s="121">
        <f>+'Cost Allocations'!F49</f>
        <v>0</v>
      </c>
      <c r="F49" s="147">
        <f t="shared" si="12"/>
        <v>0</v>
      </c>
      <c r="G49" s="6">
        <f>+'Cost Allocations'!I49</f>
        <v>0</v>
      </c>
      <c r="I49" s="147">
        <f t="shared" si="13"/>
        <v>0</v>
      </c>
      <c r="J49" s="6">
        <f>+'Cost Allocations'!L49</f>
        <v>0</v>
      </c>
      <c r="L49" s="6">
        <f t="shared" si="14"/>
        <v>0</v>
      </c>
      <c r="O49" s="6">
        <f t="shared" si="15"/>
        <v>0</v>
      </c>
    </row>
    <row r="50" spans="1:15">
      <c r="A50" t="s">
        <v>17</v>
      </c>
      <c r="C50" s="6">
        <f>'Results of Operations Staff '!N50</f>
        <v>0</v>
      </c>
      <c r="D50" s="121"/>
      <c r="F50" s="147"/>
      <c r="G50" s="6"/>
      <c r="I50" s="147"/>
      <c r="J50" s="6"/>
      <c r="L50" s="6"/>
      <c r="O50" s="6">
        <f t="shared" si="15"/>
        <v>0</v>
      </c>
    </row>
    <row r="51" spans="1:15">
      <c r="A51">
        <v>4360</v>
      </c>
      <c r="B51" t="s">
        <v>40</v>
      </c>
      <c r="C51" s="6">
        <f>'Results of Operations Staff '!N51</f>
        <v>426119.59597291984</v>
      </c>
      <c r="D51" s="121">
        <f>+'Cost Allocations'!F51</f>
        <v>420194.504533878</v>
      </c>
      <c r="F51" s="147">
        <f>+D51+E51</f>
        <v>420194.504533878</v>
      </c>
      <c r="G51" s="6">
        <f>+'Cost Allocations'!I51</f>
        <v>0</v>
      </c>
      <c r="I51" s="147">
        <f>+G51+H51</f>
        <v>0</v>
      </c>
      <c r="J51" s="6">
        <f>+'Cost Allocations'!L51</f>
        <v>5925.0914390418029</v>
      </c>
      <c r="L51" s="6">
        <f>+J51+K51</f>
        <v>5925.0914390418029</v>
      </c>
      <c r="O51" s="6">
        <f t="shared" si="15"/>
        <v>3.0013325158506632E-11</v>
      </c>
    </row>
    <row r="52" spans="1:15">
      <c r="A52">
        <v>4361</v>
      </c>
      <c r="B52" t="s">
        <v>41</v>
      </c>
      <c r="C52" s="6">
        <f>'Results of Operations Staff '!N52</f>
        <v>213487.51000000004</v>
      </c>
      <c r="D52" s="121">
        <f>+'Cost Allocations'!F52</f>
        <v>213487.51000000004</v>
      </c>
      <c r="F52" s="147">
        <f>+D52+E52</f>
        <v>213487.51000000004</v>
      </c>
      <c r="G52" s="6">
        <f>+'Cost Allocations'!I52</f>
        <v>0</v>
      </c>
      <c r="I52" s="147">
        <f>+G52+H52</f>
        <v>0</v>
      </c>
      <c r="J52" s="6">
        <f>+'Cost Allocations'!L52</f>
        <v>0</v>
      </c>
      <c r="L52" s="6">
        <f>+J52+K52</f>
        <v>0</v>
      </c>
      <c r="O52" s="6">
        <f t="shared" si="15"/>
        <v>0</v>
      </c>
    </row>
    <row r="53" spans="1:15">
      <c r="A53">
        <v>4362</v>
      </c>
      <c r="B53" t="s">
        <v>42</v>
      </c>
      <c r="C53" s="6">
        <f>'Results of Operations Staff '!N53</f>
        <v>110733.36706288891</v>
      </c>
      <c r="D53" s="121">
        <f>+'Cost Allocations'!F53</f>
        <v>82.483151928450241</v>
      </c>
      <c r="F53" s="147">
        <f>+D53+E53</f>
        <v>82.483151928450241</v>
      </c>
      <c r="G53" s="6">
        <f>+'Cost Allocations'!I53</f>
        <v>30602.157308702343</v>
      </c>
      <c r="I53" s="147">
        <f>+G53+H53</f>
        <v>30602.157308702343</v>
      </c>
      <c r="J53" s="6">
        <f>+'Cost Allocations'!L53</f>
        <v>80048.726602258117</v>
      </c>
      <c r="L53" s="6">
        <f>+J53+K53</f>
        <v>80048.726602258117</v>
      </c>
      <c r="O53" s="6">
        <f t="shared" si="15"/>
        <v>0</v>
      </c>
    </row>
    <row r="54" spans="1:15">
      <c r="A54">
        <v>4363</v>
      </c>
      <c r="B54" t="s">
        <v>43</v>
      </c>
      <c r="C54" s="6">
        <f>'Results of Operations Staff '!N54</f>
        <v>110827.33</v>
      </c>
      <c r="D54" s="121">
        <f>+'Cost Allocations'!F54</f>
        <v>0</v>
      </c>
      <c r="F54" s="147">
        <f>+D54+E54</f>
        <v>0</v>
      </c>
      <c r="G54" s="6">
        <f>+'Cost Allocations'!I54</f>
        <v>18388.288145318176</v>
      </c>
      <c r="I54" s="147">
        <f>+G54+H54</f>
        <v>18388.288145318176</v>
      </c>
      <c r="J54" s="6">
        <f>+'Cost Allocations'!L54</f>
        <v>92439.041854681825</v>
      </c>
      <c r="L54" s="6">
        <f>+J54+K54</f>
        <v>92439.041854681825</v>
      </c>
      <c r="O54" s="6">
        <f t="shared" si="15"/>
        <v>0</v>
      </c>
    </row>
    <row r="55" spans="1:15">
      <c r="A55">
        <v>4380</v>
      </c>
      <c r="B55" t="s">
        <v>336</v>
      </c>
      <c r="C55" s="6">
        <f>'Results of Operations Staff '!N55</f>
        <v>0</v>
      </c>
      <c r="D55" s="121">
        <f>+'Cost Allocations'!F55</f>
        <v>0</v>
      </c>
      <c r="F55" s="147">
        <f>+D55+E55</f>
        <v>0</v>
      </c>
      <c r="G55" s="6">
        <f>+'Cost Allocations'!I55</f>
        <v>0</v>
      </c>
      <c r="I55" s="147">
        <f>+G55+H55</f>
        <v>0</v>
      </c>
      <c r="J55" s="6">
        <f>+'Cost Allocations'!L55</f>
        <v>0</v>
      </c>
      <c r="L55" s="6">
        <f>+J55+K55</f>
        <v>0</v>
      </c>
      <c r="O55" s="6">
        <f t="shared" si="15"/>
        <v>0</v>
      </c>
    </row>
    <row r="56" spans="1:15">
      <c r="A56" t="s">
        <v>14</v>
      </c>
      <c r="C56" s="6">
        <f>'Results of Operations Staff '!N56</f>
        <v>0</v>
      </c>
      <c r="D56" s="121"/>
      <c r="F56" s="147"/>
      <c r="G56" s="6"/>
      <c r="I56" s="147"/>
      <c r="J56" s="6"/>
      <c r="L56" s="6"/>
      <c r="O56" s="6">
        <f t="shared" si="15"/>
        <v>0</v>
      </c>
    </row>
    <row r="57" spans="1:15">
      <c r="A57">
        <v>4430</v>
      </c>
      <c r="B57" t="s">
        <v>44</v>
      </c>
      <c r="C57" s="6">
        <f>'Results of Operations Staff '!N57</f>
        <v>0</v>
      </c>
      <c r="D57" s="121">
        <f>+'Cost Allocations'!F57</f>
        <v>0</v>
      </c>
      <c r="F57" s="147">
        <f>+D57+E57</f>
        <v>0</v>
      </c>
      <c r="G57" s="6">
        <f>+'Cost Allocations'!I57</f>
        <v>0</v>
      </c>
      <c r="I57" s="147">
        <f>+G57+H57</f>
        <v>0</v>
      </c>
      <c r="J57" s="6">
        <f>+'Cost Allocations'!L57</f>
        <v>0</v>
      </c>
      <c r="L57" s="6">
        <f>+J57+K57</f>
        <v>0</v>
      </c>
      <c r="O57" s="6">
        <f t="shared" si="15"/>
        <v>0</v>
      </c>
    </row>
    <row r="58" spans="1:15">
      <c r="A58">
        <v>4450</v>
      </c>
      <c r="B58" t="s">
        <v>45</v>
      </c>
      <c r="C58" s="6">
        <f>'Results of Operations Staff '!N58</f>
        <v>1530</v>
      </c>
      <c r="D58" s="121">
        <f>+'Cost Allocations'!F58</f>
        <v>1530</v>
      </c>
      <c r="F58" s="147">
        <f>+D58+E58</f>
        <v>1530</v>
      </c>
      <c r="G58" s="6">
        <f>+'Cost Allocations'!I58</f>
        <v>0</v>
      </c>
      <c r="I58" s="147">
        <f>+G58+H58</f>
        <v>0</v>
      </c>
      <c r="J58" s="6">
        <f>+'Cost Allocations'!L58</f>
        <v>0</v>
      </c>
      <c r="L58" s="6">
        <f>+J58+K58</f>
        <v>0</v>
      </c>
      <c r="O58" s="6">
        <f t="shared" si="15"/>
        <v>0</v>
      </c>
    </row>
    <row r="59" spans="1:15">
      <c r="A59" t="s">
        <v>15</v>
      </c>
      <c r="C59" s="6">
        <f>'Results of Operations Staff '!N59</f>
        <v>0</v>
      </c>
      <c r="D59" s="121"/>
      <c r="F59" s="147"/>
      <c r="G59" s="6"/>
      <c r="I59" s="147"/>
      <c r="J59" s="6"/>
      <c r="L59" s="6"/>
      <c r="O59" s="6">
        <f t="shared" si="15"/>
        <v>0</v>
      </c>
    </row>
    <row r="60" spans="1:15">
      <c r="A60">
        <v>4530</v>
      </c>
      <c r="B60" t="s">
        <v>46</v>
      </c>
      <c r="C60" s="6">
        <f>'Results of Operations Staff '!N60</f>
        <v>56004.528385849</v>
      </c>
      <c r="D60" s="121">
        <f>+'Cost Allocations'!F60</f>
        <v>43976.852919676552</v>
      </c>
      <c r="F60" s="147">
        <f>+D60+E60</f>
        <v>43976.852919676552</v>
      </c>
      <c r="G60" s="6">
        <f>+'Cost Allocations'!I60</f>
        <v>3763.2604219312584</v>
      </c>
      <c r="I60" s="147">
        <f>+G60+H60</f>
        <v>3763.2604219312584</v>
      </c>
      <c r="J60" s="6">
        <f>+'Cost Allocations'!L60</f>
        <v>8264.4150442411956</v>
      </c>
      <c r="L60" s="6">
        <f>+J60+K60</f>
        <v>8264.4150442411956</v>
      </c>
      <c r="O60" s="6">
        <f t="shared" si="15"/>
        <v>0</v>
      </c>
    </row>
    <row r="61" spans="1:15">
      <c r="A61">
        <v>4540</v>
      </c>
      <c r="B61" t="s">
        <v>47</v>
      </c>
      <c r="C61" s="6">
        <f>'Results of Operations Staff '!N61</f>
        <v>18933.079195594422</v>
      </c>
      <c r="D61" s="121">
        <f>+'Cost Allocations'!F61</f>
        <v>14866.962781381557</v>
      </c>
      <c r="F61" s="147">
        <f>+D61+E61</f>
        <v>14866.962781381557</v>
      </c>
      <c r="G61" s="6">
        <f>+'Cost Allocations'!I61</f>
        <v>1272.2204731586273</v>
      </c>
      <c r="I61" s="147">
        <f>+G61+H61</f>
        <v>1272.2204731586273</v>
      </c>
      <c r="J61" s="6">
        <f>+'Cost Allocations'!L61</f>
        <v>2793.8959410542407</v>
      </c>
      <c r="L61" s="6">
        <f>+J61+K61</f>
        <v>2793.8959410542407</v>
      </c>
      <c r="O61" s="6">
        <f t="shared" si="15"/>
        <v>0</v>
      </c>
    </row>
    <row r="62" spans="1:15">
      <c r="A62">
        <v>4580</v>
      </c>
      <c r="B62" t="s">
        <v>48</v>
      </c>
      <c r="C62" s="6">
        <f>'Results of Operations Staff '!N62</f>
        <v>0</v>
      </c>
      <c r="D62" s="121">
        <f>+'Cost Allocations'!F62</f>
        <v>0</v>
      </c>
      <c r="F62" s="147">
        <f>+D62+E62</f>
        <v>0</v>
      </c>
      <c r="G62" s="6">
        <f>+'Cost Allocations'!I62</f>
        <v>0</v>
      </c>
      <c r="I62" s="147">
        <f>+G62+H62</f>
        <v>0</v>
      </c>
      <c r="J62" s="6">
        <f>+'Cost Allocations'!L62</f>
        <v>0</v>
      </c>
      <c r="L62" s="6">
        <f>+J62+K62</f>
        <v>0</v>
      </c>
      <c r="O62" s="6">
        <f t="shared" si="15"/>
        <v>0</v>
      </c>
    </row>
    <row r="63" spans="1:15">
      <c r="A63" t="s">
        <v>18</v>
      </c>
      <c r="C63" s="6">
        <f>'Results of Operations Staff '!N63</f>
        <v>0</v>
      </c>
      <c r="D63" s="121"/>
      <c r="F63" s="147"/>
      <c r="G63" s="6"/>
      <c r="I63" s="147"/>
      <c r="J63" s="6"/>
      <c r="L63" s="6"/>
      <c r="O63" s="6">
        <f t="shared" si="15"/>
        <v>0</v>
      </c>
    </row>
    <row r="64" spans="1:15">
      <c r="A64">
        <v>4611</v>
      </c>
      <c r="B64" t="s">
        <v>49</v>
      </c>
      <c r="C64" s="6">
        <f>'Results of Operations Staff '!N64</f>
        <v>59772.147716565654</v>
      </c>
      <c r="D64" s="121">
        <f>+'Cost Allocations'!F64</f>
        <v>44406.656873259701</v>
      </c>
      <c r="F64" s="147">
        <f t="shared" ref="F64:F81" si="16">+D64+E64</f>
        <v>44406.656873259701</v>
      </c>
      <c r="G64" s="6">
        <f>+'Cost Allocations'!I64</f>
        <v>4742.9078830537774</v>
      </c>
      <c r="I64" s="147">
        <f t="shared" ref="I64:I81" si="17">+G64+H64</f>
        <v>4742.9078830537774</v>
      </c>
      <c r="J64" s="6">
        <f>+'Cost Allocations'!L64</f>
        <v>10622.582960252184</v>
      </c>
      <c r="L64" s="6">
        <f t="shared" ref="L64:L81" si="18">+J64+K64</f>
        <v>10622.582960252184</v>
      </c>
      <c r="O64" s="6">
        <f t="shared" si="15"/>
        <v>0</v>
      </c>
    </row>
    <row r="65" spans="1:15">
      <c r="A65">
        <v>4612</v>
      </c>
      <c r="B65" t="s">
        <v>50</v>
      </c>
      <c r="C65" s="6">
        <f>'Results of Operations Staff '!N65</f>
        <v>44810.21167967037</v>
      </c>
      <c r="D65" s="121">
        <f>+'Cost Allocations'!F65</f>
        <v>33290.95189808229</v>
      </c>
      <c r="F65" s="147">
        <f t="shared" si="16"/>
        <v>33290.95189808229</v>
      </c>
      <c r="G65" s="6">
        <f>+'Cost Allocations'!I65</f>
        <v>3555.6812718963897</v>
      </c>
      <c r="I65" s="147">
        <f t="shared" si="17"/>
        <v>3555.6812718963897</v>
      </c>
      <c r="J65" s="6">
        <f>+'Cost Allocations'!L65</f>
        <v>7963.578509691697</v>
      </c>
      <c r="L65" s="6">
        <f t="shared" si="18"/>
        <v>7963.578509691697</v>
      </c>
      <c r="O65" s="6">
        <f t="shared" si="15"/>
        <v>-7.2759576141834259E-12</v>
      </c>
    </row>
    <row r="66" spans="1:15">
      <c r="A66">
        <v>4613</v>
      </c>
      <c r="B66" t="s">
        <v>51</v>
      </c>
      <c r="C66" s="6">
        <f>'Results of Operations Staff '!N66</f>
        <v>86022.386925439961</v>
      </c>
      <c r="D66" s="121">
        <f>+'Cost Allocations'!F66</f>
        <v>63908.806451639393</v>
      </c>
      <c r="F66" s="147">
        <f t="shared" si="16"/>
        <v>63908.806451639393</v>
      </c>
      <c r="G66" s="6">
        <f>+'Cost Allocations'!I66</f>
        <v>6825.8590774160284</v>
      </c>
      <c r="I66" s="147">
        <f t="shared" si="17"/>
        <v>6825.8590774160284</v>
      </c>
      <c r="J66" s="6">
        <f>+'Cost Allocations'!L66</f>
        <v>15287.721396384552</v>
      </c>
      <c r="L66" s="6">
        <f t="shared" si="18"/>
        <v>15287.721396384552</v>
      </c>
      <c r="O66" s="6">
        <f t="shared" si="15"/>
        <v>0</v>
      </c>
    </row>
    <row r="67" spans="1:15">
      <c r="A67">
        <v>4620</v>
      </c>
      <c r="B67" t="s">
        <v>52</v>
      </c>
      <c r="C67" s="6">
        <f>'Results of Operations Staff '!N67</f>
        <v>23885.301530664292</v>
      </c>
      <c r="D67" s="121">
        <f>+'Cost Allocations'!F67</f>
        <v>17745.161080979422</v>
      </c>
      <c r="F67" s="147">
        <f t="shared" si="16"/>
        <v>17745.161080979422</v>
      </c>
      <c r="G67" s="6">
        <f>+'Cost Allocations'!I67</f>
        <v>1895.2938659004776</v>
      </c>
      <c r="I67" s="147">
        <f t="shared" si="17"/>
        <v>1895.2938659004776</v>
      </c>
      <c r="J67" s="6">
        <f>+'Cost Allocations'!L67</f>
        <v>4244.8465837843951</v>
      </c>
      <c r="L67" s="6">
        <f t="shared" si="18"/>
        <v>4244.8465837843951</v>
      </c>
      <c r="O67" s="6">
        <f t="shared" si="15"/>
        <v>0</v>
      </c>
    </row>
    <row r="68" spans="1:15">
      <c r="A68">
        <v>4622</v>
      </c>
      <c r="B68" t="s">
        <v>53</v>
      </c>
      <c r="C68" s="6">
        <f>'Results of Operations Staff '!N68</f>
        <v>0</v>
      </c>
      <c r="D68" s="121">
        <f>+'Cost Allocations'!F68</f>
        <v>0</v>
      </c>
      <c r="F68" s="147">
        <f t="shared" si="16"/>
        <v>0</v>
      </c>
      <c r="G68" s="6">
        <f>+'Cost Allocations'!I68</f>
        <v>0</v>
      </c>
      <c r="I68" s="147">
        <f t="shared" si="17"/>
        <v>0</v>
      </c>
      <c r="J68" s="6">
        <f>+'Cost Allocations'!L68</f>
        <v>0</v>
      </c>
      <c r="L68" s="6">
        <f t="shared" si="18"/>
        <v>0</v>
      </c>
      <c r="O68" s="6">
        <f t="shared" si="15"/>
        <v>0</v>
      </c>
    </row>
    <row r="69" spans="1:15">
      <c r="A69">
        <v>4624</v>
      </c>
      <c r="B69" t="s">
        <v>54</v>
      </c>
      <c r="C69" s="6">
        <f>'Results of Operations Staff '!N69</f>
        <v>106.35977799565366</v>
      </c>
      <c r="D69" s="121">
        <f>+'Cost Allocations'!F69</f>
        <v>79.018110390905065</v>
      </c>
      <c r="F69" s="147">
        <f t="shared" si="16"/>
        <v>79.018110390905065</v>
      </c>
      <c r="G69" s="6">
        <f>+'Cost Allocations'!I69</f>
        <v>8.4396269628375347</v>
      </c>
      <c r="I69" s="147">
        <f t="shared" si="17"/>
        <v>8.4396269628375347</v>
      </c>
      <c r="J69" s="6">
        <f>+'Cost Allocations'!L69</f>
        <v>18.902040641911068</v>
      </c>
      <c r="L69" s="6">
        <f t="shared" si="18"/>
        <v>18.902040641911068</v>
      </c>
      <c r="O69" s="6">
        <f t="shared" si="15"/>
        <v>0</v>
      </c>
    </row>
    <row r="70" spans="1:15">
      <c r="A70">
        <v>4625</v>
      </c>
      <c r="B70" t="s">
        <v>55</v>
      </c>
      <c r="C70" s="6">
        <f>'Results of Operations Staff '!N70</f>
        <v>2342.0896106940245</v>
      </c>
      <c r="D70" s="121">
        <f>+'Cost Allocations'!F70</f>
        <v>1740.0139309314372</v>
      </c>
      <c r="F70" s="147">
        <f t="shared" si="16"/>
        <v>1740.0139309314372</v>
      </c>
      <c r="G70" s="6">
        <f>+'Cost Allocations'!I70</f>
        <v>185.84433890603546</v>
      </c>
      <c r="I70" s="147">
        <f t="shared" si="17"/>
        <v>185.84433890603546</v>
      </c>
      <c r="J70" s="6">
        <f>+'Cost Allocations'!L70</f>
        <v>416.23134085655204</v>
      </c>
      <c r="L70" s="6">
        <f t="shared" si="18"/>
        <v>416.23134085655204</v>
      </c>
      <c r="O70" s="6">
        <f t="shared" si="15"/>
        <v>0</v>
      </c>
    </row>
    <row r="71" spans="1:15">
      <c r="A71">
        <v>4627</v>
      </c>
      <c r="B71" t="s">
        <v>56</v>
      </c>
      <c r="C71" s="6">
        <f>'Results of Operations Staff '!N71</f>
        <v>1490.6399866380859</v>
      </c>
      <c r="D71" s="121">
        <f>+'Cost Allocations'!F71</f>
        <v>1107.4445362426279</v>
      </c>
      <c r="F71" s="147">
        <f t="shared" si="16"/>
        <v>1107.4445362426279</v>
      </c>
      <c r="G71" s="6">
        <f>+'Cost Allocations'!I71</f>
        <v>118.28198272121878</v>
      </c>
      <c r="I71" s="147">
        <f t="shared" si="17"/>
        <v>118.28198272121878</v>
      </c>
      <c r="J71" s="6">
        <f>+'Cost Allocations'!L71</f>
        <v>264.91346767423937</v>
      </c>
      <c r="L71" s="6">
        <f t="shared" si="18"/>
        <v>264.91346767423937</v>
      </c>
      <c r="O71" s="6">
        <f t="shared" si="15"/>
        <v>0</v>
      </c>
    </row>
    <row r="72" spans="1:15">
      <c r="A72">
        <v>4630</v>
      </c>
      <c r="B72" t="s">
        <v>57</v>
      </c>
      <c r="C72" s="6">
        <f>'Results of Operations Staff '!N73</f>
        <v>446.97772095740982</v>
      </c>
      <c r="D72" s="121">
        <f>+'Cost Allocations'!F72</f>
        <v>332.07416903720014</v>
      </c>
      <c r="F72" s="147">
        <f t="shared" si="16"/>
        <v>332.07416903720014</v>
      </c>
      <c r="G72" s="6">
        <f>+'Cost Allocations'!I72</f>
        <v>35.467592135571977</v>
      </c>
      <c r="I72" s="147">
        <f t="shared" si="17"/>
        <v>35.467592135571977</v>
      </c>
      <c r="J72" s="6">
        <f>+'Cost Allocations'!L72</f>
        <v>79.43595978463776</v>
      </c>
      <c r="L72" s="6">
        <f t="shared" si="18"/>
        <v>79.43595978463776</v>
      </c>
      <c r="O72" s="6">
        <f t="shared" si="15"/>
        <v>0</v>
      </c>
    </row>
    <row r="73" spans="1:15">
      <c r="A73">
        <v>4640</v>
      </c>
      <c r="B73" t="s">
        <v>58</v>
      </c>
      <c r="C73" s="6">
        <f>'Results of Operations Staff '!N74</f>
        <v>13695.007865739872</v>
      </c>
      <c r="D73" s="121">
        <f>+'Cost Allocations'!F73</f>
        <v>10174.463163918677</v>
      </c>
      <c r="F73" s="147">
        <f t="shared" si="16"/>
        <v>10174.463163918677</v>
      </c>
      <c r="G73" s="6">
        <f>+'Cost Allocations'!I73</f>
        <v>1086.6961159386162</v>
      </c>
      <c r="I73" s="147">
        <f t="shared" si="17"/>
        <v>1086.6961159386162</v>
      </c>
      <c r="J73" s="6">
        <f>+'Cost Allocations'!L73</f>
        <v>2433.8485858825798</v>
      </c>
      <c r="L73" s="6">
        <f t="shared" si="18"/>
        <v>2433.8485858825798</v>
      </c>
      <c r="O73" s="6">
        <f t="shared" si="15"/>
        <v>0</v>
      </c>
    </row>
    <row r="74" spans="1:15">
      <c r="A74">
        <v>4650</v>
      </c>
      <c r="B74" t="s">
        <v>59</v>
      </c>
      <c r="C74" s="6">
        <f>'Results of Operations Staff '!N75</f>
        <v>65849.289253529962</v>
      </c>
      <c r="D74" s="121">
        <f>+'Cost Allocations'!F74</f>
        <v>48921.561378312574</v>
      </c>
      <c r="F74" s="147">
        <f t="shared" si="16"/>
        <v>48921.561378312574</v>
      </c>
      <c r="G74" s="6">
        <f>+'Cost Allocations'!I74</f>
        <v>5225.1278400608317</v>
      </c>
      <c r="I74" s="147">
        <f t="shared" si="17"/>
        <v>5225.1278400608317</v>
      </c>
      <c r="J74" s="6">
        <f>+'Cost Allocations'!L74</f>
        <v>11702.600035156565</v>
      </c>
      <c r="L74" s="6">
        <f t="shared" si="18"/>
        <v>11702.600035156565</v>
      </c>
      <c r="O74" s="6">
        <f t="shared" si="15"/>
        <v>0</v>
      </c>
    </row>
    <row r="75" spans="1:15">
      <c r="A75">
        <v>4652</v>
      </c>
      <c r="B75" t="s">
        <v>60</v>
      </c>
      <c r="C75" s="6">
        <f>'Results of Operations Staff '!N76</f>
        <v>9441.6722488590622</v>
      </c>
      <c r="D75" s="121">
        <f>+'Cost Allocations'!F75</f>
        <v>7014.5229154725939</v>
      </c>
      <c r="F75" s="147">
        <f t="shared" si="16"/>
        <v>7014.5229154725939</v>
      </c>
      <c r="G75" s="6">
        <f>+'Cost Allocations'!I75</f>
        <v>749.19479137124642</v>
      </c>
      <c r="I75" s="147">
        <f t="shared" si="17"/>
        <v>749.19479137124642</v>
      </c>
      <c r="J75" s="6">
        <f>+'Cost Allocations'!L75</f>
        <v>1677.9545420152233</v>
      </c>
      <c r="L75" s="6">
        <f t="shared" si="18"/>
        <v>1677.9545420152233</v>
      </c>
      <c r="O75" s="6">
        <f t="shared" si="15"/>
        <v>0</v>
      </c>
    </row>
    <row r="76" spans="1:15">
      <c r="A76">
        <v>4660</v>
      </c>
      <c r="B76" t="s">
        <v>61</v>
      </c>
      <c r="C76" s="6">
        <f>'Results of Operations Staff '!N77</f>
        <v>0</v>
      </c>
      <c r="D76" s="121">
        <f>+'Cost Allocations'!F76</f>
        <v>0</v>
      </c>
      <c r="F76" s="147">
        <f t="shared" si="16"/>
        <v>0</v>
      </c>
      <c r="G76" s="6">
        <f>+'Cost Allocations'!I76</f>
        <v>0</v>
      </c>
      <c r="I76" s="147">
        <f t="shared" si="17"/>
        <v>0</v>
      </c>
      <c r="J76" s="6">
        <f>+'Cost Allocations'!L76</f>
        <v>0</v>
      </c>
      <c r="L76" s="6">
        <f t="shared" si="18"/>
        <v>0</v>
      </c>
      <c r="O76" s="6">
        <f t="shared" ref="O76:O102" si="19">+C76-D76-G76-J76</f>
        <v>0</v>
      </c>
    </row>
    <row r="77" spans="1:15">
      <c r="A77">
        <v>4670</v>
      </c>
      <c r="B77" t="s">
        <v>62</v>
      </c>
      <c r="C77" s="6">
        <f>'Results of Operations Staff '!N78</f>
        <v>0</v>
      </c>
      <c r="D77" s="121">
        <f>+'Cost Allocations'!F77</f>
        <v>0</v>
      </c>
      <c r="F77" s="147">
        <f t="shared" si="16"/>
        <v>0</v>
      </c>
      <c r="G77" s="6">
        <f>+'Cost Allocations'!I77</f>
        <v>0</v>
      </c>
      <c r="I77" s="147">
        <f t="shared" si="17"/>
        <v>0</v>
      </c>
      <c r="J77" s="6">
        <f>+'Cost Allocations'!L77</f>
        <v>0</v>
      </c>
      <c r="L77" s="6">
        <f t="shared" si="18"/>
        <v>0</v>
      </c>
      <c r="O77" s="6">
        <f t="shared" si="19"/>
        <v>0</v>
      </c>
    </row>
    <row r="78" spans="1:15">
      <c r="A78">
        <v>4680</v>
      </c>
      <c r="B78" t="s">
        <v>63</v>
      </c>
      <c r="C78" s="6">
        <f>'Results of Operations Staff '!N79</f>
        <v>10989.553936486616</v>
      </c>
      <c r="D78" s="121">
        <f>+'Cost Allocations'!F78</f>
        <v>7875.8579717983112</v>
      </c>
      <c r="F78" s="147">
        <f t="shared" si="16"/>
        <v>7875.8579717983112</v>
      </c>
      <c r="G78" s="6">
        <f>+'Cost Allocations'!I78</f>
        <v>712.92525645339072</v>
      </c>
      <c r="I78" s="147">
        <f t="shared" si="17"/>
        <v>712.92525645339072</v>
      </c>
      <c r="J78" s="6">
        <f>+'Cost Allocations'!L78</f>
        <v>2400.7707082349152</v>
      </c>
      <c r="L78" s="6">
        <f t="shared" si="18"/>
        <v>2400.7707082349152</v>
      </c>
      <c r="O78" s="6">
        <f t="shared" si="19"/>
        <v>0</v>
      </c>
    </row>
    <row r="79" spans="1:15">
      <c r="A79">
        <v>4692</v>
      </c>
      <c r="B79" t="s">
        <v>64</v>
      </c>
      <c r="C79" s="6">
        <f>'Results of Operations Staff '!N80</f>
        <v>7911.5342309506887</v>
      </c>
      <c r="D79" s="121">
        <f>+'Cost Allocations'!F79</f>
        <v>5877.7340175365198</v>
      </c>
      <c r="F79" s="147">
        <f t="shared" si="16"/>
        <v>5877.7340175365198</v>
      </c>
      <c r="G79" s="6">
        <f>+'Cost Allocations'!I79</f>
        <v>627.77864782372978</v>
      </c>
      <c r="I79" s="147">
        <f t="shared" si="17"/>
        <v>627.77864782372978</v>
      </c>
      <c r="J79" s="6">
        <f>+'Cost Allocations'!L79</f>
        <v>1406.0215655904394</v>
      </c>
      <c r="L79" s="6">
        <f t="shared" si="18"/>
        <v>1406.0215655904394</v>
      </c>
      <c r="O79" s="6">
        <f t="shared" si="19"/>
        <v>0</v>
      </c>
    </row>
    <row r="80" spans="1:15">
      <c r="A80">
        <v>4694</v>
      </c>
      <c r="B80" t="s">
        <v>65</v>
      </c>
      <c r="C80" s="6">
        <f>'Results of Operations Staff '!N81</f>
        <v>0</v>
      </c>
      <c r="D80" s="121">
        <f>+'Cost Allocations'!F80</f>
        <v>0</v>
      </c>
      <c r="F80" s="147">
        <f t="shared" si="16"/>
        <v>0</v>
      </c>
      <c r="G80" s="6">
        <f>+'Cost Allocations'!I80</f>
        <v>0</v>
      </c>
      <c r="I80" s="147">
        <f t="shared" si="17"/>
        <v>0</v>
      </c>
      <c r="J80" s="6">
        <f>+'Cost Allocations'!L80</f>
        <v>0</v>
      </c>
      <c r="L80" s="6">
        <f t="shared" si="18"/>
        <v>0</v>
      </c>
      <c r="O80" s="6">
        <f t="shared" si="19"/>
        <v>0</v>
      </c>
    </row>
    <row r="81" spans="1:15">
      <c r="A81">
        <v>4698</v>
      </c>
      <c r="B81" t="s">
        <v>66</v>
      </c>
      <c r="C81" s="6">
        <f>'Results of Operations Staff '!N82</f>
        <v>190.55399413920608</v>
      </c>
      <c r="D81" s="121">
        <f>+'Cost Allocations'!F81</f>
        <v>141.5687097892868</v>
      </c>
      <c r="F81" s="147">
        <f t="shared" si="16"/>
        <v>141.5687097892868</v>
      </c>
      <c r="G81" s="6">
        <f>+'Cost Allocations'!I81</f>
        <v>15.120421056908821</v>
      </c>
      <c r="I81" s="147">
        <f t="shared" si="17"/>
        <v>15.120421056908821</v>
      </c>
      <c r="J81" s="6">
        <f>+'Cost Allocations'!L81</f>
        <v>33.864863293010494</v>
      </c>
      <c r="L81" s="6">
        <f t="shared" si="18"/>
        <v>33.864863293010494</v>
      </c>
      <c r="O81" s="6">
        <f t="shared" si="19"/>
        <v>0</v>
      </c>
    </row>
    <row r="82" spans="1:15">
      <c r="A82" t="s">
        <v>19</v>
      </c>
      <c r="C82" s="6">
        <f>'Results of Operations Staff '!N83</f>
        <v>0</v>
      </c>
      <c r="D82" s="121"/>
      <c r="F82" s="147"/>
      <c r="G82" s="6"/>
      <c r="I82" s="147"/>
      <c r="J82" s="6"/>
      <c r="L82" s="6"/>
      <c r="O82" s="6">
        <f t="shared" si="19"/>
        <v>0</v>
      </c>
    </row>
    <row r="83" spans="1:15">
      <c r="A83">
        <v>5010</v>
      </c>
      <c r="B83" t="s">
        <v>67</v>
      </c>
      <c r="C83" s="6">
        <f>'Results of Operations Staff '!N84</f>
        <v>224643.73090776146</v>
      </c>
      <c r="D83" s="121">
        <f>+'Cost Allocations'!F83</f>
        <v>176177.15282758701</v>
      </c>
      <c r="F83" s="147">
        <f>+D83+E83</f>
        <v>176177.15282758701</v>
      </c>
      <c r="G83" s="6">
        <f>+'Cost Allocations'!I83</f>
        <v>14491.679333202379</v>
      </c>
      <c r="I83" s="147">
        <f>+G83+H83</f>
        <v>14491.679333202379</v>
      </c>
      <c r="J83" s="6">
        <f>+'Cost Allocations'!L83</f>
        <v>33974.898746972074</v>
      </c>
      <c r="L83" s="6">
        <f>+J83+K83</f>
        <v>33974.898746972074</v>
      </c>
      <c r="O83" s="6">
        <f t="shared" si="19"/>
        <v>0</v>
      </c>
    </row>
    <row r="84" spans="1:15">
      <c r="A84">
        <v>5100</v>
      </c>
      <c r="B84" t="s">
        <v>68</v>
      </c>
      <c r="C84" s="6">
        <f>'Results of Operations Staff '!N85</f>
        <v>-7836.1903024760068</v>
      </c>
      <c r="D84" s="121">
        <f>+'Cost Allocations'!F84</f>
        <v>-6145.5429489471335</v>
      </c>
      <c r="F84" s="147">
        <f>+D84+E84</f>
        <v>-6145.5429489471335</v>
      </c>
      <c r="G84" s="6">
        <f>+'Cost Allocations'!I84</f>
        <v>-505.50957553344728</v>
      </c>
      <c r="I84" s="147">
        <f>+G84+H84</f>
        <v>-505.50957553344728</v>
      </c>
      <c r="J84" s="6">
        <f>+'Cost Allocations'!L84</f>
        <v>-1185.1377779954259</v>
      </c>
      <c r="L84" s="6">
        <f>+J84+K84</f>
        <v>-1185.1377779954259</v>
      </c>
      <c r="O84" s="6">
        <f t="shared" si="19"/>
        <v>0</v>
      </c>
    </row>
    <row r="85" spans="1:15">
      <c r="A85" t="s">
        <v>20</v>
      </c>
      <c r="C85" s="6">
        <f>'Results of Operations Staff '!N86</f>
        <v>0</v>
      </c>
      <c r="D85" s="121"/>
      <c r="F85" s="147"/>
      <c r="G85" s="6"/>
      <c r="I85" s="147"/>
      <c r="J85" s="6"/>
      <c r="L85" s="6"/>
      <c r="O85" s="6">
        <f t="shared" si="19"/>
        <v>0</v>
      </c>
    </row>
    <row r="86" spans="1:15">
      <c r="A86">
        <v>5151</v>
      </c>
      <c r="B86" t="s">
        <v>69</v>
      </c>
      <c r="C86" s="6">
        <f>'Results of Operations Staff '!N87</f>
        <v>0</v>
      </c>
      <c r="D86" s="121">
        <f>+'Cost Allocations'!F86</f>
        <v>0</v>
      </c>
      <c r="F86" s="147">
        <f>+D86+E86</f>
        <v>0</v>
      </c>
      <c r="G86" s="6">
        <f>+'Cost Allocations'!I86</f>
        <v>0</v>
      </c>
      <c r="I86" s="147">
        <f>+G86+H86</f>
        <v>0</v>
      </c>
      <c r="J86" s="6">
        <f>+'Cost Allocations'!L86</f>
        <v>0</v>
      </c>
      <c r="L86" s="6">
        <f>+J86+K86</f>
        <v>0</v>
      </c>
      <c r="O86" s="6">
        <f t="shared" si="19"/>
        <v>0</v>
      </c>
    </row>
    <row r="87" spans="1:15">
      <c r="A87" t="s">
        <v>21</v>
      </c>
      <c r="C87" s="6">
        <f>'Results of Operations Staff '!N88</f>
        <v>0</v>
      </c>
      <c r="D87" s="121"/>
      <c r="F87" s="147"/>
      <c r="G87" s="6"/>
      <c r="I87" s="147"/>
      <c r="J87" s="6"/>
      <c r="L87" s="6"/>
      <c r="O87" s="6">
        <f t="shared" si="19"/>
        <v>0</v>
      </c>
    </row>
    <row r="88" spans="1:15">
      <c r="A88">
        <v>5220</v>
      </c>
      <c r="B88" t="s">
        <v>70</v>
      </c>
      <c r="C88" s="6">
        <f>'Results of Operations Staff '!N89</f>
        <v>5493.4266669058652</v>
      </c>
      <c r="D88" s="121">
        <f>+'Cost Allocations'!F88</f>
        <v>4313.6443340997876</v>
      </c>
      <c r="F88" s="147">
        <f t="shared" ref="F88:F95" si="20">+D88+E88</f>
        <v>4313.6443340997876</v>
      </c>
      <c r="G88" s="6">
        <f>+'Cost Allocations'!I88</f>
        <v>369.13434952828231</v>
      </c>
      <c r="I88" s="147">
        <f t="shared" ref="I88:I95" si="21">+G88+H88</f>
        <v>369.13434952828231</v>
      </c>
      <c r="J88" s="6">
        <f>+'Cost Allocations'!L88</f>
        <v>810.64798327779647</v>
      </c>
      <c r="L88" s="6">
        <f t="shared" ref="L88:L95" si="22">+J88+K88</f>
        <v>810.64798327779647</v>
      </c>
      <c r="O88" s="6">
        <f t="shared" si="19"/>
        <v>-1.1368683772161603E-12</v>
      </c>
    </row>
    <row r="89" spans="1:15">
      <c r="A89">
        <v>5230</v>
      </c>
      <c r="B89" t="s">
        <v>71</v>
      </c>
      <c r="C89" s="6">
        <f>'Results of Operations Staff '!N90</f>
        <v>2218.7145563770796</v>
      </c>
      <c r="D89" s="121">
        <f>+'Cost Allocations'!F89</f>
        <v>1797.1587906654345</v>
      </c>
      <c r="F89" s="147">
        <f t="shared" si="20"/>
        <v>1797.1587906654345</v>
      </c>
      <c r="G89" s="6">
        <f>+'Cost Allocations'!I89</f>
        <v>110.93572781885399</v>
      </c>
      <c r="I89" s="147">
        <f t="shared" si="21"/>
        <v>110.93572781885399</v>
      </c>
      <c r="J89" s="6">
        <f>+'Cost Allocations'!L89</f>
        <v>310.62003789279117</v>
      </c>
      <c r="L89" s="6">
        <f t="shared" si="22"/>
        <v>310.62003789279117</v>
      </c>
      <c r="O89" s="6">
        <f t="shared" si="19"/>
        <v>0</v>
      </c>
    </row>
    <row r="90" spans="1:15">
      <c r="A90">
        <v>5240</v>
      </c>
      <c r="B90" t="s">
        <v>72</v>
      </c>
      <c r="C90" s="6">
        <f>'Results of Operations Staff '!N91</f>
        <v>40839.502202417134</v>
      </c>
      <c r="D90" s="121">
        <f>+'Cost Allocations'!F90</f>
        <v>32068.706467713229</v>
      </c>
      <c r="F90" s="147">
        <f t="shared" si="20"/>
        <v>32068.706467713229</v>
      </c>
      <c r="G90" s="6">
        <f>+'Cost Allocations'!I90</f>
        <v>2744.2367022693215</v>
      </c>
      <c r="I90" s="147">
        <f t="shared" si="21"/>
        <v>2744.2367022693215</v>
      </c>
      <c r="J90" s="6">
        <f>+'Cost Allocations'!L90</f>
        <v>6026.5590324345876</v>
      </c>
      <c r="L90" s="6">
        <f t="shared" si="22"/>
        <v>6026.5590324345876</v>
      </c>
      <c r="O90" s="6">
        <f t="shared" si="19"/>
        <v>0</v>
      </c>
    </row>
    <row r="91" spans="1:15">
      <c r="A91">
        <v>5241</v>
      </c>
      <c r="B91" t="s">
        <v>73</v>
      </c>
      <c r="C91" s="6">
        <f>'Results of Operations Staff '!N92</f>
        <v>288.358274914135</v>
      </c>
      <c r="D91" s="121">
        <f>+'Cost Allocations'!F91</f>
        <v>226.42971576696249</v>
      </c>
      <c r="F91" s="147">
        <f t="shared" si="20"/>
        <v>226.42971576696249</v>
      </c>
      <c r="G91" s="6">
        <f>+'Cost Allocations'!I91</f>
        <v>19.376420346661344</v>
      </c>
      <c r="I91" s="147">
        <f t="shared" si="21"/>
        <v>19.376420346661344</v>
      </c>
      <c r="J91" s="6">
        <f>+'Cost Allocations'!L91</f>
        <v>42.552138800511187</v>
      </c>
      <c r="L91" s="6">
        <f t="shared" si="22"/>
        <v>42.552138800511187</v>
      </c>
      <c r="O91" s="6">
        <f t="shared" si="19"/>
        <v>0</v>
      </c>
    </row>
    <row r="92" spans="1:15">
      <c r="A92">
        <v>5242</v>
      </c>
      <c r="B92" t="s">
        <v>74</v>
      </c>
      <c r="C92" s="6">
        <f>'Results of Operations Staff '!N93</f>
        <v>3478.8568674181934</v>
      </c>
      <c r="D92" s="121">
        <f>+'Cost Allocations'!F92</f>
        <v>2731.7286868844217</v>
      </c>
      <c r="F92" s="147">
        <f t="shared" si="20"/>
        <v>2731.7286868844217</v>
      </c>
      <c r="G92" s="6">
        <f>+'Cost Allocations'!I92</f>
        <v>233.76403194614957</v>
      </c>
      <c r="I92" s="147">
        <f t="shared" si="21"/>
        <v>233.76403194614957</v>
      </c>
      <c r="J92" s="6">
        <f>+'Cost Allocations'!L92</f>
        <v>513.36414858762259</v>
      </c>
      <c r="L92" s="6">
        <f t="shared" si="22"/>
        <v>513.36414858762259</v>
      </c>
      <c r="O92" s="6">
        <f t="shared" si="19"/>
        <v>0</v>
      </c>
    </row>
    <row r="93" spans="1:15">
      <c r="A93">
        <v>5260</v>
      </c>
      <c r="B93" t="s">
        <v>75</v>
      </c>
      <c r="C93" s="6">
        <f>'Results of Operations Staff '!N94</f>
        <v>43117.015745865087</v>
      </c>
      <c r="D93" s="121">
        <f>+'Cost Allocations'!F93</f>
        <v>30900.571046361361</v>
      </c>
      <c r="E93" s="47">
        <f>+E21*'General Data'!$E$10</f>
        <v>1150.3661941869361</v>
      </c>
      <c r="F93" s="147">
        <f t="shared" si="20"/>
        <v>32050.937240548297</v>
      </c>
      <c r="G93" s="6">
        <f>+'Cost Allocations'!I93</f>
        <v>2797.1298640309637</v>
      </c>
      <c r="H93" s="47">
        <f>+H21*'General Data'!$E$10</f>
        <v>130.90876790593143</v>
      </c>
      <c r="I93" s="147">
        <f t="shared" si="21"/>
        <v>2928.0386319368954</v>
      </c>
      <c r="J93" s="6">
        <f>+'Cost Allocations'!L93</f>
        <v>9419.3148354727655</v>
      </c>
      <c r="K93" s="47">
        <f>+K21*'General Data'!$E$10</f>
        <v>-1727.0320821901182</v>
      </c>
      <c r="L93" s="6">
        <f t="shared" si="22"/>
        <v>7692.2827532826468</v>
      </c>
      <c r="O93" s="6">
        <f t="shared" si="19"/>
        <v>0</v>
      </c>
    </row>
    <row r="94" spans="1:15">
      <c r="A94">
        <v>5270</v>
      </c>
      <c r="B94" t="s">
        <v>76</v>
      </c>
      <c r="C94" s="6">
        <f>'Results of Operations Staff '!N95</f>
        <v>7041.33</v>
      </c>
      <c r="D94" s="121">
        <f>+'Cost Allocations'!F94</f>
        <v>0</v>
      </c>
      <c r="F94" s="147">
        <f t="shared" si="20"/>
        <v>0</v>
      </c>
      <c r="G94" s="6">
        <f>+'Cost Allocations'!I94</f>
        <v>7041.33</v>
      </c>
      <c r="I94" s="147">
        <f t="shared" si="21"/>
        <v>7041.33</v>
      </c>
      <c r="J94" s="6">
        <f>+'Cost Allocations'!L94</f>
        <v>0</v>
      </c>
      <c r="L94" s="6">
        <f t="shared" si="22"/>
        <v>0</v>
      </c>
      <c r="O94" s="6">
        <f t="shared" si="19"/>
        <v>0</v>
      </c>
    </row>
    <row r="95" spans="1:15">
      <c r="A95">
        <v>5290</v>
      </c>
      <c r="B95" t="s">
        <v>77</v>
      </c>
      <c r="C95" s="6">
        <f>'Results of Operations Staff '!N96</f>
        <v>-18991.973533928398</v>
      </c>
      <c r="D95" s="121">
        <f>+'Cost Allocations'!F95</f>
        <v>-14913.208821288739</v>
      </c>
      <c r="F95" s="147">
        <f t="shared" si="20"/>
        <v>-14913.208821288739</v>
      </c>
      <c r="G95" s="6">
        <f>+'Cost Allocations'!I95</f>
        <v>-1276.1779162246792</v>
      </c>
      <c r="I95" s="147">
        <f t="shared" si="21"/>
        <v>-1276.1779162246792</v>
      </c>
      <c r="J95" s="6">
        <f>+'Cost Allocations'!L95</f>
        <v>-2802.5867964149816</v>
      </c>
      <c r="L95" s="6">
        <f t="shared" si="22"/>
        <v>-2802.5867964149816</v>
      </c>
      <c r="O95" s="6">
        <f t="shared" si="19"/>
        <v>0</v>
      </c>
    </row>
    <row r="96" spans="1:15">
      <c r="A96" t="s">
        <v>22</v>
      </c>
      <c r="C96" s="6">
        <f>'Results of Operations Staff '!N97</f>
        <v>0</v>
      </c>
      <c r="D96" s="121"/>
      <c r="F96" s="147"/>
      <c r="G96" s="6"/>
      <c r="I96" s="147"/>
      <c r="J96" s="6"/>
      <c r="L96" s="6"/>
      <c r="O96" s="6">
        <f t="shared" si="19"/>
        <v>0</v>
      </c>
    </row>
    <row r="97" spans="1:15">
      <c r="A97">
        <v>5320</v>
      </c>
      <c r="B97" t="s">
        <v>78</v>
      </c>
      <c r="C97" s="6">
        <f>'Results of Operations Staff '!N98</f>
        <v>73693.615742481503</v>
      </c>
      <c r="D97" s="121">
        <f>+'Cost Allocations'!F97</f>
        <v>54749.364596100437</v>
      </c>
      <c r="F97" s="147">
        <f>+D97+E97</f>
        <v>54749.364596100437</v>
      </c>
      <c r="G97" s="6">
        <f>+'Cost Allocations'!I97</f>
        <v>5847.5735670927315</v>
      </c>
      <c r="I97" s="147">
        <f>+G97+H97</f>
        <v>5847.5735670927315</v>
      </c>
      <c r="J97" s="6">
        <f>+'Cost Allocations'!L97</f>
        <v>13096.67757928834</v>
      </c>
      <c r="L97" s="6">
        <f>+J97+K97</f>
        <v>13096.67757928834</v>
      </c>
      <c r="O97" s="6">
        <f t="shared" si="19"/>
        <v>0</v>
      </c>
    </row>
    <row r="98" spans="1:15" ht="13.5" thickBot="1">
      <c r="A98">
        <v>5322</v>
      </c>
      <c r="B98" s="83" t="s">
        <v>371</v>
      </c>
      <c r="C98" s="150">
        <f>'Results of Operations Staff '!N99</f>
        <v>0</v>
      </c>
      <c r="D98" s="151">
        <f>+'Cost Allocations'!F98</f>
        <v>0</v>
      </c>
      <c r="E98" s="5"/>
      <c r="F98" s="150">
        <f>+D98+E98</f>
        <v>0</v>
      </c>
      <c r="G98" s="7">
        <f>+'Cost Allocations'!I98</f>
        <v>0</v>
      </c>
      <c r="H98" s="5"/>
      <c r="I98" s="150">
        <f>+G98+H98</f>
        <v>0</v>
      </c>
      <c r="J98" s="7">
        <f>+'Cost Allocations'!L98</f>
        <v>0</v>
      </c>
      <c r="K98" s="5"/>
      <c r="L98" s="7">
        <f>+J98+K98</f>
        <v>0</v>
      </c>
      <c r="O98" s="6">
        <f t="shared" si="19"/>
        <v>0</v>
      </c>
    </row>
    <row r="99" spans="1:15">
      <c r="D99" s="118"/>
      <c r="F99" s="145"/>
      <c r="I99" s="145"/>
      <c r="O99" s="6">
        <f t="shared" si="19"/>
        <v>0</v>
      </c>
    </row>
    <row r="100" spans="1:15" ht="13.5" thickBot="1">
      <c r="B100" t="s">
        <v>23</v>
      </c>
      <c r="C100" s="152">
        <f t="shared" ref="C100:L100" si="23">SUM(C25:C98)</f>
        <v>2187467.8998787915</v>
      </c>
      <c r="D100" s="151">
        <f t="shared" si="23"/>
        <v>1636047.8624902882</v>
      </c>
      <c r="E100" s="7">
        <f t="shared" si="23"/>
        <v>1150.3661941869361</v>
      </c>
      <c r="F100" s="150">
        <f t="shared" si="23"/>
        <v>1637198.2286844749</v>
      </c>
      <c r="G100" s="7">
        <f t="shared" si="23"/>
        <v>150417.22151031042</v>
      </c>
      <c r="H100" s="7">
        <f t="shared" si="23"/>
        <v>130.90876790593143</v>
      </c>
      <c r="I100" s="150">
        <f t="shared" si="23"/>
        <v>150548.13027821635</v>
      </c>
      <c r="J100" s="7">
        <f t="shared" si="23"/>
        <v>401002.81587819371</v>
      </c>
      <c r="K100" s="7">
        <f t="shared" si="23"/>
        <v>-1727.0320821901182</v>
      </c>
      <c r="L100" s="7">
        <f t="shared" si="23"/>
        <v>399275.78379600355</v>
      </c>
      <c r="O100" s="6">
        <f t="shared" si="19"/>
        <v>-8.149072527885437E-10</v>
      </c>
    </row>
    <row r="101" spans="1:15">
      <c r="C101" s="6"/>
      <c r="D101" s="121"/>
      <c r="F101" s="145"/>
      <c r="G101" s="6"/>
      <c r="I101" s="145"/>
      <c r="J101" s="6"/>
      <c r="O101" s="6">
        <f t="shared" si="19"/>
        <v>0</v>
      </c>
    </row>
    <row r="102" spans="1:15" ht="13.5" thickBot="1">
      <c r="B102" t="s">
        <v>24</v>
      </c>
      <c r="C102" s="7">
        <f t="shared" ref="C102:L102" si="24">+C21-C100</f>
        <v>250293.73012120835</v>
      </c>
      <c r="D102" s="151">
        <f t="shared" si="24"/>
        <v>111017.07553554536</v>
      </c>
      <c r="E102" s="7">
        <f t="shared" si="24"/>
        <v>64584.844902209414</v>
      </c>
      <c r="F102" s="150">
        <f t="shared" si="24"/>
        <v>175601.92043775506</v>
      </c>
      <c r="G102" s="7">
        <f t="shared" si="24"/>
        <v>7727.6718388011795</v>
      </c>
      <c r="H102" s="7">
        <f t="shared" si="24"/>
        <v>7349.5922552901502</v>
      </c>
      <c r="I102" s="150">
        <f t="shared" si="24"/>
        <v>15077.264094091312</v>
      </c>
      <c r="J102" s="7">
        <f t="shared" si="24"/>
        <v>131548.98274686129</v>
      </c>
      <c r="K102" s="7">
        <f t="shared" si="24"/>
        <v>-96960.515471530918</v>
      </c>
      <c r="L102" s="7">
        <f t="shared" si="24"/>
        <v>34588.467275330448</v>
      </c>
      <c r="O102" s="6">
        <f t="shared" si="19"/>
        <v>5.2386894822120667E-10</v>
      </c>
    </row>
    <row r="103" spans="1:15">
      <c r="C103" s="6"/>
      <c r="D103" s="121"/>
      <c r="F103" s="145"/>
      <c r="G103" s="6"/>
      <c r="I103" s="145"/>
      <c r="J103" s="6"/>
      <c r="O103" s="6"/>
    </row>
    <row r="104" spans="1:15">
      <c r="B104" t="s">
        <v>103</v>
      </c>
      <c r="C104" s="10">
        <f>+C100/C21</f>
        <v>0.89732641327970675</v>
      </c>
      <c r="D104" s="146">
        <f>+D100/D21</f>
        <v>0.93645509498863067</v>
      </c>
      <c r="F104" s="149">
        <f>+F100/F21</f>
        <v>0.90313222308439089</v>
      </c>
      <c r="G104" s="10">
        <f>+G100/G21</f>
        <v>0.95113549558794785</v>
      </c>
      <c r="I104" s="149">
        <f>+I100/I21</f>
        <v>0.90896767883191099</v>
      </c>
      <c r="J104" s="10">
        <f>+J100/J21</f>
        <v>0.75298368518049297</v>
      </c>
      <c r="L104" s="10">
        <f>+L100/L21</f>
        <v>0.92027813494676802</v>
      </c>
      <c r="O104" s="6"/>
    </row>
    <row r="105" spans="1:15">
      <c r="D105" s="118"/>
      <c r="F105" s="145"/>
      <c r="I105" s="145"/>
      <c r="O105" s="6"/>
    </row>
    <row r="106" spans="1:15">
      <c r="B106" t="s">
        <v>104</v>
      </c>
      <c r="C106" s="6">
        <f>'Results of Operations Staff '!$N$107</f>
        <v>905211.69015493058</v>
      </c>
      <c r="D106" s="148">
        <f>+C106*'Depr Allocation by County'!L12</f>
        <v>709913.50452252291</v>
      </c>
      <c r="F106" s="147"/>
      <c r="G106" s="53">
        <f>+C106*'Depr Allocation by County'!L14</f>
        <v>58394.85254889066</v>
      </c>
      <c r="I106" s="147"/>
      <c r="J106" s="53">
        <f>+C106*'Depr Allocation by County'!L16</f>
        <v>136903.33308351698</v>
      </c>
      <c r="L106" s="6">
        <f>+I106-K106</f>
        <v>0</v>
      </c>
      <c r="O106" s="6">
        <f>+C106-D106-G106-J106</f>
        <v>0</v>
      </c>
    </row>
    <row r="107" spans="1:15">
      <c r="C107" s="10">
        <f>+C106/C106</f>
        <v>1</v>
      </c>
      <c r="D107" s="146">
        <f>+D106/C106</f>
        <v>0.7842513659992818</v>
      </c>
      <c r="F107" s="145"/>
      <c r="G107" s="10">
        <f>+G106/C106</f>
        <v>6.4509609391915995E-2</v>
      </c>
      <c r="I107" s="145"/>
      <c r="J107" s="10">
        <f>+J106/C106</f>
        <v>0.1512390246088022</v>
      </c>
      <c r="O107" s="6"/>
    </row>
  </sheetData>
  <mergeCells count="1">
    <mergeCell ref="Q6:V6"/>
  </mergeCells>
  <pageMargins left="0.2" right="0.3" top="0.65" bottom="0.36" header="0.3" footer="0.36"/>
  <pageSetup scale="67" fitToHeight="0" orientation="portrait" horizontalDpi="300" verticalDpi="300" r:id="rId1"/>
  <headerFooter alignWithMargins="0"/>
  <rowBreaks count="1" manualBreakCount="1">
    <brk id="81" max="11"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Y108"/>
  <sheetViews>
    <sheetView workbookViewId="0">
      <pane xSplit="2" ySplit="8" topLeftCell="C18" activePane="bottomRight" state="frozen"/>
      <selection pane="topRight" activeCell="C1" sqref="C1"/>
      <selection pane="bottomLeft" activeCell="A9" sqref="A9"/>
      <selection pane="bottomRight" activeCell="E3" sqref="E3"/>
    </sheetView>
  </sheetViews>
  <sheetFormatPr defaultRowHeight="12.75"/>
  <cols>
    <col min="2" max="2" width="28.5703125" customWidth="1"/>
    <col min="3" max="3" width="12.42578125" customWidth="1"/>
    <col min="4" max="4" width="12" bestFit="1" customWidth="1"/>
    <col min="5" max="5" width="14" bestFit="1" customWidth="1"/>
    <col min="6" max="6" width="7.7109375" customWidth="1"/>
    <col min="7" max="7" width="8.7109375" customWidth="1"/>
    <col min="8" max="8" width="11.28515625" bestFit="1" customWidth="1"/>
    <col min="9" max="9" width="14" bestFit="1" customWidth="1"/>
    <col min="10" max="10" width="3.140625" customWidth="1"/>
    <col min="11" max="11" width="12.85546875" bestFit="1" customWidth="1"/>
    <col min="12" max="13" width="11.85546875" bestFit="1" customWidth="1"/>
    <col min="14" max="14" width="14.140625" customWidth="1"/>
    <col min="15" max="15" width="3.28515625" customWidth="1"/>
    <col min="16" max="16" width="21.85546875" customWidth="1"/>
    <col min="17" max="17" width="13.42578125" bestFit="1" customWidth="1"/>
    <col min="18" max="18" width="18.85546875" customWidth="1"/>
    <col min="19" max="19" width="13" customWidth="1"/>
    <col min="20" max="20" width="18.140625" customWidth="1"/>
    <col min="21" max="21" width="19" customWidth="1"/>
    <col min="22" max="22" width="19.85546875" customWidth="1"/>
    <col min="23" max="23" width="11.28515625" bestFit="1" customWidth="1"/>
  </cols>
  <sheetData>
    <row r="1" spans="1:25">
      <c r="A1" t="s">
        <v>0</v>
      </c>
    </row>
    <row r="3" spans="1:25">
      <c r="A3" s="693" t="s">
        <v>1431</v>
      </c>
      <c r="C3" s="693" t="s">
        <v>1414</v>
      </c>
      <c r="D3" s="693" t="s">
        <v>702</v>
      </c>
    </row>
    <row r="5" spans="1:25">
      <c r="A5" s="722" t="s">
        <v>1372</v>
      </c>
      <c r="C5" s="127"/>
      <c r="D5" s="127"/>
      <c r="E5" s="127"/>
      <c r="F5" s="127"/>
      <c r="G5" s="127"/>
      <c r="H5" s="127"/>
      <c r="I5" s="127"/>
      <c r="J5" s="127"/>
      <c r="K5" s="743" t="s">
        <v>1135</v>
      </c>
      <c r="L5" s="743"/>
      <c r="M5" s="743"/>
      <c r="N5" s="387"/>
      <c r="O5" s="387"/>
      <c r="P5" s="387"/>
      <c r="Q5" s="127"/>
    </row>
    <row r="6" spans="1:25">
      <c r="C6" s="127"/>
      <c r="D6" s="127"/>
      <c r="E6" s="127"/>
      <c r="F6" s="127"/>
      <c r="G6" s="127"/>
      <c r="H6" s="127"/>
      <c r="I6" s="127"/>
      <c r="J6" s="127"/>
      <c r="K6" s="127"/>
      <c r="L6" s="253" t="s">
        <v>91</v>
      </c>
      <c r="M6" s="253" t="s">
        <v>91</v>
      </c>
      <c r="N6" s="127"/>
      <c r="O6" s="127"/>
      <c r="P6" s="127" t="s">
        <v>1143</v>
      </c>
      <c r="Q6" s="127"/>
    </row>
    <row r="7" spans="1:25">
      <c r="B7" s="401" t="s">
        <v>1146</v>
      </c>
      <c r="C7" s="253" t="s">
        <v>85</v>
      </c>
      <c r="D7" s="253" t="s">
        <v>86</v>
      </c>
      <c r="E7" s="388" t="s">
        <v>85</v>
      </c>
      <c r="F7" s="388"/>
      <c r="G7" s="389"/>
      <c r="H7" s="253" t="s">
        <v>89</v>
      </c>
      <c r="I7" s="388" t="s">
        <v>89</v>
      </c>
      <c r="J7" s="388"/>
      <c r="K7" s="388" t="s">
        <v>95</v>
      </c>
      <c r="L7" s="253" t="s">
        <v>338</v>
      </c>
      <c r="M7" s="253" t="s">
        <v>340</v>
      </c>
      <c r="N7" s="388" t="s">
        <v>2</v>
      </c>
      <c r="O7" s="254"/>
      <c r="P7" s="254"/>
      <c r="Q7" s="743" t="s">
        <v>477</v>
      </c>
      <c r="R7" s="743"/>
      <c r="S7" s="743" t="s">
        <v>476</v>
      </c>
      <c r="T7" s="743"/>
      <c r="U7" s="743" t="s">
        <v>475</v>
      </c>
      <c r="V7" s="743"/>
    </row>
    <row r="8" spans="1:25" ht="13.5" thickBot="1">
      <c r="C8" s="390" t="s">
        <v>1421</v>
      </c>
      <c r="D8" s="391" t="s">
        <v>87</v>
      </c>
      <c r="E8" s="392" t="s">
        <v>88</v>
      </c>
      <c r="F8" s="392"/>
      <c r="G8" s="392" t="s">
        <v>1145</v>
      </c>
      <c r="H8" s="393" t="s">
        <v>90</v>
      </c>
      <c r="I8" s="392" t="s">
        <v>94</v>
      </c>
      <c r="J8" s="392"/>
      <c r="K8" s="392" t="s">
        <v>96</v>
      </c>
      <c r="L8" s="391" t="s">
        <v>339</v>
      </c>
      <c r="M8" s="391" t="s">
        <v>339</v>
      </c>
      <c r="N8" s="392" t="s">
        <v>1134</v>
      </c>
      <c r="O8" s="254"/>
      <c r="P8" s="392" t="s">
        <v>1137</v>
      </c>
      <c r="Q8" s="392" t="s">
        <v>1136</v>
      </c>
      <c r="R8" s="392" t="s">
        <v>1144</v>
      </c>
      <c r="S8" s="392" t="s">
        <v>1136</v>
      </c>
      <c r="T8" s="392" t="s">
        <v>1147</v>
      </c>
      <c r="U8" s="392" t="s">
        <v>1136</v>
      </c>
      <c r="V8" s="392" t="s">
        <v>1148</v>
      </c>
    </row>
    <row r="9" spans="1:25" ht="13.5" thickTop="1">
      <c r="E9" s="118"/>
      <c r="F9" s="118"/>
      <c r="G9" s="118"/>
      <c r="I9" s="118"/>
      <c r="J9" s="118"/>
      <c r="K9" s="118"/>
      <c r="N9" s="118"/>
      <c r="O9" s="18"/>
      <c r="P9" s="18"/>
    </row>
    <row r="10" spans="1:25">
      <c r="A10" t="s">
        <v>3</v>
      </c>
      <c r="E10" s="118"/>
      <c r="F10" s="118"/>
      <c r="G10" s="118"/>
      <c r="I10" s="118"/>
      <c r="J10" s="118"/>
      <c r="K10" s="118"/>
      <c r="N10" s="118"/>
      <c r="O10" s="18"/>
      <c r="P10" s="18"/>
    </row>
    <row r="11" spans="1:25">
      <c r="A11">
        <v>3100</v>
      </c>
      <c r="B11" t="s">
        <v>5</v>
      </c>
      <c r="C11" s="399">
        <f>+'Monthy Income Statements'!O10</f>
        <v>1870785.01</v>
      </c>
      <c r="D11" s="112"/>
      <c r="E11" s="119">
        <f t="shared" ref="E11:E19" si="0">+C11+D11</f>
        <v>1870785.01</v>
      </c>
      <c r="F11" s="438">
        <f>E11/$E$21</f>
        <v>0.6508377299847723</v>
      </c>
      <c r="G11" s="397">
        <v>9</v>
      </c>
      <c r="H11" s="112">
        <f>+'Proforma AJEs'!H54</f>
        <v>0</v>
      </c>
      <c r="I11" s="119">
        <f t="shared" ref="I11:I19" si="1">+E11+H11</f>
        <v>1870785.01</v>
      </c>
      <c r="J11" s="119"/>
      <c r="K11" s="119"/>
      <c r="L11" s="112"/>
      <c r="M11" s="112"/>
      <c r="N11" s="386">
        <f t="shared" ref="N11:N19" si="2">I11+K11+L11+M11</f>
        <v>1870785.01</v>
      </c>
      <c r="O11" s="394"/>
      <c r="P11" s="453" t="s">
        <v>1138</v>
      </c>
      <c r="Q11" s="26">
        <f>+'Overhead Allocation'!$L$35</f>
        <v>0.76882180689732338</v>
      </c>
      <c r="R11" s="112">
        <f>N11*Q11</f>
        <v>1438300.3117046272</v>
      </c>
      <c r="S11" s="11">
        <f>+'Overhead Allocation'!$L$36</f>
        <v>5.8879277694555671E-2</v>
      </c>
      <c r="T11" s="407">
        <f>N11*S11</f>
        <v>110150.47011060211</v>
      </c>
      <c r="U11" s="94">
        <f>'Overhead Allocation'!$L$37</f>
        <v>0.17229891540812101</v>
      </c>
      <c r="V11" s="407">
        <f>N11*U11</f>
        <v>322334.22818477079</v>
      </c>
      <c r="Y11" s="11">
        <f>Q11+S11+U11</f>
        <v>1</v>
      </c>
    </row>
    <row r="12" spans="1:25">
      <c r="A12">
        <v>3112</v>
      </c>
      <c r="B12" t="s">
        <v>6</v>
      </c>
      <c r="C12" s="399">
        <f>+'Monthy Income Statements'!O11</f>
        <v>238465.85</v>
      </c>
      <c r="D12" s="112"/>
      <c r="E12" s="119">
        <f t="shared" si="0"/>
        <v>238465.85</v>
      </c>
      <c r="F12" s="438">
        <f t="shared" ref="F12:F17" si="3">E12/$E$21</f>
        <v>8.2961201668431808E-2</v>
      </c>
      <c r="G12" s="397">
        <v>6</v>
      </c>
      <c r="H12" s="112">
        <f>+'Proforma AJEs'!H38</f>
        <v>0</v>
      </c>
      <c r="I12" s="119">
        <f t="shared" si="1"/>
        <v>238465.85</v>
      </c>
      <c r="J12" s="119"/>
      <c r="K12" s="119">
        <f>-'Cost Allocations-Contracts'!I13</f>
        <v>-238465.85</v>
      </c>
      <c r="L12" s="112"/>
      <c r="M12" s="112"/>
      <c r="N12" s="386">
        <f t="shared" si="2"/>
        <v>0</v>
      </c>
      <c r="O12" s="394"/>
      <c r="P12" s="453" t="s">
        <v>1138</v>
      </c>
      <c r="Q12" s="15">
        <v>1</v>
      </c>
      <c r="R12" s="112">
        <f t="shared" ref="R12:R19" si="4">N12*Q12</f>
        <v>0</v>
      </c>
      <c r="S12" s="15">
        <v>0</v>
      </c>
      <c r="T12" s="407">
        <f t="shared" ref="T12:T19" si="5">N12*S12</f>
        <v>0</v>
      </c>
      <c r="U12" s="94">
        <v>0</v>
      </c>
      <c r="V12" s="407">
        <f t="shared" ref="V12:V19" si="6">N12*U12</f>
        <v>0</v>
      </c>
      <c r="Y12" s="11">
        <f t="shared" ref="Y12:Y77" si="7">Q12+S12+U12</f>
        <v>1</v>
      </c>
    </row>
    <row r="13" spans="1:25">
      <c r="A13">
        <v>3114</v>
      </c>
      <c r="B13" t="s">
        <v>7</v>
      </c>
      <c r="C13" s="399">
        <f>+'Monthy Income Statements'!O12</f>
        <v>104963.68999999999</v>
      </c>
      <c r="D13" s="112"/>
      <c r="E13" s="119">
        <f t="shared" si="0"/>
        <v>104963.68999999999</v>
      </c>
      <c r="F13" s="438">
        <f t="shared" si="3"/>
        <v>3.651639785718902E-2</v>
      </c>
      <c r="G13" s="397">
        <v>6</v>
      </c>
      <c r="H13" s="112">
        <f>+'Proforma AJEs'!H39</f>
        <v>0</v>
      </c>
      <c r="I13" s="119">
        <f t="shared" si="1"/>
        <v>104963.68999999999</v>
      </c>
      <c r="J13" s="119"/>
      <c r="K13" s="119">
        <f>-'Cost Allocations-Contracts'!L14</f>
        <v>-104963.68999999999</v>
      </c>
      <c r="L13" s="112"/>
      <c r="M13" s="112"/>
      <c r="N13" s="386">
        <f t="shared" si="2"/>
        <v>0</v>
      </c>
      <c r="O13" s="394"/>
      <c r="P13" s="453" t="s">
        <v>1138</v>
      </c>
      <c r="Q13" s="15">
        <v>1</v>
      </c>
      <c r="R13" s="112">
        <f t="shared" si="4"/>
        <v>0</v>
      </c>
      <c r="S13" s="11">
        <v>0</v>
      </c>
      <c r="T13" s="407">
        <f t="shared" si="5"/>
        <v>0</v>
      </c>
      <c r="U13" s="94">
        <v>0</v>
      </c>
      <c r="V13" s="407">
        <f t="shared" si="6"/>
        <v>0</v>
      </c>
      <c r="Y13" s="11">
        <f t="shared" si="7"/>
        <v>1</v>
      </c>
    </row>
    <row r="14" spans="1:25">
      <c r="A14">
        <v>3300</v>
      </c>
      <c r="B14" t="s">
        <v>8</v>
      </c>
      <c r="C14" s="399">
        <f>+'Monthy Income Statements'!O13</f>
        <v>242661.77999999997</v>
      </c>
      <c r="D14" s="112"/>
      <c r="E14" s="119">
        <f t="shared" si="0"/>
        <v>242661.77999999997</v>
      </c>
      <c r="F14" s="438">
        <f t="shared" si="3"/>
        <v>8.4420946931397636E-2</v>
      </c>
      <c r="G14" s="397">
        <v>9</v>
      </c>
      <c r="H14" s="112">
        <f>+'Proforma AJEs'!H60</f>
        <v>0</v>
      </c>
      <c r="I14" s="119">
        <f t="shared" si="1"/>
        <v>242661.77999999997</v>
      </c>
      <c r="J14" s="119"/>
      <c r="K14" s="119"/>
      <c r="L14" s="112"/>
      <c r="M14" s="112"/>
      <c r="N14" s="386">
        <f t="shared" si="2"/>
        <v>242661.77999999997</v>
      </c>
      <c r="O14" s="394"/>
      <c r="P14" s="453" t="s">
        <v>1138</v>
      </c>
      <c r="Q14" s="26">
        <f>+'Drop Box Allocation'!$I$10</f>
        <v>0.38699956231264759</v>
      </c>
      <c r="R14" s="112">
        <f t="shared" si="4"/>
        <v>93910.002650007969</v>
      </c>
      <c r="S14" s="11">
        <f>+'Drop Box Allocation'!$I$11</f>
        <v>0.12294051557241764</v>
      </c>
      <c r="T14" s="407">
        <f t="shared" si="5"/>
        <v>29832.964342920579</v>
      </c>
      <c r="U14" s="94">
        <f>'Drop Box Allocation'!$I$12</f>
        <v>0.49005992211493471</v>
      </c>
      <c r="V14" s="407">
        <f t="shared" si="6"/>
        <v>118918.81300707141</v>
      </c>
      <c r="Y14" s="11">
        <f t="shared" si="7"/>
        <v>1</v>
      </c>
    </row>
    <row r="15" spans="1:25">
      <c r="A15">
        <v>3310</v>
      </c>
      <c r="B15" t="s">
        <v>9</v>
      </c>
      <c r="C15" s="399">
        <f>+'Monthy Income Statements'!O14</f>
        <v>325201.94999999995</v>
      </c>
      <c r="D15" s="112">
        <f>-'Restating AJEs'!I36</f>
        <v>-887.10999999991327</v>
      </c>
      <c r="E15" s="119">
        <f t="shared" si="0"/>
        <v>324314.84000000003</v>
      </c>
      <c r="F15" s="438">
        <f t="shared" si="3"/>
        <v>0.11282768096691914</v>
      </c>
      <c r="G15" s="397"/>
      <c r="H15" s="112"/>
      <c r="I15" s="119">
        <f t="shared" si="1"/>
        <v>324314.84000000003</v>
      </c>
      <c r="J15" s="119"/>
      <c r="K15" s="119"/>
      <c r="L15" s="112"/>
      <c r="M15" s="112"/>
      <c r="N15" s="386">
        <f t="shared" si="2"/>
        <v>324314.84000000003</v>
      </c>
      <c r="O15" s="394"/>
      <c r="P15" s="453" t="s">
        <v>1138</v>
      </c>
      <c r="Q15" s="26">
        <f>+'Drop Box Allocation'!$D$35</f>
        <v>0.66248779633765231</v>
      </c>
      <c r="R15" s="112">
        <f t="shared" si="4"/>
        <v>214854.62367119832</v>
      </c>
      <c r="S15" s="11">
        <f>+'Drop Box Allocation'!$D$36</f>
        <v>5.5999469205876951E-2</v>
      </c>
      <c r="T15" s="407">
        <f t="shared" si="5"/>
        <v>18161.458895588912</v>
      </c>
      <c r="U15" s="11">
        <f>+'Drop Box Allocation'!$D$37</f>
        <v>0.28151273445647079</v>
      </c>
      <c r="V15" s="407">
        <f t="shared" si="6"/>
        <v>91298.757433212813</v>
      </c>
      <c r="Y15" s="11">
        <f t="shared" si="7"/>
        <v>1</v>
      </c>
    </row>
    <row r="16" spans="1:25">
      <c r="A16">
        <v>3510</v>
      </c>
      <c r="B16" t="s">
        <v>328</v>
      </c>
      <c r="C16" s="399">
        <f>+'Monthy Income Statements'!O15</f>
        <v>60443.009999999995</v>
      </c>
      <c r="D16" s="112"/>
      <c r="E16" s="119">
        <f t="shared" si="0"/>
        <v>60443.009999999995</v>
      </c>
      <c r="F16" s="438">
        <f t="shared" si="3"/>
        <v>2.1027852592130237E-2</v>
      </c>
      <c r="G16" s="382"/>
      <c r="H16" s="112"/>
      <c r="I16" s="119">
        <f t="shared" si="1"/>
        <v>60443.009999999995</v>
      </c>
      <c r="J16" s="119"/>
      <c r="K16" s="119"/>
      <c r="L16" s="112"/>
      <c r="M16" s="112">
        <f>-'Cost Allocations-Recycle'!M17</f>
        <v>-60443.009999999995</v>
      </c>
      <c r="N16" s="386">
        <f t="shared" si="2"/>
        <v>0</v>
      </c>
      <c r="O16" s="394"/>
      <c r="P16" s="453" t="s">
        <v>1138</v>
      </c>
      <c r="Q16" s="88">
        <v>1</v>
      </c>
      <c r="R16" s="112">
        <f t="shared" si="4"/>
        <v>0</v>
      </c>
      <c r="S16" s="88">
        <v>0</v>
      </c>
      <c r="T16" s="407">
        <f t="shared" si="5"/>
        <v>0</v>
      </c>
      <c r="U16" s="94">
        <v>0</v>
      </c>
      <c r="V16" s="407">
        <f t="shared" si="6"/>
        <v>0</v>
      </c>
      <c r="Y16" s="11">
        <f t="shared" si="7"/>
        <v>1</v>
      </c>
    </row>
    <row r="17" spans="1:25">
      <c r="A17">
        <v>3550</v>
      </c>
      <c r="B17" t="s">
        <v>329</v>
      </c>
      <c r="C17" s="399">
        <f>+'Monthy Income Statements'!O16</f>
        <v>32792</v>
      </c>
      <c r="D17" s="112"/>
      <c r="E17" s="119">
        <f t="shared" si="0"/>
        <v>32792</v>
      </c>
      <c r="F17" s="438">
        <f t="shared" si="3"/>
        <v>1.1408189999160113E-2</v>
      </c>
      <c r="G17" s="382"/>
      <c r="H17" s="112"/>
      <c r="I17" s="119">
        <f t="shared" si="1"/>
        <v>32792</v>
      </c>
      <c r="J17" s="119"/>
      <c r="K17" s="119"/>
      <c r="L17" s="112">
        <f>-'Cost Allocations-Recycle'!J18</f>
        <v>-32792</v>
      </c>
      <c r="M17" s="112"/>
      <c r="N17" s="386">
        <f t="shared" si="2"/>
        <v>0</v>
      </c>
      <c r="O17" s="394"/>
      <c r="P17" s="453" t="s">
        <v>1138</v>
      </c>
      <c r="Q17" s="88">
        <v>1</v>
      </c>
      <c r="R17" s="112">
        <f t="shared" si="4"/>
        <v>0</v>
      </c>
      <c r="S17" s="88">
        <f>+'Drop Box Allocation'!$D$38</f>
        <v>0</v>
      </c>
      <c r="T17" s="407">
        <f t="shared" si="5"/>
        <v>0</v>
      </c>
      <c r="U17" s="94">
        <v>0</v>
      </c>
      <c r="V17" s="407">
        <f t="shared" si="6"/>
        <v>0</v>
      </c>
      <c r="Y17" s="11">
        <f t="shared" si="7"/>
        <v>1</v>
      </c>
    </row>
    <row r="18" spans="1:25">
      <c r="A18">
        <v>3400</v>
      </c>
      <c r="B18" t="s">
        <v>10</v>
      </c>
      <c r="C18" s="399">
        <f>+'Monthy Income Statements'!O17</f>
        <v>0</v>
      </c>
      <c r="D18" s="112"/>
      <c r="E18" s="119">
        <f t="shared" si="0"/>
        <v>0</v>
      </c>
      <c r="F18" s="119"/>
      <c r="G18" s="382"/>
      <c r="H18" s="112"/>
      <c r="I18" s="119">
        <f t="shared" si="1"/>
        <v>0</v>
      </c>
      <c r="J18" s="119"/>
      <c r="K18" s="119"/>
      <c r="L18" s="112"/>
      <c r="M18" s="112"/>
      <c r="N18" s="386">
        <f t="shared" si="2"/>
        <v>0</v>
      </c>
      <c r="O18" s="394"/>
      <c r="P18" s="453" t="s">
        <v>1138</v>
      </c>
      <c r="Q18" s="88">
        <v>1</v>
      </c>
      <c r="R18" s="112">
        <f t="shared" si="4"/>
        <v>0</v>
      </c>
      <c r="S18" s="88">
        <v>0</v>
      </c>
      <c r="T18" s="407">
        <f t="shared" si="5"/>
        <v>0</v>
      </c>
      <c r="U18" s="94">
        <v>0</v>
      </c>
      <c r="V18" s="407">
        <f t="shared" si="6"/>
        <v>0</v>
      </c>
      <c r="Y18" s="11">
        <f t="shared" si="7"/>
        <v>1</v>
      </c>
    </row>
    <row r="19" spans="1:25" ht="13.5" thickBot="1">
      <c r="A19">
        <v>3500</v>
      </c>
      <c r="B19" t="s">
        <v>11</v>
      </c>
      <c r="C19" s="400">
        <f>+'Monthy Income Statements'!O18</f>
        <v>0</v>
      </c>
      <c r="D19" s="113"/>
      <c r="E19" s="120">
        <f t="shared" si="0"/>
        <v>0</v>
      </c>
      <c r="F19" s="120"/>
      <c r="G19" s="383"/>
      <c r="H19" s="113"/>
      <c r="I19" s="120">
        <f t="shared" si="1"/>
        <v>0</v>
      </c>
      <c r="J19" s="120"/>
      <c r="K19" s="120"/>
      <c r="L19" s="113"/>
      <c r="M19" s="113"/>
      <c r="N19" s="120">
        <f t="shared" si="2"/>
        <v>0</v>
      </c>
      <c r="O19" s="395"/>
      <c r="P19" s="453" t="s">
        <v>1138</v>
      </c>
      <c r="Q19" s="25">
        <v>1</v>
      </c>
      <c r="R19" s="113">
        <f t="shared" si="4"/>
        <v>0</v>
      </c>
      <c r="S19" s="12">
        <v>0</v>
      </c>
      <c r="T19" s="398">
        <f t="shared" si="5"/>
        <v>0</v>
      </c>
      <c r="U19" s="396">
        <v>0</v>
      </c>
      <c r="V19" s="398">
        <f t="shared" si="6"/>
        <v>0</v>
      </c>
      <c r="Y19" s="11">
        <f t="shared" si="7"/>
        <v>1</v>
      </c>
    </row>
    <row r="20" spans="1:25">
      <c r="C20" s="112"/>
      <c r="D20" s="112"/>
      <c r="E20" s="119"/>
      <c r="F20" s="119"/>
      <c r="G20" s="115"/>
      <c r="H20" s="112"/>
      <c r="I20" s="119"/>
      <c r="J20" s="119"/>
      <c r="K20" s="119"/>
      <c r="L20" s="112"/>
      <c r="M20" s="112"/>
      <c r="N20" s="118"/>
      <c r="O20" s="18"/>
      <c r="P20" s="18"/>
      <c r="Q20" s="11"/>
      <c r="R20" s="112"/>
      <c r="T20" s="407"/>
      <c r="U20" s="94"/>
      <c r="V20" s="407"/>
      <c r="Y20" s="11"/>
    </row>
    <row r="21" spans="1:25" ht="13.5" thickBot="1">
      <c r="B21" t="s">
        <v>4</v>
      </c>
      <c r="C21" s="113">
        <f>SUM(C11:C19)</f>
        <v>2875313.2899999991</v>
      </c>
      <c r="D21" s="113">
        <f>SUM(D11:D19)</f>
        <v>-887.10999999991327</v>
      </c>
      <c r="E21" s="120">
        <f>SUM(E11:E19)</f>
        <v>2874426.1799999992</v>
      </c>
      <c r="F21" s="120"/>
      <c r="G21" s="384"/>
      <c r="H21" s="113">
        <f>SUM(H11:H19)</f>
        <v>0</v>
      </c>
      <c r="I21" s="120">
        <f>SUM(I11:I19)</f>
        <v>2874426.1799999992</v>
      </c>
      <c r="J21" s="120"/>
      <c r="K21" s="120">
        <f>SUM(K11:K19)</f>
        <v>-343429.54</v>
      </c>
      <c r="L21" s="113">
        <f>SUM(L11:L19)</f>
        <v>-32792</v>
      </c>
      <c r="M21" s="113">
        <f>SUM(M11:M19)</f>
        <v>-60443.009999999995</v>
      </c>
      <c r="N21" s="120">
        <f>SUM(N11:N19)</f>
        <v>2437761.63</v>
      </c>
      <c r="O21" s="395"/>
      <c r="P21" s="395"/>
      <c r="Q21" s="12">
        <f>+R21/$N$21</f>
        <v>0.71666766615972766</v>
      </c>
      <c r="R21" s="113">
        <f>SUM(R11:R19)</f>
        <v>1747064.9380258336</v>
      </c>
      <c r="S21" s="12">
        <f>+T21/$N$21</f>
        <v>6.487299307812619E-2</v>
      </c>
      <c r="T21" s="398">
        <f>SUM(T11:T19)</f>
        <v>158144.8933491116</v>
      </c>
      <c r="U21" s="12">
        <f>+V21/$N$21</f>
        <v>0.21845934076214624</v>
      </c>
      <c r="V21" s="398">
        <f>SUM(V11:V19)</f>
        <v>532551.798625055</v>
      </c>
      <c r="Y21" s="11"/>
    </row>
    <row r="22" spans="1:25">
      <c r="C22" s="112"/>
      <c r="D22" s="112"/>
      <c r="E22" s="119"/>
      <c r="F22" s="119"/>
      <c r="G22" s="115"/>
      <c r="H22" s="112"/>
      <c r="I22" s="119"/>
      <c r="J22" s="119"/>
      <c r="K22" s="119"/>
      <c r="L22" s="112"/>
      <c r="M22" s="112"/>
      <c r="N22" s="118"/>
      <c r="O22" s="18"/>
      <c r="P22" s="18"/>
      <c r="Q22" s="11"/>
      <c r="R22" s="112"/>
      <c r="T22" s="407"/>
      <c r="U22" s="94"/>
      <c r="V22" s="407"/>
      <c r="Y22" s="11"/>
    </row>
    <row r="23" spans="1:25">
      <c r="A23" t="s">
        <v>12</v>
      </c>
      <c r="C23" s="112"/>
      <c r="D23" s="112"/>
      <c r="E23" s="119"/>
      <c r="F23" s="119"/>
      <c r="G23" s="115"/>
      <c r="H23" s="112"/>
      <c r="I23" s="119"/>
      <c r="J23" s="119"/>
      <c r="K23" s="119"/>
      <c r="L23" s="112"/>
      <c r="M23" s="112"/>
      <c r="N23" s="118"/>
      <c r="O23" s="18"/>
      <c r="P23" s="18"/>
      <c r="Q23" s="11"/>
      <c r="R23" s="112"/>
      <c r="T23" s="407"/>
      <c r="U23" s="94"/>
      <c r="V23" s="407"/>
      <c r="Y23" s="11"/>
    </row>
    <row r="24" spans="1:25">
      <c r="A24" t="s">
        <v>13</v>
      </c>
      <c r="C24" s="112"/>
      <c r="D24" s="112"/>
      <c r="E24" s="119"/>
      <c r="F24" s="119"/>
      <c r="G24" s="115"/>
      <c r="H24" s="112"/>
      <c r="I24" s="119"/>
      <c r="J24" s="119"/>
      <c r="K24" s="119"/>
      <c r="L24" s="112"/>
      <c r="M24" s="112"/>
      <c r="N24" s="118"/>
      <c r="O24" s="18"/>
      <c r="P24" s="18"/>
      <c r="Q24" s="11"/>
      <c r="R24" s="112"/>
      <c r="T24" s="407"/>
      <c r="U24" s="94"/>
      <c r="V24" s="407"/>
      <c r="Y24" s="11"/>
    </row>
    <row r="25" spans="1:25">
      <c r="A25">
        <v>4116</v>
      </c>
      <c r="B25" t="s">
        <v>29</v>
      </c>
      <c r="C25" s="399">
        <f>+'Monthy Income Statements'!O24</f>
        <v>83193.929999999993</v>
      </c>
      <c r="D25" s="112"/>
      <c r="E25" s="119">
        <f t="shared" ref="E25:E38" si="8">+C25+D25</f>
        <v>83193.929999999993</v>
      </c>
      <c r="F25" s="119"/>
      <c r="G25" s="115"/>
      <c r="H25" s="112"/>
      <c r="I25" s="119">
        <f>+E25+H25</f>
        <v>83193.929999999993</v>
      </c>
      <c r="J25" s="119"/>
      <c r="K25" s="119">
        <f>-'Cost Allocations-Contracts'!I26-'Cost Allocations-Contracts'!L26</f>
        <v>-10916.076303952794</v>
      </c>
      <c r="L25" s="112">
        <f>-'Cost Allocations-Recycle'!J26</f>
        <v>-2399.8286072967926</v>
      </c>
      <c r="M25" s="112">
        <f>-'Cost Allocations-Recycle'!M26</f>
        <v>0</v>
      </c>
      <c r="N25" s="386">
        <f t="shared" ref="N25:N57" si="9">I25+K25+L25+M25</f>
        <v>69878.025088750408</v>
      </c>
      <c r="O25" s="394"/>
      <c r="P25" s="394" t="s">
        <v>490</v>
      </c>
      <c r="Q25" s="26">
        <f>+'Hours &amp; Miles by County'!$D$25</f>
        <v>0.78523744752734048</v>
      </c>
      <c r="R25" s="112">
        <f>N25*Q25</f>
        <v>54870.842058941831</v>
      </c>
      <c r="S25" s="11">
        <f>+'Hours &amp; Miles by County'!$E$25</f>
        <v>6.7195645252181857E-2</v>
      </c>
      <c r="T25" s="407">
        <f>N25*S25</f>
        <v>4695.4989847867364</v>
      </c>
      <c r="U25" s="94">
        <f>'Hours &amp; Miles by County'!$F$25</f>
        <v>0.1475669072204778</v>
      </c>
      <c r="V25" s="407">
        <f>N25*U25</f>
        <v>10311.684045021851</v>
      </c>
      <c r="Y25" s="11">
        <f t="shared" si="7"/>
        <v>1</v>
      </c>
    </row>
    <row r="26" spans="1:25">
      <c r="A26">
        <v>4117</v>
      </c>
      <c r="B26" t="s">
        <v>278</v>
      </c>
      <c r="C26" s="399">
        <f>+'Monthy Income Statements'!O25</f>
        <v>2615</v>
      </c>
      <c r="D26" s="112"/>
      <c r="E26" s="119">
        <f t="shared" si="8"/>
        <v>2615</v>
      </c>
      <c r="F26" s="119"/>
      <c r="G26" s="115"/>
      <c r="H26" s="112"/>
      <c r="I26" s="119">
        <f t="shared" ref="I26:I91" si="10">+E26+H26</f>
        <v>2615</v>
      </c>
      <c r="J26" s="119"/>
      <c r="K26" s="119">
        <f>-'Cost Allocations-Contracts'!I27-'Cost Allocations-Contracts'!L27</f>
        <v>0</v>
      </c>
      <c r="L26" s="112">
        <f>-'Cost Allocations-Recycle'!J27</f>
        <v>0</v>
      </c>
      <c r="M26" s="112">
        <f>-'Cost Allocations-Recycle'!M27</f>
        <v>0</v>
      </c>
      <c r="N26" s="386">
        <f t="shared" si="9"/>
        <v>2615</v>
      </c>
      <c r="O26" s="394"/>
      <c r="P26" s="394" t="s">
        <v>490</v>
      </c>
      <c r="Q26" s="26">
        <f>+'Hours &amp; Miles by County'!$D$25</f>
        <v>0.78523744752734048</v>
      </c>
      <c r="R26" s="112">
        <f t="shared" ref="R26:R91" si="11">N26*Q26</f>
        <v>2053.3959252839954</v>
      </c>
      <c r="S26" s="11">
        <f>+'Hours &amp; Miles by County'!$E$25</f>
        <v>6.7195645252181857E-2</v>
      </c>
      <c r="T26" s="407">
        <f t="shared" ref="T26:T91" si="12">N26*S26</f>
        <v>175.71661233445556</v>
      </c>
      <c r="U26" s="94">
        <f>'Hours &amp; Miles by County'!$F$25</f>
        <v>0.1475669072204778</v>
      </c>
      <c r="V26" s="407">
        <f t="shared" ref="V26:V91" si="13">N26*U26</f>
        <v>385.88746238154943</v>
      </c>
      <c r="Y26" s="11">
        <f t="shared" si="7"/>
        <v>1</v>
      </c>
    </row>
    <row r="27" spans="1:25">
      <c r="A27">
        <v>4118</v>
      </c>
      <c r="B27" t="s">
        <v>30</v>
      </c>
      <c r="C27" s="399">
        <f>+'Monthy Income Statements'!O26</f>
        <v>15025</v>
      </c>
      <c r="D27" s="112"/>
      <c r="E27" s="119">
        <f t="shared" si="8"/>
        <v>15025</v>
      </c>
      <c r="F27" s="119"/>
      <c r="G27" s="115"/>
      <c r="H27" s="112"/>
      <c r="I27" s="119">
        <f t="shared" si="10"/>
        <v>15025</v>
      </c>
      <c r="J27" s="119"/>
      <c r="K27" s="119">
        <f>-'Cost Allocations-Contracts'!I28-'Cost Allocations-Contracts'!L28</f>
        <v>-1291.4279112754159</v>
      </c>
      <c r="L27" s="112">
        <f>-'Cost Allocations-Recycle'!J28</f>
        <v>0</v>
      </c>
      <c r="M27" s="112">
        <f>-'Cost Allocations-Recycle'!M28</f>
        <v>0</v>
      </c>
      <c r="N27" s="386">
        <f t="shared" si="9"/>
        <v>13733.572088724584</v>
      </c>
      <c r="O27" s="394"/>
      <c r="P27" s="394" t="s">
        <v>1139</v>
      </c>
      <c r="Q27" s="26">
        <f>ROUND(+'Container Count by County'!$K$22,3)</f>
        <v>0.81</v>
      </c>
      <c r="R27" s="112">
        <f t="shared" si="11"/>
        <v>11124.193391866915</v>
      </c>
      <c r="S27" s="26">
        <f>ROUND(+'Container Count by County'!$K$24,3)</f>
        <v>0.05</v>
      </c>
      <c r="T27" s="407">
        <f t="shared" si="12"/>
        <v>686.67860443622931</v>
      </c>
      <c r="U27" s="94">
        <f>ROUND(+'Container Count by County'!$K$26,3)</f>
        <v>0.14000000000000001</v>
      </c>
      <c r="V27" s="407">
        <f t="shared" si="13"/>
        <v>1922.7000924214419</v>
      </c>
      <c r="Y27" s="11">
        <f t="shared" si="7"/>
        <v>1</v>
      </c>
    </row>
    <row r="28" spans="1:25">
      <c r="A28">
        <v>4120</v>
      </c>
      <c r="B28" t="s">
        <v>279</v>
      </c>
      <c r="C28" s="399">
        <f>+'Monthy Income Statements'!O27</f>
        <v>338</v>
      </c>
      <c r="D28" s="112"/>
      <c r="E28" s="119">
        <f t="shared" si="8"/>
        <v>338</v>
      </c>
      <c r="F28" s="119"/>
      <c r="G28" s="115"/>
      <c r="H28" s="112"/>
      <c r="I28" s="119">
        <f t="shared" si="10"/>
        <v>338</v>
      </c>
      <c r="J28" s="119"/>
      <c r="K28" s="119">
        <f>-'Cost Allocations-Contracts'!I29-'Cost Allocations-Contracts'!L29</f>
        <v>0</v>
      </c>
      <c r="L28" s="112">
        <f>-'Cost Allocations-Recycle'!J29</f>
        <v>0</v>
      </c>
      <c r="M28" s="112">
        <f>-'Cost Allocations-Recycle'!M29</f>
        <v>0</v>
      </c>
      <c r="N28" s="386">
        <f t="shared" si="9"/>
        <v>338</v>
      </c>
      <c r="O28" s="394"/>
      <c r="P28" s="394" t="s">
        <v>1139</v>
      </c>
      <c r="Q28" s="26">
        <f>ROUND(+'Container Count by County'!$K$22,3)</f>
        <v>0.81</v>
      </c>
      <c r="R28" s="112">
        <f t="shared" si="11"/>
        <v>273.78000000000003</v>
      </c>
      <c r="S28" s="26">
        <f>ROUND(+'Container Count by County'!$K$24,3)</f>
        <v>0.05</v>
      </c>
      <c r="T28" s="407">
        <f t="shared" si="12"/>
        <v>16.900000000000002</v>
      </c>
      <c r="U28" s="94">
        <f>ROUND(+'Container Count by County'!$K$26,3)</f>
        <v>0.14000000000000001</v>
      </c>
      <c r="V28" s="407">
        <f t="shared" si="13"/>
        <v>47.320000000000007</v>
      </c>
      <c r="Y28" s="11">
        <f t="shared" si="7"/>
        <v>1</v>
      </c>
    </row>
    <row r="29" spans="1:25">
      <c r="A29">
        <v>4122</v>
      </c>
      <c r="B29" t="s">
        <v>330</v>
      </c>
      <c r="C29" s="399">
        <f>+'Monthy Income Statements'!O28</f>
        <v>7783.5</v>
      </c>
      <c r="D29" s="112"/>
      <c r="E29" s="119">
        <f t="shared" si="8"/>
        <v>7783.5</v>
      </c>
      <c r="F29" s="119"/>
      <c r="G29" s="115"/>
      <c r="H29" s="112"/>
      <c r="I29" s="119">
        <f t="shared" si="10"/>
        <v>7783.5</v>
      </c>
      <c r="J29" s="119"/>
      <c r="K29" s="119">
        <f>-'Cost Allocations-Contracts'!I30-'Cost Allocations-Contracts'!L30</f>
        <v>0</v>
      </c>
      <c r="L29" s="112">
        <f>-'Cost Allocations-Recycle'!J30</f>
        <v>0</v>
      </c>
      <c r="M29" s="112">
        <f>-'Cost Allocations-Recycle'!M30</f>
        <v>-7783.5</v>
      </c>
      <c r="N29" s="386">
        <f t="shared" si="9"/>
        <v>0</v>
      </c>
      <c r="O29" s="394"/>
      <c r="P29" s="394" t="s">
        <v>1139</v>
      </c>
      <c r="Q29" s="88">
        <f>ROUND(+'Container Count by County'!$K$22,3)</f>
        <v>0.81</v>
      </c>
      <c r="R29" s="112">
        <f t="shared" si="11"/>
        <v>0</v>
      </c>
      <c r="S29" s="88">
        <f>ROUND(+'Container Count by County'!$K$24,3)</f>
        <v>0.05</v>
      </c>
      <c r="T29" s="407">
        <f t="shared" si="12"/>
        <v>0</v>
      </c>
      <c r="U29" s="94">
        <f>ROUND(+'Container Count by County'!$K$26,3)</f>
        <v>0.14000000000000001</v>
      </c>
      <c r="V29" s="407">
        <f t="shared" si="13"/>
        <v>0</v>
      </c>
      <c r="Y29" s="11">
        <f t="shared" si="7"/>
        <v>1</v>
      </c>
    </row>
    <row r="30" spans="1:25">
      <c r="A30">
        <v>4132</v>
      </c>
      <c r="B30" t="s">
        <v>31</v>
      </c>
      <c r="C30" s="399">
        <f>+'Monthy Income Statements'!O29</f>
        <v>40504.65</v>
      </c>
      <c r="D30" s="112"/>
      <c r="E30" s="119">
        <f t="shared" si="8"/>
        <v>40504.65</v>
      </c>
      <c r="F30" s="119"/>
      <c r="G30" s="115"/>
      <c r="H30" s="112"/>
      <c r="I30" s="119">
        <f t="shared" si="10"/>
        <v>40504.65</v>
      </c>
      <c r="J30" s="119"/>
      <c r="K30" s="119">
        <f>-'Cost Allocations-Contracts'!I31-'Cost Allocations-Contracts'!L31</f>
        <v>-5314.7128650479854</v>
      </c>
      <c r="L30" s="112">
        <f>-'Cost Allocations-Recycle'!J31</f>
        <v>-1168.4051684845763</v>
      </c>
      <c r="M30" s="112">
        <f>-'Cost Allocations-Recycle'!M31</f>
        <v>0</v>
      </c>
      <c r="N30" s="386">
        <f t="shared" si="9"/>
        <v>34021.531966467439</v>
      </c>
      <c r="O30" s="394"/>
      <c r="P30" s="394" t="s">
        <v>490</v>
      </c>
      <c r="Q30" s="26">
        <f>+'Hours &amp; Miles by County'!$D$25</f>
        <v>0.78523744752734048</v>
      </c>
      <c r="R30" s="112">
        <f t="shared" si="11"/>
        <v>26714.980922318711</v>
      </c>
      <c r="S30" s="11">
        <f>+'Hours &amp; Miles by County'!$E$25</f>
        <v>6.7195645252181857E-2</v>
      </c>
      <c r="T30" s="407">
        <f t="shared" si="12"/>
        <v>2286.0987929545108</v>
      </c>
      <c r="U30" s="94">
        <f>'Hours &amp; Miles by County'!$F$25</f>
        <v>0.1475669072204778</v>
      </c>
      <c r="V30" s="407">
        <f t="shared" si="13"/>
        <v>5020.4522511942205</v>
      </c>
      <c r="Y30" s="11">
        <f t="shared" si="7"/>
        <v>1</v>
      </c>
    </row>
    <row r="31" spans="1:25">
      <c r="A31">
        <v>4133</v>
      </c>
      <c r="B31" t="s">
        <v>280</v>
      </c>
      <c r="C31" s="399">
        <f>+'Monthy Income Statements'!O30</f>
        <v>4755.2</v>
      </c>
      <c r="D31" s="112"/>
      <c r="E31" s="119">
        <f t="shared" si="8"/>
        <v>4755.2</v>
      </c>
      <c r="F31" s="119"/>
      <c r="G31" s="115"/>
      <c r="H31" s="112"/>
      <c r="I31" s="119">
        <f t="shared" si="10"/>
        <v>4755.2</v>
      </c>
      <c r="J31" s="119"/>
      <c r="K31" s="119">
        <f>-'Cost Allocations-Contracts'!I32-'Cost Allocations-Contracts'!L32</f>
        <v>0</v>
      </c>
      <c r="L31" s="112">
        <f>-'Cost Allocations-Recycle'!J32</f>
        <v>0</v>
      </c>
      <c r="M31" s="112">
        <f>-'Cost Allocations-Recycle'!M32</f>
        <v>0</v>
      </c>
      <c r="N31" s="386">
        <f t="shared" si="9"/>
        <v>4755.2</v>
      </c>
      <c r="O31" s="394"/>
      <c r="P31" s="394" t="s">
        <v>490</v>
      </c>
      <c r="Q31" s="26">
        <f>+'Hours &amp; Miles by County'!$D$25</f>
        <v>0.78523744752734048</v>
      </c>
      <c r="R31" s="112">
        <f t="shared" si="11"/>
        <v>3733.9611104820092</v>
      </c>
      <c r="S31" s="11">
        <f>+'Hours &amp; Miles by County'!$E$25</f>
        <v>6.7195645252181857E-2</v>
      </c>
      <c r="T31" s="407">
        <f t="shared" si="12"/>
        <v>319.52873230317516</v>
      </c>
      <c r="U31" s="94">
        <f>'Hours &amp; Miles by County'!$F$25</f>
        <v>0.1475669072204778</v>
      </c>
      <c r="V31" s="407">
        <f t="shared" si="13"/>
        <v>701.71015721481604</v>
      </c>
      <c r="Y31" s="11">
        <f t="shared" si="7"/>
        <v>1</v>
      </c>
    </row>
    <row r="32" spans="1:25">
      <c r="A32">
        <v>4134</v>
      </c>
      <c r="B32" t="s">
        <v>32</v>
      </c>
      <c r="C32" s="399">
        <f>+'Monthy Income Statements'!O31</f>
        <v>10268.18</v>
      </c>
      <c r="D32" s="112"/>
      <c r="E32" s="119">
        <f t="shared" si="8"/>
        <v>10268.18</v>
      </c>
      <c r="F32" s="119"/>
      <c r="G32" s="115"/>
      <c r="H32" s="112"/>
      <c r="I32" s="119">
        <f t="shared" si="10"/>
        <v>10268.18</v>
      </c>
      <c r="J32" s="119"/>
      <c r="K32" s="119">
        <f>-'Cost Allocations-Contracts'!I33-'Cost Allocations-Contracts'!L33</f>
        <v>-882.56999999999994</v>
      </c>
      <c r="L32" s="112">
        <f>-'Cost Allocations-Recycle'!J33</f>
        <v>0</v>
      </c>
      <c r="M32" s="112">
        <f>-'Cost Allocations-Recycle'!M33</f>
        <v>0</v>
      </c>
      <c r="N32" s="386">
        <f t="shared" si="9"/>
        <v>9385.61</v>
      </c>
      <c r="O32" s="394"/>
      <c r="P32" s="394" t="s">
        <v>1139</v>
      </c>
      <c r="Q32" s="26">
        <f>ROUND(+'Container Count by County'!$K$22,3)</f>
        <v>0.81</v>
      </c>
      <c r="R32" s="112">
        <f t="shared" si="11"/>
        <v>7602.3441000000012</v>
      </c>
      <c r="S32" s="26">
        <f>ROUND(+'Container Count by County'!$K$24,3)</f>
        <v>0.05</v>
      </c>
      <c r="T32" s="407">
        <f t="shared" si="12"/>
        <v>469.28050000000007</v>
      </c>
      <c r="U32" s="94">
        <f>ROUND(+'Container Count by County'!$K$26,3)</f>
        <v>0.14000000000000001</v>
      </c>
      <c r="V32" s="407">
        <f t="shared" si="13"/>
        <v>1313.9854000000003</v>
      </c>
      <c r="Y32" s="11">
        <f t="shared" si="7"/>
        <v>1</v>
      </c>
    </row>
    <row r="33" spans="1:25">
      <c r="A33">
        <v>4136</v>
      </c>
      <c r="B33" t="s">
        <v>281</v>
      </c>
      <c r="C33" s="399">
        <f>+'Monthy Income Statements'!O32</f>
        <v>0</v>
      </c>
      <c r="D33" s="112"/>
      <c r="E33" s="119">
        <f t="shared" si="8"/>
        <v>0</v>
      </c>
      <c r="F33" s="119"/>
      <c r="G33" s="115"/>
      <c r="H33" s="112"/>
      <c r="I33" s="119">
        <f t="shared" si="10"/>
        <v>0</v>
      </c>
      <c r="J33" s="119"/>
      <c r="K33" s="119">
        <f>-'Cost Allocations-Contracts'!I34-'Cost Allocations-Contracts'!L34</f>
        <v>0</v>
      </c>
      <c r="L33" s="112">
        <f>-'Cost Allocations-Recycle'!J34</f>
        <v>0</v>
      </c>
      <c r="M33" s="112">
        <f>-'Cost Allocations-Recycle'!M34</f>
        <v>0</v>
      </c>
      <c r="N33" s="386">
        <f t="shared" si="9"/>
        <v>0</v>
      </c>
      <c r="O33" s="394"/>
      <c r="P33" s="394" t="s">
        <v>1139</v>
      </c>
      <c r="Q33" s="26">
        <f>ROUND(+'Container Count by County'!$K$22,3)</f>
        <v>0.81</v>
      </c>
      <c r="R33" s="112">
        <f t="shared" si="11"/>
        <v>0</v>
      </c>
      <c r="S33" s="26">
        <f>ROUND(+'Container Count by County'!$K$24,3)</f>
        <v>0.05</v>
      </c>
      <c r="T33" s="407">
        <f t="shared" si="12"/>
        <v>0</v>
      </c>
      <c r="U33" s="94">
        <f>ROUND(+'Container Count by County'!$K$26,3)</f>
        <v>0.14000000000000001</v>
      </c>
      <c r="V33" s="407">
        <f t="shared" si="13"/>
        <v>0</v>
      </c>
      <c r="Y33" s="11">
        <f t="shared" si="7"/>
        <v>1</v>
      </c>
    </row>
    <row r="34" spans="1:25">
      <c r="A34">
        <v>4138</v>
      </c>
      <c r="B34" t="s">
        <v>331</v>
      </c>
      <c r="C34" s="399">
        <f>+'Monthy Income Statements'!O33</f>
        <v>588.45000000000005</v>
      </c>
      <c r="D34" s="112"/>
      <c r="E34" s="119">
        <f t="shared" si="8"/>
        <v>588.45000000000005</v>
      </c>
      <c r="F34" s="119"/>
      <c r="G34" s="115"/>
      <c r="H34" s="112"/>
      <c r="I34" s="119">
        <f t="shared" si="10"/>
        <v>588.45000000000005</v>
      </c>
      <c r="J34" s="119"/>
      <c r="K34" s="119">
        <f>-'Cost Allocations-Contracts'!I35-'Cost Allocations-Contracts'!L35</f>
        <v>0</v>
      </c>
      <c r="L34" s="112">
        <f>-'Cost Allocations-Recycle'!J35</f>
        <v>0</v>
      </c>
      <c r="M34" s="112">
        <f>-'Cost Allocations-Recycle'!M35</f>
        <v>-588.45000000000005</v>
      </c>
      <c r="N34" s="386">
        <f t="shared" si="9"/>
        <v>0</v>
      </c>
      <c r="O34" s="394"/>
      <c r="P34" s="394" t="s">
        <v>1139</v>
      </c>
      <c r="Q34" s="88">
        <f>ROUND(+'Container Count by County'!$K$22,3)</f>
        <v>0.81</v>
      </c>
      <c r="R34" s="112">
        <f t="shared" si="11"/>
        <v>0</v>
      </c>
      <c r="S34" s="88">
        <f>ROUND(+'Container Count by County'!$K$24,3)</f>
        <v>0.05</v>
      </c>
      <c r="T34" s="407">
        <f t="shared" si="12"/>
        <v>0</v>
      </c>
      <c r="U34" s="94">
        <f>ROUND(+'Container Count by County'!$K$26,3)</f>
        <v>0.14000000000000001</v>
      </c>
      <c r="V34" s="407">
        <f t="shared" si="13"/>
        <v>0</v>
      </c>
      <c r="Y34" s="11">
        <f t="shared" si="7"/>
        <v>1</v>
      </c>
    </row>
    <row r="35" spans="1:25">
      <c r="A35">
        <v>4160</v>
      </c>
      <c r="B35" t="s">
        <v>33</v>
      </c>
      <c r="C35" s="399">
        <f>+'Monthy Income Statements'!O34</f>
        <v>20948.329999999998</v>
      </c>
      <c r="D35" s="112"/>
      <c r="E35" s="119">
        <f t="shared" si="8"/>
        <v>20948.329999999998</v>
      </c>
      <c r="F35" s="119"/>
      <c r="G35" s="115"/>
      <c r="H35" s="112"/>
      <c r="I35" s="119">
        <f t="shared" si="10"/>
        <v>20948.329999999998</v>
      </c>
      <c r="J35" s="119"/>
      <c r="K35" s="119">
        <f>-'Cost Allocations-Contracts'!I36-'Cost Allocations-Contracts'!L36</f>
        <v>-2540.0708927408564</v>
      </c>
      <c r="L35" s="112">
        <f>-'Cost Allocations-Recycle'!J36</f>
        <v>-608.41655110763793</v>
      </c>
      <c r="M35" s="112">
        <f>-'Cost Allocations-Recycle'!M36</f>
        <v>-1488.4254884618572</v>
      </c>
      <c r="N35" s="386">
        <f t="shared" si="9"/>
        <v>16311.417067689647</v>
      </c>
      <c r="O35" s="394"/>
      <c r="P35" s="394" t="s">
        <v>488</v>
      </c>
      <c r="Q35" s="26">
        <f>+'Hours &amp; Miles by County'!$D$68</f>
        <v>0.69686598938262956</v>
      </c>
      <c r="R35" s="112">
        <f t="shared" si="11"/>
        <v>11366.871793108256</v>
      </c>
      <c r="S35" s="26">
        <f>+'Hours &amp; Miles by County'!$E$68</f>
        <v>9.2848096149182144E-2</v>
      </c>
      <c r="T35" s="407">
        <f t="shared" si="12"/>
        <v>1514.4840202302589</v>
      </c>
      <c r="U35" s="26">
        <f>+'Hours &amp; Miles by County'!$F$68</f>
        <v>0.21028591446818831</v>
      </c>
      <c r="V35" s="407">
        <f t="shared" si="13"/>
        <v>3430.061254351132</v>
      </c>
      <c r="Y35" s="11">
        <f t="shared" si="7"/>
        <v>1</v>
      </c>
    </row>
    <row r="36" spans="1:25">
      <c r="A36">
        <v>4162</v>
      </c>
      <c r="B36" t="s">
        <v>282</v>
      </c>
      <c r="C36" s="399">
        <f>+'Monthy Income Statements'!O35</f>
        <v>3649.63</v>
      </c>
      <c r="D36" s="112"/>
      <c r="E36" s="119">
        <f t="shared" si="8"/>
        <v>3649.63</v>
      </c>
      <c r="F36" s="119"/>
      <c r="G36" s="115"/>
      <c r="H36" s="112"/>
      <c r="I36" s="119">
        <f t="shared" si="10"/>
        <v>3649.63</v>
      </c>
      <c r="J36" s="119"/>
      <c r="K36" s="119">
        <f>-'Cost Allocations-Contracts'!I37-'Cost Allocations-Contracts'!L37</f>
        <v>0</v>
      </c>
      <c r="L36" s="112">
        <f>-'Cost Allocations-Recycle'!J37</f>
        <v>0</v>
      </c>
      <c r="M36" s="112">
        <f>-'Cost Allocations-Recycle'!M37</f>
        <v>0</v>
      </c>
      <c r="N36" s="386">
        <f t="shared" si="9"/>
        <v>3649.63</v>
      </c>
      <c r="O36" s="394"/>
      <c r="P36" s="394" t="s">
        <v>488</v>
      </c>
      <c r="Q36" s="26">
        <f>+'Hours &amp; Miles by County'!$D$68</f>
        <v>0.69686598938262956</v>
      </c>
      <c r="R36" s="112">
        <f t="shared" si="11"/>
        <v>2543.3030208305263</v>
      </c>
      <c r="S36" s="26">
        <f>+'Hours &amp; Miles by County'!$E$68</f>
        <v>9.2848096149182144E-2</v>
      </c>
      <c r="T36" s="407">
        <f t="shared" si="12"/>
        <v>338.86119714893965</v>
      </c>
      <c r="U36" s="26">
        <f>+'Hours &amp; Miles by County'!$F$68</f>
        <v>0.21028591446818831</v>
      </c>
      <c r="V36" s="407">
        <f t="shared" si="13"/>
        <v>767.46578202053411</v>
      </c>
      <c r="Y36" s="11">
        <f t="shared" si="7"/>
        <v>1</v>
      </c>
    </row>
    <row r="37" spans="1:25">
      <c r="A37">
        <v>4164</v>
      </c>
      <c r="B37" t="s">
        <v>1304</v>
      </c>
      <c r="C37" s="399">
        <f>+'Monthy Income Statements'!O36</f>
        <v>0</v>
      </c>
      <c r="D37" s="112"/>
      <c r="E37" s="119">
        <f t="shared" ref="E37" si="14">+C37+D37</f>
        <v>0</v>
      </c>
      <c r="F37" s="119"/>
      <c r="G37" s="115"/>
      <c r="H37" s="112"/>
      <c r="I37" s="119">
        <f t="shared" ref="I37" si="15">+E37+H37</f>
        <v>0</v>
      </c>
      <c r="J37" s="119"/>
      <c r="K37" s="119">
        <f>-'Cost Allocations-Contracts'!I38-'Cost Allocations-Contracts'!L38</f>
        <v>0</v>
      </c>
      <c r="L37" s="112">
        <f>-'Cost Allocations-Recycle'!J38</f>
        <v>0</v>
      </c>
      <c r="M37" s="112">
        <f>-'Cost Allocations-Recycle'!M38</f>
        <v>0</v>
      </c>
      <c r="N37" s="386">
        <f t="shared" ref="N37" si="16">I37+K37+L37+M37</f>
        <v>0</v>
      </c>
      <c r="O37" s="394"/>
      <c r="P37" s="394" t="s">
        <v>488</v>
      </c>
      <c r="Q37" s="26">
        <f>+'Hours &amp; Miles by County'!$D$68</f>
        <v>0.69686598938262956</v>
      </c>
      <c r="R37" s="112">
        <f t="shared" ref="R37" si="17">N37*Q37</f>
        <v>0</v>
      </c>
      <c r="S37" s="26">
        <f>+'Hours &amp; Miles by County'!$E$68</f>
        <v>9.2848096149182144E-2</v>
      </c>
      <c r="T37" s="407">
        <f t="shared" ref="T37" si="18">N37*S37</f>
        <v>0</v>
      </c>
      <c r="U37" s="26">
        <f>+'Hours &amp; Miles by County'!$F$68</f>
        <v>0.21028591446818831</v>
      </c>
      <c r="V37" s="407">
        <f t="shared" ref="V37" si="19">N37*U37</f>
        <v>0</v>
      </c>
      <c r="Y37" s="11">
        <f t="shared" ref="Y37" si="20">Q37+S37+U37</f>
        <v>1</v>
      </c>
    </row>
    <row r="38" spans="1:25">
      <c r="A38">
        <v>4180</v>
      </c>
      <c r="B38" t="s">
        <v>34</v>
      </c>
      <c r="C38" s="399">
        <f>+'Monthy Income Statements'!O37</f>
        <v>19397.82</v>
      </c>
      <c r="D38" s="112"/>
      <c r="E38" s="119">
        <f t="shared" si="8"/>
        <v>19397.82</v>
      </c>
      <c r="F38" s="119"/>
      <c r="G38" s="115"/>
      <c r="H38" s="112"/>
      <c r="I38" s="119">
        <f t="shared" si="10"/>
        <v>19397.82</v>
      </c>
      <c r="J38" s="119"/>
      <c r="K38" s="119">
        <f>-'Cost Allocations-Contracts'!I39-'Cost Allocations-Contracts'!L39</f>
        <v>-2545.2347695359695</v>
      </c>
      <c r="L38" s="112">
        <f>-'Cost Allocations-Recycle'!J39</f>
        <v>-559.55336351094206</v>
      </c>
      <c r="M38" s="112">
        <f>-'Cost Allocations-Recycle'!M39</f>
        <v>0</v>
      </c>
      <c r="N38" s="386">
        <f t="shared" si="9"/>
        <v>16293.031866953086</v>
      </c>
      <c r="O38" s="394"/>
      <c r="P38" s="394" t="s">
        <v>490</v>
      </c>
      <c r="Q38" s="26">
        <f>+'Hours &amp; Miles by County'!$D$25</f>
        <v>0.78523744752734048</v>
      </c>
      <c r="R38" s="112">
        <f t="shared" si="11"/>
        <v>12793.89875568786</v>
      </c>
      <c r="S38" s="11">
        <f>+'Hours &amp; Miles by County'!$E$25</f>
        <v>6.7195645252181857E-2</v>
      </c>
      <c r="T38" s="407">
        <f t="shared" si="12"/>
        <v>1094.8207894142738</v>
      </c>
      <c r="U38" s="94">
        <f>'Hours &amp; Miles by County'!$F$25</f>
        <v>0.1475669072204778</v>
      </c>
      <c r="V38" s="407">
        <f t="shared" si="13"/>
        <v>2404.312321850954</v>
      </c>
      <c r="Y38" s="11">
        <f t="shared" si="7"/>
        <v>1</v>
      </c>
    </row>
    <row r="39" spans="1:25">
      <c r="A39" t="s">
        <v>16</v>
      </c>
      <c r="C39" s="112"/>
      <c r="D39" s="112"/>
      <c r="E39" s="119"/>
      <c r="F39" s="119"/>
      <c r="G39" s="115"/>
      <c r="H39" s="112"/>
      <c r="I39" s="119"/>
      <c r="J39" s="119"/>
      <c r="K39" s="119"/>
      <c r="L39" s="112"/>
      <c r="M39" s="112"/>
      <c r="N39" s="386"/>
      <c r="O39" s="394"/>
      <c r="P39" s="394"/>
      <c r="Q39" s="11"/>
      <c r="R39" s="112"/>
      <c r="S39" s="11"/>
      <c r="T39" s="407"/>
      <c r="U39" s="94"/>
      <c r="V39" s="407"/>
      <c r="Y39" s="11"/>
    </row>
    <row r="40" spans="1:25">
      <c r="A40">
        <v>4210</v>
      </c>
      <c r="B40" t="s">
        <v>35</v>
      </c>
      <c r="C40" s="112">
        <f>+'Monthy Income Statements'!O39</f>
        <v>0</v>
      </c>
      <c r="D40" s="112"/>
      <c r="E40" s="119">
        <f t="shared" ref="E40:E49" si="21">+C40+D40</f>
        <v>0</v>
      </c>
      <c r="F40" s="119"/>
      <c r="G40" s="115"/>
      <c r="H40" s="112"/>
      <c r="I40" s="119">
        <f t="shared" si="10"/>
        <v>0</v>
      </c>
      <c r="J40" s="119"/>
      <c r="K40" s="119">
        <f>-'Cost Allocations-Contracts'!I41-'Cost Allocations-Contracts'!L41</f>
        <v>0</v>
      </c>
      <c r="L40" s="112">
        <f>-'Cost Allocations-Recycle'!J41</f>
        <v>0</v>
      </c>
      <c r="M40" s="112">
        <f>-'Cost Allocations-Recycle'!M41</f>
        <v>0</v>
      </c>
      <c r="N40" s="386">
        <f t="shared" si="9"/>
        <v>0</v>
      </c>
      <c r="O40" s="394"/>
      <c r="P40" s="394" t="s">
        <v>490</v>
      </c>
      <c r="Q40" s="26">
        <f>+'Hours &amp; Miles by County'!$D$25</f>
        <v>0.78523744752734048</v>
      </c>
      <c r="R40" s="112">
        <f t="shared" si="11"/>
        <v>0</v>
      </c>
      <c r="S40" s="11">
        <f>+'Hours &amp; Miles by County'!$E$25</f>
        <v>6.7195645252181857E-2</v>
      </c>
      <c r="T40" s="407">
        <f t="shared" si="12"/>
        <v>0</v>
      </c>
      <c r="U40" s="94">
        <f>'Hours &amp; Miles by County'!$F$25</f>
        <v>0.1475669072204778</v>
      </c>
      <c r="V40" s="407">
        <f t="shared" si="13"/>
        <v>0</v>
      </c>
      <c r="Y40" s="11">
        <f t="shared" si="7"/>
        <v>1</v>
      </c>
    </row>
    <row r="41" spans="1:25">
      <c r="A41">
        <v>4213</v>
      </c>
      <c r="B41" t="s">
        <v>36</v>
      </c>
      <c r="C41" s="399">
        <f>+'Monthy Income Statements'!O40</f>
        <v>301117.20999999996</v>
      </c>
      <c r="D41" s="112"/>
      <c r="E41" s="119">
        <f t="shared" si="21"/>
        <v>301117.20999999996</v>
      </c>
      <c r="F41" s="119"/>
      <c r="G41" s="115">
        <v>1</v>
      </c>
      <c r="H41" s="112">
        <f>+'Proforma AJEs'!H10</f>
        <v>14142.549999999992</v>
      </c>
      <c r="I41" s="119">
        <f t="shared" si="10"/>
        <v>315259.75999999995</v>
      </c>
      <c r="J41" s="119"/>
      <c r="K41" s="119">
        <f>-'Cost Allocations-Contracts'!I42-'Cost Allocations-Contracts'!L42</f>
        <v>-41365.99383784183</v>
      </c>
      <c r="L41" s="112">
        <f>-'Cost Allocations-Recycle'!J42</f>
        <v>-7549.5686658483173</v>
      </c>
      <c r="M41" s="112">
        <f>-'Cost Allocations-Recycle'!M42</f>
        <v>0</v>
      </c>
      <c r="N41" s="386">
        <f t="shared" si="9"/>
        <v>266344.19749630976</v>
      </c>
      <c r="O41" s="394"/>
      <c r="P41" s="394" t="s">
        <v>490</v>
      </c>
      <c r="Q41" s="26">
        <f>+'Hours &amp; Miles by County'!$D$25</f>
        <v>0.78523744752734048</v>
      </c>
      <c r="R41" s="112">
        <f t="shared" si="11"/>
        <v>209143.43780572014</v>
      </c>
      <c r="S41" s="11">
        <f>+'Hours &amp; Miles by County'!$E$25</f>
        <v>6.7195645252181857E-2</v>
      </c>
      <c r="T41" s="407">
        <f t="shared" si="12"/>
        <v>17897.170209939093</v>
      </c>
      <c r="U41" s="94">
        <f>'Hours &amp; Miles by County'!$F$25</f>
        <v>0.1475669072204778</v>
      </c>
      <c r="V41" s="407">
        <f t="shared" si="13"/>
        <v>39303.58948065056</v>
      </c>
      <c r="Y41" s="11">
        <f t="shared" si="7"/>
        <v>1</v>
      </c>
    </row>
    <row r="42" spans="1:25">
      <c r="A42">
        <v>4215</v>
      </c>
      <c r="B42" t="s">
        <v>37</v>
      </c>
      <c r="C42" s="399">
        <f>+'Monthy Income Statements'!O41</f>
        <v>29844.639999999999</v>
      </c>
      <c r="D42" s="112"/>
      <c r="E42" s="119">
        <f t="shared" si="21"/>
        <v>29844.639999999999</v>
      </c>
      <c r="F42" s="119"/>
      <c r="G42" s="115">
        <v>1</v>
      </c>
      <c r="H42" s="112">
        <f>+'Proforma AJEs'!H11</f>
        <v>1393</v>
      </c>
      <c r="I42" s="119">
        <f t="shared" si="10"/>
        <v>31237.64</v>
      </c>
      <c r="J42" s="119"/>
      <c r="K42" s="119">
        <f>-'Cost Allocations-Contracts'!I43-'Cost Allocations-Contracts'!L43</f>
        <v>0</v>
      </c>
      <c r="L42" s="112">
        <f>-'Cost Allocations-Recycle'!J43</f>
        <v>0</v>
      </c>
      <c r="M42" s="112">
        <f>-'Cost Allocations-Recycle'!M43</f>
        <v>0</v>
      </c>
      <c r="N42" s="386">
        <f t="shared" si="9"/>
        <v>31237.64</v>
      </c>
      <c r="O42" s="394"/>
      <c r="P42" s="453" t="s">
        <v>306</v>
      </c>
      <c r="Q42" s="26">
        <f>+'Drop Box Allocation'!$I$10</f>
        <v>0.38699956231264759</v>
      </c>
      <c r="R42" s="112">
        <f t="shared" si="11"/>
        <v>12088.953007680053</v>
      </c>
      <c r="S42" s="11">
        <f>+'Drop Box Allocation'!$I$11</f>
        <v>0.12294051557241764</v>
      </c>
      <c r="T42" s="407">
        <f t="shared" si="12"/>
        <v>3840.3715668655759</v>
      </c>
      <c r="U42" s="94">
        <f>'Drop Box Allocation'!$I$12</f>
        <v>0.49005992211493471</v>
      </c>
      <c r="V42" s="407">
        <f t="shared" si="13"/>
        <v>15308.31542545437</v>
      </c>
      <c r="Y42" s="11">
        <f t="shared" si="7"/>
        <v>1</v>
      </c>
    </row>
    <row r="43" spans="1:25">
      <c r="A43">
        <v>4217</v>
      </c>
      <c r="B43" t="s">
        <v>285</v>
      </c>
      <c r="C43" s="399">
        <f>+'Monthy Income Statements'!O42</f>
        <v>13967.380000000001</v>
      </c>
      <c r="D43" s="112"/>
      <c r="E43" s="119">
        <f t="shared" si="21"/>
        <v>13967.380000000001</v>
      </c>
      <c r="F43" s="119"/>
      <c r="G43" s="115"/>
      <c r="H43" s="112"/>
      <c r="I43" s="119">
        <f t="shared" si="10"/>
        <v>13967.380000000001</v>
      </c>
      <c r="J43" s="119"/>
      <c r="K43" s="119">
        <f>-'Cost Allocations-Contracts'!I44-'Cost Allocations-Contracts'!L44</f>
        <v>-1832.6936333733024</v>
      </c>
      <c r="L43" s="112">
        <f>-'Cost Allocations-Recycle'!J44</f>
        <v>0</v>
      </c>
      <c r="M43" s="112">
        <f>-'Cost Allocations-Recycle'!M44</f>
        <v>-604.3200207670892</v>
      </c>
      <c r="N43" s="386">
        <f t="shared" si="9"/>
        <v>11530.366345859609</v>
      </c>
      <c r="O43" s="394"/>
      <c r="P43" s="394" t="s">
        <v>490</v>
      </c>
      <c r="Q43" s="26">
        <f>+'Hours &amp; Miles by County'!$D$25</f>
        <v>0.78523744752734048</v>
      </c>
      <c r="R43" s="112">
        <f t="shared" si="11"/>
        <v>9054.0754384779484</v>
      </c>
      <c r="S43" s="11">
        <f>+'Hours &amp; Miles by County'!$E$25</f>
        <v>6.7195645252181857E-2</v>
      </c>
      <c r="T43" s="407">
        <f t="shared" si="12"/>
        <v>774.79040660407873</v>
      </c>
      <c r="U43" s="94">
        <f>'Hours &amp; Miles by County'!$F$25</f>
        <v>0.1475669072204778</v>
      </c>
      <c r="V43" s="407">
        <f t="shared" si="13"/>
        <v>1701.5005007775846</v>
      </c>
      <c r="Y43" s="11">
        <f t="shared" si="7"/>
        <v>1</v>
      </c>
    </row>
    <row r="44" spans="1:25">
      <c r="A44">
        <v>4222</v>
      </c>
      <c r="B44" t="s">
        <v>332</v>
      </c>
      <c r="C44" s="399">
        <f>+'Monthy Income Statements'!O43</f>
        <v>7804.25</v>
      </c>
      <c r="D44" s="112"/>
      <c r="E44" s="119">
        <f t="shared" si="21"/>
        <v>7804.25</v>
      </c>
      <c r="F44" s="119"/>
      <c r="G44" s="115"/>
      <c r="H44" s="112"/>
      <c r="I44" s="119">
        <f t="shared" si="10"/>
        <v>7804.25</v>
      </c>
      <c r="J44" s="119"/>
      <c r="K44" s="119">
        <f>-'Cost Allocations-Contracts'!I45-'Cost Allocations-Contracts'!L45</f>
        <v>0</v>
      </c>
      <c r="L44" s="112">
        <f>-'Cost Allocations-Recycle'!J45</f>
        <v>0</v>
      </c>
      <c r="M44" s="112">
        <f>-'Cost Allocations-Recycle'!M45</f>
        <v>-7804.25</v>
      </c>
      <c r="N44" s="386">
        <f t="shared" si="9"/>
        <v>0</v>
      </c>
      <c r="O44" s="394"/>
      <c r="P44" s="394" t="s">
        <v>490</v>
      </c>
      <c r="Q44" s="88">
        <f>+'Hours &amp; Miles by County'!$D$25</f>
        <v>0.78523744752734048</v>
      </c>
      <c r="R44" s="112">
        <f t="shared" si="11"/>
        <v>0</v>
      </c>
      <c r="S44" s="88">
        <f>+'Hours &amp; Miles by County'!$E$25</f>
        <v>6.7195645252181857E-2</v>
      </c>
      <c r="T44" s="407">
        <f t="shared" si="12"/>
        <v>0</v>
      </c>
      <c r="U44" s="94">
        <f>'Hours &amp; Miles by County'!$F$25</f>
        <v>0.1475669072204778</v>
      </c>
      <c r="V44" s="407">
        <f t="shared" si="13"/>
        <v>0</v>
      </c>
      <c r="Y44" s="11">
        <f t="shared" si="7"/>
        <v>1</v>
      </c>
    </row>
    <row r="45" spans="1:25">
      <c r="A45">
        <v>4240</v>
      </c>
      <c r="B45" t="s">
        <v>38</v>
      </c>
      <c r="C45" s="399">
        <f>+'Monthy Income Statements'!O44</f>
        <v>58804.080000000009</v>
      </c>
      <c r="D45" s="381">
        <f>-D46</f>
        <v>0</v>
      </c>
      <c r="E45" s="119">
        <f t="shared" si="21"/>
        <v>58804.080000000009</v>
      </c>
      <c r="F45" s="119"/>
      <c r="G45" s="115">
        <v>10</v>
      </c>
      <c r="H45" s="112">
        <f>+'Proforma AJEs'!H65</f>
        <v>0</v>
      </c>
      <c r="I45" s="119">
        <f t="shared" si="10"/>
        <v>58804.080000000009</v>
      </c>
      <c r="J45" s="119"/>
      <c r="K45" s="119">
        <f>-'Cost Allocations-Contracts'!I46-'Cost Allocations-Contracts'!L46</f>
        <v>-7715.825232246445</v>
      </c>
      <c r="L45" s="112">
        <f>-'Cost Allocations-Recycle'!J46</f>
        <v>-1837.0712424366277</v>
      </c>
      <c r="M45" s="112">
        <f>-'Cost Allocations-Recycle'!M46</f>
        <v>0</v>
      </c>
      <c r="N45" s="386">
        <f t="shared" si="9"/>
        <v>49251.183525316934</v>
      </c>
      <c r="O45" s="394"/>
      <c r="P45" s="394" t="s">
        <v>490</v>
      </c>
      <c r="Q45" s="26">
        <f>+'Hours &amp; Miles by County'!$D$25</f>
        <v>0.78523744752734048</v>
      </c>
      <c r="R45" s="112">
        <f t="shared" si="11"/>
        <v>38673.873639120473</v>
      </c>
      <c r="S45" s="11">
        <f>+'Hours &amp; Miles by County'!$E$25</f>
        <v>6.7195645252181857E-2</v>
      </c>
      <c r="T45" s="407">
        <f t="shared" si="12"/>
        <v>3309.4650564173003</v>
      </c>
      <c r="U45" s="94">
        <f>'Hours &amp; Miles by County'!$F$25</f>
        <v>0.1475669072204778</v>
      </c>
      <c r="V45" s="407">
        <f t="shared" si="13"/>
        <v>7267.8448297791683</v>
      </c>
      <c r="Y45" s="11">
        <f t="shared" si="7"/>
        <v>1</v>
      </c>
    </row>
    <row r="46" spans="1:25">
      <c r="A46">
        <v>4242</v>
      </c>
      <c r="B46" t="s">
        <v>283</v>
      </c>
      <c r="C46" s="399">
        <f>+'Monthy Income Statements'!O45</f>
        <v>13077.73</v>
      </c>
      <c r="D46" s="381">
        <f>+'Restating AJEs'!I28</f>
        <v>0</v>
      </c>
      <c r="E46" s="119">
        <f t="shared" si="21"/>
        <v>13077.73</v>
      </c>
      <c r="F46" s="119"/>
      <c r="G46" s="115">
        <v>10</v>
      </c>
      <c r="H46" s="112">
        <f>+'Proforma AJEs'!H67</f>
        <v>2.4796605991657188</v>
      </c>
      <c r="I46" s="119">
        <f t="shared" si="10"/>
        <v>13080.209660599165</v>
      </c>
      <c r="J46" s="119"/>
      <c r="K46" s="119">
        <f>-'Cost Allocations-Contracts'!I47-'Cost Allocations-Contracts'!L47</f>
        <v>0</v>
      </c>
      <c r="L46" s="112">
        <f>-'Cost Allocations-Recycle'!J47</f>
        <v>0</v>
      </c>
      <c r="M46" s="112">
        <f>-'Cost Allocations-Recycle'!M47</f>
        <v>0</v>
      </c>
      <c r="N46" s="386">
        <f t="shared" si="9"/>
        <v>13080.209660599165</v>
      </c>
      <c r="O46" s="394"/>
      <c r="P46" s="394" t="s">
        <v>490</v>
      </c>
      <c r="Q46" s="26">
        <f>+'Hours &amp; Miles by County'!$D$25</f>
        <v>0.78523744752734048</v>
      </c>
      <c r="R46" s="112">
        <f t="shared" si="11"/>
        <v>10271.070447011349</v>
      </c>
      <c r="S46" s="11">
        <f>+'Hours &amp; Miles by County'!$E$25</f>
        <v>6.7195645252181857E-2</v>
      </c>
      <c r="T46" s="407">
        <f t="shared" si="12"/>
        <v>878.93312817778349</v>
      </c>
      <c r="U46" s="94">
        <f>'Hours &amp; Miles by County'!$F$25</f>
        <v>0.1475669072204778</v>
      </c>
      <c r="V46" s="407">
        <f t="shared" si="13"/>
        <v>1930.2060854100343</v>
      </c>
      <c r="Y46" s="11">
        <f t="shared" si="7"/>
        <v>1</v>
      </c>
    </row>
    <row r="47" spans="1:25">
      <c r="A47">
        <v>4244</v>
      </c>
      <c r="B47" t="s">
        <v>333</v>
      </c>
      <c r="C47" s="399">
        <f>+'Monthy Income Statements'!O46</f>
        <v>1737.8500000000004</v>
      </c>
      <c r="D47" s="381">
        <f>+'Restating AJEs'!I29</f>
        <v>0</v>
      </c>
      <c r="E47" s="119">
        <f t="shared" si="21"/>
        <v>1737.8500000000004</v>
      </c>
      <c r="F47" s="119"/>
      <c r="G47" s="115">
        <v>10</v>
      </c>
      <c r="H47" s="112">
        <f>+'Proforma AJEs'!H68</f>
        <v>0</v>
      </c>
      <c r="I47" s="119">
        <f t="shared" si="10"/>
        <v>1737.8500000000004</v>
      </c>
      <c r="J47" s="119"/>
      <c r="K47" s="119">
        <f>-'Cost Allocations-Contracts'!I48-'Cost Allocations-Contracts'!L48</f>
        <v>0</v>
      </c>
      <c r="L47" s="112">
        <f>-'Cost Allocations-Recycle'!J48</f>
        <v>0</v>
      </c>
      <c r="M47" s="112">
        <f>-'Cost Allocations-Recycle'!M48</f>
        <v>-1737.8500000000004</v>
      </c>
      <c r="N47" s="386">
        <f t="shared" si="9"/>
        <v>0</v>
      </c>
      <c r="O47" s="394"/>
      <c r="P47" s="394" t="s">
        <v>1139</v>
      </c>
      <c r="Q47" s="88">
        <f>ROUND(+'Container Count by County'!$K$22,3)</f>
        <v>0.81</v>
      </c>
      <c r="R47" s="112">
        <f t="shared" si="11"/>
        <v>0</v>
      </c>
      <c r="S47" s="88">
        <f>ROUND(+'Container Count by County'!$K$24,3)</f>
        <v>0.05</v>
      </c>
      <c r="T47" s="407">
        <f t="shared" si="12"/>
        <v>0</v>
      </c>
      <c r="U47" s="94">
        <f>ROUND(+'Container Count by County'!$K$26,3)</f>
        <v>0.14000000000000001</v>
      </c>
      <c r="V47" s="407">
        <f t="shared" si="13"/>
        <v>0</v>
      </c>
      <c r="Y47" s="11">
        <f t="shared" si="7"/>
        <v>1</v>
      </c>
    </row>
    <row r="48" spans="1:25">
      <c r="A48">
        <v>4280</v>
      </c>
      <c r="B48" t="s">
        <v>39</v>
      </c>
      <c r="C48" s="399">
        <f>+'Monthy Income Statements'!O47</f>
        <v>7655.6</v>
      </c>
      <c r="D48" s="112"/>
      <c r="E48" s="119">
        <f t="shared" si="21"/>
        <v>7655.6</v>
      </c>
      <c r="F48" s="119"/>
      <c r="G48" s="115"/>
      <c r="H48" s="112"/>
      <c r="I48" s="119">
        <f t="shared" si="10"/>
        <v>7655.6</v>
      </c>
      <c r="J48" s="119"/>
      <c r="K48" s="119">
        <f>-'Cost Allocations-Contracts'!I49-'Cost Allocations-Contracts'!L49</f>
        <v>-1004.5097491192087</v>
      </c>
      <c r="L48" s="112">
        <f>-'Cost Allocations-Recycle'!J49</f>
        <v>-183.32970207890915</v>
      </c>
      <c r="M48" s="112">
        <f>-'Cost Allocations-Recycle'!M49</f>
        <v>0</v>
      </c>
      <c r="N48" s="386">
        <f t="shared" si="9"/>
        <v>6467.7605488018826</v>
      </c>
      <c r="O48" s="394"/>
      <c r="P48" s="394" t="s">
        <v>490</v>
      </c>
      <c r="Q48" s="26">
        <f>+'Hours &amp; Miles by County'!$D$25</f>
        <v>0.78523744752734048</v>
      </c>
      <c r="R48" s="112">
        <f t="shared" si="11"/>
        <v>5078.7277845592207</v>
      </c>
      <c r="S48" s="11">
        <f>+'Hours &amp; Miles by County'!$E$25</f>
        <v>6.7195645252181857E-2</v>
      </c>
      <c r="T48" s="407">
        <f t="shared" si="12"/>
        <v>434.60534341334835</v>
      </c>
      <c r="U48" s="94">
        <f>'Hours &amp; Miles by County'!$F$25</f>
        <v>0.1475669072204778</v>
      </c>
      <c r="V48" s="407">
        <f t="shared" si="13"/>
        <v>954.42742082931397</v>
      </c>
      <c r="Y48" s="11">
        <f t="shared" si="7"/>
        <v>1</v>
      </c>
    </row>
    <row r="49" spans="1:25">
      <c r="A49">
        <v>4282</v>
      </c>
      <c r="B49" t="s">
        <v>335</v>
      </c>
      <c r="C49" s="399">
        <f>+'Monthy Income Statements'!O48</f>
        <v>0</v>
      </c>
      <c r="D49" s="112"/>
      <c r="E49" s="119">
        <f t="shared" si="21"/>
        <v>0</v>
      </c>
      <c r="F49" s="119"/>
      <c r="G49" s="115"/>
      <c r="H49" s="112"/>
      <c r="I49" s="119">
        <f t="shared" si="10"/>
        <v>0</v>
      </c>
      <c r="J49" s="119"/>
      <c r="K49" s="119">
        <f>-'Cost Allocations-Contracts'!I50-'Cost Allocations-Contracts'!L50</f>
        <v>0</v>
      </c>
      <c r="L49" s="112">
        <f>-'Cost Allocations-Recycle'!J50</f>
        <v>0</v>
      </c>
      <c r="M49" s="112">
        <f>-'Cost Allocations-Recycle'!M50</f>
        <v>0</v>
      </c>
      <c r="N49" s="386">
        <f t="shared" si="9"/>
        <v>0</v>
      </c>
      <c r="O49" s="394"/>
      <c r="P49" s="394" t="s">
        <v>490</v>
      </c>
      <c r="Q49" s="88">
        <f>+'Hours &amp; Miles by County'!$D$25</f>
        <v>0.78523744752734048</v>
      </c>
      <c r="R49" s="112">
        <f t="shared" si="11"/>
        <v>0</v>
      </c>
      <c r="S49" s="88">
        <f>+'Hours &amp; Miles by County'!$E$25</f>
        <v>6.7195645252181857E-2</v>
      </c>
      <c r="T49" s="407">
        <f t="shared" si="12"/>
        <v>0</v>
      </c>
      <c r="U49" s="94">
        <f>'Hours &amp; Miles by County'!$F$25</f>
        <v>0.1475669072204778</v>
      </c>
      <c r="V49" s="407">
        <f t="shared" si="13"/>
        <v>0</v>
      </c>
      <c r="Y49" s="11">
        <f t="shared" si="7"/>
        <v>1</v>
      </c>
    </row>
    <row r="50" spans="1:25">
      <c r="A50" t="s">
        <v>17</v>
      </c>
      <c r="C50" s="112"/>
      <c r="D50" s="112"/>
      <c r="E50" s="119"/>
      <c r="F50" s="119"/>
      <c r="G50" s="115"/>
      <c r="H50" s="112"/>
      <c r="I50" s="119"/>
      <c r="J50" s="119"/>
      <c r="K50" s="119"/>
      <c r="L50" s="112"/>
      <c r="M50" s="112"/>
      <c r="N50" s="386"/>
      <c r="O50" s="394"/>
      <c r="P50" s="394"/>
      <c r="Q50" s="11"/>
      <c r="R50" s="112"/>
      <c r="S50" s="11"/>
      <c r="T50" s="407"/>
      <c r="U50" s="94"/>
      <c r="V50" s="407"/>
      <c r="Y50" s="11"/>
    </row>
    <row r="51" spans="1:25">
      <c r="A51">
        <v>4360</v>
      </c>
      <c r="B51" t="s">
        <v>40</v>
      </c>
      <c r="C51" s="399">
        <f>+'Monthy Income Statements'!O50</f>
        <v>426116.67</v>
      </c>
      <c r="D51" s="112"/>
      <c r="E51" s="119">
        <f>+C51+D51</f>
        <v>426116.67</v>
      </c>
      <c r="F51" s="119"/>
      <c r="G51" s="115">
        <v>8</v>
      </c>
      <c r="H51" s="112">
        <f>+'Proforma AJEs'!H47</f>
        <v>997.77000000001863</v>
      </c>
      <c r="I51" s="119">
        <f t="shared" si="10"/>
        <v>427114.44</v>
      </c>
      <c r="J51" s="119"/>
      <c r="K51" s="119">
        <f>-'Cost Allocations-Contracts'!I52-'Cost Allocations-Contracts'!L52</f>
        <v>-994.84402708018899</v>
      </c>
      <c r="L51" s="112">
        <f>-'Cost Allocations-Recycle'!J52</f>
        <v>0</v>
      </c>
      <c r="M51" s="112">
        <f>-'Cost Allocations-Recycle'!M52</f>
        <v>0</v>
      </c>
      <c r="N51" s="386">
        <f t="shared" si="9"/>
        <v>426119.59597291984</v>
      </c>
      <c r="O51" s="394"/>
      <c r="P51" s="394" t="s">
        <v>1140</v>
      </c>
      <c r="Q51" s="26">
        <f>+'Monthly Data-Disposal Fees'!$L$52</f>
        <v>0.98609523829685986</v>
      </c>
      <c r="R51" s="112">
        <f t="shared" si="11"/>
        <v>420194.504533878</v>
      </c>
      <c r="S51" s="26">
        <f>+'Monthly Data-Disposal Fees'!$N$52</f>
        <v>0</v>
      </c>
      <c r="T51" s="407">
        <f t="shared" si="12"/>
        <v>0</v>
      </c>
      <c r="U51" s="26">
        <f>+'Monthly Data-Disposal Fees'!$M$52</f>
        <v>1.3904761703140135E-2</v>
      </c>
      <c r="V51" s="407">
        <f t="shared" si="13"/>
        <v>5925.0914390418029</v>
      </c>
      <c r="Y51" s="11">
        <f t="shared" si="7"/>
        <v>1</v>
      </c>
    </row>
    <row r="52" spans="1:25">
      <c r="A52">
        <v>4361</v>
      </c>
      <c r="B52" t="s">
        <v>41</v>
      </c>
      <c r="C52" s="399">
        <f>+'Monthy Income Statements'!O51</f>
        <v>213487.51000000004</v>
      </c>
      <c r="D52" s="112"/>
      <c r="E52" s="119">
        <f>+C52+D52</f>
        <v>213487.51000000004</v>
      </c>
      <c r="F52" s="119"/>
      <c r="G52" s="115"/>
      <c r="H52" s="112"/>
      <c r="I52" s="119">
        <f t="shared" si="10"/>
        <v>213487.51000000004</v>
      </c>
      <c r="J52" s="119"/>
      <c r="K52" s="119">
        <f>-'Cost Allocations-Contracts'!I53-'Cost Allocations-Contracts'!L53</f>
        <v>0</v>
      </c>
      <c r="L52" s="112">
        <f>-'Cost Allocations-Recycle'!J53</f>
        <v>0</v>
      </c>
      <c r="M52" s="112">
        <f>-'Cost Allocations-Recycle'!M53</f>
        <v>0</v>
      </c>
      <c r="N52" s="386">
        <f t="shared" si="9"/>
        <v>213487.51000000004</v>
      </c>
      <c r="O52" s="394"/>
      <c r="P52" s="394" t="s">
        <v>1140</v>
      </c>
      <c r="Q52" s="26">
        <f>+'Drop Box Allocation'!$D$20</f>
        <v>1</v>
      </c>
      <c r="R52" s="429">
        <f t="shared" si="11"/>
        <v>213487.51000000004</v>
      </c>
      <c r="S52" s="26">
        <f>+'Drop Box Allocation'!$D$21</f>
        <v>0</v>
      </c>
      <c r="T52" s="407">
        <f t="shared" si="12"/>
        <v>0</v>
      </c>
      <c r="U52" s="26">
        <f>+'Drop Box Allocation'!$D$22</f>
        <v>0</v>
      </c>
      <c r="V52" s="407">
        <f t="shared" si="13"/>
        <v>0</v>
      </c>
      <c r="Y52" s="11">
        <f t="shared" si="7"/>
        <v>1</v>
      </c>
    </row>
    <row r="53" spans="1:25">
      <c r="A53">
        <v>4362</v>
      </c>
      <c r="B53" t="s">
        <v>42</v>
      </c>
      <c r="C53" s="399">
        <f>+'Monthy Income Statements'!O52</f>
        <v>235042.99</v>
      </c>
      <c r="D53" s="112"/>
      <c r="E53" s="119">
        <f>+C53+D53</f>
        <v>235042.99</v>
      </c>
      <c r="F53" s="119"/>
      <c r="G53" s="115">
        <v>8</v>
      </c>
      <c r="H53" s="112">
        <f>'Proforma AJEs'!H48</f>
        <v>0</v>
      </c>
      <c r="I53" s="119">
        <f t="shared" si="10"/>
        <v>235042.99</v>
      </c>
      <c r="J53" s="119"/>
      <c r="K53" s="119">
        <f>-'Cost Allocations-Contracts'!I54-'Cost Allocations-Contracts'!L54</f>
        <v>-124309.62293711108</v>
      </c>
      <c r="L53" s="112">
        <f>-'Cost Allocations-Recycle'!J54</f>
        <v>0</v>
      </c>
      <c r="M53" s="112">
        <f>-'Cost Allocations-Recycle'!M54</f>
        <v>0</v>
      </c>
      <c r="N53" s="386">
        <f t="shared" si="9"/>
        <v>110733.36706288891</v>
      </c>
      <c r="O53" s="394"/>
      <c r="P53" s="394" t="s">
        <v>1140</v>
      </c>
      <c r="Q53" s="26">
        <f>+'Monthly Data-Disposal Fees'!$L$29</f>
        <v>7.4488073573709273E-4</v>
      </c>
      <c r="R53" s="112">
        <f t="shared" si="11"/>
        <v>82.483151928450241</v>
      </c>
      <c r="S53" s="26">
        <f>+'Monthly Data-Disposal Fees'!$N$29</f>
        <v>0.27635895232303764</v>
      </c>
      <c r="T53" s="407">
        <f t="shared" si="12"/>
        <v>30602.157308702343</v>
      </c>
      <c r="U53" s="26">
        <f>+'Monthly Data-Disposal Fees'!$M$29</f>
        <v>0.72289616694122527</v>
      </c>
      <c r="V53" s="407">
        <f t="shared" si="13"/>
        <v>80048.726602258117</v>
      </c>
      <c r="Y53" s="11">
        <f t="shared" si="7"/>
        <v>1</v>
      </c>
    </row>
    <row r="54" spans="1:25">
      <c r="A54">
        <v>4363</v>
      </c>
      <c r="B54" t="s">
        <v>43</v>
      </c>
      <c r="C54" s="399">
        <f>+'Monthy Income Statements'!O53</f>
        <v>110827.33</v>
      </c>
      <c r="D54" s="112"/>
      <c r="E54" s="119">
        <f>+C54+D54</f>
        <v>110827.33</v>
      </c>
      <c r="F54" s="119"/>
      <c r="G54" s="115"/>
      <c r="H54" s="112"/>
      <c r="I54" s="119">
        <f t="shared" si="10"/>
        <v>110827.33</v>
      </c>
      <c r="J54" s="119"/>
      <c r="K54" s="119">
        <f>-'Cost Allocations-Contracts'!I55-'Cost Allocations-Contracts'!L55</f>
        <v>0</v>
      </c>
      <c r="L54" s="112">
        <f>-'Cost Allocations-Recycle'!J55</f>
        <v>0</v>
      </c>
      <c r="M54" s="112">
        <f>-'Cost Allocations-Recycle'!M55</f>
        <v>0</v>
      </c>
      <c r="N54" s="386">
        <f t="shared" si="9"/>
        <v>110827.33</v>
      </c>
      <c r="O54" s="394"/>
      <c r="P54" s="394" t="s">
        <v>1140</v>
      </c>
      <c r="Q54" s="26">
        <f>+'Drop Box Allocation'!$D$27</f>
        <v>0</v>
      </c>
      <c r="R54" s="112">
        <f t="shared" si="11"/>
        <v>0</v>
      </c>
      <c r="S54" s="26">
        <f>+'Drop Box Allocation'!$D$28</f>
        <v>0.1659183537609196</v>
      </c>
      <c r="T54" s="407">
        <f t="shared" si="12"/>
        <v>18388.288145318176</v>
      </c>
      <c r="U54" s="26">
        <f>+'Drop Box Allocation'!$D$29</f>
        <v>0.83408164623908043</v>
      </c>
      <c r="V54" s="407">
        <f t="shared" si="13"/>
        <v>92439.041854681825</v>
      </c>
      <c r="Y54" s="11">
        <f t="shared" si="7"/>
        <v>1</v>
      </c>
    </row>
    <row r="55" spans="1:25">
      <c r="A55">
        <v>4380</v>
      </c>
      <c r="B55" t="s">
        <v>336</v>
      </c>
      <c r="C55" s="399">
        <f>+'Monthy Income Statements'!O54</f>
        <v>11064.91</v>
      </c>
      <c r="D55" s="112">
        <f>-'Restating AJEs'!I39</f>
        <v>-5477.5</v>
      </c>
      <c r="E55" s="119">
        <f>+C55+D55</f>
        <v>5587.41</v>
      </c>
      <c r="F55" s="119"/>
      <c r="G55" s="115">
        <v>12</v>
      </c>
      <c r="H55" s="112">
        <f>'Proforma AJEs'!H86</f>
        <v>0</v>
      </c>
      <c r="I55" s="119">
        <f t="shared" si="10"/>
        <v>5587.41</v>
      </c>
      <c r="J55" s="119"/>
      <c r="K55" s="119">
        <f>-'Cost Allocations-Contracts'!I56-'Cost Allocations-Contracts'!L56</f>
        <v>0</v>
      </c>
      <c r="L55" s="112">
        <f>-'Cost Allocations-Recycle'!J56</f>
        <v>0</v>
      </c>
      <c r="M55" s="112">
        <f>-'Cost Allocations-Recycle'!M56</f>
        <v>-5587.41</v>
      </c>
      <c r="N55" s="386">
        <f t="shared" si="9"/>
        <v>0</v>
      </c>
      <c r="O55" s="394"/>
      <c r="P55" s="453" t="s">
        <v>1140</v>
      </c>
      <c r="Q55" s="404">
        <v>1</v>
      </c>
      <c r="R55" s="406">
        <f t="shared" si="11"/>
        <v>0</v>
      </c>
      <c r="S55" s="404">
        <v>0</v>
      </c>
      <c r="T55" s="408">
        <f t="shared" si="12"/>
        <v>0</v>
      </c>
      <c r="U55" s="405">
        <v>0</v>
      </c>
      <c r="V55" s="407">
        <f t="shared" si="13"/>
        <v>0</v>
      </c>
      <c r="Y55" s="11">
        <f t="shared" si="7"/>
        <v>1</v>
      </c>
    </row>
    <row r="56" spans="1:25">
      <c r="A56" t="s">
        <v>14</v>
      </c>
      <c r="C56" s="112"/>
      <c r="D56" s="112"/>
      <c r="E56" s="119"/>
      <c r="F56" s="119"/>
      <c r="G56" s="115"/>
      <c r="H56" s="112"/>
      <c r="I56" s="119"/>
      <c r="J56" s="119"/>
      <c r="K56" s="119"/>
      <c r="L56" s="112"/>
      <c r="M56" s="112"/>
      <c r="N56" s="386"/>
      <c r="O56" s="394"/>
      <c r="P56" s="394"/>
      <c r="Q56" s="11"/>
      <c r="R56" s="112"/>
      <c r="S56" s="11"/>
      <c r="T56" s="407"/>
      <c r="U56" s="94"/>
      <c r="V56" s="407"/>
      <c r="Y56" s="11"/>
    </row>
    <row r="57" spans="1:25">
      <c r="A57">
        <v>4430</v>
      </c>
      <c r="B57" t="s">
        <v>44</v>
      </c>
      <c r="C57" s="112">
        <f>+'Monthy Income Statements'!O56</f>
        <v>0</v>
      </c>
      <c r="D57" s="112"/>
      <c r="E57" s="119">
        <f>+C57+D57</f>
        <v>0</v>
      </c>
      <c r="F57" s="119"/>
      <c r="G57" s="115"/>
      <c r="H57" s="112"/>
      <c r="I57" s="119">
        <f t="shared" si="10"/>
        <v>0</v>
      </c>
      <c r="J57" s="119"/>
      <c r="K57" s="119">
        <f>-'Cost Allocations-Contracts'!I58-'Cost Allocations-Contracts'!L58</f>
        <v>0</v>
      </c>
      <c r="L57" s="112">
        <f>-'Cost Allocations-Recycle'!J58</f>
        <v>0</v>
      </c>
      <c r="M57" s="112">
        <f>-'Cost Allocations-Recycle'!M58</f>
        <v>0</v>
      </c>
      <c r="N57" s="386">
        <f t="shared" si="9"/>
        <v>0</v>
      </c>
      <c r="O57" s="394"/>
      <c r="P57" s="453" t="s">
        <v>1138</v>
      </c>
      <c r="Q57" s="11">
        <v>1</v>
      </c>
      <c r="R57" s="112">
        <f t="shared" si="11"/>
        <v>0</v>
      </c>
      <c r="S57" s="11">
        <v>0</v>
      </c>
      <c r="T57" s="407">
        <f t="shared" si="12"/>
        <v>0</v>
      </c>
      <c r="U57" s="94">
        <v>0</v>
      </c>
      <c r="V57" s="407">
        <f t="shared" si="13"/>
        <v>0</v>
      </c>
      <c r="Y57" s="11">
        <f t="shared" si="7"/>
        <v>1</v>
      </c>
    </row>
    <row r="58" spans="1:25">
      <c r="A58">
        <v>4450</v>
      </c>
      <c r="B58" t="s">
        <v>45</v>
      </c>
      <c r="C58" s="399">
        <f>+'Monthy Income Statements'!O57</f>
        <v>2130</v>
      </c>
      <c r="D58" s="112"/>
      <c r="E58" s="119">
        <f>+C58+D58</f>
        <v>2130</v>
      </c>
      <c r="F58" s="119"/>
      <c r="G58" s="115">
        <v>5</v>
      </c>
      <c r="H58" s="672">
        <f>+'Proforma AJEs'!H33</f>
        <v>-600</v>
      </c>
      <c r="I58" s="119">
        <f t="shared" si="10"/>
        <v>1530</v>
      </c>
      <c r="J58" s="119"/>
      <c r="K58" s="119">
        <f>-'Cost Allocations-Contracts'!I59-'Cost Allocations-Contracts'!L59</f>
        <v>0</v>
      </c>
      <c r="L58" s="112">
        <f>-'Cost Allocations-Recycle'!J59</f>
        <v>0</v>
      </c>
      <c r="M58" s="112">
        <f>-'Cost Allocations-Recycle'!M59</f>
        <v>0</v>
      </c>
      <c r="N58" s="386">
        <f t="shared" ref="N58:N90" si="22">I58+K58+L58+M58</f>
        <v>1530</v>
      </c>
      <c r="O58" s="394"/>
      <c r="P58" s="453" t="s">
        <v>1138</v>
      </c>
      <c r="Q58" s="15">
        <v>1</v>
      </c>
      <c r="R58" s="112">
        <f t="shared" si="11"/>
        <v>1530</v>
      </c>
      <c r="S58" s="15">
        <v>0</v>
      </c>
      <c r="T58" s="407">
        <f t="shared" si="12"/>
        <v>0</v>
      </c>
      <c r="U58" s="94">
        <v>0</v>
      </c>
      <c r="V58" s="407">
        <f t="shared" si="13"/>
        <v>0</v>
      </c>
      <c r="Y58" s="11">
        <f t="shared" si="7"/>
        <v>1</v>
      </c>
    </row>
    <row r="59" spans="1:25">
      <c r="A59" t="s">
        <v>15</v>
      </c>
      <c r="C59" s="112"/>
      <c r="D59" s="112"/>
      <c r="E59" s="119"/>
      <c r="F59" s="119"/>
      <c r="G59" s="115"/>
      <c r="H59" s="112"/>
      <c r="I59" s="119"/>
      <c r="J59" s="119"/>
      <c r="K59" s="119"/>
      <c r="L59" s="112"/>
      <c r="M59" s="112"/>
      <c r="N59" s="386"/>
      <c r="O59" s="394"/>
      <c r="P59" s="394"/>
      <c r="Q59" s="11"/>
      <c r="R59" s="112"/>
      <c r="S59" s="11"/>
      <c r="T59" s="407"/>
      <c r="U59" s="94"/>
      <c r="V59" s="407"/>
      <c r="Y59" s="11"/>
    </row>
    <row r="60" spans="1:25">
      <c r="A60">
        <v>4530</v>
      </c>
      <c r="B60" t="s">
        <v>46</v>
      </c>
      <c r="C60" s="399">
        <f>+'Monthy Income Statements'!O59</f>
        <v>66676.709999999992</v>
      </c>
      <c r="D60" s="112"/>
      <c r="E60" s="119">
        <f>+C60+D60</f>
        <v>66676.709999999992</v>
      </c>
      <c r="F60" s="119"/>
      <c r="G60" s="115"/>
      <c r="H60" s="112"/>
      <c r="I60" s="119">
        <f t="shared" si="10"/>
        <v>66676.709999999992</v>
      </c>
      <c r="J60" s="119"/>
      <c r="K60" s="119">
        <f>-'Cost Allocations-Contracts'!I61-'Cost Allocations-Contracts'!L61</f>
        <v>-8748.8120113634759</v>
      </c>
      <c r="L60" s="112">
        <f>-'Cost Allocations-Recycle'!J61</f>
        <v>-1923.3696027875123</v>
      </c>
      <c r="M60" s="112">
        <f>-'Cost Allocations-Recycle'!M61</f>
        <v>0</v>
      </c>
      <c r="N60" s="386">
        <f t="shared" si="22"/>
        <v>56004.528385849</v>
      </c>
      <c r="O60" s="394"/>
      <c r="P60" s="394" t="s">
        <v>490</v>
      </c>
      <c r="Q60" s="26">
        <f>+'Hours &amp; Miles by County'!$D$25</f>
        <v>0.78523744752734048</v>
      </c>
      <c r="R60" s="112">
        <f t="shared" si="11"/>
        <v>43976.852919676552</v>
      </c>
      <c r="S60" s="11">
        <f>+'Hours &amp; Miles by County'!$E$25</f>
        <v>6.7195645252181857E-2</v>
      </c>
      <c r="T60" s="407">
        <f t="shared" si="12"/>
        <v>3763.2604219312584</v>
      </c>
      <c r="U60" s="94">
        <f>'Hours &amp; Miles by County'!$F$25</f>
        <v>0.1475669072204778</v>
      </c>
      <c r="V60" s="407">
        <f t="shared" si="13"/>
        <v>8264.4150442411956</v>
      </c>
      <c r="Y60" s="11">
        <f t="shared" si="7"/>
        <v>1</v>
      </c>
    </row>
    <row r="61" spans="1:25">
      <c r="A61">
        <v>4540</v>
      </c>
      <c r="B61" t="s">
        <v>47</v>
      </c>
      <c r="C61" s="399">
        <f>+'Monthy Income Statements'!O60</f>
        <v>23068.21</v>
      </c>
      <c r="D61" s="112"/>
      <c r="E61" s="119">
        <f>+C61+D61</f>
        <v>23068.21</v>
      </c>
      <c r="F61" s="119"/>
      <c r="G61" s="115">
        <v>2</v>
      </c>
      <c r="H61" s="112">
        <f>+'Proforma AJEs'!H19</f>
        <v>-527.25720000000501</v>
      </c>
      <c r="I61" s="119">
        <f t="shared" si="10"/>
        <v>22540.952799999995</v>
      </c>
      <c r="J61" s="119"/>
      <c r="K61" s="119">
        <f>-'Cost Allocations-Contracts'!I62-'Cost Allocations-Contracts'!L62</f>
        <v>-2957.6528086676312</v>
      </c>
      <c r="L61" s="112">
        <f>-'Cost Allocations-Recycle'!J62</f>
        <v>-650.22079573794304</v>
      </c>
      <c r="M61" s="112">
        <f>-'Cost Allocations-Recycle'!M62</f>
        <v>0</v>
      </c>
      <c r="N61" s="386">
        <f t="shared" si="22"/>
        <v>18933.079195594422</v>
      </c>
      <c r="O61" s="394"/>
      <c r="P61" s="394" t="s">
        <v>490</v>
      </c>
      <c r="Q61" s="26">
        <f>+'Hours &amp; Miles by County'!$D$25</f>
        <v>0.78523744752734048</v>
      </c>
      <c r="R61" s="112">
        <f t="shared" si="11"/>
        <v>14866.962781381557</v>
      </c>
      <c r="S61" s="11">
        <f>+'Hours &amp; Miles by County'!$E$25</f>
        <v>6.7195645252181857E-2</v>
      </c>
      <c r="T61" s="407">
        <f t="shared" si="12"/>
        <v>1272.2204731586273</v>
      </c>
      <c r="U61" s="94">
        <f>'Hours &amp; Miles by County'!$F$25</f>
        <v>0.1475669072204778</v>
      </c>
      <c r="V61" s="407">
        <f t="shared" si="13"/>
        <v>2793.8959410542407</v>
      </c>
      <c r="Y61" s="11">
        <f t="shared" si="7"/>
        <v>1</v>
      </c>
    </row>
    <row r="62" spans="1:25">
      <c r="A62">
        <v>4580</v>
      </c>
      <c r="B62" t="s">
        <v>48</v>
      </c>
      <c r="C62" s="112">
        <f>+'Monthy Income Statements'!O61</f>
        <v>0</v>
      </c>
      <c r="D62" s="112"/>
      <c r="E62" s="119">
        <f>+C62+D62</f>
        <v>0</v>
      </c>
      <c r="F62" s="119"/>
      <c r="G62" s="115"/>
      <c r="H62" s="112"/>
      <c r="I62" s="119">
        <f t="shared" si="10"/>
        <v>0</v>
      </c>
      <c r="J62" s="119"/>
      <c r="K62" s="119">
        <f>-'Cost Allocations-Contracts'!I63-'Cost Allocations-Contracts'!L63</f>
        <v>0</v>
      </c>
      <c r="L62" s="112">
        <f>-'Cost Allocations-Recycle'!J63</f>
        <v>0</v>
      </c>
      <c r="M62" s="112">
        <f>-'Cost Allocations-Recycle'!M63</f>
        <v>0</v>
      </c>
      <c r="N62" s="386">
        <f t="shared" si="22"/>
        <v>0</v>
      </c>
      <c r="O62" s="394"/>
      <c r="P62" s="394" t="s">
        <v>490</v>
      </c>
      <c r="Q62" s="26">
        <f>+'Hours &amp; Miles by County'!$D$25</f>
        <v>0.78523744752734048</v>
      </c>
      <c r="R62" s="112">
        <f t="shared" si="11"/>
        <v>0</v>
      </c>
      <c r="S62" s="11">
        <f>+'Hours &amp; Miles by County'!$E$25</f>
        <v>6.7195645252181857E-2</v>
      </c>
      <c r="T62" s="407">
        <f t="shared" si="12"/>
        <v>0</v>
      </c>
      <c r="U62" s="94">
        <f>'Hours &amp; Miles by County'!$F$25</f>
        <v>0.1475669072204778</v>
      </c>
      <c r="V62" s="407">
        <f t="shared" si="13"/>
        <v>0</v>
      </c>
      <c r="Y62" s="11">
        <f t="shared" si="7"/>
        <v>1</v>
      </c>
    </row>
    <row r="63" spans="1:25">
      <c r="A63" t="s">
        <v>18</v>
      </c>
      <c r="C63" s="112"/>
      <c r="D63" s="112"/>
      <c r="E63" s="119"/>
      <c r="F63" s="119"/>
      <c r="G63" s="115"/>
      <c r="H63" s="112"/>
      <c r="I63" s="119"/>
      <c r="J63" s="119"/>
      <c r="K63" s="119"/>
      <c r="L63" s="112"/>
      <c r="M63" s="112"/>
      <c r="N63" s="386"/>
      <c r="O63" s="394"/>
      <c r="P63" s="394"/>
      <c r="Q63" s="11"/>
      <c r="R63" s="112"/>
      <c r="S63" s="11"/>
      <c r="T63" s="407"/>
      <c r="U63" s="94"/>
      <c r="V63" s="407"/>
      <c r="Y63" s="11"/>
    </row>
    <row r="64" spans="1:25">
      <c r="A64">
        <v>4611</v>
      </c>
      <c r="B64" t="s">
        <v>49</v>
      </c>
      <c r="C64" s="399">
        <f>+'Monthy Income Statements'!O63</f>
        <v>74116.66</v>
      </c>
      <c r="D64" s="112"/>
      <c r="E64" s="119">
        <f t="shared" ref="E64:E82" si="23">+C64+D64</f>
        <v>74116.66</v>
      </c>
      <c r="F64" s="119"/>
      <c r="G64" s="115">
        <v>1</v>
      </c>
      <c r="H64" s="112">
        <f>+'Proforma AJEs'!H13</f>
        <v>1200</v>
      </c>
      <c r="I64" s="119">
        <f t="shared" si="10"/>
        <v>75316.66</v>
      </c>
      <c r="J64" s="119"/>
      <c r="K64" s="119">
        <f>-'Cost Allocations-Contracts'!I65-'Cost Allocations-Contracts'!L65</f>
        <v>-10717.532892840702</v>
      </c>
      <c r="L64" s="112">
        <f>-'Cost Allocations-Recycle'!J65</f>
        <v>-1694.2510395695533</v>
      </c>
      <c r="M64" s="112">
        <f>-'Cost Allocations-Recycle'!M65</f>
        <v>-3132.7283510240945</v>
      </c>
      <c r="N64" s="386">
        <f t="shared" si="22"/>
        <v>59772.147716565654</v>
      </c>
      <c r="O64" s="394"/>
      <c r="P64" s="394" t="s">
        <v>1141</v>
      </c>
      <c r="Q64" s="26">
        <f>+'Overhead Allocation'!$E$20</f>
        <v>0.74293226142437141</v>
      </c>
      <c r="R64" s="112">
        <f t="shared" si="11"/>
        <v>44406.656873259701</v>
      </c>
      <c r="S64" s="26">
        <f>+'Overhead Allocation'!$F$20</f>
        <v>7.9349798597571491E-2</v>
      </c>
      <c r="T64" s="407">
        <f t="shared" si="12"/>
        <v>4742.9078830537774</v>
      </c>
      <c r="U64" s="26">
        <f>+'Overhead Allocation'!$G$20</f>
        <v>0.17771793997805721</v>
      </c>
      <c r="V64" s="407">
        <f t="shared" si="13"/>
        <v>10622.582960252184</v>
      </c>
      <c r="Y64" s="11">
        <f t="shared" si="7"/>
        <v>1.0000000000000002</v>
      </c>
    </row>
    <row r="65" spans="1:25">
      <c r="A65">
        <v>4612</v>
      </c>
      <c r="B65" t="s">
        <v>50</v>
      </c>
      <c r="C65" s="399">
        <f>+'Monthy Income Statements'!O64</f>
        <v>11708.92</v>
      </c>
      <c r="D65" s="112"/>
      <c r="E65" s="119">
        <f t="shared" si="23"/>
        <v>11708.92</v>
      </c>
      <c r="F65" s="119"/>
      <c r="G65" s="115">
        <v>1</v>
      </c>
      <c r="H65" s="112">
        <f>+'Proforma AJEs'!H14</f>
        <v>36720</v>
      </c>
      <c r="I65" s="119">
        <f t="shared" si="10"/>
        <v>48428.92</v>
      </c>
      <c r="J65" s="119"/>
      <c r="K65" s="119">
        <f>-'Cost Allocations-Contracts'!I66-'Cost Allocations-Contracts'!L66</f>
        <v>0</v>
      </c>
      <c r="L65" s="112">
        <f>-'Cost Allocations-Recycle'!J66</f>
        <v>-1270.1525814601498</v>
      </c>
      <c r="M65" s="112">
        <f>-'Cost Allocations-Recycle'!M66</f>
        <v>-2348.555738869477</v>
      </c>
      <c r="N65" s="386">
        <f t="shared" si="22"/>
        <v>44810.21167967037</v>
      </c>
      <c r="O65" s="394"/>
      <c r="P65" s="394" t="s">
        <v>1141</v>
      </c>
      <c r="Q65" s="26">
        <f>+'Overhead Allocation'!$E$20</f>
        <v>0.74293226142437141</v>
      </c>
      <c r="R65" s="112">
        <f t="shared" si="11"/>
        <v>33290.95189808229</v>
      </c>
      <c r="S65" s="26">
        <f>+'Overhead Allocation'!$F$20</f>
        <v>7.9349798597571491E-2</v>
      </c>
      <c r="T65" s="407">
        <f t="shared" si="12"/>
        <v>3555.6812718963897</v>
      </c>
      <c r="U65" s="26">
        <f>+'Overhead Allocation'!$G$20</f>
        <v>0.17771793997805721</v>
      </c>
      <c r="V65" s="407">
        <f t="shared" si="13"/>
        <v>7963.578509691697</v>
      </c>
      <c r="Y65" s="11">
        <f t="shared" si="7"/>
        <v>1.0000000000000002</v>
      </c>
    </row>
    <row r="66" spans="1:25">
      <c r="A66">
        <v>4613</v>
      </c>
      <c r="B66" t="s">
        <v>51</v>
      </c>
      <c r="C66" s="399">
        <f>+'Monthy Income Statements'!O65</f>
        <v>114765.61</v>
      </c>
      <c r="D66" s="112"/>
      <c r="E66" s="119">
        <f t="shared" si="23"/>
        <v>114765.61</v>
      </c>
      <c r="F66" s="119"/>
      <c r="G66" s="115">
        <v>1</v>
      </c>
      <c r="H66" s="112">
        <f>+'Proforma AJEs'!H15</f>
        <v>-6372</v>
      </c>
      <c r="I66" s="119">
        <f t="shared" si="10"/>
        <v>108393.61</v>
      </c>
      <c r="J66" s="119"/>
      <c r="K66" s="119">
        <f>-'Cost Allocations-Contracts'!I67-'Cost Allocations-Contracts'!L67</f>
        <v>-15424.370657816569</v>
      </c>
      <c r="L66" s="112">
        <f>-'Cost Allocations-Recycle'!J67</f>
        <v>-2438.3182475855506</v>
      </c>
      <c r="M66" s="112">
        <f>-'Cost Allocations-Recycle'!M67</f>
        <v>-4508.5341691579097</v>
      </c>
      <c r="N66" s="386">
        <f t="shared" si="22"/>
        <v>86022.386925439961</v>
      </c>
      <c r="O66" s="394"/>
      <c r="P66" s="394" t="s">
        <v>1141</v>
      </c>
      <c r="Q66" s="26">
        <f>+'Overhead Allocation'!$E$20</f>
        <v>0.74293226142437141</v>
      </c>
      <c r="R66" s="112">
        <f t="shared" si="11"/>
        <v>63908.806451639393</v>
      </c>
      <c r="S66" s="26">
        <f>+'Overhead Allocation'!$F$20</f>
        <v>7.9349798597571491E-2</v>
      </c>
      <c r="T66" s="407">
        <f t="shared" si="12"/>
        <v>6825.8590774160284</v>
      </c>
      <c r="U66" s="26">
        <f>+'Overhead Allocation'!$G$20</f>
        <v>0.17771793997805721</v>
      </c>
      <c r="V66" s="407">
        <f t="shared" si="13"/>
        <v>15287.721396384552</v>
      </c>
      <c r="Y66" s="11">
        <f t="shared" si="7"/>
        <v>1.0000000000000002</v>
      </c>
    </row>
    <row r="67" spans="1:25">
      <c r="A67">
        <v>4620</v>
      </c>
      <c r="B67" t="s">
        <v>52</v>
      </c>
      <c r="C67" s="399">
        <f>+'Monthy Income Statements'!O66</f>
        <v>30096.98</v>
      </c>
      <c r="D67" s="112"/>
      <c r="E67" s="119">
        <f t="shared" si="23"/>
        <v>30096.98</v>
      </c>
      <c r="F67" s="119"/>
      <c r="G67" s="115"/>
      <c r="H67" s="112"/>
      <c r="I67" s="119">
        <f t="shared" si="10"/>
        <v>30096.98</v>
      </c>
      <c r="J67" s="119"/>
      <c r="K67" s="119">
        <f>-'Cost Allocations-Contracts'!I68-'Cost Allocations-Contracts'!L68</f>
        <v>-4282.789134902805</v>
      </c>
      <c r="L67" s="112">
        <f>-'Cost Allocations-Recycle'!J68</f>
        <v>-677.03267315497067</v>
      </c>
      <c r="M67" s="112">
        <f>-'Cost Allocations-Recycle'!M68</f>
        <v>-1251.8566612779316</v>
      </c>
      <c r="N67" s="386">
        <f t="shared" si="22"/>
        <v>23885.301530664292</v>
      </c>
      <c r="O67" s="394"/>
      <c r="P67" s="394" t="s">
        <v>1141</v>
      </c>
      <c r="Q67" s="26">
        <f>+'Overhead Allocation'!$E$20</f>
        <v>0.74293226142437141</v>
      </c>
      <c r="R67" s="112">
        <f t="shared" si="11"/>
        <v>17745.161080979422</v>
      </c>
      <c r="S67" s="26">
        <f>+'Overhead Allocation'!$F$20</f>
        <v>7.9349798597571491E-2</v>
      </c>
      <c r="T67" s="407">
        <f t="shared" si="12"/>
        <v>1895.2938659004776</v>
      </c>
      <c r="U67" s="26">
        <f>+'Overhead Allocation'!$G$20</f>
        <v>0.17771793997805721</v>
      </c>
      <c r="V67" s="407">
        <f t="shared" si="13"/>
        <v>4244.8465837843951</v>
      </c>
      <c r="Y67" s="11">
        <f t="shared" si="7"/>
        <v>1.0000000000000002</v>
      </c>
    </row>
    <row r="68" spans="1:25">
      <c r="A68">
        <v>4622</v>
      </c>
      <c r="B68" t="s">
        <v>53</v>
      </c>
      <c r="C68" s="112">
        <f>+'Monthy Income Statements'!O67</f>
        <v>0</v>
      </c>
      <c r="D68" s="112"/>
      <c r="E68" s="119">
        <f t="shared" si="23"/>
        <v>0</v>
      </c>
      <c r="F68" s="119"/>
      <c r="G68" s="115"/>
      <c r="H68" s="112"/>
      <c r="I68" s="119">
        <f t="shared" si="10"/>
        <v>0</v>
      </c>
      <c r="J68" s="119"/>
      <c r="K68" s="119">
        <f>-'Cost Allocations-Contracts'!I69-'Cost Allocations-Contracts'!L69</f>
        <v>0</v>
      </c>
      <c r="L68" s="112">
        <f>-'Cost Allocations-Recycle'!J69</f>
        <v>0</v>
      </c>
      <c r="M68" s="112">
        <f>-'Cost Allocations-Recycle'!M69</f>
        <v>0</v>
      </c>
      <c r="N68" s="386">
        <f t="shared" si="22"/>
        <v>0</v>
      </c>
      <c r="O68" s="394"/>
      <c r="P68" s="394" t="s">
        <v>1141</v>
      </c>
      <c r="Q68" s="26">
        <f>+'Overhead Allocation'!$E$20</f>
        <v>0.74293226142437141</v>
      </c>
      <c r="R68" s="112">
        <f t="shared" si="11"/>
        <v>0</v>
      </c>
      <c r="S68" s="26">
        <f>+'Overhead Allocation'!$F$20</f>
        <v>7.9349798597571491E-2</v>
      </c>
      <c r="T68" s="407">
        <f t="shared" si="12"/>
        <v>0</v>
      </c>
      <c r="U68" s="26">
        <f>+'Overhead Allocation'!$G$20</f>
        <v>0.17771793997805721</v>
      </c>
      <c r="V68" s="407">
        <f t="shared" si="13"/>
        <v>0</v>
      </c>
      <c r="Y68" s="11">
        <f t="shared" si="7"/>
        <v>1.0000000000000002</v>
      </c>
    </row>
    <row r="69" spans="1:25">
      <c r="A69">
        <v>4624</v>
      </c>
      <c r="B69" t="s">
        <v>54</v>
      </c>
      <c r="C69" s="399">
        <f>+'Monthy Income Statements'!O68</f>
        <v>134.02000000000001</v>
      </c>
      <c r="D69" s="112"/>
      <c r="E69" s="119">
        <f t="shared" si="23"/>
        <v>134.02000000000001</v>
      </c>
      <c r="F69" s="119"/>
      <c r="G69" s="115"/>
      <c r="H69" s="112"/>
      <c r="I69" s="119">
        <f t="shared" si="10"/>
        <v>134.02000000000001</v>
      </c>
      <c r="J69" s="119"/>
      <c r="K69" s="119">
        <f>-'Cost Allocations-Contracts'!I70-'Cost Allocations-Contracts'!L70</f>
        <v>-19.070996487344381</v>
      </c>
      <c r="L69" s="112">
        <f>-'Cost Allocations-Recycle'!J70</f>
        <v>-3.0147848341006029</v>
      </c>
      <c r="M69" s="112">
        <f>-'Cost Allocations-Recycle'!M70</f>
        <v>-5.5744406829013542</v>
      </c>
      <c r="N69" s="386">
        <f t="shared" si="22"/>
        <v>106.35977799565366</v>
      </c>
      <c r="O69" s="394"/>
      <c r="P69" s="394" t="s">
        <v>1141</v>
      </c>
      <c r="Q69" s="26">
        <f>+'Overhead Allocation'!$E$20</f>
        <v>0.74293226142437141</v>
      </c>
      <c r="R69" s="112">
        <f t="shared" si="11"/>
        <v>79.018110390905065</v>
      </c>
      <c r="S69" s="26">
        <f>+'Overhead Allocation'!$F$20</f>
        <v>7.9349798597571491E-2</v>
      </c>
      <c r="T69" s="407">
        <f t="shared" si="12"/>
        <v>8.4396269628375347</v>
      </c>
      <c r="U69" s="26">
        <f>+'Overhead Allocation'!$G$20</f>
        <v>0.17771793997805721</v>
      </c>
      <c r="V69" s="407">
        <f t="shared" si="13"/>
        <v>18.902040641911068</v>
      </c>
      <c r="Y69" s="11">
        <f t="shared" si="7"/>
        <v>1.0000000000000002</v>
      </c>
    </row>
    <row r="70" spans="1:25">
      <c r="A70">
        <v>4625</v>
      </c>
      <c r="B70" t="s">
        <v>55</v>
      </c>
      <c r="C70" s="399">
        <f>+'Monthy Income Statements'!O69</f>
        <v>2951.18</v>
      </c>
      <c r="D70" s="112"/>
      <c r="E70" s="119">
        <f t="shared" si="23"/>
        <v>2951.18</v>
      </c>
      <c r="F70" s="119"/>
      <c r="G70" s="115"/>
      <c r="H70" s="112"/>
      <c r="I70" s="119">
        <f t="shared" si="10"/>
        <v>2951.18</v>
      </c>
      <c r="J70" s="119"/>
      <c r="K70" s="119">
        <f>-'Cost Allocations-Contracts'!I71-'Cost Allocations-Contracts'!L71</f>
        <v>-419.95182370930439</v>
      </c>
      <c r="L70" s="112">
        <f>-'Cost Allocations-Recycle'!J71</f>
        <v>-66.386902751089508</v>
      </c>
      <c r="M70" s="112">
        <f>-'Cost Allocations-Recycle'!M71</f>
        <v>-122.75166284558138</v>
      </c>
      <c r="N70" s="386">
        <f t="shared" si="22"/>
        <v>2342.0896106940245</v>
      </c>
      <c r="O70" s="394"/>
      <c r="P70" s="394" t="s">
        <v>1141</v>
      </c>
      <c r="Q70" s="26">
        <f>+'Overhead Allocation'!$E$20</f>
        <v>0.74293226142437141</v>
      </c>
      <c r="R70" s="112">
        <f t="shared" si="11"/>
        <v>1740.0139309314372</v>
      </c>
      <c r="S70" s="26">
        <f>+'Overhead Allocation'!$F$20</f>
        <v>7.9349798597571491E-2</v>
      </c>
      <c r="T70" s="407">
        <f t="shared" si="12"/>
        <v>185.84433890603546</v>
      </c>
      <c r="U70" s="26">
        <f>+'Overhead Allocation'!$G$20</f>
        <v>0.17771793997805721</v>
      </c>
      <c r="V70" s="407">
        <f t="shared" si="13"/>
        <v>416.23134085655204</v>
      </c>
      <c r="Y70" s="11">
        <f t="shared" si="7"/>
        <v>1.0000000000000002</v>
      </c>
    </row>
    <row r="71" spans="1:25">
      <c r="A71">
        <v>4627</v>
      </c>
      <c r="B71" t="s">
        <v>56</v>
      </c>
      <c r="C71" s="399">
        <f>+'Monthy Income Statements'!O70</f>
        <v>1878.3</v>
      </c>
      <c r="D71" s="112"/>
      <c r="E71" s="119">
        <f t="shared" si="23"/>
        <v>1878.3</v>
      </c>
      <c r="F71" s="119"/>
      <c r="G71" s="115"/>
      <c r="H71" s="112"/>
      <c r="I71" s="119">
        <f t="shared" si="10"/>
        <v>1878.3</v>
      </c>
      <c r="J71" s="119"/>
      <c r="K71" s="119">
        <f>-'Cost Allocations-Contracts'!I72-'Cost Allocations-Contracts'!L72</f>
        <v>-267.28139607654788</v>
      </c>
      <c r="L71" s="112">
        <f>-'Cost Allocations-Recycle'!J72</f>
        <v>-42.252427651777069</v>
      </c>
      <c r="M71" s="112">
        <f>-'Cost Allocations-Recycle'!M72</f>
        <v>-78.126189633589121</v>
      </c>
      <c r="N71" s="386">
        <f t="shared" si="22"/>
        <v>1490.6399866380859</v>
      </c>
      <c r="O71" s="394"/>
      <c r="P71" s="394" t="s">
        <v>1141</v>
      </c>
      <c r="Q71" s="26">
        <f>+'Overhead Allocation'!$E$20</f>
        <v>0.74293226142437141</v>
      </c>
      <c r="R71" s="112">
        <f t="shared" si="11"/>
        <v>1107.4445362426279</v>
      </c>
      <c r="S71" s="26">
        <f>+'Overhead Allocation'!$F$20</f>
        <v>7.9349798597571491E-2</v>
      </c>
      <c r="T71" s="407">
        <f t="shared" si="12"/>
        <v>118.28198272121878</v>
      </c>
      <c r="U71" s="26">
        <f>+'Overhead Allocation'!$G$20</f>
        <v>0.17771793997805721</v>
      </c>
      <c r="V71" s="407">
        <f t="shared" si="13"/>
        <v>264.91346767423937</v>
      </c>
      <c r="Y71" s="11">
        <f t="shared" si="7"/>
        <v>1.0000000000000002</v>
      </c>
    </row>
    <row r="72" spans="1:25">
      <c r="A72">
        <v>4628</v>
      </c>
      <c r="B72" t="s">
        <v>1353</v>
      </c>
      <c r="C72" s="399">
        <f>+'Monthy Income Statements'!O71</f>
        <v>10945.22</v>
      </c>
      <c r="D72" s="112"/>
      <c r="E72" s="119">
        <f t="shared" ref="E72" si="24">+C72+D72</f>
        <v>10945.22</v>
      </c>
      <c r="F72" s="119"/>
      <c r="G72" s="115"/>
      <c r="H72" s="112"/>
      <c r="I72" s="119">
        <f t="shared" ref="I72" si="25">+E72+H72</f>
        <v>10945.22</v>
      </c>
      <c r="J72" s="119"/>
      <c r="K72" s="119">
        <f>-'Cost Allocations-Contracts'!I73-'Cost Allocations-Contracts'!L73</f>
        <v>0</v>
      </c>
      <c r="L72" s="112">
        <f>-'Cost Allocations-Recycle'!J73</f>
        <v>-12.66965463559276</v>
      </c>
      <c r="M72" s="112">
        <f>-'Cost Allocations-Recycle'!M73</f>
        <v>-23.426626484283698</v>
      </c>
      <c r="N72" s="386">
        <f t="shared" ref="N72" si="26">I72+K72+L72+M72</f>
        <v>10909.123718880122</v>
      </c>
      <c r="O72" s="394"/>
      <c r="P72" s="394" t="s">
        <v>1141</v>
      </c>
      <c r="Q72" s="26">
        <f>+'Overhead Allocation'!$E$20</f>
        <v>0.74293226142437141</v>
      </c>
      <c r="R72" s="112">
        <f t="shared" ref="R72" si="27">N72*Q72</f>
        <v>8104.7399546258575</v>
      </c>
      <c r="S72" s="26">
        <f>+'Overhead Allocation'!$F$20</f>
        <v>7.9349798597571491E-2</v>
      </c>
      <c r="T72" s="407">
        <f t="shared" ref="T72" si="28">N72*S72</f>
        <v>865.63676996912784</v>
      </c>
      <c r="U72" s="26">
        <f>+'Overhead Allocation'!$G$20</f>
        <v>0.17771793997805721</v>
      </c>
      <c r="V72" s="407">
        <f t="shared" ref="V72" si="29">N72*U72</f>
        <v>1938.7469942851378</v>
      </c>
      <c r="Y72" s="11">
        <f t="shared" ref="Y72" si="30">Q72+S72+U72</f>
        <v>1.0000000000000002</v>
      </c>
    </row>
    <row r="73" spans="1:25">
      <c r="A73">
        <v>4630</v>
      </c>
      <c r="B73" t="s">
        <v>57</v>
      </c>
      <c r="C73" s="399">
        <f>+'Monthy Income Statements'!O72</f>
        <v>563.22</v>
      </c>
      <c r="D73" s="112"/>
      <c r="E73" s="119">
        <f t="shared" si="23"/>
        <v>563.22</v>
      </c>
      <c r="F73" s="119"/>
      <c r="G73" s="115"/>
      <c r="H73" s="112"/>
      <c r="I73" s="119">
        <f t="shared" si="10"/>
        <v>563.22</v>
      </c>
      <c r="J73" s="119"/>
      <c r="K73" s="119">
        <f>-'Cost Allocations-Contracts'!I74-'Cost Allocations-Contracts'!L74</f>
        <v>-80.145997922713775</v>
      </c>
      <c r="L73" s="112">
        <f>-'Cost Allocations-Recycle'!J73</f>
        <v>-12.66965463559276</v>
      </c>
      <c r="M73" s="112">
        <f>-'Cost Allocations-Recycle'!M73</f>
        <v>-23.426626484283698</v>
      </c>
      <c r="N73" s="386">
        <f t="shared" si="22"/>
        <v>446.97772095740982</v>
      </c>
      <c r="O73" s="394"/>
      <c r="P73" s="394" t="s">
        <v>1141</v>
      </c>
      <c r="Q73" s="26">
        <f>+'Overhead Allocation'!$E$20</f>
        <v>0.74293226142437141</v>
      </c>
      <c r="R73" s="112">
        <f t="shared" si="11"/>
        <v>332.07416903720014</v>
      </c>
      <c r="S73" s="26">
        <f>+'Overhead Allocation'!$F$20</f>
        <v>7.9349798597571491E-2</v>
      </c>
      <c r="T73" s="407">
        <f t="shared" si="12"/>
        <v>35.467592135571977</v>
      </c>
      <c r="U73" s="26">
        <f>+'Overhead Allocation'!$G$20</f>
        <v>0.17771793997805721</v>
      </c>
      <c r="V73" s="407">
        <f t="shared" si="13"/>
        <v>79.43595978463776</v>
      </c>
      <c r="Y73" s="11">
        <f t="shared" si="7"/>
        <v>1.0000000000000002</v>
      </c>
    </row>
    <row r="74" spans="1:25">
      <c r="A74">
        <v>4640</v>
      </c>
      <c r="B74" t="s">
        <v>58</v>
      </c>
      <c r="C74" s="399">
        <f>+'Monthy Income Statements'!O73</f>
        <v>17256.570000000003</v>
      </c>
      <c r="D74" s="112"/>
      <c r="E74" s="119">
        <f t="shared" si="23"/>
        <v>17256.570000000003</v>
      </c>
      <c r="F74" s="119"/>
      <c r="G74" s="115"/>
      <c r="H74" s="112"/>
      <c r="I74" s="119">
        <f t="shared" si="10"/>
        <v>17256.570000000003</v>
      </c>
      <c r="J74" s="119"/>
      <c r="K74" s="119">
        <f>-'Cost Allocations-Contracts'!I75-'Cost Allocations-Contracts'!L75</f>
        <v>-2455.603535693273</v>
      </c>
      <c r="L74" s="112">
        <f>-'Cost Allocations-Recycle'!J74</f>
        <v>-388.18717747049283</v>
      </c>
      <c r="M74" s="112">
        <f>-'Cost Allocations-Recycle'!M74</f>
        <v>-717.77142109636657</v>
      </c>
      <c r="N74" s="386">
        <f t="shared" si="22"/>
        <v>13695.007865739872</v>
      </c>
      <c r="O74" s="394"/>
      <c r="P74" s="394" t="s">
        <v>1141</v>
      </c>
      <c r="Q74" s="26">
        <f>+'Overhead Allocation'!$E$20</f>
        <v>0.74293226142437141</v>
      </c>
      <c r="R74" s="112">
        <f t="shared" si="11"/>
        <v>10174.463163918677</v>
      </c>
      <c r="S74" s="26">
        <f>+'Overhead Allocation'!$F$20</f>
        <v>7.9349798597571491E-2</v>
      </c>
      <c r="T74" s="407">
        <f t="shared" si="12"/>
        <v>1086.6961159386162</v>
      </c>
      <c r="U74" s="26">
        <f>+'Overhead Allocation'!$G$20</f>
        <v>0.17771793997805721</v>
      </c>
      <c r="V74" s="407">
        <f t="shared" si="13"/>
        <v>2433.8485858825798</v>
      </c>
      <c r="Y74" s="11">
        <f t="shared" si="7"/>
        <v>1.0000000000000002</v>
      </c>
    </row>
    <row r="75" spans="1:25">
      <c r="A75">
        <v>4650</v>
      </c>
      <c r="B75" t="s">
        <v>59</v>
      </c>
      <c r="C75" s="399">
        <f>+'Monthy Income Statements'!O74</f>
        <v>71695.320000000022</v>
      </c>
      <c r="D75" s="112"/>
      <c r="E75" s="119">
        <f t="shared" si="23"/>
        <v>71695.320000000022</v>
      </c>
      <c r="F75" s="119"/>
      <c r="G75" s="115">
        <v>3</v>
      </c>
      <c r="H75" s="112">
        <f>+'Proforma AJEs'!H21</f>
        <v>11278.919999999984</v>
      </c>
      <c r="I75" s="119">
        <f t="shared" si="10"/>
        <v>82974.240000000005</v>
      </c>
      <c r="J75" s="119"/>
      <c r="K75" s="119">
        <f>-'Cost Allocations-Contracts'!I76-'Cost Allocations-Contracts'!L76</f>
        <v>-11807.203697806815</v>
      </c>
      <c r="L75" s="112">
        <f>-'Cost Allocations-Recycle'!J75</f>
        <v>-1866.5085835921775</v>
      </c>
      <c r="M75" s="112">
        <f>-'Cost Allocations-Recycle'!M75</f>
        <v>-3451.238465071041</v>
      </c>
      <c r="N75" s="386">
        <f t="shared" si="22"/>
        <v>65849.289253529962</v>
      </c>
      <c r="O75" s="394"/>
      <c r="P75" s="394" t="s">
        <v>1141</v>
      </c>
      <c r="Q75" s="26">
        <f>+'Overhead Allocation'!$E$20</f>
        <v>0.74293226142437141</v>
      </c>
      <c r="R75" s="112">
        <f t="shared" si="11"/>
        <v>48921.561378312574</v>
      </c>
      <c r="S75" s="26">
        <f>+'Overhead Allocation'!$F$20</f>
        <v>7.9349798597571491E-2</v>
      </c>
      <c r="T75" s="407">
        <f t="shared" si="12"/>
        <v>5225.1278400608317</v>
      </c>
      <c r="U75" s="26">
        <f>+'Overhead Allocation'!$G$20</f>
        <v>0.17771793997805721</v>
      </c>
      <c r="V75" s="407">
        <f t="shared" si="13"/>
        <v>11702.600035156565</v>
      </c>
      <c r="Y75" s="11">
        <f t="shared" si="7"/>
        <v>1.0000000000000002</v>
      </c>
    </row>
    <row r="76" spans="1:25">
      <c r="A76">
        <v>4652</v>
      </c>
      <c r="B76" t="s">
        <v>60</v>
      </c>
      <c r="C76" s="399">
        <f>+'Monthy Income Statements'!O75</f>
        <v>11897.100000000002</v>
      </c>
      <c r="D76" s="112"/>
      <c r="E76" s="119">
        <f t="shared" si="23"/>
        <v>11897.100000000002</v>
      </c>
      <c r="F76" s="119"/>
      <c r="G76" s="115"/>
      <c r="H76" s="112"/>
      <c r="I76" s="119">
        <f t="shared" si="10"/>
        <v>11897.100000000002</v>
      </c>
      <c r="J76" s="119"/>
      <c r="K76" s="119">
        <f>-'Cost Allocations-Contracts'!I77-'Cost Allocations-Contracts'!L77</f>
        <v>-1692.9529347081393</v>
      </c>
      <c r="L76" s="112">
        <f>-'Cost Allocations-Recycle'!J76</f>
        <v>-267.62570250543416</v>
      </c>
      <c r="M76" s="112">
        <f>-'Cost Allocations-Recycle'!M76</f>
        <v>-494.84911392736689</v>
      </c>
      <c r="N76" s="386">
        <f t="shared" si="22"/>
        <v>9441.6722488590622</v>
      </c>
      <c r="O76" s="394"/>
      <c r="P76" s="394" t="s">
        <v>1141</v>
      </c>
      <c r="Q76" s="26">
        <f>+'Overhead Allocation'!$E$20</f>
        <v>0.74293226142437141</v>
      </c>
      <c r="R76" s="112">
        <f t="shared" si="11"/>
        <v>7014.5229154725939</v>
      </c>
      <c r="S76" s="26">
        <f>+'Overhead Allocation'!$F$20</f>
        <v>7.9349798597571491E-2</v>
      </c>
      <c r="T76" s="407">
        <f t="shared" si="12"/>
        <v>749.19479137124642</v>
      </c>
      <c r="U76" s="26">
        <f>+'Overhead Allocation'!$G$20</f>
        <v>0.17771793997805721</v>
      </c>
      <c r="V76" s="407">
        <f t="shared" si="13"/>
        <v>1677.9545420152233</v>
      </c>
      <c r="Y76" s="11">
        <f t="shared" si="7"/>
        <v>1.0000000000000002</v>
      </c>
    </row>
    <row r="77" spans="1:25">
      <c r="A77">
        <v>4660</v>
      </c>
      <c r="B77" t="s">
        <v>61</v>
      </c>
      <c r="C77" s="112">
        <f>+'Monthy Income Statements'!O76</f>
        <v>0</v>
      </c>
      <c r="D77" s="112"/>
      <c r="E77" s="119">
        <f t="shared" si="23"/>
        <v>0</v>
      </c>
      <c r="F77" s="119"/>
      <c r="G77" s="115"/>
      <c r="H77" s="112"/>
      <c r="I77" s="119">
        <f t="shared" si="10"/>
        <v>0</v>
      </c>
      <c r="J77" s="119"/>
      <c r="K77" s="119">
        <f>-'Cost Allocations-Contracts'!I78-'Cost Allocations-Contracts'!L78</f>
        <v>0</v>
      </c>
      <c r="L77" s="112">
        <f>-'Cost Allocations-Recycle'!J77</f>
        <v>0</v>
      </c>
      <c r="M77" s="112">
        <f>-'Cost Allocations-Recycle'!M77</f>
        <v>0</v>
      </c>
      <c r="N77" s="386">
        <f t="shared" si="22"/>
        <v>0</v>
      </c>
      <c r="O77" s="394"/>
      <c r="P77" s="453" t="s">
        <v>152</v>
      </c>
      <c r="Q77" s="670">
        <f>$Q$21</f>
        <v>0.71666766615972766</v>
      </c>
      <c r="R77" s="112">
        <f t="shared" si="11"/>
        <v>0</v>
      </c>
      <c r="S77" s="26">
        <f>$S$21</f>
        <v>6.487299307812619E-2</v>
      </c>
      <c r="T77" s="407">
        <f t="shared" si="12"/>
        <v>0</v>
      </c>
      <c r="U77" s="94">
        <f>$U$21</f>
        <v>0.21845934076214624</v>
      </c>
      <c r="V77" s="407">
        <f t="shared" si="13"/>
        <v>0</v>
      </c>
      <c r="Y77" s="11">
        <f t="shared" si="7"/>
        <v>1</v>
      </c>
    </row>
    <row r="78" spans="1:25">
      <c r="A78">
        <v>4670</v>
      </c>
      <c r="B78" t="s">
        <v>62</v>
      </c>
      <c r="C78" s="112">
        <f>+'Monthy Income Statements'!O77</f>
        <v>0</v>
      </c>
      <c r="D78" s="112"/>
      <c r="E78" s="119">
        <f t="shared" si="23"/>
        <v>0</v>
      </c>
      <c r="F78" s="119"/>
      <c r="G78" s="115"/>
      <c r="H78" s="112"/>
      <c r="I78" s="119">
        <f t="shared" si="10"/>
        <v>0</v>
      </c>
      <c r="J78" s="119"/>
      <c r="K78" s="119">
        <f>-'Cost Allocations-Contracts'!I79-'Cost Allocations-Contracts'!L79</f>
        <v>0</v>
      </c>
      <c r="L78" s="112">
        <f>-'Cost Allocations-Recycle'!J78</f>
        <v>0</v>
      </c>
      <c r="M78" s="112">
        <f>-'Cost Allocations-Recycle'!M78</f>
        <v>0</v>
      </c>
      <c r="N78" s="386">
        <f t="shared" si="22"/>
        <v>0</v>
      </c>
      <c r="O78" s="394"/>
      <c r="P78" s="453" t="s">
        <v>152</v>
      </c>
      <c r="Q78" s="670">
        <f>$Q$21</f>
        <v>0.71666766615972766</v>
      </c>
      <c r="R78" s="112">
        <f t="shared" si="11"/>
        <v>0</v>
      </c>
      <c r="S78" s="26">
        <f>$S$21</f>
        <v>6.487299307812619E-2</v>
      </c>
      <c r="T78" s="407">
        <f t="shared" si="12"/>
        <v>0</v>
      </c>
      <c r="U78" s="94">
        <f>$U$21</f>
        <v>0.21845934076214624</v>
      </c>
      <c r="V78" s="407">
        <f t="shared" si="13"/>
        <v>0</v>
      </c>
      <c r="Y78" s="11">
        <f t="shared" ref="Y78:Y99" si="31">Q78+S78+U78</f>
        <v>1</v>
      </c>
    </row>
    <row r="79" spans="1:25">
      <c r="A79">
        <v>4680</v>
      </c>
      <c r="B79" t="s">
        <v>63</v>
      </c>
      <c r="C79" s="399">
        <f>+'Monthy Income Statements'!O78</f>
        <v>11877.03</v>
      </c>
      <c r="D79" s="112"/>
      <c r="E79" s="119">
        <f t="shared" si="23"/>
        <v>11877.03</v>
      </c>
      <c r="F79" s="119"/>
      <c r="G79" s="115"/>
      <c r="H79" s="112"/>
      <c r="I79" s="119">
        <f t="shared" si="10"/>
        <v>11877.03</v>
      </c>
      <c r="J79" s="119"/>
      <c r="K79" s="119">
        <f>-'Cost Allocations-Contracts'!I80-'Cost Allocations-Contracts'!L80</f>
        <v>0</v>
      </c>
      <c r="L79" s="112">
        <f>-'Cost Allocations-Recycle'!J79</f>
        <v>-311.50065528158882</v>
      </c>
      <c r="M79" s="112">
        <f>-'Cost Allocations-Recycle'!M79</f>
        <v>-575.97540823179509</v>
      </c>
      <c r="N79" s="386">
        <f t="shared" si="22"/>
        <v>10989.553936486616</v>
      </c>
      <c r="O79" s="394"/>
      <c r="P79" s="453" t="s">
        <v>152</v>
      </c>
      <c r="Q79" s="670">
        <f>$Q$21</f>
        <v>0.71666766615972766</v>
      </c>
      <c r="R79" s="112">
        <f t="shared" si="11"/>
        <v>7875.8579717983112</v>
      </c>
      <c r="S79" s="26">
        <f>$S$21</f>
        <v>6.487299307812619E-2</v>
      </c>
      <c r="T79" s="407">
        <f t="shared" si="12"/>
        <v>712.92525645339072</v>
      </c>
      <c r="U79" s="94">
        <f>$U$21</f>
        <v>0.21845934076214624</v>
      </c>
      <c r="V79" s="407">
        <f t="shared" si="13"/>
        <v>2400.7707082349152</v>
      </c>
      <c r="Y79" s="11">
        <f t="shared" si="31"/>
        <v>1</v>
      </c>
    </row>
    <row r="80" spans="1:25">
      <c r="A80">
        <v>4692</v>
      </c>
      <c r="B80" t="s">
        <v>64</v>
      </c>
      <c r="C80" s="399">
        <f>+'Monthy Income Statements'!O79</f>
        <v>11157.03</v>
      </c>
      <c r="D80" s="112"/>
      <c r="E80" s="119">
        <f t="shared" si="23"/>
        <v>11157.03</v>
      </c>
      <c r="F80" s="119"/>
      <c r="G80" s="115">
        <v>4</v>
      </c>
      <c r="H80" s="456">
        <f>-'Proforma AJEs'!J30</f>
        <v>-1188</v>
      </c>
      <c r="I80" s="119">
        <f t="shared" si="10"/>
        <v>9969.0300000000007</v>
      </c>
      <c r="J80" s="119"/>
      <c r="K80" s="119">
        <f>-'Cost Allocations-Contracts'!I81-'Cost Allocations-Contracts'!L81</f>
        <v>-1418.5892860187341</v>
      </c>
      <c r="L80" s="112">
        <f>-'Cost Allocations-Recycle'!J80</f>
        <v>-224.2536968713172</v>
      </c>
      <c r="M80" s="112">
        <f>-'Cost Allocations-Recycle'!M80</f>
        <v>-414.65278615926047</v>
      </c>
      <c r="N80" s="386">
        <f t="shared" si="22"/>
        <v>7911.5342309506887</v>
      </c>
      <c r="O80" s="394"/>
      <c r="P80" s="394" t="s">
        <v>1141</v>
      </c>
      <c r="Q80" s="26">
        <f>+'Overhead Allocation'!$E$20</f>
        <v>0.74293226142437141</v>
      </c>
      <c r="R80" s="112">
        <f t="shared" si="11"/>
        <v>5877.7340175365198</v>
      </c>
      <c r="S80" s="26">
        <f>+'Overhead Allocation'!$F$20</f>
        <v>7.9349798597571491E-2</v>
      </c>
      <c r="T80" s="407">
        <f t="shared" si="12"/>
        <v>627.77864782372978</v>
      </c>
      <c r="U80" s="26">
        <f>+'Overhead Allocation'!$G$20</f>
        <v>0.17771793997805721</v>
      </c>
      <c r="V80" s="407">
        <f t="shared" si="13"/>
        <v>1406.0215655904394</v>
      </c>
      <c r="Y80" s="11">
        <f t="shared" si="31"/>
        <v>1.0000000000000002</v>
      </c>
    </row>
    <row r="81" spans="1:25">
      <c r="A81">
        <v>4694</v>
      </c>
      <c r="B81" t="s">
        <v>65</v>
      </c>
      <c r="C81" s="112">
        <f>+'Monthy Income Statements'!O80</f>
        <v>0</v>
      </c>
      <c r="D81" s="112"/>
      <c r="E81" s="119">
        <f t="shared" si="23"/>
        <v>0</v>
      </c>
      <c r="F81" s="119"/>
      <c r="G81" s="115"/>
      <c r="H81" s="112"/>
      <c r="I81" s="119">
        <f t="shared" si="10"/>
        <v>0</v>
      </c>
      <c r="J81" s="119"/>
      <c r="K81" s="119">
        <f>-'Cost Allocations-Contracts'!I82-'Cost Allocations-Contracts'!L82</f>
        <v>0</v>
      </c>
      <c r="L81" s="112">
        <f>-'Cost Allocations-Recycle'!J81</f>
        <v>0</v>
      </c>
      <c r="M81" s="112">
        <f>-'Cost Allocations-Recycle'!M81</f>
        <v>0</v>
      </c>
      <c r="N81" s="386">
        <f t="shared" si="22"/>
        <v>0</v>
      </c>
      <c r="O81" s="394"/>
      <c r="P81" s="394" t="s">
        <v>1141</v>
      </c>
      <c r="Q81" s="26">
        <f>+'Overhead Allocation'!$E$20</f>
        <v>0.74293226142437141</v>
      </c>
      <c r="R81" s="112">
        <f t="shared" si="11"/>
        <v>0</v>
      </c>
      <c r="S81" s="26">
        <f>+'Overhead Allocation'!$F$20</f>
        <v>7.9349798597571491E-2</v>
      </c>
      <c r="T81" s="407">
        <f t="shared" si="12"/>
        <v>0</v>
      </c>
      <c r="U81" s="26">
        <f>+'Overhead Allocation'!$G$20</f>
        <v>0.17771793997805721</v>
      </c>
      <c r="V81" s="407">
        <f t="shared" si="13"/>
        <v>0</v>
      </c>
      <c r="Y81" s="11">
        <f t="shared" si="31"/>
        <v>1.0000000000000002</v>
      </c>
    </row>
    <row r="82" spans="1:25">
      <c r="A82">
        <v>4698</v>
      </c>
      <c r="B82" t="s">
        <v>66</v>
      </c>
      <c r="C82" s="399">
        <f>+'Monthy Income Statements'!O81</f>
        <v>240.11</v>
      </c>
      <c r="D82" s="112"/>
      <c r="E82" s="119">
        <f t="shared" si="23"/>
        <v>240.11</v>
      </c>
      <c r="F82" s="119"/>
      <c r="G82" s="115"/>
      <c r="H82" s="112"/>
      <c r="I82" s="119">
        <f t="shared" si="10"/>
        <v>240.11</v>
      </c>
      <c r="J82" s="119"/>
      <c r="K82" s="119">
        <f>-'Cost Allocations-Contracts'!I83-'Cost Allocations-Contracts'!L83</f>
        <v>-34.167564293211896</v>
      </c>
      <c r="L82" s="112">
        <f>-'Cost Allocations-Recycle'!J82</f>
        <v>-5.4012832899260994</v>
      </c>
      <c r="M82" s="112">
        <f>-'Cost Allocations-Recycle'!M82</f>
        <v>-9.9871582776559045</v>
      </c>
      <c r="N82" s="386">
        <f t="shared" si="22"/>
        <v>190.55399413920608</v>
      </c>
      <c r="O82" s="394"/>
      <c r="P82" s="394" t="s">
        <v>1141</v>
      </c>
      <c r="Q82" s="26">
        <f>+'Overhead Allocation'!$E$20</f>
        <v>0.74293226142437141</v>
      </c>
      <c r="R82" s="112">
        <f t="shared" si="11"/>
        <v>141.5687097892868</v>
      </c>
      <c r="S82" s="26">
        <f>+'Overhead Allocation'!$F$20</f>
        <v>7.9349798597571491E-2</v>
      </c>
      <c r="T82" s="407">
        <f t="shared" si="12"/>
        <v>15.120421056908821</v>
      </c>
      <c r="U82" s="26">
        <f>+'Overhead Allocation'!$G$20</f>
        <v>0.17771793997805721</v>
      </c>
      <c r="V82" s="407">
        <f t="shared" si="13"/>
        <v>33.864863293010494</v>
      </c>
      <c r="Y82" s="11">
        <f t="shared" si="31"/>
        <v>1.0000000000000002</v>
      </c>
    </row>
    <row r="83" spans="1:25">
      <c r="A83" t="s">
        <v>19</v>
      </c>
      <c r="C83" s="112"/>
      <c r="D83" s="112"/>
      <c r="E83" s="119"/>
      <c r="F83" s="119"/>
      <c r="G83" s="115"/>
      <c r="H83" s="112"/>
      <c r="I83" s="119"/>
      <c r="J83" s="119"/>
      <c r="K83" s="119"/>
      <c r="L83" s="112"/>
      <c r="M83" s="112"/>
      <c r="N83" s="386"/>
      <c r="O83" s="394"/>
      <c r="P83" s="394"/>
      <c r="Q83" s="11"/>
      <c r="R83" s="112"/>
      <c r="S83" s="11"/>
      <c r="T83" s="407"/>
      <c r="U83" s="94"/>
      <c r="V83" s="407"/>
      <c r="Y83" s="11"/>
    </row>
    <row r="84" spans="1:25">
      <c r="A84">
        <v>5010</v>
      </c>
      <c r="B84" t="s">
        <v>67</v>
      </c>
      <c r="C84" s="399">
        <f>+'Monthy Income Statements'!O83</f>
        <v>0</v>
      </c>
      <c r="D84" s="112">
        <f>-'Restating AJEs'!I13</f>
        <v>262508</v>
      </c>
      <c r="E84" s="119">
        <f>+C84+D84</f>
        <v>262508</v>
      </c>
      <c r="F84" s="119"/>
      <c r="G84" s="115"/>
      <c r="H84" s="112"/>
      <c r="I84" s="119">
        <f t="shared" si="10"/>
        <v>262508</v>
      </c>
      <c r="J84" s="119"/>
      <c r="K84" s="119">
        <f>-'Cost Allocations-Contracts'!I85-'Cost Allocations-Contracts'!L85</f>
        <v>-33799.647114327425</v>
      </c>
      <c r="L84" s="429">
        <f>-'Cost Allocations-Recycle'!J84</f>
        <v>-168.69736581675937</v>
      </c>
      <c r="M84" s="429">
        <f>-'Cost Allocations-Recycle'!M84</f>
        <v>-3895.9246120943685</v>
      </c>
      <c r="N84" s="386">
        <f t="shared" si="22"/>
        <v>224643.73090776146</v>
      </c>
      <c r="O84" s="394"/>
      <c r="P84" s="453" t="s">
        <v>1142</v>
      </c>
      <c r="Q84" s="26">
        <f>+'Depr Allocation by County'!$L$12</f>
        <v>0.7842513659992818</v>
      </c>
      <c r="R84" s="112">
        <f t="shared" si="11"/>
        <v>176177.15282758701</v>
      </c>
      <c r="S84" s="11">
        <f>'Depr Allocation by County'!$L$14</f>
        <v>6.4509609391915995E-2</v>
      </c>
      <c r="T84" s="407">
        <f t="shared" si="12"/>
        <v>14491.679333202379</v>
      </c>
      <c r="U84" s="11">
        <f>'Depr Allocation by County'!$L$16</f>
        <v>0.1512390246088022</v>
      </c>
      <c r="V84" s="407">
        <f t="shared" si="13"/>
        <v>33974.898746972074</v>
      </c>
      <c r="Y84" s="11">
        <f t="shared" si="31"/>
        <v>1</v>
      </c>
    </row>
    <row r="85" spans="1:25">
      <c r="A85">
        <v>5100</v>
      </c>
      <c r="B85" t="s">
        <v>68</v>
      </c>
      <c r="C85" s="399">
        <f>+'Monthy Income Statements'!O84</f>
        <v>-40000</v>
      </c>
      <c r="D85" s="112">
        <f>-'Restating AJEs'!I20</f>
        <v>39524</v>
      </c>
      <c r="E85" s="119">
        <f>+C85+D85</f>
        <v>-476</v>
      </c>
      <c r="F85" s="119"/>
      <c r="G85" s="115">
        <v>13</v>
      </c>
      <c r="H85" s="456">
        <f>'Proforma AJEs'!H90</f>
        <v>-8681</v>
      </c>
      <c r="I85" s="119">
        <f t="shared" si="10"/>
        <v>-9157</v>
      </c>
      <c r="J85" s="119"/>
      <c r="K85" s="119">
        <f>-'Cost Allocations-Contracts'!I86-'Cost Allocations-Contracts'!L86</f>
        <v>1179.0245197323366</v>
      </c>
      <c r="L85" s="112">
        <f>-'Cost Allocations-Recycle'!J85</f>
        <v>5.884627435293651</v>
      </c>
      <c r="M85" s="112">
        <f>-'Cost Allocations-Recycle'!M85</f>
        <v>135.900550356363</v>
      </c>
      <c r="N85" s="386">
        <f t="shared" si="22"/>
        <v>-7836.1903024760068</v>
      </c>
      <c r="O85" s="394"/>
      <c r="P85" s="453" t="s">
        <v>1142</v>
      </c>
      <c r="Q85" s="26">
        <f>+'Depr Allocation by County'!$L$12</f>
        <v>0.7842513659992818</v>
      </c>
      <c r="R85" s="112">
        <f t="shared" si="11"/>
        <v>-6145.5429489471335</v>
      </c>
      <c r="S85" s="11">
        <f>'Depr Allocation by County'!$L$14</f>
        <v>6.4509609391915995E-2</v>
      </c>
      <c r="T85" s="407">
        <f t="shared" si="12"/>
        <v>-505.50957553344728</v>
      </c>
      <c r="U85" s="11">
        <f>'Depr Allocation by County'!$L$16</f>
        <v>0.1512390246088022</v>
      </c>
      <c r="V85" s="407">
        <f t="shared" si="13"/>
        <v>-1185.1377779954259</v>
      </c>
      <c r="Y85" s="11">
        <f t="shared" si="31"/>
        <v>1</v>
      </c>
    </row>
    <row r="86" spans="1:25">
      <c r="A86" t="s">
        <v>20</v>
      </c>
      <c r="C86" s="112"/>
      <c r="D86" s="112"/>
      <c r="E86" s="119"/>
      <c r="F86" s="119"/>
      <c r="G86" s="115"/>
      <c r="H86" s="112"/>
      <c r="I86" s="119"/>
      <c r="J86" s="119"/>
      <c r="K86" s="119"/>
      <c r="L86" s="112"/>
      <c r="M86" s="112"/>
      <c r="N86" s="386"/>
      <c r="O86" s="394"/>
      <c r="P86" s="394"/>
      <c r="Q86" s="11"/>
      <c r="R86" s="112"/>
      <c r="S86" s="11"/>
      <c r="T86" s="407"/>
      <c r="U86" s="94"/>
      <c r="V86" s="407"/>
      <c r="Y86" s="11"/>
    </row>
    <row r="87" spans="1:25">
      <c r="A87">
        <v>5151</v>
      </c>
      <c r="B87" t="s">
        <v>69</v>
      </c>
      <c r="C87" s="112">
        <f>+'Monthy Income Statements'!O86</f>
        <v>0</v>
      </c>
      <c r="D87" s="112"/>
      <c r="E87" s="119">
        <f>+C87+D87</f>
        <v>0</v>
      </c>
      <c r="F87" s="119"/>
      <c r="G87" s="115"/>
      <c r="H87" s="112"/>
      <c r="I87" s="119">
        <f t="shared" si="10"/>
        <v>0</v>
      </c>
      <c r="J87" s="119"/>
      <c r="K87" s="119">
        <f>-'Cost Allocations-Contracts'!I88-'Cost Allocations-Contracts'!L88</f>
        <v>0</v>
      </c>
      <c r="L87" s="112"/>
      <c r="M87" s="112">
        <f>-'Cost Allocations-Recycle'!M87</f>
        <v>0</v>
      </c>
      <c r="N87" s="386">
        <f t="shared" si="22"/>
        <v>0</v>
      </c>
      <c r="O87" s="394"/>
      <c r="P87" s="394" t="s">
        <v>1138</v>
      </c>
      <c r="Q87" s="15">
        <v>1</v>
      </c>
      <c r="R87" s="112">
        <f t="shared" si="11"/>
        <v>0</v>
      </c>
      <c r="S87" s="15">
        <v>0</v>
      </c>
      <c r="T87" s="407">
        <f t="shared" si="12"/>
        <v>0</v>
      </c>
      <c r="U87" s="94">
        <v>0</v>
      </c>
      <c r="V87" s="407">
        <f t="shared" si="13"/>
        <v>0</v>
      </c>
      <c r="Y87" s="11">
        <f t="shared" si="31"/>
        <v>1</v>
      </c>
    </row>
    <row r="88" spans="1:25">
      <c r="A88" t="s">
        <v>21</v>
      </c>
      <c r="C88" s="112"/>
      <c r="D88" s="112"/>
      <c r="E88" s="119"/>
      <c r="F88" s="119"/>
      <c r="G88" s="115"/>
      <c r="H88" s="112"/>
      <c r="I88" s="119"/>
      <c r="J88" s="119"/>
      <c r="K88" s="119"/>
      <c r="L88" s="112"/>
      <c r="M88" s="112"/>
      <c r="N88" s="386"/>
      <c r="O88" s="394"/>
      <c r="P88" s="394"/>
      <c r="Q88" s="11"/>
      <c r="R88" s="112"/>
      <c r="S88" s="11"/>
      <c r="T88" s="407"/>
      <c r="U88" s="94"/>
      <c r="V88" s="407"/>
      <c r="Y88" s="11"/>
    </row>
    <row r="89" spans="1:25">
      <c r="A89">
        <v>5220</v>
      </c>
      <c r="B89" t="s">
        <v>70</v>
      </c>
      <c r="C89" s="399">
        <f>+'Monthy Income Statements'!O88</f>
        <v>6540.25</v>
      </c>
      <c r="D89" s="112"/>
      <c r="E89" s="119">
        <f t="shared" ref="E89:E96" si="32">+C89+D89</f>
        <v>6540.25</v>
      </c>
      <c r="F89" s="119"/>
      <c r="G89" s="115"/>
      <c r="H89" s="112"/>
      <c r="I89" s="119">
        <f t="shared" si="10"/>
        <v>6540.25</v>
      </c>
      <c r="J89" s="119"/>
      <c r="K89" s="119">
        <f>-'Cost Allocations-Contracts'!I90-'Cost Allocations-Contracts'!L90</f>
        <v>-858.16198425687139</v>
      </c>
      <c r="L89" s="112">
        <f>-'Cost Allocations-Recycle'!J89</f>
        <v>-188.66134883726312</v>
      </c>
      <c r="M89" s="112">
        <f>-'Cost Allocations-Recycle'!M89</f>
        <v>0</v>
      </c>
      <c r="N89" s="386">
        <f t="shared" si="22"/>
        <v>5493.4266669058652</v>
      </c>
      <c r="O89" s="394"/>
      <c r="P89" s="394" t="s">
        <v>490</v>
      </c>
      <c r="Q89" s="26">
        <f>+'Hours &amp; Miles by County'!$D$25</f>
        <v>0.78523744752734048</v>
      </c>
      <c r="R89" s="112">
        <f t="shared" si="11"/>
        <v>4313.6443340997876</v>
      </c>
      <c r="S89" s="11">
        <f>+'Hours &amp; Miles by County'!$E$25</f>
        <v>6.7195645252181857E-2</v>
      </c>
      <c r="T89" s="407">
        <f t="shared" si="12"/>
        <v>369.13434952828231</v>
      </c>
      <c r="U89" s="94">
        <f>'Hours &amp; Miles by County'!$F$25</f>
        <v>0.1475669072204778</v>
      </c>
      <c r="V89" s="407">
        <f t="shared" si="13"/>
        <v>810.64798327779647</v>
      </c>
      <c r="Y89" s="11">
        <f t="shared" si="31"/>
        <v>1</v>
      </c>
    </row>
    <row r="90" spans="1:25">
      <c r="A90">
        <v>5230</v>
      </c>
      <c r="B90" t="s">
        <v>71</v>
      </c>
      <c r="C90" s="399">
        <f>+'Monthy Income Statements'!O89</f>
        <v>2427.35</v>
      </c>
      <c r="D90" s="112"/>
      <c r="E90" s="119">
        <f t="shared" si="32"/>
        <v>2427.35</v>
      </c>
      <c r="F90" s="119"/>
      <c r="G90" s="115"/>
      <c r="H90" s="112"/>
      <c r="I90" s="119">
        <f t="shared" si="10"/>
        <v>2427.35</v>
      </c>
      <c r="J90" s="119"/>
      <c r="K90" s="119">
        <f>-'Cost Allocations-Contracts'!I91-'Cost Allocations-Contracts'!L91</f>
        <v>-208.63544362292052</v>
      </c>
      <c r="L90" s="112">
        <f>-'Cost Allocations-Recycle'!J90</f>
        <v>0</v>
      </c>
      <c r="M90" s="112">
        <f>-'Cost Allocations-Recycle'!M90</f>
        <v>0</v>
      </c>
      <c r="N90" s="386">
        <f t="shared" si="22"/>
        <v>2218.7145563770796</v>
      </c>
      <c r="O90" s="394"/>
      <c r="P90" s="453" t="s">
        <v>1139</v>
      </c>
      <c r="Q90" s="26">
        <f>ROUND(+'Container Count by County'!$K$22,3)</f>
        <v>0.81</v>
      </c>
      <c r="R90" s="112">
        <f t="shared" si="11"/>
        <v>1797.1587906654345</v>
      </c>
      <c r="S90" s="26">
        <f>ROUND(+'Container Count by County'!$K$24,3)</f>
        <v>0.05</v>
      </c>
      <c r="T90" s="407">
        <f t="shared" si="12"/>
        <v>110.93572781885399</v>
      </c>
      <c r="U90" s="94">
        <f>ROUND(+'Container Count by County'!$K$26,3)</f>
        <v>0.14000000000000001</v>
      </c>
      <c r="V90" s="407">
        <f t="shared" si="13"/>
        <v>310.62003789279117</v>
      </c>
      <c r="Y90" s="11">
        <f t="shared" si="31"/>
        <v>1</v>
      </c>
    </row>
    <row r="91" spans="1:25">
      <c r="A91">
        <v>5240</v>
      </c>
      <c r="B91" t="s">
        <v>72</v>
      </c>
      <c r="C91" s="399">
        <f>+'Monthy Income Statements'!O90</f>
        <v>50664.69</v>
      </c>
      <c r="D91" s="112"/>
      <c r="E91" s="119">
        <f t="shared" si="32"/>
        <v>50664.69</v>
      </c>
      <c r="F91" s="119"/>
      <c r="G91" s="115"/>
      <c r="H91" s="112"/>
      <c r="I91" s="119">
        <f t="shared" si="10"/>
        <v>50664.69</v>
      </c>
      <c r="J91" s="119"/>
      <c r="K91" s="119">
        <f>-'Cost Allocations-Contracts'!I92-'Cost Allocations-Contracts'!L92</f>
        <v>-6647.8362298320808</v>
      </c>
      <c r="L91" s="112">
        <f>-'Cost Allocations-Recycle'!J91</f>
        <v>-1174.4371143446679</v>
      </c>
      <c r="M91" s="112">
        <f>-'Cost Allocations-Recycle'!M91</f>
        <v>-2002.9144534061206</v>
      </c>
      <c r="N91" s="386">
        <f t="shared" ref="N91:N96" si="33">I91+K91+L91+M91</f>
        <v>40839.502202417134</v>
      </c>
      <c r="O91" s="394"/>
      <c r="P91" s="394" t="s">
        <v>490</v>
      </c>
      <c r="Q91" s="26">
        <f>+'Hours &amp; Miles by County'!$D$25</f>
        <v>0.78523744752734048</v>
      </c>
      <c r="R91" s="112">
        <f t="shared" si="11"/>
        <v>32068.706467713229</v>
      </c>
      <c r="S91" s="11">
        <f>+'Hours &amp; Miles by County'!$E$25</f>
        <v>6.7195645252181857E-2</v>
      </c>
      <c r="T91" s="407">
        <f t="shared" si="12"/>
        <v>2744.2367022693215</v>
      </c>
      <c r="U91" s="94">
        <f>'Hours &amp; Miles by County'!$F$25</f>
        <v>0.1475669072204778</v>
      </c>
      <c r="V91" s="407">
        <f t="shared" si="13"/>
        <v>6026.5590324345876</v>
      </c>
      <c r="Y91" s="11">
        <f t="shared" si="31"/>
        <v>1</v>
      </c>
    </row>
    <row r="92" spans="1:25">
      <c r="A92">
        <v>5241</v>
      </c>
      <c r="B92" t="s">
        <v>73</v>
      </c>
      <c r="C92" s="399">
        <f>+'Monthy Income Statements'!O91</f>
        <v>618.75</v>
      </c>
      <c r="D92" s="112"/>
      <c r="E92" s="119">
        <f t="shared" si="32"/>
        <v>618.75</v>
      </c>
      <c r="F92" s="119"/>
      <c r="G92" s="115"/>
      <c r="H92" s="112"/>
      <c r="I92" s="119">
        <f t="shared" ref="I92:I99" si="34">+E92+H92</f>
        <v>618.75</v>
      </c>
      <c r="J92" s="119"/>
      <c r="K92" s="119">
        <f>-'Cost Allocations-Contracts'!I93-'Cost Allocations-Contracts'!L93</f>
        <v>-81.187680556391456</v>
      </c>
      <c r="L92" s="112">
        <f>-'Cost Allocations-Recycle'!J92</f>
        <v>-92.112714850562185</v>
      </c>
      <c r="M92" s="112">
        <f>-'Cost Allocations-Recycle'!M92</f>
        <v>-157.09132967891142</v>
      </c>
      <c r="N92" s="386">
        <f t="shared" si="33"/>
        <v>288.358274914135</v>
      </c>
      <c r="O92" s="394"/>
      <c r="P92" s="394" t="s">
        <v>490</v>
      </c>
      <c r="Q92" s="26">
        <f>+'Hours &amp; Miles by County'!$D$25</f>
        <v>0.78523744752734048</v>
      </c>
      <c r="R92" s="112">
        <f t="shared" ref="R92:R99" si="35">N92*Q92</f>
        <v>226.42971576696249</v>
      </c>
      <c r="S92" s="11">
        <f>+'Hours &amp; Miles by County'!$E$25</f>
        <v>6.7195645252181857E-2</v>
      </c>
      <c r="T92" s="407">
        <f t="shared" ref="T92:T99" si="36">N92*S92</f>
        <v>19.376420346661344</v>
      </c>
      <c r="U92" s="94">
        <f>'Hours &amp; Miles by County'!$F$25</f>
        <v>0.1475669072204778</v>
      </c>
      <c r="V92" s="407">
        <f t="shared" ref="V92:V99" si="37">N92*U92</f>
        <v>42.552138800511187</v>
      </c>
      <c r="Y92" s="11">
        <f t="shared" si="31"/>
        <v>1</v>
      </c>
    </row>
    <row r="93" spans="1:25">
      <c r="A93">
        <v>5242</v>
      </c>
      <c r="B93" t="s">
        <v>74</v>
      </c>
      <c r="C93" s="399">
        <f>+'Monthy Income Statements'!O92</f>
        <v>622.97</v>
      </c>
      <c r="D93" s="112"/>
      <c r="E93" s="119">
        <f t="shared" si="32"/>
        <v>622.97</v>
      </c>
      <c r="F93" s="119"/>
      <c r="G93" s="115">
        <v>11</v>
      </c>
      <c r="H93" s="112">
        <f>+'Proforma AJEs'!H71</f>
        <v>3443.445232</v>
      </c>
      <c r="I93" s="119">
        <f t="shared" si="34"/>
        <v>4066.4152320000003</v>
      </c>
      <c r="J93" s="119"/>
      <c r="K93" s="119">
        <f>-'Cost Allocations-Contracts'!I94-'Cost Allocations-Contracts'!L94</f>
        <v>-533.56415493375425</v>
      </c>
      <c r="L93" s="112">
        <f>-'Cost Allocations-Recycle'!J93</f>
        <v>-19.957754884288473</v>
      </c>
      <c r="M93" s="112">
        <f>-'Cost Allocations-Recycle'!M93</f>
        <v>-34.036454763764141</v>
      </c>
      <c r="N93" s="386">
        <f t="shared" si="33"/>
        <v>3478.8568674181934</v>
      </c>
      <c r="O93" s="394"/>
      <c r="P93" s="394" t="s">
        <v>490</v>
      </c>
      <c r="Q93" s="26">
        <f>+'Hours &amp; Miles by County'!$D$25</f>
        <v>0.78523744752734048</v>
      </c>
      <c r="R93" s="112">
        <f t="shared" si="35"/>
        <v>2731.7286868844217</v>
      </c>
      <c r="S93" s="11">
        <f>+'Hours &amp; Miles by County'!$E$25</f>
        <v>6.7195645252181857E-2</v>
      </c>
      <c r="T93" s="407">
        <f t="shared" si="36"/>
        <v>233.76403194614957</v>
      </c>
      <c r="U93" s="94">
        <f>'Hours &amp; Miles by County'!$F$25</f>
        <v>0.1475669072204778</v>
      </c>
      <c r="V93" s="407">
        <f t="shared" si="37"/>
        <v>513.36414858762259</v>
      </c>
      <c r="Y93" s="11">
        <f t="shared" si="31"/>
        <v>1</v>
      </c>
    </row>
    <row r="94" spans="1:25">
      <c r="A94">
        <v>5260</v>
      </c>
      <c r="B94" t="s">
        <v>75</v>
      </c>
      <c r="C94" s="399">
        <f>+'Monthy Income Statements'!O93</f>
        <v>50840.360000000008</v>
      </c>
      <c r="D94" s="112"/>
      <c r="E94" s="119">
        <f t="shared" si="32"/>
        <v>50840.360000000008</v>
      </c>
      <c r="F94" s="119"/>
      <c r="G94" s="115">
        <v>7</v>
      </c>
      <c r="H94" s="112">
        <f>'Proforma AJEs'!I44</f>
        <v>0</v>
      </c>
      <c r="I94" s="119">
        <f t="shared" si="34"/>
        <v>50840.360000000008</v>
      </c>
      <c r="J94" s="119"/>
      <c r="K94" s="119">
        <f>-'Cost Allocations-Contracts'!I95-'Cost Allocations-Contracts'!L95</f>
        <v>-6074.2841718183936</v>
      </c>
      <c r="L94" s="112">
        <f>-'Cost Allocations-Recycle'!J94</f>
        <v>-579.99648650569998</v>
      </c>
      <c r="M94" s="112">
        <f>-'Cost Allocations-Recycle'!M94</f>
        <v>-1069.0635958108346</v>
      </c>
      <c r="N94" s="386">
        <f t="shared" si="33"/>
        <v>43117.015745865087</v>
      </c>
      <c r="O94" s="394"/>
      <c r="P94" s="453" t="s">
        <v>152</v>
      </c>
      <c r="Q94" s="455">
        <f>$Q$21</f>
        <v>0.71666766615972766</v>
      </c>
      <c r="R94" s="112">
        <f t="shared" si="35"/>
        <v>30900.571046361361</v>
      </c>
      <c r="S94" s="11">
        <f>+S21</f>
        <v>6.487299307812619E-2</v>
      </c>
      <c r="T94" s="407">
        <f t="shared" si="36"/>
        <v>2797.1298640309637</v>
      </c>
      <c r="U94" s="94">
        <f>$U$21</f>
        <v>0.21845934076214624</v>
      </c>
      <c r="V94" s="407">
        <f t="shared" si="37"/>
        <v>9419.3148354727655</v>
      </c>
      <c r="Y94" s="11">
        <f t="shared" si="31"/>
        <v>1</v>
      </c>
    </row>
    <row r="95" spans="1:25">
      <c r="A95">
        <v>5270</v>
      </c>
      <c r="B95" t="s">
        <v>76</v>
      </c>
      <c r="C95" s="399">
        <f>+'Monthy Income Statements'!O94</f>
        <v>7041.33</v>
      </c>
      <c r="D95" s="112"/>
      <c r="E95" s="119">
        <f t="shared" si="32"/>
        <v>7041.33</v>
      </c>
      <c r="F95" s="119"/>
      <c r="G95" s="115"/>
      <c r="H95" s="112"/>
      <c r="I95" s="119">
        <f t="shared" si="34"/>
        <v>7041.33</v>
      </c>
      <c r="J95" s="119"/>
      <c r="K95" s="119">
        <f>-'Cost Allocations-Contracts'!I96-'Cost Allocations-Contracts'!L96</f>
        <v>0</v>
      </c>
      <c r="L95" s="112">
        <f>-'Cost Allocations-Recycle'!J95</f>
        <v>0</v>
      </c>
      <c r="M95" s="112">
        <f>-'Cost Allocations-Recycle'!M95</f>
        <v>0</v>
      </c>
      <c r="N95" s="386">
        <f t="shared" si="33"/>
        <v>7041.33</v>
      </c>
      <c r="O95" s="394"/>
      <c r="P95" s="453" t="s">
        <v>152</v>
      </c>
      <c r="Q95" s="671">
        <v>0</v>
      </c>
      <c r="R95" s="112">
        <f t="shared" si="35"/>
        <v>0</v>
      </c>
      <c r="S95" s="15">
        <v>1</v>
      </c>
      <c r="T95" s="407">
        <f t="shared" si="36"/>
        <v>7041.33</v>
      </c>
      <c r="U95" s="94">
        <v>0</v>
      </c>
      <c r="V95" s="407">
        <f t="shared" si="37"/>
        <v>0</v>
      </c>
      <c r="Y95" s="11">
        <f t="shared" si="31"/>
        <v>1</v>
      </c>
    </row>
    <row r="96" spans="1:25">
      <c r="A96">
        <v>5290</v>
      </c>
      <c r="B96" t="s">
        <v>77</v>
      </c>
      <c r="C96" s="399">
        <f>+'Monthy Income Statements'!O95</f>
        <v>-22611.07</v>
      </c>
      <c r="D96" s="112"/>
      <c r="E96" s="119">
        <f t="shared" si="32"/>
        <v>-22611.07</v>
      </c>
      <c r="F96" s="119"/>
      <c r="G96" s="115"/>
      <c r="H96" s="112"/>
      <c r="I96" s="119">
        <f t="shared" si="34"/>
        <v>-22611.07</v>
      </c>
      <c r="J96" s="119"/>
      <c r="K96" s="119">
        <f>-'Cost Allocations-Contracts'!I97-'Cost Allocations-Contracts'!L97</f>
        <v>2966.8530556738679</v>
      </c>
      <c r="L96" s="112">
        <f>-'Cost Allocations-Recycle'!J96</f>
        <v>652.24341039773321</v>
      </c>
      <c r="M96" s="112">
        <f>-'Cost Allocations-Recycle'!M96</f>
        <v>0</v>
      </c>
      <c r="N96" s="386">
        <f t="shared" si="33"/>
        <v>-18991.973533928398</v>
      </c>
      <c r="O96" s="394"/>
      <c r="P96" s="394" t="s">
        <v>490</v>
      </c>
      <c r="Q96" s="26">
        <f>+'Hours &amp; Miles by County'!$D$25</f>
        <v>0.78523744752734048</v>
      </c>
      <c r="R96" s="112">
        <f t="shared" si="35"/>
        <v>-14913.208821288739</v>
      </c>
      <c r="S96" s="11">
        <f>+'Hours &amp; Miles by County'!$E$25</f>
        <v>6.7195645252181857E-2</v>
      </c>
      <c r="T96" s="407">
        <f t="shared" si="36"/>
        <v>-1276.1779162246792</v>
      </c>
      <c r="U96" s="94">
        <f>'Hours &amp; Miles by County'!$F$25</f>
        <v>0.1475669072204778</v>
      </c>
      <c r="V96" s="407">
        <f t="shared" si="37"/>
        <v>-2802.5867964149816</v>
      </c>
      <c r="Y96" s="11">
        <f t="shared" si="31"/>
        <v>1</v>
      </c>
    </row>
    <row r="97" spans="1:25">
      <c r="A97" t="s">
        <v>22</v>
      </c>
      <c r="C97" s="112"/>
      <c r="D97" s="112"/>
      <c r="E97" s="119"/>
      <c r="F97" s="119"/>
      <c r="G97" s="115"/>
      <c r="H97" s="112"/>
      <c r="I97" s="119"/>
      <c r="J97" s="119"/>
      <c r="K97" s="119"/>
      <c r="L97" s="112"/>
      <c r="M97" s="112"/>
      <c r="N97" s="386"/>
      <c r="O97" s="394"/>
      <c r="P97" s="394"/>
      <c r="Q97" s="11"/>
      <c r="R97" s="112"/>
      <c r="S97" s="11"/>
      <c r="T97" s="407"/>
      <c r="U97" s="94"/>
      <c r="V97" s="407"/>
      <c r="Y97" s="11"/>
    </row>
    <row r="98" spans="1:25">
      <c r="A98">
        <v>5320</v>
      </c>
      <c r="B98" t="s">
        <v>78</v>
      </c>
      <c r="C98" s="399">
        <f>+'Monthy Income Statements'!O97</f>
        <v>83436</v>
      </c>
      <c r="D98" s="112"/>
      <c r="E98" s="119">
        <f>+C98+D98</f>
        <v>83436</v>
      </c>
      <c r="F98" s="119"/>
      <c r="G98" s="115">
        <v>12</v>
      </c>
      <c r="H98" s="112">
        <f>'Proforma AJEs'!H74</f>
        <v>2484</v>
      </c>
      <c r="I98" s="119">
        <f t="shared" si="34"/>
        <v>85920</v>
      </c>
      <c r="J98" s="119"/>
      <c r="K98" s="119">
        <f>-'Cost Allocations-Contracts'!I99-'Cost Allocations-Contracts'!L99</f>
        <v>-12226.384257518497</v>
      </c>
      <c r="L98" s="112">
        <f>-'Cost Allocations-Recycle'!J98</f>
        <v>0</v>
      </c>
      <c r="M98" s="112">
        <f>-'Cost Allocations-Recycle'!M98</f>
        <v>0</v>
      </c>
      <c r="N98" s="386">
        <f>I98+K98+L98+M98</f>
        <v>73693.615742481503</v>
      </c>
      <c r="O98" s="394"/>
      <c r="P98" s="394" t="s">
        <v>1141</v>
      </c>
      <c r="Q98" s="26">
        <f>+'Overhead Allocation'!$E$20</f>
        <v>0.74293226142437141</v>
      </c>
      <c r="R98" s="112">
        <f t="shared" si="35"/>
        <v>54749.364596100437</v>
      </c>
      <c r="S98" s="26">
        <f>+'Overhead Allocation'!$F$20</f>
        <v>7.9349798597571491E-2</v>
      </c>
      <c r="T98" s="407">
        <f t="shared" si="36"/>
        <v>5847.5735670927315</v>
      </c>
      <c r="U98" s="26">
        <f>+'Overhead Allocation'!$G$20</f>
        <v>0.17771793997805721</v>
      </c>
      <c r="V98" s="407">
        <f t="shared" si="37"/>
        <v>13096.67757928834</v>
      </c>
      <c r="Y98" s="11">
        <f t="shared" si="31"/>
        <v>1.0000000000000002</v>
      </c>
    </row>
    <row r="99" spans="1:25" ht="13.5" thickBot="1">
      <c r="A99">
        <v>5322</v>
      </c>
      <c r="B99" s="83" t="s">
        <v>371</v>
      </c>
      <c r="C99" s="113">
        <f>+'Monthy Income Statements'!O98</f>
        <v>28800</v>
      </c>
      <c r="D99" s="113"/>
      <c r="E99" s="120">
        <f>+C99+D99</f>
        <v>28800</v>
      </c>
      <c r="F99" s="120"/>
      <c r="G99" s="384">
        <v>12</v>
      </c>
      <c r="H99" s="113">
        <f>'Proforma AJEs'!H75</f>
        <v>0</v>
      </c>
      <c r="I99" s="120">
        <f t="shared" si="34"/>
        <v>28800</v>
      </c>
      <c r="J99" s="120"/>
      <c r="K99" s="120">
        <f>-'Cost Allocations-Contracts'!I100-'Cost Allocations-Contracts'!L100</f>
        <v>0</v>
      </c>
      <c r="L99" s="113">
        <f>-'Cost Allocations-Recycle'!J99</f>
        <v>-10129.345189108684</v>
      </c>
      <c r="M99" s="113">
        <f>-'Cost Allocations-Recycle'!M99</f>
        <v>-18670.654810891316</v>
      </c>
      <c r="N99" s="120">
        <f>I99+K99+L99+M99</f>
        <v>0</v>
      </c>
      <c r="O99" s="395"/>
      <c r="P99" s="394" t="s">
        <v>1141</v>
      </c>
      <c r="Q99" s="396">
        <f>+'Overhead Allocation'!$E$20</f>
        <v>0.74293226142437141</v>
      </c>
      <c r="R99" s="113">
        <f t="shared" si="35"/>
        <v>0</v>
      </c>
      <c r="S99" s="105">
        <f>+'Overhead Allocation'!$F$20</f>
        <v>7.9349798597571491E-2</v>
      </c>
      <c r="T99" s="398">
        <f t="shared" si="36"/>
        <v>0</v>
      </c>
      <c r="U99" s="105">
        <f>+'Overhead Allocation'!$G$20</f>
        <v>0.17771793997805721</v>
      </c>
      <c r="V99" s="398">
        <f t="shared" si="37"/>
        <v>0</v>
      </c>
      <c r="Y99" s="11">
        <f t="shared" si="31"/>
        <v>1.0000000000000002</v>
      </c>
    </row>
    <row r="100" spans="1:25">
      <c r="C100" s="112"/>
      <c r="D100" s="112"/>
      <c r="E100" s="119"/>
      <c r="F100" s="119"/>
      <c r="G100" s="118"/>
      <c r="H100" s="112"/>
      <c r="I100" s="119"/>
      <c r="J100" s="119"/>
      <c r="K100" s="119"/>
      <c r="L100" s="112"/>
      <c r="M100" s="112"/>
      <c r="N100" s="118"/>
      <c r="O100" s="18"/>
      <c r="P100" s="18"/>
      <c r="R100" s="112"/>
      <c r="T100" s="407"/>
      <c r="V100" s="407"/>
    </row>
    <row r="101" spans="1:25" ht="13.5" thickBot="1">
      <c r="B101" t="s">
        <v>23</v>
      </c>
      <c r="C101" s="113">
        <f>SUM(C25:C99)</f>
        <v>2271154.66</v>
      </c>
      <c r="D101" s="113">
        <f>SUM(D25:D99)</f>
        <v>296554.5</v>
      </c>
      <c r="E101" s="120">
        <f>SUM(E25:E99)</f>
        <v>2567709.16</v>
      </c>
      <c r="F101" s="120"/>
      <c r="G101" s="385"/>
      <c r="H101" s="113">
        <f>SUM(H25:H99)</f>
        <v>54293.907692599154</v>
      </c>
      <c r="I101" s="120">
        <f>SUM(I25:I99)</f>
        <v>2622003.0676925988</v>
      </c>
      <c r="J101" s="120"/>
      <c r="K101" s="120">
        <f>SUM(K25:K99)</f>
        <v>-317323.53035909246</v>
      </c>
      <c r="L101" s="113">
        <f>SUM(L25:L99)</f>
        <v>-37855.068701093471</v>
      </c>
      <c r="M101" s="113">
        <f>SUM(M25:M99)</f>
        <v>-68447.445034741453</v>
      </c>
      <c r="N101" s="120">
        <f>SUM(N25:N99)</f>
        <v>2198377.0235976717</v>
      </c>
      <c r="O101" s="395"/>
      <c r="P101" s="395"/>
      <c r="R101" s="113">
        <f>SUM(R25:R99)</f>
        <v>1644152.6024449142</v>
      </c>
      <c r="S101" s="113"/>
      <c r="T101" s="113">
        <f>SUM(T25:T99)</f>
        <v>151282.85828027956</v>
      </c>
      <c r="U101" s="113"/>
      <c r="V101" s="113">
        <f>SUM(V25:V99)</f>
        <v>402941.56287247885</v>
      </c>
      <c r="W101" s="407">
        <f>SUM(R101:V101)</f>
        <v>2198377.0235976726</v>
      </c>
      <c r="X101" s="407">
        <f>W101-N101</f>
        <v>0</v>
      </c>
      <c r="Y101" t="s">
        <v>1149</v>
      </c>
    </row>
    <row r="102" spans="1:25">
      <c r="C102" s="112"/>
      <c r="D102" s="112"/>
      <c r="E102" s="119"/>
      <c r="F102" s="119"/>
      <c r="G102" s="118"/>
      <c r="H102" s="112"/>
      <c r="I102" s="119"/>
      <c r="J102" s="119"/>
      <c r="K102" s="119"/>
      <c r="L102" s="112"/>
      <c r="M102" s="112"/>
      <c r="N102" s="118"/>
      <c r="O102" s="18"/>
      <c r="P102" s="18"/>
    </row>
    <row r="103" spans="1:25" ht="13.5" thickBot="1">
      <c r="B103" t="s">
        <v>24</v>
      </c>
      <c r="C103" s="113">
        <f>+C21-C101</f>
        <v>604158.62999999896</v>
      </c>
      <c r="D103" s="113">
        <f>+D21-D101</f>
        <v>-297441.60999999993</v>
      </c>
      <c r="E103" s="120">
        <f>+E21-E101</f>
        <v>306717.01999999909</v>
      </c>
      <c r="F103" s="120"/>
      <c r="G103" s="385"/>
      <c r="H103" s="113">
        <f>+H21-H101</f>
        <v>-54293.907692599154</v>
      </c>
      <c r="I103" s="120">
        <f>+I21-I101</f>
        <v>252423.11230740044</v>
      </c>
      <c r="J103" s="120"/>
      <c r="K103" s="120">
        <f>+K21-K101</f>
        <v>-26106.009640907519</v>
      </c>
      <c r="L103" s="113">
        <f>+L21-L101</f>
        <v>5063.0687010934707</v>
      </c>
      <c r="M103" s="113">
        <f>+M21-M101</f>
        <v>8004.4350347414584</v>
      </c>
      <c r="N103" s="120">
        <f>+N21-N101</f>
        <v>239384.60640232824</v>
      </c>
      <c r="O103" s="395"/>
      <c r="P103" s="395"/>
      <c r="R103" s="395"/>
      <c r="S103" s="18"/>
      <c r="T103" s="395"/>
      <c r="U103" s="18"/>
      <c r="V103" s="395"/>
    </row>
    <row r="104" spans="1:25">
      <c r="C104" s="6"/>
      <c r="D104" s="6"/>
      <c r="E104" s="6"/>
      <c r="F104" s="6"/>
      <c r="I104" s="6"/>
      <c r="J104" s="6"/>
      <c r="R104" s="18"/>
      <c r="S104" s="18"/>
      <c r="T104" s="18"/>
      <c r="U104" s="18"/>
      <c r="V104" s="18"/>
    </row>
    <row r="105" spans="1:25">
      <c r="B105" t="s">
        <v>103</v>
      </c>
      <c r="C105" s="10">
        <f>+C101/C21</f>
        <v>0.78988076461052381</v>
      </c>
      <c r="D105" s="10"/>
      <c r="E105" s="10">
        <f>+E101/E21</f>
        <v>0.89329452183044089</v>
      </c>
      <c r="F105" s="10"/>
      <c r="I105" s="10">
        <f>+I101/I21</f>
        <v>0.91218312925768008</v>
      </c>
      <c r="J105" s="10"/>
      <c r="K105" s="10">
        <f>+K101/K21</f>
        <v>0.92398437932593824</v>
      </c>
      <c r="L105" s="10">
        <f>+L101/L21</f>
        <v>1.1543995090599375</v>
      </c>
      <c r="M105" s="10">
        <f>+M101/M21</f>
        <v>1.132429457678257</v>
      </c>
      <c r="R105" s="10"/>
      <c r="T105" s="10"/>
      <c r="V105" s="10"/>
    </row>
    <row r="106" spans="1:25">
      <c r="C106" s="6"/>
    </row>
    <row r="107" spans="1:25">
      <c r="B107" t="s">
        <v>104</v>
      </c>
      <c r="C107" s="114">
        <f>+'General Data'!$D$26</f>
        <v>1057787.4103095238</v>
      </c>
      <c r="D107" s="112"/>
      <c r="E107" s="112">
        <f>+C107</f>
        <v>1057787.4103095238</v>
      </c>
      <c r="F107" s="112"/>
      <c r="G107" s="112"/>
      <c r="H107" s="112"/>
      <c r="I107" s="112">
        <f>+E107</f>
        <v>1057787.4103095238</v>
      </c>
      <c r="J107" s="112"/>
      <c r="K107" s="429"/>
      <c r="L107" s="429"/>
      <c r="M107" s="429"/>
      <c r="N107" s="72">
        <f>'Depr Allocation'!AD36</f>
        <v>898146.42129844939</v>
      </c>
    </row>
    <row r="108" spans="1:25">
      <c r="K108" s="51">
        <f>+'Depr Allocation'!N14+'Depr Allocation'!N16</f>
        <v>0.12875663642375632</v>
      </c>
      <c r="L108" s="51">
        <f>'Depr Allocation'!N40</f>
        <v>7.3760911522583676E-4</v>
      </c>
      <c r="M108" s="51">
        <f>'Depr Allocation'!N38</f>
        <v>1.703446578552326E-2</v>
      </c>
    </row>
  </sheetData>
  <mergeCells count="4">
    <mergeCell ref="K5:M5"/>
    <mergeCell ref="Q7:R7"/>
    <mergeCell ref="S7:T7"/>
    <mergeCell ref="U7:V7"/>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selection activeCell="E3" sqref="E3"/>
    </sheetView>
  </sheetViews>
  <sheetFormatPr defaultRowHeight="12.75"/>
  <cols>
    <col min="1" max="1" width="10.140625" bestFit="1" customWidth="1"/>
    <col min="7" max="7" width="11.140625" customWidth="1"/>
    <col min="8" max="8" width="10.28515625" customWidth="1"/>
    <col min="9" max="9" width="11.28515625" bestFit="1" customWidth="1"/>
  </cols>
  <sheetData>
    <row r="1" spans="1:9">
      <c r="A1" t="s">
        <v>0</v>
      </c>
    </row>
    <row r="3" spans="1:9">
      <c r="A3" t="s">
        <v>200</v>
      </c>
      <c r="D3" s="693" t="s">
        <v>1422</v>
      </c>
      <c r="E3" s="693" t="s">
        <v>702</v>
      </c>
    </row>
    <row r="5" spans="1:9">
      <c r="A5" s="722" t="s">
        <v>1372</v>
      </c>
    </row>
    <row r="9" spans="1:9">
      <c r="A9" s="1" t="s">
        <v>201</v>
      </c>
      <c r="B9" t="s">
        <v>202</v>
      </c>
    </row>
    <row r="10" spans="1:9">
      <c r="I10" s="6"/>
    </row>
    <row r="11" spans="1:9">
      <c r="D11" t="s">
        <v>85</v>
      </c>
      <c r="I11" s="6">
        <f>+'Results of Operations Staff '!C84</f>
        <v>0</v>
      </c>
    </row>
    <row r="12" spans="1:9">
      <c r="D12" t="s">
        <v>203</v>
      </c>
      <c r="I12" s="656">
        <f>DEPN2K!$T$321</f>
        <v>262508</v>
      </c>
    </row>
    <row r="13" spans="1:9" ht="13.5" thickBot="1">
      <c r="D13" t="s">
        <v>90</v>
      </c>
      <c r="I13" s="45">
        <f>+I11-I12</f>
        <v>-262508</v>
      </c>
    </row>
    <row r="14" spans="1:9" ht="13.5" thickTop="1">
      <c r="I14" s="6"/>
    </row>
    <row r="15" spans="1:9">
      <c r="I15" s="6"/>
    </row>
    <row r="16" spans="1:9">
      <c r="A16" s="1" t="s">
        <v>204</v>
      </c>
      <c r="B16" t="s">
        <v>205</v>
      </c>
      <c r="I16" s="6"/>
    </row>
    <row r="17" spans="1:17">
      <c r="I17" s="6"/>
    </row>
    <row r="18" spans="1:17">
      <c r="D18" t="s">
        <v>85</v>
      </c>
      <c r="I18" s="6">
        <f>+'Results of Operations Staff '!C85</f>
        <v>-40000</v>
      </c>
    </row>
    <row r="19" spans="1:17">
      <c r="D19" t="s">
        <v>203</v>
      </c>
      <c r="I19" s="44">
        <f>J25</f>
        <v>-476</v>
      </c>
    </row>
    <row r="20" spans="1:17" ht="13.5" thickBot="1">
      <c r="D20" t="s">
        <v>90</v>
      </c>
      <c r="I20" s="45">
        <f>+I18-I19</f>
        <v>-39524</v>
      </c>
    </row>
    <row r="21" spans="1:17" ht="13.5" thickTop="1">
      <c r="I21" s="82"/>
    </row>
    <row r="22" spans="1:17">
      <c r="B22" s="693" t="s">
        <v>1424</v>
      </c>
    </row>
    <row r="23" spans="1:17">
      <c r="B23" s="693"/>
      <c r="G23" s="698" t="s">
        <v>1428</v>
      </c>
      <c r="H23" s="698" t="s">
        <v>1425</v>
      </c>
      <c r="I23" s="698" t="s">
        <v>2</v>
      </c>
      <c r="J23" s="692" t="s">
        <v>1429</v>
      </c>
    </row>
    <row r="24" spans="1:17">
      <c r="B24" s="693"/>
      <c r="G24" s="727" t="s">
        <v>1427</v>
      </c>
      <c r="H24" s="727" t="s">
        <v>1426</v>
      </c>
      <c r="I24" s="727" t="s">
        <v>1108</v>
      </c>
      <c r="J24" s="76">
        <v>2020</v>
      </c>
      <c r="K24" s="76">
        <v>2021</v>
      </c>
      <c r="L24" s="76">
        <v>2022</v>
      </c>
      <c r="M24" s="76">
        <v>2023</v>
      </c>
      <c r="N24" s="76">
        <v>2024</v>
      </c>
      <c r="O24" s="76">
        <v>2025</v>
      </c>
      <c r="P24" s="76">
        <v>2026</v>
      </c>
      <c r="Q24" s="76">
        <v>2027</v>
      </c>
    </row>
    <row r="25" spans="1:17">
      <c r="B25" s="693" t="s">
        <v>1430</v>
      </c>
      <c r="C25" s="693"/>
      <c r="G25" s="173">
        <v>44165</v>
      </c>
      <c r="H25">
        <v>7</v>
      </c>
      <c r="I25" s="107">
        <f>-DEPN2K!AL31</f>
        <v>-40000</v>
      </c>
      <c r="J25" s="107">
        <v>-476</v>
      </c>
      <c r="K25" s="107">
        <v>-5714</v>
      </c>
      <c r="L25" s="107">
        <v>-5714</v>
      </c>
      <c r="M25" s="107">
        <v>-5714</v>
      </c>
      <c r="N25" s="107">
        <v>-5714</v>
      </c>
      <c r="O25" s="107">
        <v>-5714</v>
      </c>
      <c r="P25" s="107">
        <v>-5714</v>
      </c>
      <c r="Q25" s="107">
        <v>-5240</v>
      </c>
    </row>
    <row r="26" spans="1:17">
      <c r="I26" s="6"/>
    </row>
    <row r="27" spans="1:17">
      <c r="I27" s="6"/>
    </row>
    <row r="28" spans="1:17">
      <c r="A28" s="1" t="s">
        <v>256</v>
      </c>
      <c r="B28" t="s">
        <v>288</v>
      </c>
      <c r="I28" s="6">
        <f>+'Fuel Summary'!$P$57</f>
        <v>0</v>
      </c>
    </row>
    <row r="31" spans="1:17">
      <c r="A31" s="1" t="s">
        <v>257</v>
      </c>
      <c r="B31" t="s">
        <v>258</v>
      </c>
    </row>
    <row r="32" spans="1:17">
      <c r="F32">
        <v>3310</v>
      </c>
      <c r="G32" t="s">
        <v>152</v>
      </c>
      <c r="I32" s="6">
        <f>+'Results of Operations Staff '!C15</f>
        <v>325201.94999999995</v>
      </c>
    </row>
    <row r="33" spans="1:9">
      <c r="F33">
        <v>4361</v>
      </c>
      <c r="G33" t="s">
        <v>259</v>
      </c>
      <c r="I33" s="6">
        <f>-'Results of Operations Staff '!C52</f>
        <v>-213487.51000000004</v>
      </c>
    </row>
    <row r="34" spans="1:9">
      <c r="F34">
        <v>4363</v>
      </c>
      <c r="G34" t="s">
        <v>259</v>
      </c>
      <c r="I34" s="43">
        <f>-'Results of Operations Staff '!C54</f>
        <v>-110827.33</v>
      </c>
    </row>
    <row r="36" spans="1:9">
      <c r="G36" t="s">
        <v>260</v>
      </c>
      <c r="I36" s="6">
        <f>SUM(I32:I34)</f>
        <v>887.10999999991327</v>
      </c>
    </row>
    <row r="38" spans="1:9">
      <c r="A38" s="702" t="s">
        <v>268</v>
      </c>
      <c r="B38" s="693" t="s">
        <v>1418</v>
      </c>
    </row>
    <row r="39" spans="1:9">
      <c r="B39" s="693" t="s">
        <v>1419</v>
      </c>
      <c r="I39" s="79">
        <v>5477.5</v>
      </c>
    </row>
  </sheetData>
  <phoneticPr fontId="0" type="noConversion"/>
  <pageMargins left="0.28999999999999998" right="0.3" top="0.49"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topLeftCell="A28" workbookViewId="0">
      <selection activeCell="J7" sqref="J7"/>
    </sheetView>
  </sheetViews>
  <sheetFormatPr defaultRowHeight="12.75"/>
  <cols>
    <col min="1" max="1" width="10.140625" bestFit="1" customWidth="1"/>
    <col min="3" max="3" width="8.85546875" customWidth="1"/>
    <col min="7" max="7" width="10.7109375" customWidth="1"/>
    <col min="8" max="8" width="13.28515625" customWidth="1"/>
    <col min="9" max="9" width="13.42578125" customWidth="1"/>
    <col min="10" max="10" width="10.85546875" bestFit="1" customWidth="1"/>
    <col min="11" max="17" width="9.85546875" bestFit="1" customWidth="1"/>
  </cols>
  <sheetData>
    <row r="1" spans="1:8">
      <c r="A1" t="s">
        <v>0</v>
      </c>
    </row>
    <row r="3" spans="1:8">
      <c r="A3" t="s">
        <v>255</v>
      </c>
      <c r="D3" s="693" t="s">
        <v>1414</v>
      </c>
      <c r="E3" s="693" t="s">
        <v>702</v>
      </c>
    </row>
    <row r="5" spans="1:8">
      <c r="A5" s="55">
        <v>44196</v>
      </c>
    </row>
    <row r="9" spans="1:8">
      <c r="A9" s="1" t="s">
        <v>201</v>
      </c>
      <c r="B9" t="s">
        <v>261</v>
      </c>
    </row>
    <row r="10" spans="1:8">
      <c r="F10" t="s">
        <v>262</v>
      </c>
      <c r="G10">
        <f>'Wage Summary'!P36</f>
        <v>4213</v>
      </c>
      <c r="H10" s="63">
        <f>+'Wage Summary'!$Q$36</f>
        <v>14142.549999999992</v>
      </c>
    </row>
    <row r="11" spans="1:8">
      <c r="F11" t="s">
        <v>263</v>
      </c>
      <c r="G11">
        <f>'Wage Summary'!P37</f>
        <v>4215</v>
      </c>
      <c r="H11" s="53">
        <f>+'Wage Summary'!$Q$37</f>
        <v>1393</v>
      </c>
    </row>
    <row r="12" spans="1:8">
      <c r="F12" s="83" t="s">
        <v>341</v>
      </c>
      <c r="G12">
        <f>'Wage Summary'!P38</f>
        <v>4222</v>
      </c>
      <c r="H12" s="53">
        <f>+'Wage Summary'!$Q$38</f>
        <v>156</v>
      </c>
    </row>
    <row r="13" spans="1:8">
      <c r="F13" t="s">
        <v>297</v>
      </c>
      <c r="G13">
        <f>'Wage Summary'!P39</f>
        <v>4611</v>
      </c>
      <c r="H13" s="53">
        <f>+'Wage Summary'!$Q$39</f>
        <v>1200</v>
      </c>
    </row>
    <row r="14" spans="1:8">
      <c r="F14" t="s">
        <v>195</v>
      </c>
      <c r="G14">
        <f>'Wage Summary'!P40</f>
        <v>4612</v>
      </c>
      <c r="H14" s="53">
        <f>+'Wage Summary'!$Q$40</f>
        <v>36720</v>
      </c>
    </row>
    <row r="15" spans="1:8">
      <c r="F15" t="s">
        <v>195</v>
      </c>
      <c r="G15">
        <f>'Wage Summary'!P41</f>
        <v>4613</v>
      </c>
      <c r="H15" s="57">
        <f>+'Wage Summary'!$Q$41</f>
        <v>-6372</v>
      </c>
    </row>
    <row r="16" spans="1:8" ht="13.5" thickBot="1">
      <c r="H16" s="64">
        <f>SUM(H10:H15)</f>
        <v>47239.549999999988</v>
      </c>
    </row>
    <row r="17" spans="1:13" ht="13.5" thickTop="1"/>
    <row r="19" spans="1:13">
      <c r="A19" s="1" t="s">
        <v>204</v>
      </c>
      <c r="B19" t="s">
        <v>264</v>
      </c>
      <c r="H19" s="56">
        <f>+'L&amp;I'!$G$37</f>
        <v>-527.25720000000501</v>
      </c>
    </row>
    <row r="21" spans="1:13">
      <c r="A21" s="1" t="s">
        <v>256</v>
      </c>
      <c r="B21" t="s">
        <v>265</v>
      </c>
      <c r="H21" s="56">
        <f>+'Health Insurance'!$F$28</f>
        <v>11278.919999999984</v>
      </c>
    </row>
    <row r="23" spans="1:13">
      <c r="A23" s="1" t="s">
        <v>257</v>
      </c>
      <c r="B23" t="s">
        <v>266</v>
      </c>
    </row>
    <row r="25" spans="1:13">
      <c r="F25" s="58">
        <v>0.8</v>
      </c>
      <c r="H25" t="s">
        <v>90</v>
      </c>
    </row>
    <row r="26" spans="1:13">
      <c r="B26" s="247" t="s">
        <v>1423</v>
      </c>
      <c r="C26" s="65"/>
      <c r="D26" s="65"/>
      <c r="E26" s="66">
        <v>0</v>
      </c>
      <c r="F26" s="53">
        <f>+E26*F25</f>
        <v>0</v>
      </c>
      <c r="J26" s="657">
        <v>6440</v>
      </c>
      <c r="K26" s="658" t="s">
        <v>1171</v>
      </c>
      <c r="L26" s="658"/>
      <c r="M26" s="658"/>
    </row>
    <row r="27" spans="1:13">
      <c r="B27" t="s">
        <v>267</v>
      </c>
      <c r="E27" s="57">
        <v>0</v>
      </c>
      <c r="F27" s="57">
        <f>+E27*F25</f>
        <v>0</v>
      </c>
      <c r="H27" s="6">
        <f>+F27-E27</f>
        <v>0</v>
      </c>
      <c r="J27" s="659">
        <v>500</v>
      </c>
      <c r="K27" s="658" t="s">
        <v>1172</v>
      </c>
      <c r="L27" s="658"/>
      <c r="M27" s="658"/>
    </row>
    <row r="28" spans="1:13">
      <c r="B28" t="s">
        <v>260</v>
      </c>
      <c r="E28" s="53">
        <f>+E26-E27</f>
        <v>0</v>
      </c>
      <c r="F28" s="53">
        <f>+E28*F25</f>
        <v>0</v>
      </c>
      <c r="H28" s="43">
        <f>+F28-E28</f>
        <v>0</v>
      </c>
      <c r="J28" s="660">
        <f>J26-J27</f>
        <v>5940</v>
      </c>
      <c r="K28" s="658" t="s">
        <v>1292</v>
      </c>
      <c r="L28" s="658"/>
      <c r="M28" s="658"/>
    </row>
    <row r="29" spans="1:13">
      <c r="H29" s="56">
        <f>+H27+H28</f>
        <v>0</v>
      </c>
      <c r="J29" s="661">
        <f>J28*0.8</f>
        <v>4752</v>
      </c>
      <c r="K29" s="662">
        <v>0.8</v>
      </c>
      <c r="L29" s="658"/>
      <c r="M29" s="658"/>
    </row>
    <row r="30" spans="1:13">
      <c r="H30" s="6"/>
      <c r="J30" s="660">
        <f>J28-J29</f>
        <v>1188</v>
      </c>
      <c r="K30" s="658" t="s">
        <v>90</v>
      </c>
      <c r="L30" s="658"/>
      <c r="M30" s="658"/>
    </row>
    <row r="32" spans="1:13">
      <c r="A32" s="1" t="s">
        <v>268</v>
      </c>
      <c r="B32" t="s">
        <v>269</v>
      </c>
    </row>
    <row r="33" spans="1:9">
      <c r="C33" t="s">
        <v>270</v>
      </c>
      <c r="H33" s="67">
        <v>-600</v>
      </c>
    </row>
    <row r="36" spans="1:9">
      <c r="A36" s="1" t="s">
        <v>271</v>
      </c>
      <c r="B36" t="s">
        <v>272</v>
      </c>
    </row>
    <row r="38" spans="1:9">
      <c r="B38" t="s">
        <v>113</v>
      </c>
      <c r="H38" s="56">
        <f>+'City Contracts'!$H$27</f>
        <v>0</v>
      </c>
    </row>
    <row r="39" spans="1:9">
      <c r="B39" t="s">
        <v>110</v>
      </c>
      <c r="H39" s="56">
        <f>+'City Contracts'!$I$27</f>
        <v>0</v>
      </c>
    </row>
    <row r="42" spans="1:9">
      <c r="A42" s="1" t="s">
        <v>273</v>
      </c>
      <c r="B42" t="s">
        <v>274</v>
      </c>
      <c r="H42" s="75">
        <f>+'Results of Operations Staff '!H21</f>
        <v>0</v>
      </c>
    </row>
    <row r="43" spans="1:9">
      <c r="A43" s="1"/>
      <c r="H43" s="726">
        <f>'General Data'!E10</f>
        <v>1.7500000000000002E-2</v>
      </c>
    </row>
    <row r="44" spans="1:9">
      <c r="A44" s="1"/>
      <c r="I44" s="63">
        <f>+H42*H43</f>
        <v>0</v>
      </c>
    </row>
    <row r="47" spans="1:9">
      <c r="A47" s="1" t="s">
        <v>287</v>
      </c>
      <c r="B47" s="83" t="s">
        <v>355</v>
      </c>
      <c r="H47" s="63">
        <f>+'Disposal Fees'!$E$34</f>
        <v>997.77000000001863</v>
      </c>
    </row>
    <row r="48" spans="1:9">
      <c r="B48" s="83" t="s">
        <v>356</v>
      </c>
      <c r="H48" s="98">
        <f>'Disposal Fees'!$G$63</f>
        <v>0</v>
      </c>
    </row>
    <row r="50" spans="1:8">
      <c r="A50" s="1" t="s">
        <v>300</v>
      </c>
      <c r="B50" t="s">
        <v>301</v>
      </c>
    </row>
    <row r="51" spans="1:8">
      <c r="C51" t="s">
        <v>303</v>
      </c>
    </row>
    <row r="52" spans="1:8">
      <c r="D52" t="s">
        <v>302</v>
      </c>
      <c r="G52" s="56">
        <f>'Previous rate increases'!I79</f>
        <v>0</v>
      </c>
    </row>
    <row r="53" spans="1:8">
      <c r="D53" t="s">
        <v>304</v>
      </c>
      <c r="G53" s="56">
        <f>'Previous rate increases'!Q79</f>
        <v>0</v>
      </c>
    </row>
    <row r="54" spans="1:8" ht="13.5" thickBot="1">
      <c r="D54" t="s">
        <v>305</v>
      </c>
      <c r="G54" s="69">
        <f>'Previous rate increases'!Y79</f>
        <v>0</v>
      </c>
      <c r="H54" s="69">
        <f>SUM(G52:G54)</f>
        <v>0</v>
      </c>
    </row>
    <row r="57" spans="1:8">
      <c r="C57" t="s">
        <v>306</v>
      </c>
    </row>
    <row r="58" spans="1:8">
      <c r="D58" t="s">
        <v>302</v>
      </c>
      <c r="G58" s="6">
        <f>'Previous rate increases'!I80</f>
        <v>0</v>
      </c>
    </row>
    <row r="59" spans="1:8">
      <c r="D59" t="s">
        <v>304</v>
      </c>
      <c r="G59" s="6">
        <f>'Previous rate increases'!Q80</f>
        <v>0</v>
      </c>
    </row>
    <row r="60" spans="1:8" ht="13.5" thickBot="1">
      <c r="D60" t="s">
        <v>305</v>
      </c>
      <c r="G60" s="7">
        <f>'Previous rate increases'!Y80</f>
        <v>0</v>
      </c>
      <c r="H60" s="7">
        <f>SUM(G58:G60)</f>
        <v>0</v>
      </c>
    </row>
    <row r="63" spans="1:8">
      <c r="A63" s="1" t="s">
        <v>307</v>
      </c>
      <c r="B63" t="s">
        <v>308</v>
      </c>
    </row>
    <row r="65" spans="1:8">
      <c r="C65" t="s">
        <v>309</v>
      </c>
      <c r="H65" s="72">
        <f>+'Fuel Proforma'!$Q$66</f>
        <v>0</v>
      </c>
    </row>
    <row r="66" spans="1:8">
      <c r="H66" s="72"/>
    </row>
    <row r="67" spans="1:8">
      <c r="C67" t="s">
        <v>310</v>
      </c>
      <c r="H67" s="72">
        <f>+'Fuel Proforma'!$Q$75</f>
        <v>2.4796605991657188</v>
      </c>
    </row>
    <row r="71" spans="1:8">
      <c r="A71" s="1" t="s">
        <v>312</v>
      </c>
      <c r="B71" t="s">
        <v>317</v>
      </c>
      <c r="H71" s="72">
        <f>+'Employment Security'!$D$44</f>
        <v>3443.445232</v>
      </c>
    </row>
    <row r="74" spans="1:8">
      <c r="A74" s="1" t="s">
        <v>312</v>
      </c>
      <c r="B74" s="83" t="s">
        <v>370</v>
      </c>
      <c r="F74" s="83" t="s">
        <v>372</v>
      </c>
      <c r="H74" s="72">
        <f>Rent!$F$23</f>
        <v>2484</v>
      </c>
    </row>
    <row r="75" spans="1:8">
      <c r="F75" s="83" t="s">
        <v>373</v>
      </c>
      <c r="H75" s="72">
        <f>Rent!$F$35</f>
        <v>0</v>
      </c>
    </row>
    <row r="77" spans="1:8">
      <c r="A77" s="109" t="s">
        <v>1306</v>
      </c>
      <c r="B77" s="83" t="s">
        <v>1307</v>
      </c>
    </row>
    <row r="79" spans="1:8">
      <c r="C79" s="693" t="s">
        <v>1420</v>
      </c>
      <c r="H79" s="107">
        <v>0</v>
      </c>
    </row>
    <row r="80" spans="1:8">
      <c r="C80" s="83" t="s">
        <v>1308</v>
      </c>
      <c r="H80" s="679">
        <v>1100</v>
      </c>
    </row>
    <row r="81" spans="1:10">
      <c r="C81" s="109" t="s">
        <v>1309</v>
      </c>
      <c r="H81" s="107">
        <f>+H79*H80</f>
        <v>0</v>
      </c>
    </row>
    <row r="82" spans="1:10">
      <c r="C82" s="83" t="s">
        <v>1310</v>
      </c>
      <c r="H82" s="679">
        <v>2000</v>
      </c>
    </row>
    <row r="83" spans="1:10">
      <c r="C83" s="109" t="s">
        <v>1311</v>
      </c>
      <c r="H83" s="678">
        <f>+H81/H82</f>
        <v>0</v>
      </c>
    </row>
    <row r="84" spans="1:10">
      <c r="C84" s="83" t="s">
        <v>1312</v>
      </c>
      <c r="H84" s="680">
        <v>95</v>
      </c>
    </row>
    <row r="85" spans="1:10">
      <c r="H85" s="107"/>
    </row>
    <row r="86" spans="1:10" ht="13.5" thickBot="1">
      <c r="C86" s="109" t="s">
        <v>1313</v>
      </c>
      <c r="H86" s="681">
        <f>+H83*H84</f>
        <v>0</v>
      </c>
    </row>
    <row r="87" spans="1:10" ht="13.5" thickTop="1"/>
    <row r="89" spans="1:10">
      <c r="A89" s="109" t="s">
        <v>1341</v>
      </c>
      <c r="B89" s="83" t="s">
        <v>1342</v>
      </c>
      <c r="G89" s="83" t="s">
        <v>2</v>
      </c>
      <c r="H89" s="73">
        <f>-DEPN2K!AL60</f>
        <v>-26043</v>
      </c>
    </row>
    <row r="90" spans="1:10">
      <c r="G90">
        <v>2019</v>
      </c>
      <c r="H90" s="72">
        <f>+H89/3</f>
        <v>-8681</v>
      </c>
    </row>
    <row r="91" spans="1:10">
      <c r="G91">
        <v>2020</v>
      </c>
      <c r="H91" s="72">
        <f>+H89/3</f>
        <v>-8681</v>
      </c>
      <c r="I91" s="107"/>
      <c r="J91" s="73"/>
    </row>
    <row r="92" spans="1:10">
      <c r="G92">
        <v>2021</v>
      </c>
      <c r="H92" s="72">
        <f>+H89/3</f>
        <v>-8681</v>
      </c>
    </row>
  </sheetData>
  <phoneticPr fontId="0" type="noConversion"/>
  <pageMargins left="0.44" right="0.39" top="0.56000000000000005" bottom="1" header="0.5" footer="0.5"/>
  <pageSetup scale="7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workbookViewId="0">
      <selection activeCell="A6" sqref="A6"/>
    </sheetView>
  </sheetViews>
  <sheetFormatPr defaultRowHeight="12.75"/>
  <cols>
    <col min="1" max="1" width="5.42578125" customWidth="1"/>
    <col min="2" max="2" width="26.7109375" customWidth="1"/>
    <col min="3" max="3" width="14.140625" customWidth="1"/>
    <col min="4" max="4" width="3.5703125" customWidth="1"/>
    <col min="5" max="5" width="7.42578125" customWidth="1"/>
    <col min="6" max="6" width="12.28515625" customWidth="1"/>
    <col min="7" max="7" width="3.28515625" customWidth="1"/>
    <col min="9" max="9" width="11.140625" customWidth="1"/>
    <col min="10" max="10" width="3.42578125" customWidth="1"/>
    <col min="12" max="12" width="11.140625" customWidth="1"/>
    <col min="13" max="13" width="4.28515625" customWidth="1"/>
    <col min="14" max="14" width="12.5703125" customWidth="1"/>
    <col min="16" max="16" width="9.7109375" customWidth="1"/>
  </cols>
  <sheetData>
    <row r="1" spans="1:16">
      <c r="A1" t="s">
        <v>0</v>
      </c>
    </row>
    <row r="3" spans="1:16">
      <c r="A3" t="s">
        <v>479</v>
      </c>
      <c r="F3" s="693" t="s">
        <v>1414</v>
      </c>
      <c r="G3" s="693" t="s">
        <v>702</v>
      </c>
    </row>
    <row r="5" spans="1:16">
      <c r="A5" s="692" t="s">
        <v>1386</v>
      </c>
    </row>
    <row r="6" spans="1:16">
      <c r="A6" s="1"/>
      <c r="E6" s="744" t="s">
        <v>477</v>
      </c>
      <c r="F6" s="744"/>
      <c r="H6" s="744" t="s">
        <v>476</v>
      </c>
      <c r="I6" s="744"/>
      <c r="K6" s="744" t="s">
        <v>475</v>
      </c>
      <c r="L6" s="744"/>
    </row>
    <row r="7" spans="1:16">
      <c r="C7" s="2" t="s">
        <v>89</v>
      </c>
      <c r="E7" s="744" t="s">
        <v>106</v>
      </c>
      <c r="F7" s="744"/>
      <c r="H7" s="744" t="s">
        <v>106</v>
      </c>
      <c r="I7" s="744"/>
      <c r="K7" s="744" t="s">
        <v>106</v>
      </c>
      <c r="L7" s="744"/>
      <c r="N7" s="2" t="s">
        <v>2</v>
      </c>
      <c r="O7" s="2" t="s">
        <v>2</v>
      </c>
    </row>
    <row r="8" spans="1:16" ht="13.5" thickBot="1">
      <c r="C8" s="3" t="s">
        <v>94</v>
      </c>
      <c r="D8" s="3"/>
      <c r="E8" s="3" t="s">
        <v>107</v>
      </c>
      <c r="F8" s="3" t="s">
        <v>108</v>
      </c>
      <c r="G8" s="3"/>
      <c r="H8" s="3" t="s">
        <v>107</v>
      </c>
      <c r="I8" s="3" t="s">
        <v>108</v>
      </c>
      <c r="J8" s="3"/>
      <c r="K8" s="3" t="s">
        <v>107</v>
      </c>
      <c r="L8" s="3" t="s">
        <v>108</v>
      </c>
      <c r="M8" s="3"/>
      <c r="N8" s="3" t="s">
        <v>108</v>
      </c>
      <c r="O8" s="3" t="s">
        <v>107</v>
      </c>
    </row>
    <row r="9" spans="1:16" ht="13.5" thickTop="1"/>
    <row r="10" spans="1:16">
      <c r="A10" t="s">
        <v>3</v>
      </c>
    </row>
    <row r="11" spans="1:16">
      <c r="A11">
        <v>3100</v>
      </c>
      <c r="B11" t="s">
        <v>5</v>
      </c>
      <c r="C11" s="6">
        <f>+'Results of Operations Regulated'!C11</f>
        <v>1870785.01</v>
      </c>
      <c r="E11" s="26">
        <f>+'Overhead Allocation'!$L$35</f>
        <v>0.76882180689732338</v>
      </c>
      <c r="F11" s="6">
        <f t="shared" ref="F11:F19" si="0">+C11*E11</f>
        <v>1438300.3117046272</v>
      </c>
      <c r="H11" s="11">
        <f>+'Overhead Allocation'!$L$36</f>
        <v>5.8879277694555671E-2</v>
      </c>
      <c r="I11" s="6">
        <f t="shared" ref="I11:I19" si="1">+C11*H11</f>
        <v>110150.47011060211</v>
      </c>
      <c r="K11" s="11">
        <f>+'Overhead Allocation'!L37</f>
        <v>0.17229891540812101</v>
      </c>
      <c r="L11" s="6">
        <f t="shared" ref="L11:L19" si="2">+C11*K11</f>
        <v>322334.22818477079</v>
      </c>
      <c r="M11" s="6"/>
      <c r="N11" s="6">
        <f t="shared" ref="N11:N19" si="3">+F11+I11+L11</f>
        <v>1870785.0100000002</v>
      </c>
      <c r="O11" s="11">
        <f t="shared" ref="O11:O19" si="4">+E11+H11+K11</f>
        <v>1</v>
      </c>
      <c r="P11" t="str">
        <f t="shared" ref="P11:P19" si="5">IF(O11&lt;&gt;1,"ERR"," ")</f>
        <v xml:space="preserve"> </v>
      </c>
    </row>
    <row r="12" spans="1:16">
      <c r="A12">
        <v>3112</v>
      </c>
      <c r="B12" t="s">
        <v>6</v>
      </c>
      <c r="C12" s="6">
        <f>+'Results of Operations Regulated'!C12</f>
        <v>0</v>
      </c>
      <c r="E12" s="15"/>
      <c r="F12" s="6">
        <f t="shared" si="0"/>
        <v>0</v>
      </c>
      <c r="H12" s="15"/>
      <c r="I12" s="6">
        <f t="shared" si="1"/>
        <v>0</v>
      </c>
      <c r="K12" s="11"/>
      <c r="L12" s="6">
        <f t="shared" si="2"/>
        <v>0</v>
      </c>
      <c r="M12" s="6"/>
      <c r="N12" s="6">
        <f t="shared" si="3"/>
        <v>0</v>
      </c>
      <c r="O12" s="11">
        <f t="shared" si="4"/>
        <v>0</v>
      </c>
      <c r="P12" t="str">
        <f t="shared" si="5"/>
        <v>ERR</v>
      </c>
    </row>
    <row r="13" spans="1:16">
      <c r="A13">
        <v>3114</v>
      </c>
      <c r="B13" t="s">
        <v>7</v>
      </c>
      <c r="C13" s="6">
        <f>+'Results of Operations Regulated'!C13</f>
        <v>0</v>
      </c>
      <c r="E13" s="15"/>
      <c r="F13" s="6">
        <f t="shared" si="0"/>
        <v>0</v>
      </c>
      <c r="H13" s="11"/>
      <c r="I13" s="6">
        <f t="shared" si="1"/>
        <v>0</v>
      </c>
      <c r="K13" s="15"/>
      <c r="L13" s="6">
        <f t="shared" si="2"/>
        <v>0</v>
      </c>
      <c r="M13" s="6"/>
      <c r="N13" s="6">
        <f t="shared" si="3"/>
        <v>0</v>
      </c>
      <c r="O13" s="11">
        <f t="shared" si="4"/>
        <v>0</v>
      </c>
      <c r="P13" t="str">
        <f t="shared" si="5"/>
        <v>ERR</v>
      </c>
    </row>
    <row r="14" spans="1:16">
      <c r="A14">
        <v>3300</v>
      </c>
      <c r="B14" t="s">
        <v>8</v>
      </c>
      <c r="C14" s="6">
        <f>+'Results of Operations Regulated'!C14</f>
        <v>242661.77999999997</v>
      </c>
      <c r="E14" s="26">
        <f>+'Drop Box Allocation'!$I$10</f>
        <v>0.38699956231264759</v>
      </c>
      <c r="F14" s="6">
        <f t="shared" si="0"/>
        <v>93910.002650007969</v>
      </c>
      <c r="H14" s="11">
        <f>+'Drop Box Allocation'!$I$11</f>
        <v>0.12294051557241764</v>
      </c>
      <c r="I14" s="6">
        <f t="shared" si="1"/>
        <v>29832.964342920579</v>
      </c>
      <c r="K14" s="11">
        <f>+'Drop Box Allocation'!I12</f>
        <v>0.49005992211493471</v>
      </c>
      <c r="L14" s="6">
        <f t="shared" si="2"/>
        <v>118918.81300707141</v>
      </c>
      <c r="M14" s="6"/>
      <c r="N14" s="6">
        <f t="shared" si="3"/>
        <v>242661.77999999997</v>
      </c>
      <c r="O14" s="11">
        <f t="shared" si="4"/>
        <v>1</v>
      </c>
      <c r="P14" t="str">
        <f t="shared" si="5"/>
        <v xml:space="preserve"> </v>
      </c>
    </row>
    <row r="15" spans="1:16">
      <c r="A15">
        <v>3310</v>
      </c>
      <c r="B15" t="s">
        <v>9</v>
      </c>
      <c r="C15" s="6">
        <f>+'Results of Operations Regulated'!C15</f>
        <v>324314.84000000003</v>
      </c>
      <c r="E15" s="26">
        <f>+'Drop Box Allocation'!$D$35</f>
        <v>0.66248779633765231</v>
      </c>
      <c r="F15" s="6">
        <f t="shared" si="0"/>
        <v>214854.62367119832</v>
      </c>
      <c r="H15" s="11">
        <f>+'Drop Box Allocation'!$D$36</f>
        <v>5.5999469205876951E-2</v>
      </c>
      <c r="I15" s="6">
        <f t="shared" si="1"/>
        <v>18161.458895588912</v>
      </c>
      <c r="K15" s="11">
        <f>+'Drop Box Allocation'!D37</f>
        <v>0.28151273445647079</v>
      </c>
      <c r="L15" s="6">
        <f t="shared" si="2"/>
        <v>91298.757433212813</v>
      </c>
      <c r="M15" s="6"/>
      <c r="N15" s="6">
        <f t="shared" si="3"/>
        <v>324314.84000000003</v>
      </c>
      <c r="O15" s="11">
        <f t="shared" si="4"/>
        <v>1</v>
      </c>
      <c r="P15" t="str">
        <f t="shared" si="5"/>
        <v xml:space="preserve"> </v>
      </c>
    </row>
    <row r="16" spans="1:16">
      <c r="A16" s="158">
        <v>3510</v>
      </c>
      <c r="B16" s="158" t="s">
        <v>328</v>
      </c>
      <c r="C16" s="159">
        <f>+'Results of Operations Regulated'!C16</f>
        <v>0</v>
      </c>
      <c r="D16" s="158"/>
      <c r="E16" s="88">
        <v>1</v>
      </c>
      <c r="F16" s="159">
        <f t="shared" si="0"/>
        <v>0</v>
      </c>
      <c r="G16" s="158"/>
      <c r="H16" s="88">
        <v>0</v>
      </c>
      <c r="I16" s="159">
        <f t="shared" si="1"/>
        <v>0</v>
      </c>
      <c r="J16" s="158"/>
      <c r="K16" s="88">
        <f>+'Drop Box Allocation'!D38</f>
        <v>0</v>
      </c>
      <c r="L16" s="159">
        <f t="shared" si="2"/>
        <v>0</v>
      </c>
      <c r="M16" s="159"/>
      <c r="N16" s="159">
        <f t="shared" si="3"/>
        <v>0</v>
      </c>
      <c r="O16" s="11">
        <f t="shared" si="4"/>
        <v>1</v>
      </c>
      <c r="P16" t="str">
        <f t="shared" si="5"/>
        <v xml:space="preserve"> </v>
      </c>
    </row>
    <row r="17" spans="1:16">
      <c r="A17" s="158">
        <v>3550</v>
      </c>
      <c r="B17" s="158" t="s">
        <v>329</v>
      </c>
      <c r="C17" s="159">
        <f>+'Results of Operations Regulated'!C17</f>
        <v>0</v>
      </c>
      <c r="D17" s="158"/>
      <c r="E17" s="88">
        <v>1</v>
      </c>
      <c r="F17" s="159">
        <f t="shared" si="0"/>
        <v>0</v>
      </c>
      <c r="G17" s="158"/>
      <c r="H17" s="88">
        <f>+'Drop Box Allocation'!$D$38</f>
        <v>0</v>
      </c>
      <c r="I17" s="159">
        <f t="shared" si="1"/>
        <v>0</v>
      </c>
      <c r="J17" s="158"/>
      <c r="K17" s="88">
        <v>0</v>
      </c>
      <c r="L17" s="159">
        <f t="shared" si="2"/>
        <v>0</v>
      </c>
      <c r="M17" s="159"/>
      <c r="N17" s="159">
        <f t="shared" si="3"/>
        <v>0</v>
      </c>
      <c r="O17" s="11">
        <f t="shared" si="4"/>
        <v>1</v>
      </c>
      <c r="P17" t="str">
        <f t="shared" si="5"/>
        <v xml:space="preserve"> </v>
      </c>
    </row>
    <row r="18" spans="1:16">
      <c r="A18" s="158">
        <v>3400</v>
      </c>
      <c r="B18" s="158" t="s">
        <v>10</v>
      </c>
      <c r="C18" s="159">
        <f>+'Results of Operations Regulated'!C18</f>
        <v>0</v>
      </c>
      <c r="D18" s="158"/>
      <c r="E18" s="88">
        <v>1</v>
      </c>
      <c r="F18" s="159">
        <f t="shared" si="0"/>
        <v>0</v>
      </c>
      <c r="G18" s="158"/>
      <c r="H18" s="88"/>
      <c r="I18" s="159">
        <f t="shared" si="1"/>
        <v>0</v>
      </c>
      <c r="J18" s="158"/>
      <c r="K18" s="88"/>
      <c r="L18" s="159">
        <f t="shared" si="2"/>
        <v>0</v>
      </c>
      <c r="M18" s="159"/>
      <c r="N18" s="159">
        <f t="shared" si="3"/>
        <v>0</v>
      </c>
      <c r="O18" s="11">
        <f t="shared" si="4"/>
        <v>1</v>
      </c>
      <c r="P18" t="str">
        <f t="shared" si="5"/>
        <v xml:space="preserve"> </v>
      </c>
    </row>
    <row r="19" spans="1:16" ht="13.5" thickBot="1">
      <c r="A19">
        <v>3500</v>
      </c>
      <c r="B19" t="s">
        <v>11</v>
      </c>
      <c r="C19" s="7">
        <f>+'Results of Operations Regulated'!C19</f>
        <v>0</v>
      </c>
      <c r="D19" s="5"/>
      <c r="E19" s="25">
        <v>1</v>
      </c>
      <c r="F19" s="7">
        <f t="shared" si="0"/>
        <v>0</v>
      </c>
      <c r="G19" s="5"/>
      <c r="H19" s="12"/>
      <c r="I19" s="7">
        <f t="shared" si="1"/>
        <v>0</v>
      </c>
      <c r="J19" s="5"/>
      <c r="K19" s="12"/>
      <c r="L19" s="7">
        <f t="shared" si="2"/>
        <v>0</v>
      </c>
      <c r="M19" s="7"/>
      <c r="N19" s="7">
        <f t="shared" si="3"/>
        <v>0</v>
      </c>
      <c r="O19" s="12">
        <f t="shared" si="4"/>
        <v>1</v>
      </c>
      <c r="P19" t="str">
        <f t="shared" si="5"/>
        <v xml:space="preserve"> </v>
      </c>
    </row>
    <row r="20" spans="1:16">
      <c r="C20" s="6"/>
      <c r="E20" s="11"/>
      <c r="H20" s="11"/>
      <c r="K20" s="11"/>
      <c r="O20" s="11"/>
    </row>
    <row r="21" spans="1:16" ht="13.5" thickBot="1">
      <c r="B21" t="s">
        <v>4</v>
      </c>
      <c r="C21" s="7">
        <f>SUM(C11:C19)</f>
        <v>2437761.63</v>
      </c>
      <c r="D21" s="5"/>
      <c r="E21" s="12">
        <f>+F21/C21</f>
        <v>0.71666766615972766</v>
      </c>
      <c r="F21" s="7">
        <f>SUM(F11:F19)</f>
        <v>1747064.9380258336</v>
      </c>
      <c r="G21" s="5"/>
      <c r="H21" s="12">
        <f>+I21/C21</f>
        <v>6.487299307812619E-2</v>
      </c>
      <c r="I21" s="7">
        <f>SUM(I11:I19)</f>
        <v>158144.8933491116</v>
      </c>
      <c r="J21" s="5"/>
      <c r="K21" s="12">
        <f>+L21/C21</f>
        <v>0.21845934076214624</v>
      </c>
      <c r="L21" s="7">
        <f>SUM(L11:L19)</f>
        <v>532551.798625055</v>
      </c>
      <c r="M21" s="5"/>
      <c r="N21" s="7">
        <f>SUM(N11:N19)</f>
        <v>2437761.63</v>
      </c>
      <c r="O21" s="12">
        <f>+E21+H21+K21</f>
        <v>1</v>
      </c>
    </row>
    <row r="22" spans="1:16">
      <c r="C22" s="6"/>
      <c r="E22" s="11"/>
      <c r="H22" s="11"/>
      <c r="K22" s="11"/>
      <c r="O22" s="11"/>
    </row>
    <row r="23" spans="1:16">
      <c r="A23" t="s">
        <v>12</v>
      </c>
      <c r="C23" s="6"/>
      <c r="E23" s="11"/>
      <c r="H23" s="11"/>
      <c r="K23" s="11"/>
      <c r="O23" s="11"/>
    </row>
    <row r="24" spans="1:16">
      <c r="A24" t="s">
        <v>13</v>
      </c>
      <c r="C24" s="6"/>
      <c r="E24" s="11"/>
      <c r="H24" s="11"/>
      <c r="K24" s="11"/>
      <c r="O24" s="11"/>
    </row>
    <row r="25" spans="1:16">
      <c r="A25">
        <v>4116</v>
      </c>
      <c r="B25" t="s">
        <v>29</v>
      </c>
      <c r="C25" s="6">
        <f>+'Results of Operations Regulated'!C25</f>
        <v>69878.025088750408</v>
      </c>
      <c r="E25" s="26">
        <f>+'Hours &amp; Miles by County'!$D$25</f>
        <v>0.78523744752734048</v>
      </c>
      <c r="F25" s="6">
        <f t="shared" ref="F25:F38" si="6">+C25*E25</f>
        <v>54870.842058941831</v>
      </c>
      <c r="H25" s="11">
        <f>+'Hours &amp; Miles by County'!$E$25</f>
        <v>6.7195645252181857E-2</v>
      </c>
      <c r="I25" s="6">
        <f t="shared" ref="I25:I38" si="7">+C25*H25</f>
        <v>4695.4989847867364</v>
      </c>
      <c r="K25" s="11">
        <f>+'Hours &amp; Miles by County'!F25</f>
        <v>0.1475669072204778</v>
      </c>
      <c r="L25" s="6">
        <f t="shared" ref="L25:L38" si="8">+C25*K25</f>
        <v>10311.684045021851</v>
      </c>
      <c r="N25" s="6">
        <f t="shared" ref="N25:N38" si="9">+F25+I25+L25</f>
        <v>69878.025088750408</v>
      </c>
      <c r="O25" s="11">
        <f t="shared" ref="O25:O38" si="10">+E25+H25+K25</f>
        <v>1</v>
      </c>
      <c r="P25" t="str">
        <f t="shared" ref="P25:P38" si="11">IF(O25&lt;&gt;1,"ERR"," ")</f>
        <v xml:space="preserve"> </v>
      </c>
    </row>
    <row r="26" spans="1:16">
      <c r="A26">
        <v>4117</v>
      </c>
      <c r="B26" t="s">
        <v>278</v>
      </c>
      <c r="C26" s="6">
        <f>+'Results of Operations Regulated'!C26</f>
        <v>2615</v>
      </c>
      <c r="E26" s="26">
        <f>+$E$25</f>
        <v>0.78523744752734048</v>
      </c>
      <c r="F26" s="6">
        <f t="shared" si="6"/>
        <v>2053.3959252839954</v>
      </c>
      <c r="H26" s="11">
        <f>+'Hours &amp; Miles by County'!$E$25</f>
        <v>6.7195645252181857E-2</v>
      </c>
      <c r="I26" s="6">
        <f t="shared" si="7"/>
        <v>175.71661233445556</v>
      </c>
      <c r="K26" s="11">
        <f>+K25</f>
        <v>0.1475669072204778</v>
      </c>
      <c r="L26" s="6">
        <f t="shared" si="8"/>
        <v>385.88746238154943</v>
      </c>
      <c r="N26" s="6">
        <f t="shared" si="9"/>
        <v>2615.0000000000005</v>
      </c>
      <c r="O26" s="11">
        <f t="shared" si="10"/>
        <v>1</v>
      </c>
      <c r="P26" t="str">
        <f t="shared" si="11"/>
        <v xml:space="preserve"> </v>
      </c>
    </row>
    <row r="27" spans="1:16">
      <c r="A27">
        <v>4118</v>
      </c>
      <c r="B27" t="s">
        <v>30</v>
      </c>
      <c r="C27" s="6">
        <f>+'Results of Operations Regulated'!C27</f>
        <v>13733.572088724584</v>
      </c>
      <c r="E27" s="26">
        <f>ROUND(+'Container Count by County'!$K$22,3)</f>
        <v>0.81</v>
      </c>
      <c r="F27" s="6">
        <f t="shared" si="6"/>
        <v>11124.193391866915</v>
      </c>
      <c r="H27" s="26">
        <f>ROUND(+'Container Count by County'!$K$24,3)</f>
        <v>0.05</v>
      </c>
      <c r="I27" s="6">
        <f t="shared" si="7"/>
        <v>686.67860443622931</v>
      </c>
      <c r="K27" s="27">
        <f>ROUND(+'Container Count by County'!K26,3)</f>
        <v>0.14000000000000001</v>
      </c>
      <c r="L27" s="6">
        <f t="shared" si="8"/>
        <v>1922.7000924214419</v>
      </c>
      <c r="N27" s="6">
        <f t="shared" si="9"/>
        <v>13733.572088724586</v>
      </c>
      <c r="O27" s="11">
        <f t="shared" si="10"/>
        <v>1</v>
      </c>
      <c r="P27" t="str">
        <f t="shared" si="11"/>
        <v xml:space="preserve"> </v>
      </c>
    </row>
    <row r="28" spans="1:16">
      <c r="A28">
        <v>4120</v>
      </c>
      <c r="B28" t="s">
        <v>279</v>
      </c>
      <c r="C28" s="6">
        <f>+'Results of Operations Regulated'!C28</f>
        <v>338</v>
      </c>
      <c r="E28" s="26">
        <f>+$E$27</f>
        <v>0.81</v>
      </c>
      <c r="F28" s="6">
        <f t="shared" si="6"/>
        <v>273.78000000000003</v>
      </c>
      <c r="H28" s="26">
        <f>ROUND(+'Container Count by County'!$K$24,3)</f>
        <v>0.05</v>
      </c>
      <c r="I28" s="6">
        <f t="shared" si="7"/>
        <v>16.900000000000002</v>
      </c>
      <c r="K28" s="27">
        <f>+K27</f>
        <v>0.14000000000000001</v>
      </c>
      <c r="L28" s="6">
        <f t="shared" si="8"/>
        <v>47.320000000000007</v>
      </c>
      <c r="N28" s="6">
        <f t="shared" si="9"/>
        <v>338</v>
      </c>
      <c r="O28" s="11">
        <f t="shared" si="10"/>
        <v>1</v>
      </c>
      <c r="P28" t="str">
        <f t="shared" si="11"/>
        <v xml:space="preserve"> </v>
      </c>
    </row>
    <row r="29" spans="1:16">
      <c r="A29" s="158">
        <v>4122</v>
      </c>
      <c r="B29" s="158" t="s">
        <v>330</v>
      </c>
      <c r="C29" s="159">
        <f>+'Results of Operations Regulated'!C29</f>
        <v>0</v>
      </c>
      <c r="D29" s="158"/>
      <c r="E29" s="88">
        <f>+$E$28</f>
        <v>0.81</v>
      </c>
      <c r="F29" s="159">
        <f t="shared" si="6"/>
        <v>0</v>
      </c>
      <c r="G29" s="158"/>
      <c r="H29" s="88">
        <f>ROUND(+'Container Count by County'!$K$24,3)</f>
        <v>0.05</v>
      </c>
      <c r="I29" s="159">
        <f t="shared" si="7"/>
        <v>0</v>
      </c>
      <c r="J29" s="158"/>
      <c r="K29" s="88">
        <f>+K28</f>
        <v>0.14000000000000001</v>
      </c>
      <c r="L29" s="159">
        <f t="shared" si="8"/>
        <v>0</v>
      </c>
      <c r="M29" s="158"/>
      <c r="N29" s="159">
        <f t="shared" si="9"/>
        <v>0</v>
      </c>
      <c r="O29" s="88">
        <f t="shared" si="10"/>
        <v>1</v>
      </c>
      <c r="P29" s="158" t="str">
        <f t="shared" si="11"/>
        <v xml:space="preserve"> </v>
      </c>
    </row>
    <row r="30" spans="1:16">
      <c r="A30">
        <v>4132</v>
      </c>
      <c r="B30" t="s">
        <v>31</v>
      </c>
      <c r="C30" s="6">
        <f>+'Results of Operations Regulated'!C30</f>
        <v>34021.531966467439</v>
      </c>
      <c r="E30" s="11">
        <f>+$E$25</f>
        <v>0.78523744752734048</v>
      </c>
      <c r="F30" s="6">
        <f t="shared" si="6"/>
        <v>26714.980922318711</v>
      </c>
      <c r="H30" s="11">
        <f>+'Hours &amp; Miles by County'!$E$25</f>
        <v>6.7195645252181857E-2</v>
      </c>
      <c r="I30" s="6">
        <f t="shared" si="7"/>
        <v>2286.0987929545108</v>
      </c>
      <c r="K30" s="11">
        <f>+K25</f>
        <v>0.1475669072204778</v>
      </c>
      <c r="L30" s="6">
        <f t="shared" si="8"/>
        <v>5020.4522511942205</v>
      </c>
      <c r="N30" s="6">
        <f t="shared" si="9"/>
        <v>34021.531966467446</v>
      </c>
      <c r="O30" s="11">
        <f t="shared" si="10"/>
        <v>1</v>
      </c>
      <c r="P30" t="str">
        <f t="shared" si="11"/>
        <v xml:space="preserve"> </v>
      </c>
    </row>
    <row r="31" spans="1:16">
      <c r="A31">
        <v>4133</v>
      </c>
      <c r="B31" t="s">
        <v>280</v>
      </c>
      <c r="C31" s="6">
        <f>+'Results of Operations Regulated'!C31</f>
        <v>4755.2</v>
      </c>
      <c r="E31" s="11">
        <f>+$E$25</f>
        <v>0.78523744752734048</v>
      </c>
      <c r="F31" s="6">
        <f t="shared" si="6"/>
        <v>3733.9611104820092</v>
      </c>
      <c r="H31" s="11">
        <f>+'Hours &amp; Miles by County'!$E$25</f>
        <v>6.7195645252181857E-2</v>
      </c>
      <c r="I31" s="6">
        <f t="shared" si="7"/>
        <v>319.52873230317516</v>
      </c>
      <c r="K31" s="11">
        <f>+K25</f>
        <v>0.1475669072204778</v>
      </c>
      <c r="L31" s="6">
        <f t="shared" si="8"/>
        <v>701.71015721481604</v>
      </c>
      <c r="N31" s="6">
        <f t="shared" si="9"/>
        <v>4755.2000000000007</v>
      </c>
      <c r="O31" s="11">
        <f t="shared" si="10"/>
        <v>1</v>
      </c>
      <c r="P31" t="str">
        <f t="shared" si="11"/>
        <v xml:space="preserve"> </v>
      </c>
    </row>
    <row r="32" spans="1:16">
      <c r="A32">
        <v>4134</v>
      </c>
      <c r="B32" t="s">
        <v>32</v>
      </c>
      <c r="C32" s="6">
        <f>+'Results of Operations Regulated'!C32</f>
        <v>9385.61</v>
      </c>
      <c r="E32" s="11">
        <f>+$E$27</f>
        <v>0.81</v>
      </c>
      <c r="F32" s="6">
        <f t="shared" si="6"/>
        <v>7602.3441000000012</v>
      </c>
      <c r="H32" s="26">
        <f>ROUND(+'Container Count by County'!$K$24,3)</f>
        <v>0.05</v>
      </c>
      <c r="I32" s="6">
        <f t="shared" si="7"/>
        <v>469.28050000000007</v>
      </c>
      <c r="K32" s="11">
        <f>+K27</f>
        <v>0.14000000000000001</v>
      </c>
      <c r="L32" s="6">
        <f t="shared" si="8"/>
        <v>1313.9854000000003</v>
      </c>
      <c r="N32" s="6">
        <f t="shared" si="9"/>
        <v>9385.61</v>
      </c>
      <c r="O32" s="11">
        <f t="shared" si="10"/>
        <v>1</v>
      </c>
      <c r="P32" t="str">
        <f t="shared" si="11"/>
        <v xml:space="preserve"> </v>
      </c>
    </row>
    <row r="33" spans="1:16">
      <c r="A33">
        <v>4136</v>
      </c>
      <c r="B33" t="s">
        <v>281</v>
      </c>
      <c r="C33" s="6">
        <f>+'Results of Operations Regulated'!C33</f>
        <v>0</v>
      </c>
      <c r="E33" s="11">
        <f>+$E$27</f>
        <v>0.81</v>
      </c>
      <c r="F33" s="6">
        <f t="shared" si="6"/>
        <v>0</v>
      </c>
      <c r="H33" s="26">
        <f>ROUND(+'Container Count by County'!$K$24,3)</f>
        <v>0.05</v>
      </c>
      <c r="I33" s="6">
        <f t="shared" si="7"/>
        <v>0</v>
      </c>
      <c r="K33" s="11">
        <f>+K27</f>
        <v>0.14000000000000001</v>
      </c>
      <c r="L33" s="6">
        <f t="shared" si="8"/>
        <v>0</v>
      </c>
      <c r="N33" s="6">
        <f t="shared" si="9"/>
        <v>0</v>
      </c>
      <c r="O33" s="11">
        <f t="shared" si="10"/>
        <v>1</v>
      </c>
      <c r="P33" t="str">
        <f t="shared" si="11"/>
        <v xml:space="preserve"> </v>
      </c>
    </row>
    <row r="34" spans="1:16">
      <c r="A34" s="158">
        <v>4138</v>
      </c>
      <c r="B34" s="158" t="s">
        <v>331</v>
      </c>
      <c r="C34" s="159">
        <f>+'Results of Operations Regulated'!C34</f>
        <v>0</v>
      </c>
      <c r="D34" s="158"/>
      <c r="E34" s="88">
        <f>+$E$28</f>
        <v>0.81</v>
      </c>
      <c r="F34" s="159">
        <f t="shared" si="6"/>
        <v>0</v>
      </c>
      <c r="G34" s="158"/>
      <c r="H34" s="88">
        <f>ROUND(+'Container Count by County'!$K$24,3)</f>
        <v>0.05</v>
      </c>
      <c r="I34" s="159">
        <f t="shared" si="7"/>
        <v>0</v>
      </c>
      <c r="J34" s="158"/>
      <c r="K34" s="88">
        <f>+K28</f>
        <v>0.14000000000000001</v>
      </c>
      <c r="L34" s="159">
        <f t="shared" si="8"/>
        <v>0</v>
      </c>
      <c r="M34" s="158"/>
      <c r="N34" s="159">
        <f t="shared" si="9"/>
        <v>0</v>
      </c>
      <c r="O34" s="88">
        <f t="shared" si="10"/>
        <v>1</v>
      </c>
      <c r="P34" s="158" t="str">
        <f t="shared" si="11"/>
        <v xml:space="preserve"> </v>
      </c>
    </row>
    <row r="35" spans="1:16">
      <c r="A35">
        <v>4160</v>
      </c>
      <c r="B35" t="s">
        <v>33</v>
      </c>
      <c r="C35" s="6">
        <f>+'Results of Operations Regulated'!C35</f>
        <v>16311.417067689647</v>
      </c>
      <c r="E35" s="26">
        <f>+'Hours &amp; Miles by County'!$D$68</f>
        <v>0.69686598938262956</v>
      </c>
      <c r="F35" s="6">
        <f t="shared" si="6"/>
        <v>11366.871793108256</v>
      </c>
      <c r="H35" s="26">
        <f>+'Hours &amp; Miles by County'!$E$68</f>
        <v>9.2848096149182144E-2</v>
      </c>
      <c r="I35" s="6">
        <f t="shared" si="7"/>
        <v>1514.4840202302589</v>
      </c>
      <c r="K35" s="26">
        <f>+'Hours &amp; Miles by County'!F68</f>
        <v>0.21028591446818831</v>
      </c>
      <c r="L35" s="6">
        <f t="shared" si="8"/>
        <v>3430.061254351132</v>
      </c>
      <c r="N35" s="6">
        <f t="shared" si="9"/>
        <v>16311.417067689647</v>
      </c>
      <c r="O35" s="11">
        <f t="shared" si="10"/>
        <v>1</v>
      </c>
      <c r="P35" t="str">
        <f t="shared" si="11"/>
        <v xml:space="preserve"> </v>
      </c>
    </row>
    <row r="36" spans="1:16">
      <c r="A36">
        <v>4162</v>
      </c>
      <c r="B36" t="s">
        <v>282</v>
      </c>
      <c r="C36" s="6">
        <f>+'Results of Operations Regulated'!C36</f>
        <v>3649.63</v>
      </c>
      <c r="E36" s="26">
        <f>+$E$35</f>
        <v>0.69686598938262956</v>
      </c>
      <c r="F36" s="6">
        <f t="shared" si="6"/>
        <v>2543.3030208305263</v>
      </c>
      <c r="H36" s="26">
        <f>+'Hours &amp; Miles by County'!$E$68</f>
        <v>9.2848096149182144E-2</v>
      </c>
      <c r="I36" s="6">
        <f t="shared" si="7"/>
        <v>338.86119714893965</v>
      </c>
      <c r="K36" s="26">
        <f>+K35</f>
        <v>0.21028591446818831</v>
      </c>
      <c r="L36" s="6">
        <f t="shared" si="8"/>
        <v>767.46578202053411</v>
      </c>
      <c r="N36" s="6">
        <f t="shared" si="9"/>
        <v>3649.63</v>
      </c>
      <c r="O36" s="11">
        <f t="shared" si="10"/>
        <v>1</v>
      </c>
      <c r="P36" t="str">
        <f t="shared" si="11"/>
        <v xml:space="preserve"> </v>
      </c>
    </row>
    <row r="37" spans="1:16">
      <c r="A37" s="158">
        <v>4164</v>
      </c>
      <c r="B37" s="158" t="s">
        <v>1304</v>
      </c>
      <c r="C37" s="159">
        <f>+'Results of Operations Regulated'!C37</f>
        <v>0</v>
      </c>
      <c r="D37" s="158"/>
      <c r="E37" s="88">
        <f>+$E$35</f>
        <v>0.69686598938262956</v>
      </c>
      <c r="F37" s="159">
        <f t="shared" ref="F37" si="12">+C37*E37</f>
        <v>0</v>
      </c>
      <c r="G37" s="158"/>
      <c r="H37" s="88">
        <f>+'Hours &amp; Miles by County'!$E$68</f>
        <v>9.2848096149182144E-2</v>
      </c>
      <c r="I37" s="159">
        <f t="shared" ref="I37" si="13">+C37*H37</f>
        <v>0</v>
      </c>
      <c r="J37" s="158"/>
      <c r="K37" s="88">
        <f>+K36</f>
        <v>0.21028591446818831</v>
      </c>
      <c r="L37" s="159">
        <f t="shared" ref="L37" si="14">+C37*K37</f>
        <v>0</v>
      </c>
      <c r="M37" s="158"/>
      <c r="N37" s="159">
        <f t="shared" ref="N37" si="15">+F37+I37+L37</f>
        <v>0</v>
      </c>
      <c r="O37" s="88">
        <f t="shared" ref="O37" si="16">+E37+H37+K37</f>
        <v>1</v>
      </c>
      <c r="P37" t="str">
        <f t="shared" ref="P37" si="17">IF(O37&lt;&gt;1,"ERR"," ")</f>
        <v xml:space="preserve"> </v>
      </c>
    </row>
    <row r="38" spans="1:16">
      <c r="A38">
        <v>4180</v>
      </c>
      <c r="B38" t="s">
        <v>34</v>
      </c>
      <c r="C38" s="6">
        <f>+'Results of Operations Regulated'!C38</f>
        <v>16293.031866953086</v>
      </c>
      <c r="E38" s="11">
        <f>+$E$25</f>
        <v>0.78523744752734048</v>
      </c>
      <c r="F38" s="6">
        <f t="shared" si="6"/>
        <v>12793.89875568786</v>
      </c>
      <c r="H38" s="11">
        <f>+'Hours &amp; Miles by County'!$E$25</f>
        <v>6.7195645252181857E-2</v>
      </c>
      <c r="I38" s="6">
        <f t="shared" si="7"/>
        <v>1094.8207894142738</v>
      </c>
      <c r="K38" s="11">
        <f>+K25</f>
        <v>0.1475669072204778</v>
      </c>
      <c r="L38" s="6">
        <f t="shared" si="8"/>
        <v>2404.312321850954</v>
      </c>
      <c r="N38" s="6">
        <f t="shared" si="9"/>
        <v>16293.031866953088</v>
      </c>
      <c r="O38" s="11">
        <f t="shared" si="10"/>
        <v>1</v>
      </c>
      <c r="P38" t="str">
        <f t="shared" si="11"/>
        <v xml:space="preserve"> </v>
      </c>
    </row>
    <row r="39" spans="1:16">
      <c r="A39" t="s">
        <v>16</v>
      </c>
      <c r="C39" s="6"/>
      <c r="E39" s="11"/>
      <c r="F39" s="6"/>
      <c r="H39" s="11"/>
      <c r="I39" s="6"/>
      <c r="K39" s="11"/>
      <c r="L39" s="6"/>
      <c r="N39" s="6"/>
      <c r="O39" s="11"/>
    </row>
    <row r="40" spans="1:16">
      <c r="A40">
        <v>4210</v>
      </c>
      <c r="B40" t="s">
        <v>35</v>
      </c>
      <c r="C40" s="6">
        <f>+'Results of Operations Regulated'!C40</f>
        <v>0</v>
      </c>
      <c r="E40" s="11">
        <f>+$E$25</f>
        <v>0.78523744752734048</v>
      </c>
      <c r="F40" s="6">
        <f t="shared" ref="F40:F49" si="18">+C40*E40</f>
        <v>0</v>
      </c>
      <c r="H40" s="11">
        <f>+'Hours &amp; Miles by County'!$E$25</f>
        <v>6.7195645252181857E-2</v>
      </c>
      <c r="I40" s="6">
        <f t="shared" ref="I40:I49" si="19">+C40*H40</f>
        <v>0</v>
      </c>
      <c r="K40" s="11">
        <f>+K25</f>
        <v>0.1475669072204778</v>
      </c>
      <c r="L40" s="6">
        <f t="shared" ref="L40:L49" si="20">+C40*K40</f>
        <v>0</v>
      </c>
      <c r="N40" s="6">
        <f t="shared" ref="N40:N49" si="21">+F40+I40+L40</f>
        <v>0</v>
      </c>
      <c r="O40" s="11">
        <f t="shared" ref="O40:O49" si="22">+E40+H40+K40</f>
        <v>1</v>
      </c>
      <c r="P40" t="str">
        <f t="shared" ref="P40:P49" si="23">IF(O40&lt;&gt;1,"ERR"," ")</f>
        <v xml:space="preserve"> </v>
      </c>
    </row>
    <row r="41" spans="1:16">
      <c r="A41">
        <v>4213</v>
      </c>
      <c r="B41" t="s">
        <v>36</v>
      </c>
      <c r="C41" s="6">
        <f>+'Results of Operations Regulated'!C41</f>
        <v>266344.19749630976</v>
      </c>
      <c r="E41" s="11">
        <f>+$E$25</f>
        <v>0.78523744752734048</v>
      </c>
      <c r="F41" s="6">
        <f t="shared" si="18"/>
        <v>209143.43780572014</v>
      </c>
      <c r="H41" s="11">
        <f>+'Hours &amp; Miles by County'!$E$25</f>
        <v>6.7195645252181857E-2</v>
      </c>
      <c r="I41" s="6">
        <f t="shared" si="19"/>
        <v>17897.170209939093</v>
      </c>
      <c r="K41" s="11">
        <f>+K25</f>
        <v>0.1475669072204778</v>
      </c>
      <c r="L41" s="6">
        <f t="shared" si="20"/>
        <v>39303.58948065056</v>
      </c>
      <c r="N41" s="6">
        <f t="shared" si="21"/>
        <v>266344.19749630982</v>
      </c>
      <c r="O41" s="11">
        <f t="shared" si="22"/>
        <v>1</v>
      </c>
      <c r="P41" t="str">
        <f t="shared" si="23"/>
        <v xml:space="preserve"> </v>
      </c>
    </row>
    <row r="42" spans="1:16">
      <c r="A42">
        <v>4215</v>
      </c>
      <c r="B42" t="s">
        <v>37</v>
      </c>
      <c r="C42" s="6">
        <f>+'Results of Operations Regulated'!C42</f>
        <v>31237.64</v>
      </c>
      <c r="E42" s="26">
        <f>+$E$14</f>
        <v>0.38699956231264759</v>
      </c>
      <c r="F42" s="6">
        <f t="shared" si="18"/>
        <v>12088.953007680053</v>
      </c>
      <c r="H42" s="11">
        <f>+'Drop Box Allocation'!$I$11</f>
        <v>0.12294051557241764</v>
      </c>
      <c r="I42" s="6">
        <f t="shared" si="19"/>
        <v>3840.3715668655759</v>
      </c>
      <c r="K42" s="26">
        <f>+K14</f>
        <v>0.49005992211493471</v>
      </c>
      <c r="L42" s="6">
        <f t="shared" si="20"/>
        <v>15308.31542545437</v>
      </c>
      <c r="N42" s="6">
        <f t="shared" si="21"/>
        <v>31237.64</v>
      </c>
      <c r="O42" s="11">
        <f t="shared" si="22"/>
        <v>1</v>
      </c>
      <c r="P42" t="str">
        <f t="shared" si="23"/>
        <v xml:space="preserve"> </v>
      </c>
    </row>
    <row r="43" spans="1:16">
      <c r="A43">
        <v>4217</v>
      </c>
      <c r="B43" t="s">
        <v>285</v>
      </c>
      <c r="C43" s="6">
        <f>+'Results of Operations Regulated'!C43</f>
        <v>11530.366345859609</v>
      </c>
      <c r="E43" s="26">
        <f>+$E$25</f>
        <v>0.78523744752734048</v>
      </c>
      <c r="F43" s="6">
        <f t="shared" si="18"/>
        <v>9054.0754384779484</v>
      </c>
      <c r="H43" s="11">
        <f>+'Hours &amp; Miles by County'!$E$25</f>
        <v>6.7195645252181857E-2</v>
      </c>
      <c r="I43" s="6">
        <f t="shared" si="19"/>
        <v>774.79040660407873</v>
      </c>
      <c r="K43" s="26">
        <f>+K40</f>
        <v>0.1475669072204778</v>
      </c>
      <c r="L43" s="6">
        <f t="shared" si="20"/>
        <v>1701.5005007775846</v>
      </c>
      <c r="N43" s="6">
        <f t="shared" si="21"/>
        <v>11530.366345859613</v>
      </c>
      <c r="O43" s="11">
        <f t="shared" si="22"/>
        <v>1</v>
      </c>
      <c r="P43" t="str">
        <f t="shared" si="23"/>
        <v xml:space="preserve"> </v>
      </c>
    </row>
    <row r="44" spans="1:16">
      <c r="A44" s="158">
        <v>4222</v>
      </c>
      <c r="B44" s="158" t="s">
        <v>332</v>
      </c>
      <c r="C44" s="159">
        <f>+'Results of Operations Regulated'!C44</f>
        <v>0</v>
      </c>
      <c r="D44" s="158"/>
      <c r="E44" s="88">
        <f>+$E$26</f>
        <v>0.78523744752734048</v>
      </c>
      <c r="F44" s="159">
        <f t="shared" si="18"/>
        <v>0</v>
      </c>
      <c r="G44" s="158"/>
      <c r="H44" s="88">
        <f>+'Hours &amp; Miles by County'!$E$25</f>
        <v>6.7195645252181857E-2</v>
      </c>
      <c r="I44" s="159">
        <f t="shared" si="19"/>
        <v>0</v>
      </c>
      <c r="J44" s="158"/>
      <c r="K44" s="88">
        <f>+K41</f>
        <v>0.1475669072204778</v>
      </c>
      <c r="L44" s="159">
        <f t="shared" si="20"/>
        <v>0</v>
      </c>
      <c r="M44" s="158"/>
      <c r="N44" s="159">
        <f t="shared" si="21"/>
        <v>0</v>
      </c>
      <c r="O44" s="88">
        <f t="shared" si="22"/>
        <v>1</v>
      </c>
      <c r="P44" s="158" t="str">
        <f t="shared" si="23"/>
        <v xml:space="preserve"> </v>
      </c>
    </row>
    <row r="45" spans="1:16">
      <c r="A45">
        <v>4240</v>
      </c>
      <c r="B45" t="s">
        <v>38</v>
      </c>
      <c r="C45" s="6">
        <f>+'Results of Operations Regulated'!C45</f>
        <v>49251.183525316934</v>
      </c>
      <c r="E45" s="11">
        <f>+$E$25</f>
        <v>0.78523744752734048</v>
      </c>
      <c r="F45" s="6">
        <f t="shared" si="18"/>
        <v>38673.873639120473</v>
      </c>
      <c r="H45" s="11">
        <f>+'Hours &amp; Miles by County'!$E$25</f>
        <v>6.7195645252181857E-2</v>
      </c>
      <c r="I45" s="6">
        <f t="shared" si="19"/>
        <v>3309.4650564173003</v>
      </c>
      <c r="K45" s="11">
        <f>+K25</f>
        <v>0.1475669072204778</v>
      </c>
      <c r="L45" s="6">
        <f t="shared" si="20"/>
        <v>7267.8448297791683</v>
      </c>
      <c r="N45" s="6">
        <f t="shared" si="21"/>
        <v>49251.183525316941</v>
      </c>
      <c r="O45" s="11">
        <f t="shared" si="22"/>
        <v>1</v>
      </c>
      <c r="P45" t="str">
        <f t="shared" si="23"/>
        <v xml:space="preserve"> </v>
      </c>
    </row>
    <row r="46" spans="1:16">
      <c r="A46">
        <v>4242</v>
      </c>
      <c r="B46" t="s">
        <v>283</v>
      </c>
      <c r="C46" s="6">
        <f>+'Results of Operations Regulated'!C46</f>
        <v>13080.209660599165</v>
      </c>
      <c r="E46" s="11">
        <f>+$E$26</f>
        <v>0.78523744752734048</v>
      </c>
      <c r="F46" s="6">
        <f t="shared" si="18"/>
        <v>10271.070447011349</v>
      </c>
      <c r="H46" s="11">
        <f>+'Hours &amp; Miles by County'!$E$25</f>
        <v>6.7195645252181857E-2</v>
      </c>
      <c r="I46" s="6">
        <f t="shared" si="19"/>
        <v>878.93312817778349</v>
      </c>
      <c r="K46" s="11">
        <f>+K25</f>
        <v>0.1475669072204778</v>
      </c>
      <c r="L46" s="6">
        <f t="shared" si="20"/>
        <v>1930.2060854100343</v>
      </c>
      <c r="N46" s="6">
        <f t="shared" si="21"/>
        <v>13080.209660599166</v>
      </c>
      <c r="O46" s="11">
        <f t="shared" si="22"/>
        <v>1</v>
      </c>
      <c r="P46" t="str">
        <f t="shared" si="23"/>
        <v xml:space="preserve"> </v>
      </c>
    </row>
    <row r="47" spans="1:16">
      <c r="A47" s="158">
        <v>4244</v>
      </c>
      <c r="B47" s="158" t="s">
        <v>333</v>
      </c>
      <c r="C47" s="159">
        <f>+'Results of Operations Regulated'!C47</f>
        <v>0</v>
      </c>
      <c r="D47" s="158"/>
      <c r="E47" s="88">
        <f>+$E$27</f>
        <v>0.81</v>
      </c>
      <c r="F47" s="159">
        <f t="shared" si="18"/>
        <v>0</v>
      </c>
      <c r="G47" s="158"/>
      <c r="H47" s="88">
        <f>ROUND(+'Container Count by County'!$K$24,3)</f>
        <v>0.05</v>
      </c>
      <c r="I47" s="159">
        <f t="shared" si="19"/>
        <v>0</v>
      </c>
      <c r="J47" s="158"/>
      <c r="K47" s="88">
        <f>+K27</f>
        <v>0.14000000000000001</v>
      </c>
      <c r="L47" s="159">
        <f t="shared" si="20"/>
        <v>0</v>
      </c>
      <c r="M47" s="158"/>
      <c r="N47" s="159">
        <f t="shared" si="21"/>
        <v>0</v>
      </c>
      <c r="O47" s="88">
        <f t="shared" si="22"/>
        <v>1</v>
      </c>
      <c r="P47" s="158" t="str">
        <f t="shared" si="23"/>
        <v xml:space="preserve"> </v>
      </c>
    </row>
    <row r="48" spans="1:16">
      <c r="A48">
        <v>4280</v>
      </c>
      <c r="B48" t="s">
        <v>39</v>
      </c>
      <c r="C48" s="6">
        <f>+'Results of Operations Regulated'!C48</f>
        <v>6467.7605488018826</v>
      </c>
      <c r="E48" s="11">
        <f>+$E$25</f>
        <v>0.78523744752734048</v>
      </c>
      <c r="F48" s="6">
        <f t="shared" si="18"/>
        <v>5078.7277845592207</v>
      </c>
      <c r="H48" s="11">
        <f>+'Hours &amp; Miles by County'!$E$25</f>
        <v>6.7195645252181857E-2</v>
      </c>
      <c r="I48" s="6">
        <f t="shared" si="19"/>
        <v>434.60534341334835</v>
      </c>
      <c r="K48" s="11">
        <f>+K25</f>
        <v>0.1475669072204778</v>
      </c>
      <c r="L48" s="6">
        <f t="shared" si="20"/>
        <v>954.42742082931397</v>
      </c>
      <c r="N48" s="6">
        <f t="shared" si="21"/>
        <v>6467.7605488018826</v>
      </c>
      <c r="O48" s="11">
        <f t="shared" si="22"/>
        <v>1</v>
      </c>
      <c r="P48" t="str">
        <f t="shared" si="23"/>
        <v xml:space="preserve"> </v>
      </c>
    </row>
    <row r="49" spans="1:17">
      <c r="A49" s="158">
        <v>4282</v>
      </c>
      <c r="B49" s="158" t="s">
        <v>335</v>
      </c>
      <c r="C49" s="159">
        <f>+'Results of Operations Regulated'!C49</f>
        <v>0</v>
      </c>
      <c r="D49" s="158"/>
      <c r="E49" s="88">
        <f>+$E$26</f>
        <v>0.78523744752734048</v>
      </c>
      <c r="F49" s="159">
        <f t="shared" si="18"/>
        <v>0</v>
      </c>
      <c r="G49" s="158"/>
      <c r="H49" s="88">
        <f>+'Hours &amp; Miles by County'!$E$25</f>
        <v>6.7195645252181857E-2</v>
      </c>
      <c r="I49" s="159">
        <f t="shared" si="19"/>
        <v>0</v>
      </c>
      <c r="J49" s="158"/>
      <c r="K49" s="88">
        <f>+K26</f>
        <v>0.1475669072204778</v>
      </c>
      <c r="L49" s="159">
        <f t="shared" si="20"/>
        <v>0</v>
      </c>
      <c r="M49" s="158"/>
      <c r="N49" s="159">
        <f t="shared" si="21"/>
        <v>0</v>
      </c>
      <c r="O49" s="88">
        <f t="shared" si="22"/>
        <v>1</v>
      </c>
      <c r="P49" s="158" t="str">
        <f t="shared" si="23"/>
        <v xml:space="preserve"> </v>
      </c>
    </row>
    <row r="50" spans="1:17">
      <c r="A50" t="s">
        <v>17</v>
      </c>
      <c r="C50" s="6"/>
      <c r="E50" s="11"/>
      <c r="F50" s="6"/>
      <c r="H50" s="11"/>
      <c r="I50" s="6"/>
      <c r="K50" s="11"/>
      <c r="L50" s="6"/>
      <c r="N50" s="6"/>
      <c r="O50" s="11"/>
    </row>
    <row r="51" spans="1:17">
      <c r="A51">
        <v>4360</v>
      </c>
      <c r="B51" t="s">
        <v>40</v>
      </c>
      <c r="C51" s="6">
        <f>+'Results of Operations Regulated'!C51</f>
        <v>426119.59597291984</v>
      </c>
      <c r="E51" s="26">
        <f>+'Monthly Data-Disposal Fees'!$L$52</f>
        <v>0.98609523829685986</v>
      </c>
      <c r="F51" s="6">
        <f>+C51*E51</f>
        <v>420194.504533878</v>
      </c>
      <c r="H51" s="26">
        <f>+'Monthly Data-Disposal Fees'!$N$52</f>
        <v>0</v>
      </c>
      <c r="I51" s="6">
        <f>+C51*H51</f>
        <v>0</v>
      </c>
      <c r="K51" s="26">
        <f>+'Monthly Data-Disposal Fees'!$M$52</f>
        <v>1.3904761703140135E-2</v>
      </c>
      <c r="L51" s="6">
        <f>+C51*K51</f>
        <v>5925.0914390418029</v>
      </c>
      <c r="N51" s="6">
        <f>+F51+I51+L51</f>
        <v>426119.59597291978</v>
      </c>
      <c r="O51" s="11">
        <f>+E51+H51+K51</f>
        <v>1</v>
      </c>
      <c r="P51" t="str">
        <f>IF(O51&lt;&gt;1,"ERR"," ")</f>
        <v xml:space="preserve"> </v>
      </c>
    </row>
    <row r="52" spans="1:17">
      <c r="A52">
        <v>4361</v>
      </c>
      <c r="B52" t="s">
        <v>41</v>
      </c>
      <c r="C52" s="6">
        <f>+'Results of Operations Regulated'!C52</f>
        <v>213487.51000000004</v>
      </c>
      <c r="E52" s="26">
        <f>+'Drop Box Allocation'!$D$20</f>
        <v>1</v>
      </c>
      <c r="F52" s="6">
        <f>+C52*E52</f>
        <v>213487.51000000004</v>
      </c>
      <c r="H52" s="26">
        <f>+'Drop Box Allocation'!$D$21</f>
        <v>0</v>
      </c>
      <c r="I52" s="6">
        <f>+C52*H52</f>
        <v>0</v>
      </c>
      <c r="K52" s="26">
        <f>+'Drop Box Allocation'!D22</f>
        <v>0</v>
      </c>
      <c r="L52" s="6">
        <f>+C52*K52</f>
        <v>0</v>
      </c>
      <c r="N52" s="6">
        <f>+F52+I52+L52</f>
        <v>213487.51000000004</v>
      </c>
      <c r="O52" s="11">
        <f>+E52+H52+K52</f>
        <v>1</v>
      </c>
      <c r="P52" t="str">
        <f>IF(O52&lt;&gt;1,"ERR"," ")</f>
        <v xml:space="preserve"> </v>
      </c>
    </row>
    <row r="53" spans="1:17">
      <c r="A53">
        <v>4362</v>
      </c>
      <c r="B53" t="s">
        <v>42</v>
      </c>
      <c r="C53" s="6">
        <f>+'Results of Operations Regulated'!C53</f>
        <v>110733.36706288891</v>
      </c>
      <c r="E53" s="26">
        <f>+'Monthly Data-Disposal Fees'!$L$29</f>
        <v>7.4488073573709273E-4</v>
      </c>
      <c r="F53" s="6">
        <f>+C53*E53</f>
        <v>82.483151928450241</v>
      </c>
      <c r="H53" s="26">
        <f>+'Monthly Data-Disposal Fees'!$N$29</f>
        <v>0.27635895232303764</v>
      </c>
      <c r="I53" s="6">
        <f>+C53*H53</f>
        <v>30602.157308702343</v>
      </c>
      <c r="K53" s="26">
        <f>+'Monthly Data-Disposal Fees'!$M$29</f>
        <v>0.72289616694122527</v>
      </c>
      <c r="L53" s="6">
        <f>+C53*K53</f>
        <v>80048.726602258117</v>
      </c>
      <c r="N53" s="6">
        <f>+F53+I53+L53</f>
        <v>110733.36706288891</v>
      </c>
      <c r="O53" s="11">
        <f>+E53+H53+K53</f>
        <v>1</v>
      </c>
      <c r="P53" t="str">
        <f>IF(O53&lt;&gt;1,"ERR"," ")</f>
        <v xml:space="preserve"> </v>
      </c>
    </row>
    <row r="54" spans="1:17">
      <c r="A54">
        <v>4363</v>
      </c>
      <c r="B54" t="s">
        <v>43</v>
      </c>
      <c r="C54" s="6">
        <f>+'Results of Operations Regulated'!C54</f>
        <v>110827.33</v>
      </c>
      <c r="E54" s="26">
        <f>+'Drop Box Allocation'!$D$27</f>
        <v>0</v>
      </c>
      <c r="F54" s="6">
        <f>+C54*E54</f>
        <v>0</v>
      </c>
      <c r="H54" s="26">
        <f>+'Drop Box Allocation'!$D$28</f>
        <v>0.1659183537609196</v>
      </c>
      <c r="I54" s="6">
        <f>+C54*H54</f>
        <v>18388.288145318176</v>
      </c>
      <c r="K54" s="26">
        <f>+'Drop Box Allocation'!D29</f>
        <v>0.83408164623908043</v>
      </c>
      <c r="L54" s="6">
        <f>+C54*K54</f>
        <v>92439.041854681825</v>
      </c>
      <c r="N54" s="6">
        <f>+F54+I54+L54</f>
        <v>110827.33</v>
      </c>
      <c r="O54" s="11">
        <f>+E54+H54+K54</f>
        <v>1</v>
      </c>
      <c r="P54" t="str">
        <f>IF(O54&lt;&gt;1,"ERR"," ")</f>
        <v xml:space="preserve"> </v>
      </c>
    </row>
    <row r="55" spans="1:17">
      <c r="A55" s="158">
        <v>4380</v>
      </c>
      <c r="B55" s="158" t="s">
        <v>336</v>
      </c>
      <c r="C55" s="159">
        <f>+'Results of Operations Regulated'!C55</f>
        <v>0</v>
      </c>
      <c r="D55" s="158"/>
      <c r="E55" s="88">
        <f>+'Drop Box Allocation'!$D$28</f>
        <v>0.1659183537609196</v>
      </c>
      <c r="F55" s="159">
        <f>+C55*E55</f>
        <v>0</v>
      </c>
      <c r="G55" s="158"/>
      <c r="H55" s="88">
        <f>+'Drop Box Allocation'!$D$29</f>
        <v>0.83408164623908043</v>
      </c>
      <c r="I55" s="159">
        <f>+C55*H55</f>
        <v>0</v>
      </c>
      <c r="J55" s="158"/>
      <c r="K55" s="88">
        <f>+'Drop Box Allocation'!D30</f>
        <v>0</v>
      </c>
      <c r="L55" s="159">
        <f>+C55*K55</f>
        <v>0</v>
      </c>
      <c r="M55" s="158"/>
      <c r="N55" s="159">
        <f>+F55+I55+L55</f>
        <v>0</v>
      </c>
      <c r="O55" s="88">
        <f>+E55+H55+K55</f>
        <v>1</v>
      </c>
      <c r="P55" s="158" t="str">
        <f>IF(O55&lt;&gt;1,"ERR"," ")</f>
        <v xml:space="preserve"> </v>
      </c>
      <c r="Q55" s="158"/>
    </row>
    <row r="56" spans="1:17">
      <c r="A56" t="s">
        <v>14</v>
      </c>
      <c r="C56" s="6"/>
      <c r="E56" s="11"/>
      <c r="F56" s="6"/>
      <c r="H56" s="11"/>
      <c r="I56" s="6"/>
      <c r="K56" s="11"/>
      <c r="L56" s="6"/>
      <c r="N56" s="6"/>
      <c r="O56" s="11"/>
    </row>
    <row r="57" spans="1:17">
      <c r="A57">
        <v>4430</v>
      </c>
      <c r="B57" t="s">
        <v>44</v>
      </c>
      <c r="C57" s="6">
        <f>+'Results of Operations Regulated'!C57</f>
        <v>0</v>
      </c>
      <c r="E57" s="11">
        <v>1</v>
      </c>
      <c r="F57" s="6">
        <f>+C57*E57</f>
        <v>0</v>
      </c>
      <c r="H57" s="11">
        <v>0</v>
      </c>
      <c r="I57" s="6">
        <f>+C57*H57</f>
        <v>0</v>
      </c>
      <c r="K57" s="11">
        <v>0</v>
      </c>
      <c r="L57" s="6">
        <f>+C57*K57</f>
        <v>0</v>
      </c>
      <c r="N57" s="6">
        <f>+F57+I57+L57</f>
        <v>0</v>
      </c>
      <c r="O57" s="11">
        <f>+E57+H57+K57</f>
        <v>1</v>
      </c>
      <c r="P57" t="str">
        <f>IF(O57&lt;&gt;1,"ERR"," ")</f>
        <v xml:space="preserve"> </v>
      </c>
    </row>
    <row r="58" spans="1:17">
      <c r="A58">
        <v>4450</v>
      </c>
      <c r="B58" t="s">
        <v>45</v>
      </c>
      <c r="C58" s="6">
        <f>+'Results of Operations Regulated'!C58</f>
        <v>1530</v>
      </c>
      <c r="E58" s="15">
        <v>1</v>
      </c>
      <c r="F58" s="6">
        <f>+C58*E58</f>
        <v>1530</v>
      </c>
      <c r="H58" s="15">
        <v>0</v>
      </c>
      <c r="I58" s="6">
        <f>+C58*H58</f>
        <v>0</v>
      </c>
      <c r="K58" s="15">
        <v>0</v>
      </c>
      <c r="L58" s="6">
        <f>+C58*K58</f>
        <v>0</v>
      </c>
      <c r="N58" s="6">
        <f>+F58+I58+L58</f>
        <v>1530</v>
      </c>
      <c r="O58" s="11">
        <f>+E58+H58+K58</f>
        <v>1</v>
      </c>
      <c r="P58" t="str">
        <f>IF(O58&lt;&gt;1,"ERR"," ")</f>
        <v xml:space="preserve"> </v>
      </c>
    </row>
    <row r="59" spans="1:17">
      <c r="A59" t="s">
        <v>15</v>
      </c>
      <c r="C59" s="6"/>
      <c r="E59" s="11"/>
      <c r="F59" s="6"/>
      <c r="H59" s="11"/>
      <c r="I59" s="6"/>
      <c r="K59" s="11"/>
      <c r="L59" s="6"/>
      <c r="N59" s="6"/>
      <c r="O59" s="11"/>
    </row>
    <row r="60" spans="1:17">
      <c r="A60">
        <v>4530</v>
      </c>
      <c r="B60" t="s">
        <v>46</v>
      </c>
      <c r="C60" s="6">
        <f>+'Results of Operations Regulated'!C60</f>
        <v>56004.528385849</v>
      </c>
      <c r="E60" s="11">
        <f>+$E$25</f>
        <v>0.78523744752734048</v>
      </c>
      <c r="F60" s="6">
        <f>+C60*E60</f>
        <v>43976.852919676552</v>
      </c>
      <c r="H60" s="11">
        <f>+'Hours &amp; Miles by County'!$E$25</f>
        <v>6.7195645252181857E-2</v>
      </c>
      <c r="I60" s="6">
        <f>+C60*H60</f>
        <v>3763.2604219312584</v>
      </c>
      <c r="K60" s="11">
        <f>+K25</f>
        <v>0.1475669072204778</v>
      </c>
      <c r="L60" s="6">
        <f>+C60*K60</f>
        <v>8264.4150442411956</v>
      </c>
      <c r="N60" s="6">
        <f>+F60+I60+L60</f>
        <v>56004.528385849</v>
      </c>
      <c r="O60" s="11">
        <f>+E60+H60+K60</f>
        <v>1</v>
      </c>
      <c r="P60" t="str">
        <f>IF(O60&lt;&gt;1,"ERR"," ")</f>
        <v xml:space="preserve"> </v>
      </c>
    </row>
    <row r="61" spans="1:17">
      <c r="A61">
        <v>4540</v>
      </c>
      <c r="B61" t="s">
        <v>47</v>
      </c>
      <c r="C61" s="6">
        <f>+'Results of Operations Regulated'!C61</f>
        <v>18933.079195594422</v>
      </c>
      <c r="E61" s="11">
        <f>+$E$25</f>
        <v>0.78523744752734048</v>
      </c>
      <c r="F61" s="6">
        <f>+C61*E61</f>
        <v>14866.962781381557</v>
      </c>
      <c r="H61" s="11">
        <f>+'Hours &amp; Miles by County'!$E$25</f>
        <v>6.7195645252181857E-2</v>
      </c>
      <c r="I61" s="6">
        <f>+C61*H61</f>
        <v>1272.2204731586273</v>
      </c>
      <c r="K61" s="11">
        <f>+K25</f>
        <v>0.1475669072204778</v>
      </c>
      <c r="L61" s="6">
        <f>+C61*K61</f>
        <v>2793.8959410542407</v>
      </c>
      <c r="N61" s="6">
        <f>+F61+I61+L61</f>
        <v>18933.079195594426</v>
      </c>
      <c r="O61" s="11">
        <f>+E61+H61+K61</f>
        <v>1</v>
      </c>
      <c r="P61" t="str">
        <f>IF(O61&lt;&gt;1,"ERR"," ")</f>
        <v xml:space="preserve"> </v>
      </c>
    </row>
    <row r="62" spans="1:17">
      <c r="A62">
        <v>4580</v>
      </c>
      <c r="B62" t="s">
        <v>48</v>
      </c>
      <c r="C62" s="6">
        <f>+'Results of Operations Regulated'!C62</f>
        <v>0</v>
      </c>
      <c r="E62" s="11">
        <f>+$E$25</f>
        <v>0.78523744752734048</v>
      </c>
      <c r="F62" s="6">
        <f>+C62*E62</f>
        <v>0</v>
      </c>
      <c r="H62" s="11">
        <f>+'Hours &amp; Miles by County'!$E$25</f>
        <v>6.7195645252181857E-2</v>
      </c>
      <c r="I62" s="6">
        <f>+C62*H62</f>
        <v>0</v>
      </c>
      <c r="K62" s="11">
        <f>+K25</f>
        <v>0.1475669072204778</v>
      </c>
      <c r="L62" s="6">
        <f>+C62*K62</f>
        <v>0</v>
      </c>
      <c r="N62" s="6">
        <f>+F62+I62+L62</f>
        <v>0</v>
      </c>
      <c r="O62" s="11">
        <f>+E62+H62+K62</f>
        <v>1</v>
      </c>
      <c r="P62" t="str">
        <f>IF(O62&lt;&gt;1,"ERR"," ")</f>
        <v xml:space="preserve"> </v>
      </c>
    </row>
    <row r="63" spans="1:17">
      <c r="A63" t="s">
        <v>18</v>
      </c>
      <c r="C63" s="6"/>
      <c r="E63" s="11"/>
      <c r="F63" s="6"/>
      <c r="H63" s="11"/>
      <c r="I63" s="6"/>
      <c r="K63" s="11"/>
      <c r="L63" s="6"/>
      <c r="N63" s="6"/>
      <c r="O63" s="11"/>
    </row>
    <row r="64" spans="1:17">
      <c r="A64">
        <v>4611</v>
      </c>
      <c r="B64" t="s">
        <v>49</v>
      </c>
      <c r="C64" s="6">
        <f>+'Results of Operations Regulated'!C64</f>
        <v>59772.147716565654</v>
      </c>
      <c r="E64" s="26">
        <f>+'Overhead Allocation'!$E$20</f>
        <v>0.74293226142437141</v>
      </c>
      <c r="F64" s="6">
        <f t="shared" ref="F64:F81" si="24">+C64*E64</f>
        <v>44406.656873259701</v>
      </c>
      <c r="H64" s="26">
        <f>+'Overhead Allocation'!$F$20</f>
        <v>7.9349798597571491E-2</v>
      </c>
      <c r="I64" s="6">
        <f t="shared" ref="I64:I81" si="25">+C64*H64</f>
        <v>4742.9078830537774</v>
      </c>
      <c r="K64" s="26">
        <f>+'Overhead Allocation'!G20</f>
        <v>0.17771793997805721</v>
      </c>
      <c r="L64" s="6">
        <f t="shared" ref="L64:L81" si="26">+C64*K64</f>
        <v>10622.582960252184</v>
      </c>
      <c r="N64" s="6">
        <f t="shared" ref="N64:N81" si="27">+F64+I64+L64</f>
        <v>59772.147716565662</v>
      </c>
      <c r="O64" s="11">
        <f t="shared" ref="O64:O81" si="28">+E64+H64+K64</f>
        <v>1.0000000000000002</v>
      </c>
      <c r="P64" t="str">
        <f t="shared" ref="P64:P81" si="29">IF(O64&lt;&gt;1,"ERR"," ")</f>
        <v xml:space="preserve"> </v>
      </c>
    </row>
    <row r="65" spans="1:16">
      <c r="A65">
        <v>4612</v>
      </c>
      <c r="B65" t="s">
        <v>50</v>
      </c>
      <c r="C65" s="6">
        <f>+'Results of Operations Regulated'!C65</f>
        <v>44810.21167967037</v>
      </c>
      <c r="E65" s="26">
        <f>+'Overhead Allocation'!$E$20</f>
        <v>0.74293226142437141</v>
      </c>
      <c r="F65" s="6">
        <f t="shared" si="24"/>
        <v>33290.95189808229</v>
      </c>
      <c r="H65" s="26">
        <f>+'Overhead Allocation'!$F$20</f>
        <v>7.9349798597571491E-2</v>
      </c>
      <c r="I65" s="6">
        <f t="shared" si="25"/>
        <v>3555.6812718963897</v>
      </c>
      <c r="K65" s="26">
        <f>+K64</f>
        <v>0.17771793997805721</v>
      </c>
      <c r="L65" s="6">
        <f t="shared" si="26"/>
        <v>7963.578509691697</v>
      </c>
      <c r="N65" s="6">
        <f t="shared" si="27"/>
        <v>44810.211679670378</v>
      </c>
      <c r="O65" s="11">
        <f t="shared" si="28"/>
        <v>1.0000000000000002</v>
      </c>
      <c r="P65" t="str">
        <f t="shared" si="29"/>
        <v xml:space="preserve"> </v>
      </c>
    </row>
    <row r="66" spans="1:16">
      <c r="A66">
        <v>4613</v>
      </c>
      <c r="B66" t="s">
        <v>51</v>
      </c>
      <c r="C66" s="6">
        <f>+'Results of Operations Regulated'!C66</f>
        <v>86022.386925439961</v>
      </c>
      <c r="E66" s="26">
        <f>+'Overhead Allocation'!$E$20</f>
        <v>0.74293226142437141</v>
      </c>
      <c r="F66" s="6">
        <f t="shared" si="24"/>
        <v>63908.806451639393</v>
      </c>
      <c r="H66" s="26">
        <f>+'Overhead Allocation'!$F$20</f>
        <v>7.9349798597571491E-2</v>
      </c>
      <c r="I66" s="6">
        <f t="shared" si="25"/>
        <v>6825.8590774160284</v>
      </c>
      <c r="K66" s="11">
        <f t="shared" ref="K66:K75" si="30">+$K$64</f>
        <v>0.17771793997805721</v>
      </c>
      <c r="L66" s="6">
        <f t="shared" si="26"/>
        <v>15287.721396384552</v>
      </c>
      <c r="N66" s="6">
        <f t="shared" si="27"/>
        <v>86022.386925439976</v>
      </c>
      <c r="O66" s="11">
        <f t="shared" si="28"/>
        <v>1.0000000000000002</v>
      </c>
      <c r="P66" t="str">
        <f t="shared" si="29"/>
        <v xml:space="preserve"> </v>
      </c>
    </row>
    <row r="67" spans="1:16">
      <c r="A67">
        <v>4620</v>
      </c>
      <c r="B67" t="s">
        <v>52</v>
      </c>
      <c r="C67" s="6">
        <f>+'Results of Operations Regulated'!C67</f>
        <v>23885.301530664292</v>
      </c>
      <c r="E67" s="26">
        <f>+'Overhead Allocation'!$E$20</f>
        <v>0.74293226142437141</v>
      </c>
      <c r="F67" s="6">
        <f t="shared" si="24"/>
        <v>17745.161080979422</v>
      </c>
      <c r="H67" s="26">
        <f>+'Overhead Allocation'!$F$20</f>
        <v>7.9349798597571491E-2</v>
      </c>
      <c r="I67" s="6">
        <f t="shared" si="25"/>
        <v>1895.2938659004776</v>
      </c>
      <c r="K67" s="11">
        <f t="shared" si="30"/>
        <v>0.17771793997805721</v>
      </c>
      <c r="L67" s="6">
        <f t="shared" si="26"/>
        <v>4244.8465837843951</v>
      </c>
      <c r="N67" s="6">
        <f t="shared" si="27"/>
        <v>23885.301530664296</v>
      </c>
      <c r="O67" s="11">
        <f t="shared" si="28"/>
        <v>1.0000000000000002</v>
      </c>
      <c r="P67" t="str">
        <f t="shared" si="29"/>
        <v xml:space="preserve"> </v>
      </c>
    </row>
    <row r="68" spans="1:16">
      <c r="A68">
        <v>4622</v>
      </c>
      <c r="B68" t="s">
        <v>53</v>
      </c>
      <c r="C68" s="6">
        <f>+'Results of Operations Regulated'!C68</f>
        <v>0</v>
      </c>
      <c r="E68" s="26">
        <f>+'Overhead Allocation'!$E$20</f>
        <v>0.74293226142437141</v>
      </c>
      <c r="F68" s="6">
        <f t="shared" si="24"/>
        <v>0</v>
      </c>
      <c r="H68" s="26">
        <f>+'Overhead Allocation'!$F$20</f>
        <v>7.9349798597571491E-2</v>
      </c>
      <c r="I68" s="6">
        <f t="shared" si="25"/>
        <v>0</v>
      </c>
      <c r="K68" s="11">
        <f t="shared" si="30"/>
        <v>0.17771793997805721</v>
      </c>
      <c r="L68" s="6">
        <f t="shared" si="26"/>
        <v>0</v>
      </c>
      <c r="N68" s="6">
        <f t="shared" si="27"/>
        <v>0</v>
      </c>
      <c r="O68" s="11">
        <f t="shared" si="28"/>
        <v>1.0000000000000002</v>
      </c>
      <c r="P68" t="str">
        <f t="shared" si="29"/>
        <v xml:space="preserve"> </v>
      </c>
    </row>
    <row r="69" spans="1:16">
      <c r="A69">
        <v>4624</v>
      </c>
      <c r="B69" t="s">
        <v>54</v>
      </c>
      <c r="C69" s="6">
        <f>+'Results of Operations Regulated'!C69</f>
        <v>106.35977799565366</v>
      </c>
      <c r="E69" s="26">
        <f>+'Overhead Allocation'!$E$20</f>
        <v>0.74293226142437141</v>
      </c>
      <c r="F69" s="6">
        <f t="shared" si="24"/>
        <v>79.018110390905065</v>
      </c>
      <c r="H69" s="26">
        <f>+'Overhead Allocation'!$F$20</f>
        <v>7.9349798597571491E-2</v>
      </c>
      <c r="I69" s="6">
        <f t="shared" si="25"/>
        <v>8.4396269628375347</v>
      </c>
      <c r="K69" s="11">
        <f t="shared" si="30"/>
        <v>0.17771793997805721</v>
      </c>
      <c r="L69" s="6">
        <f t="shared" si="26"/>
        <v>18.902040641911068</v>
      </c>
      <c r="N69" s="6">
        <f t="shared" si="27"/>
        <v>106.35977799565367</v>
      </c>
      <c r="O69" s="11">
        <f t="shared" si="28"/>
        <v>1.0000000000000002</v>
      </c>
      <c r="P69" t="str">
        <f t="shared" si="29"/>
        <v xml:space="preserve"> </v>
      </c>
    </row>
    <row r="70" spans="1:16">
      <c r="A70">
        <v>4625</v>
      </c>
      <c r="B70" t="s">
        <v>55</v>
      </c>
      <c r="C70" s="6">
        <f>+'Results of Operations Regulated'!C70</f>
        <v>2342.0896106940245</v>
      </c>
      <c r="E70" s="26">
        <f>+'Overhead Allocation'!$E$20</f>
        <v>0.74293226142437141</v>
      </c>
      <c r="F70" s="6">
        <f t="shared" si="24"/>
        <v>1740.0139309314372</v>
      </c>
      <c r="H70" s="26">
        <f>+'Overhead Allocation'!$F$20</f>
        <v>7.9349798597571491E-2</v>
      </c>
      <c r="I70" s="6">
        <f t="shared" si="25"/>
        <v>185.84433890603546</v>
      </c>
      <c r="K70" s="11">
        <f t="shared" si="30"/>
        <v>0.17771793997805721</v>
      </c>
      <c r="L70" s="6">
        <f t="shared" si="26"/>
        <v>416.23134085655204</v>
      </c>
      <c r="N70" s="6">
        <f t="shared" si="27"/>
        <v>2342.0896106940249</v>
      </c>
      <c r="O70" s="11">
        <f t="shared" si="28"/>
        <v>1.0000000000000002</v>
      </c>
      <c r="P70" t="str">
        <f t="shared" si="29"/>
        <v xml:space="preserve"> </v>
      </c>
    </row>
    <row r="71" spans="1:16">
      <c r="A71">
        <v>4627</v>
      </c>
      <c r="B71" t="s">
        <v>56</v>
      </c>
      <c r="C71" s="6">
        <f>+'Results of Operations Regulated'!C71</f>
        <v>1490.6399866380859</v>
      </c>
      <c r="E71" s="26">
        <f>+'Overhead Allocation'!$E$20</f>
        <v>0.74293226142437141</v>
      </c>
      <c r="F71" s="6">
        <f t="shared" si="24"/>
        <v>1107.4445362426279</v>
      </c>
      <c r="H71" s="26">
        <f>+'Overhead Allocation'!$F$20</f>
        <v>7.9349798597571491E-2</v>
      </c>
      <c r="I71" s="6">
        <f t="shared" si="25"/>
        <v>118.28198272121878</v>
      </c>
      <c r="K71" s="11">
        <f t="shared" si="30"/>
        <v>0.17771793997805721</v>
      </c>
      <c r="L71" s="6">
        <f t="shared" si="26"/>
        <v>264.91346767423937</v>
      </c>
      <c r="N71" s="6">
        <f t="shared" si="27"/>
        <v>1490.6399866380862</v>
      </c>
      <c r="O71" s="11">
        <f t="shared" si="28"/>
        <v>1.0000000000000002</v>
      </c>
      <c r="P71" t="str">
        <f t="shared" si="29"/>
        <v xml:space="preserve"> </v>
      </c>
    </row>
    <row r="72" spans="1:16">
      <c r="A72">
        <v>4630</v>
      </c>
      <c r="B72" t="s">
        <v>57</v>
      </c>
      <c r="C72" s="6">
        <f>+'Results of Operations Regulated'!C72</f>
        <v>446.97772095740982</v>
      </c>
      <c r="E72" s="26">
        <f>+'Overhead Allocation'!$E$20</f>
        <v>0.74293226142437141</v>
      </c>
      <c r="F72" s="6">
        <f t="shared" si="24"/>
        <v>332.07416903720014</v>
      </c>
      <c r="H72" s="26">
        <f>+'Overhead Allocation'!$F$20</f>
        <v>7.9349798597571491E-2</v>
      </c>
      <c r="I72" s="6">
        <f t="shared" si="25"/>
        <v>35.467592135571977</v>
      </c>
      <c r="K72" s="11">
        <f t="shared" si="30"/>
        <v>0.17771793997805721</v>
      </c>
      <c r="L72" s="6">
        <f t="shared" si="26"/>
        <v>79.43595978463776</v>
      </c>
      <c r="N72" s="6">
        <f t="shared" si="27"/>
        <v>446.97772095740987</v>
      </c>
      <c r="O72" s="11">
        <f t="shared" si="28"/>
        <v>1.0000000000000002</v>
      </c>
      <c r="P72" t="str">
        <f t="shared" si="29"/>
        <v xml:space="preserve"> </v>
      </c>
    </row>
    <row r="73" spans="1:16">
      <c r="A73">
        <v>4640</v>
      </c>
      <c r="B73" t="s">
        <v>58</v>
      </c>
      <c r="C73" s="6">
        <f>+'Results of Operations Regulated'!C73</f>
        <v>13695.007865739872</v>
      </c>
      <c r="E73" s="26">
        <f>+'Overhead Allocation'!$E$20</f>
        <v>0.74293226142437141</v>
      </c>
      <c r="F73" s="6">
        <f t="shared" si="24"/>
        <v>10174.463163918677</v>
      </c>
      <c r="H73" s="26">
        <f>+'Overhead Allocation'!$F$20</f>
        <v>7.9349798597571491E-2</v>
      </c>
      <c r="I73" s="6">
        <f t="shared" si="25"/>
        <v>1086.6961159386162</v>
      </c>
      <c r="K73" s="11">
        <f t="shared" si="30"/>
        <v>0.17771793997805721</v>
      </c>
      <c r="L73" s="6">
        <f t="shared" si="26"/>
        <v>2433.8485858825798</v>
      </c>
      <c r="N73" s="6">
        <f t="shared" si="27"/>
        <v>13695.007865739874</v>
      </c>
      <c r="O73" s="11">
        <f t="shared" si="28"/>
        <v>1.0000000000000002</v>
      </c>
      <c r="P73" t="str">
        <f t="shared" si="29"/>
        <v xml:space="preserve"> </v>
      </c>
    </row>
    <row r="74" spans="1:16">
      <c r="A74">
        <v>4650</v>
      </c>
      <c r="B74" t="s">
        <v>59</v>
      </c>
      <c r="C74" s="6">
        <f>+'Results of Operations Regulated'!C74</f>
        <v>65849.289253529962</v>
      </c>
      <c r="E74" s="26">
        <f>+'Overhead Allocation'!$E$20</f>
        <v>0.74293226142437141</v>
      </c>
      <c r="F74" s="6">
        <f t="shared" si="24"/>
        <v>48921.561378312574</v>
      </c>
      <c r="H74" s="26">
        <f>+'Overhead Allocation'!$F$20</f>
        <v>7.9349798597571491E-2</v>
      </c>
      <c r="I74" s="6">
        <f t="shared" si="25"/>
        <v>5225.1278400608317</v>
      </c>
      <c r="K74" s="11">
        <f t="shared" si="30"/>
        <v>0.17771793997805721</v>
      </c>
      <c r="L74" s="6">
        <f t="shared" si="26"/>
        <v>11702.600035156565</v>
      </c>
      <c r="N74" s="6">
        <f t="shared" si="27"/>
        <v>65849.289253529962</v>
      </c>
      <c r="O74" s="11">
        <f t="shared" si="28"/>
        <v>1.0000000000000002</v>
      </c>
      <c r="P74" t="str">
        <f t="shared" si="29"/>
        <v xml:space="preserve"> </v>
      </c>
    </row>
    <row r="75" spans="1:16">
      <c r="A75">
        <v>4652</v>
      </c>
      <c r="B75" t="s">
        <v>60</v>
      </c>
      <c r="C75" s="6">
        <f>+'Results of Operations Regulated'!C75</f>
        <v>9441.6722488590622</v>
      </c>
      <c r="E75" s="26">
        <f>+'Overhead Allocation'!$E$20</f>
        <v>0.74293226142437141</v>
      </c>
      <c r="F75" s="6">
        <f t="shared" si="24"/>
        <v>7014.5229154725939</v>
      </c>
      <c r="H75" s="26">
        <f>+'Overhead Allocation'!$F$20</f>
        <v>7.9349798597571491E-2</v>
      </c>
      <c r="I75" s="6">
        <f t="shared" si="25"/>
        <v>749.19479137124642</v>
      </c>
      <c r="K75" s="11">
        <f t="shared" si="30"/>
        <v>0.17771793997805721</v>
      </c>
      <c r="L75" s="6">
        <f t="shared" si="26"/>
        <v>1677.9545420152233</v>
      </c>
      <c r="N75" s="6">
        <f t="shared" si="27"/>
        <v>9441.672248859064</v>
      </c>
      <c r="O75" s="11">
        <f t="shared" si="28"/>
        <v>1.0000000000000002</v>
      </c>
      <c r="P75" t="str">
        <f t="shared" si="29"/>
        <v xml:space="preserve"> </v>
      </c>
    </row>
    <row r="76" spans="1:16">
      <c r="A76">
        <v>4660</v>
      </c>
      <c r="B76" t="s">
        <v>61</v>
      </c>
      <c r="C76" s="6">
        <f>+'Results of Operations Regulated'!C76</f>
        <v>0</v>
      </c>
      <c r="E76" s="26">
        <f>$E$21</f>
        <v>0.71666766615972766</v>
      </c>
      <c r="F76" s="87">
        <f t="shared" si="24"/>
        <v>0</v>
      </c>
      <c r="G76" s="83"/>
      <c r="H76" s="26">
        <f>$H$21</f>
        <v>6.487299307812619E-2</v>
      </c>
      <c r="I76" s="87">
        <f t="shared" si="25"/>
        <v>0</v>
      </c>
      <c r="J76" s="83"/>
      <c r="K76" s="26">
        <f>$K$21</f>
        <v>0.21845934076214624</v>
      </c>
      <c r="L76" s="87">
        <f t="shared" si="26"/>
        <v>0</v>
      </c>
      <c r="N76" s="6">
        <f t="shared" si="27"/>
        <v>0</v>
      </c>
      <c r="O76" s="11">
        <f t="shared" si="28"/>
        <v>1</v>
      </c>
      <c r="P76" t="str">
        <f t="shared" si="29"/>
        <v xml:space="preserve"> </v>
      </c>
    </row>
    <row r="77" spans="1:16">
      <c r="A77">
        <v>4670</v>
      </c>
      <c r="B77" t="s">
        <v>62</v>
      </c>
      <c r="C77" s="6">
        <f>+'Results of Operations Regulated'!C77</f>
        <v>0</v>
      </c>
      <c r="E77" s="26">
        <f>$E$21</f>
        <v>0.71666766615972766</v>
      </c>
      <c r="F77" s="87">
        <f t="shared" si="24"/>
        <v>0</v>
      </c>
      <c r="G77" s="83"/>
      <c r="H77" s="26">
        <f>$H$21</f>
        <v>6.487299307812619E-2</v>
      </c>
      <c r="I77" s="87">
        <f t="shared" si="25"/>
        <v>0</v>
      </c>
      <c r="J77" s="83"/>
      <c r="K77" s="26">
        <f>$K$21</f>
        <v>0.21845934076214624</v>
      </c>
      <c r="L77" s="87">
        <f t="shared" si="26"/>
        <v>0</v>
      </c>
      <c r="N77" s="6">
        <f t="shared" si="27"/>
        <v>0</v>
      </c>
      <c r="O77" s="11">
        <f t="shared" si="28"/>
        <v>1</v>
      </c>
      <c r="P77" t="str">
        <f t="shared" si="29"/>
        <v xml:space="preserve"> </v>
      </c>
    </row>
    <row r="78" spans="1:16">
      <c r="A78">
        <v>4680</v>
      </c>
      <c r="B78" t="s">
        <v>63</v>
      </c>
      <c r="C78" s="6">
        <f>+'Results of Operations Regulated'!C78</f>
        <v>10989.553936486616</v>
      </c>
      <c r="E78" s="26">
        <f>+$E$21</f>
        <v>0.71666766615972766</v>
      </c>
      <c r="F78" s="6">
        <f t="shared" si="24"/>
        <v>7875.8579717983112</v>
      </c>
      <c r="H78" s="26">
        <f>+H21</f>
        <v>6.487299307812619E-2</v>
      </c>
      <c r="I78" s="6">
        <f t="shared" si="25"/>
        <v>712.92525645339072</v>
      </c>
      <c r="K78" s="26">
        <f>+K21</f>
        <v>0.21845934076214624</v>
      </c>
      <c r="L78" s="6">
        <f t="shared" si="26"/>
        <v>2400.7707082349152</v>
      </c>
      <c r="N78" s="6">
        <f t="shared" si="27"/>
        <v>10989.553936486616</v>
      </c>
      <c r="O78" s="11">
        <f t="shared" si="28"/>
        <v>1</v>
      </c>
      <c r="P78" t="str">
        <f t="shared" si="29"/>
        <v xml:space="preserve"> </v>
      </c>
    </row>
    <row r="79" spans="1:16">
      <c r="A79">
        <v>4692</v>
      </c>
      <c r="B79" t="s">
        <v>64</v>
      </c>
      <c r="C79" s="6">
        <f>+'Results of Operations Regulated'!C79</f>
        <v>7911.5342309506887</v>
      </c>
      <c r="E79" s="11">
        <f>+$E$64</f>
        <v>0.74293226142437141</v>
      </c>
      <c r="F79" s="6">
        <f t="shared" si="24"/>
        <v>5877.7340175365198</v>
      </c>
      <c r="H79" s="26">
        <f>+'Overhead Allocation'!$F$20</f>
        <v>7.9349798597571491E-2</v>
      </c>
      <c r="I79" s="6">
        <f t="shared" si="25"/>
        <v>627.77864782372978</v>
      </c>
      <c r="K79" s="11">
        <f>+$K$64</f>
        <v>0.17771793997805721</v>
      </c>
      <c r="L79" s="6">
        <f t="shared" si="26"/>
        <v>1406.0215655904394</v>
      </c>
      <c r="N79" s="6">
        <f t="shared" si="27"/>
        <v>7911.5342309506887</v>
      </c>
      <c r="O79" s="11">
        <f t="shared" si="28"/>
        <v>1.0000000000000002</v>
      </c>
      <c r="P79" t="str">
        <f t="shared" si="29"/>
        <v xml:space="preserve"> </v>
      </c>
    </row>
    <row r="80" spans="1:16">
      <c r="A80">
        <v>4694</v>
      </c>
      <c r="B80" t="s">
        <v>65</v>
      </c>
      <c r="C80" s="6">
        <f>+'Results of Operations Regulated'!C80</f>
        <v>0</v>
      </c>
      <c r="E80" s="11">
        <f>+$E$64</f>
        <v>0.74293226142437141</v>
      </c>
      <c r="F80" s="6">
        <f t="shared" si="24"/>
        <v>0</v>
      </c>
      <c r="H80" s="26">
        <f>+'Overhead Allocation'!$F$20</f>
        <v>7.9349798597571491E-2</v>
      </c>
      <c r="I80" s="6">
        <f t="shared" si="25"/>
        <v>0</v>
      </c>
      <c r="K80" s="11">
        <f>+$K$64</f>
        <v>0.17771793997805721</v>
      </c>
      <c r="L80" s="6">
        <f t="shared" si="26"/>
        <v>0</v>
      </c>
      <c r="N80" s="6">
        <f t="shared" si="27"/>
        <v>0</v>
      </c>
      <c r="O80" s="11">
        <f t="shared" si="28"/>
        <v>1.0000000000000002</v>
      </c>
      <c r="P80" t="str">
        <f t="shared" si="29"/>
        <v xml:space="preserve"> </v>
      </c>
    </row>
    <row r="81" spans="1:16">
      <c r="A81">
        <v>4698</v>
      </c>
      <c r="B81" t="s">
        <v>66</v>
      </c>
      <c r="C81" s="6">
        <f>+'Results of Operations Regulated'!C81</f>
        <v>190.55399413920608</v>
      </c>
      <c r="E81" s="11">
        <f>+$E$64</f>
        <v>0.74293226142437141</v>
      </c>
      <c r="F81" s="6">
        <f t="shared" si="24"/>
        <v>141.5687097892868</v>
      </c>
      <c r="H81" s="26">
        <f>+'Overhead Allocation'!$F$20</f>
        <v>7.9349798597571491E-2</v>
      </c>
      <c r="I81" s="6">
        <f t="shared" si="25"/>
        <v>15.120421056908821</v>
      </c>
      <c r="K81" s="11">
        <f>+$K$64</f>
        <v>0.17771793997805721</v>
      </c>
      <c r="L81" s="6">
        <f t="shared" si="26"/>
        <v>33.864863293010494</v>
      </c>
      <c r="N81" s="6">
        <f t="shared" si="27"/>
        <v>190.55399413920611</v>
      </c>
      <c r="O81" s="11">
        <f t="shared" si="28"/>
        <v>1.0000000000000002</v>
      </c>
      <c r="P81" t="str">
        <f t="shared" si="29"/>
        <v xml:space="preserve"> </v>
      </c>
    </row>
    <row r="82" spans="1:16">
      <c r="A82" t="s">
        <v>19</v>
      </c>
      <c r="C82" s="6"/>
      <c r="E82" s="11"/>
      <c r="F82" s="6"/>
      <c r="H82" s="11"/>
      <c r="I82" s="6"/>
      <c r="K82" s="11"/>
      <c r="L82" s="6"/>
      <c r="N82" s="6"/>
      <c r="O82" s="11"/>
    </row>
    <row r="83" spans="1:16">
      <c r="A83">
        <v>5010</v>
      </c>
      <c r="B83" t="s">
        <v>67</v>
      </c>
      <c r="C83" s="6">
        <f>+'Results of Operations Regulated'!C83</f>
        <v>224643.73090776146</v>
      </c>
      <c r="E83" s="26">
        <f>+'Depr Allocation by County'!$L$12</f>
        <v>0.7842513659992818</v>
      </c>
      <c r="F83" s="6">
        <f>+C83*E83</f>
        <v>176177.15282758701</v>
      </c>
      <c r="H83" s="26">
        <f>+'Depr Allocation by County'!$L$14</f>
        <v>6.4509609391915995E-2</v>
      </c>
      <c r="I83" s="6">
        <f>+C83*H83</f>
        <v>14491.679333202379</v>
      </c>
      <c r="K83" s="26">
        <f>+'Depr Allocation by County'!L16</f>
        <v>0.1512390246088022</v>
      </c>
      <c r="L83" s="6">
        <f>+C83*K83</f>
        <v>33974.898746972074</v>
      </c>
      <c r="N83" s="6">
        <f>+F83+I83+L83</f>
        <v>224643.73090776143</v>
      </c>
      <c r="O83" s="11">
        <f>+E83+H83+K83</f>
        <v>1</v>
      </c>
      <c r="P83" t="str">
        <f>IF(O83&lt;&gt;1,"ERR"," ")</f>
        <v xml:space="preserve"> </v>
      </c>
    </row>
    <row r="84" spans="1:16">
      <c r="A84">
        <v>5100</v>
      </c>
      <c r="B84" t="s">
        <v>68</v>
      </c>
      <c r="C84" s="6">
        <f>+'Results of Operations Regulated'!C84</f>
        <v>-7836.1903024760068</v>
      </c>
      <c r="E84" s="11">
        <f>+$E$83</f>
        <v>0.7842513659992818</v>
      </c>
      <c r="F84" s="6">
        <f>+C84*E84</f>
        <v>-6145.5429489471335</v>
      </c>
      <c r="H84" s="11">
        <f>+$H$83</f>
        <v>6.4509609391915995E-2</v>
      </c>
      <c r="I84" s="6">
        <f>+C84*H84</f>
        <v>-505.50957553344728</v>
      </c>
      <c r="K84" s="11">
        <f>+K83</f>
        <v>0.1512390246088022</v>
      </c>
      <c r="L84" s="6">
        <f>+C84*K84</f>
        <v>-1185.1377779954259</v>
      </c>
      <c r="N84" s="6">
        <f>+F84+I84+L84</f>
        <v>-7836.1903024760068</v>
      </c>
      <c r="O84" s="11">
        <f>+E84+H84+K84</f>
        <v>1</v>
      </c>
      <c r="P84" t="str">
        <f>IF(O84&lt;&gt;1,"ERR"," ")</f>
        <v xml:space="preserve"> </v>
      </c>
    </row>
    <row r="85" spans="1:16">
      <c r="A85" t="s">
        <v>20</v>
      </c>
      <c r="C85" s="6"/>
      <c r="E85" s="11"/>
      <c r="F85" s="6"/>
      <c r="H85" s="11"/>
      <c r="I85" s="6"/>
      <c r="K85" s="11"/>
      <c r="L85" s="6"/>
      <c r="N85" s="6"/>
      <c r="O85" s="11"/>
    </row>
    <row r="86" spans="1:16">
      <c r="A86">
        <v>5151</v>
      </c>
      <c r="B86" t="s">
        <v>69</v>
      </c>
      <c r="C86" s="6">
        <f>+'Results of Operations Regulated'!C86</f>
        <v>0</v>
      </c>
      <c r="E86" s="15">
        <v>1</v>
      </c>
      <c r="F86" s="6">
        <f>+C86*E86</f>
        <v>0</v>
      </c>
      <c r="H86" s="15">
        <v>0</v>
      </c>
      <c r="I86" s="6">
        <f>+C86*H86</f>
        <v>0</v>
      </c>
      <c r="K86" s="15">
        <v>0</v>
      </c>
      <c r="L86" s="6">
        <f>+C86*K86</f>
        <v>0</v>
      </c>
      <c r="N86" s="6">
        <f>+F86+I86+L86</f>
        <v>0</v>
      </c>
      <c r="O86" s="11">
        <f>+E86+H86+K86</f>
        <v>1</v>
      </c>
      <c r="P86" t="str">
        <f>IF(O86&lt;&gt;1,"ERR"," ")</f>
        <v xml:space="preserve"> </v>
      </c>
    </row>
    <row r="87" spans="1:16">
      <c r="A87" t="s">
        <v>21</v>
      </c>
      <c r="C87" s="6"/>
      <c r="E87" s="11"/>
      <c r="F87" s="6"/>
      <c r="H87" s="11"/>
      <c r="I87" s="6"/>
      <c r="K87" s="11"/>
      <c r="L87" s="6"/>
      <c r="N87" s="6"/>
      <c r="O87" s="11"/>
    </row>
    <row r="88" spans="1:16">
      <c r="A88">
        <v>5220</v>
      </c>
      <c r="B88" t="s">
        <v>70</v>
      </c>
      <c r="C88" s="6">
        <f>+'Results of Operations Regulated'!C88</f>
        <v>5493.4266669058652</v>
      </c>
      <c r="E88" s="11">
        <f>+$E$25</f>
        <v>0.78523744752734048</v>
      </c>
      <c r="F88" s="6">
        <f t="shared" ref="F88:F95" si="31">+C88*E88</f>
        <v>4313.6443340997876</v>
      </c>
      <c r="H88" s="11">
        <f>+'Hours &amp; Miles by County'!$E$25</f>
        <v>6.7195645252181857E-2</v>
      </c>
      <c r="I88" s="6">
        <f t="shared" ref="I88:I95" si="32">+C88*H88</f>
        <v>369.13434952828231</v>
      </c>
      <c r="K88" s="11">
        <f>+K25</f>
        <v>0.1475669072204778</v>
      </c>
      <c r="L88" s="6">
        <f t="shared" ref="L88:L95" si="33">+C88*K88</f>
        <v>810.64798327779647</v>
      </c>
      <c r="N88" s="6">
        <f t="shared" ref="N88:N95" si="34">+F88+I88+L88</f>
        <v>5493.426666905867</v>
      </c>
      <c r="O88" s="11">
        <f t="shared" ref="O88:O95" si="35">+E88+H88+K88</f>
        <v>1</v>
      </c>
      <c r="P88" t="str">
        <f t="shared" ref="P88:P95" si="36">IF(O88&lt;&gt;1,"ERR"," ")</f>
        <v xml:space="preserve"> </v>
      </c>
    </row>
    <row r="89" spans="1:16">
      <c r="A89">
        <v>5230</v>
      </c>
      <c r="B89" t="s">
        <v>71</v>
      </c>
      <c r="C89" s="6">
        <f>+'Results of Operations Regulated'!C89</f>
        <v>2218.7145563770796</v>
      </c>
      <c r="E89" s="11">
        <f>+$E$27</f>
        <v>0.81</v>
      </c>
      <c r="F89" s="6">
        <f t="shared" si="31"/>
        <v>1797.1587906654345</v>
      </c>
      <c r="H89" s="26">
        <f>ROUND(+'Container Count by County'!$K$24,3)</f>
        <v>0.05</v>
      </c>
      <c r="I89" s="6">
        <f t="shared" si="32"/>
        <v>110.93572781885399</v>
      </c>
      <c r="K89" s="11">
        <f>+K27</f>
        <v>0.14000000000000001</v>
      </c>
      <c r="L89" s="6">
        <f t="shared" si="33"/>
        <v>310.62003789279117</v>
      </c>
      <c r="N89" s="6">
        <f t="shared" si="34"/>
        <v>2218.7145563770796</v>
      </c>
      <c r="O89" s="11">
        <f t="shared" si="35"/>
        <v>1</v>
      </c>
      <c r="P89" t="str">
        <f t="shared" si="36"/>
        <v xml:space="preserve"> </v>
      </c>
    </row>
    <row r="90" spans="1:16">
      <c r="A90">
        <v>5240</v>
      </c>
      <c r="B90" t="s">
        <v>72</v>
      </c>
      <c r="C90" s="6">
        <f>+'Results of Operations Regulated'!C90</f>
        <v>40839.502202417134</v>
      </c>
      <c r="E90" s="11">
        <f>+$E$25</f>
        <v>0.78523744752734048</v>
      </c>
      <c r="F90" s="6">
        <f t="shared" si="31"/>
        <v>32068.706467713229</v>
      </c>
      <c r="H90" s="11">
        <f>+'Hours &amp; Miles by County'!$E$25</f>
        <v>6.7195645252181857E-2</v>
      </c>
      <c r="I90" s="6">
        <f t="shared" si="32"/>
        <v>2744.2367022693215</v>
      </c>
      <c r="K90" s="11">
        <f>+K25</f>
        <v>0.1475669072204778</v>
      </c>
      <c r="L90" s="6">
        <f t="shared" si="33"/>
        <v>6026.5590324345876</v>
      </c>
      <c r="N90" s="6">
        <f t="shared" si="34"/>
        <v>40839.502202417141</v>
      </c>
      <c r="O90" s="11">
        <f t="shared" si="35"/>
        <v>1</v>
      </c>
      <c r="P90" t="str">
        <f t="shared" si="36"/>
        <v xml:space="preserve"> </v>
      </c>
    </row>
    <row r="91" spans="1:16">
      <c r="A91">
        <v>5241</v>
      </c>
      <c r="B91" t="s">
        <v>73</v>
      </c>
      <c r="C91" s="6">
        <f>+'Results of Operations Regulated'!C91</f>
        <v>288.358274914135</v>
      </c>
      <c r="E91" s="11">
        <f>+$E$25</f>
        <v>0.78523744752734048</v>
      </c>
      <c r="F91" s="6">
        <f t="shared" si="31"/>
        <v>226.42971576696249</v>
      </c>
      <c r="H91" s="11">
        <f>+'Hours &amp; Miles by County'!$E$25</f>
        <v>6.7195645252181857E-2</v>
      </c>
      <c r="I91" s="6">
        <f t="shared" si="32"/>
        <v>19.376420346661344</v>
      </c>
      <c r="K91" s="11">
        <f>+K25</f>
        <v>0.1475669072204778</v>
      </c>
      <c r="L91" s="6">
        <f t="shared" si="33"/>
        <v>42.552138800511187</v>
      </c>
      <c r="N91" s="6">
        <f t="shared" si="34"/>
        <v>288.358274914135</v>
      </c>
      <c r="O91" s="11">
        <f t="shared" si="35"/>
        <v>1</v>
      </c>
      <c r="P91" t="str">
        <f t="shared" si="36"/>
        <v xml:space="preserve"> </v>
      </c>
    </row>
    <row r="92" spans="1:16">
      <c r="A92">
        <v>5242</v>
      </c>
      <c r="B92" t="s">
        <v>74</v>
      </c>
      <c r="C92" s="6">
        <f>+'Results of Operations Regulated'!C92</f>
        <v>3478.8568674181934</v>
      </c>
      <c r="E92" s="11">
        <f>+$E$25</f>
        <v>0.78523744752734048</v>
      </c>
      <c r="F92" s="6">
        <f t="shared" si="31"/>
        <v>2731.7286868844217</v>
      </c>
      <c r="H92" s="11">
        <f>+'Hours &amp; Miles by County'!$E$25</f>
        <v>6.7195645252181857E-2</v>
      </c>
      <c r="I92" s="6">
        <f t="shared" si="32"/>
        <v>233.76403194614957</v>
      </c>
      <c r="K92" s="11">
        <f>+K25</f>
        <v>0.1475669072204778</v>
      </c>
      <c r="L92" s="6">
        <f t="shared" si="33"/>
        <v>513.36414858762259</v>
      </c>
      <c r="N92" s="6">
        <f t="shared" si="34"/>
        <v>3478.8568674181943</v>
      </c>
      <c r="O92" s="11">
        <f t="shared" si="35"/>
        <v>1</v>
      </c>
      <c r="P92" t="str">
        <f t="shared" si="36"/>
        <v xml:space="preserve"> </v>
      </c>
    </row>
    <row r="93" spans="1:16">
      <c r="A93">
        <v>5260</v>
      </c>
      <c r="B93" t="s">
        <v>75</v>
      </c>
      <c r="C93" s="6">
        <f>+'Results of Operations Regulated'!C93</f>
        <v>43117.015745865087</v>
      </c>
      <c r="E93" s="11">
        <f>+$E$21</f>
        <v>0.71666766615972766</v>
      </c>
      <c r="F93" s="6">
        <f t="shared" si="31"/>
        <v>30900.571046361361</v>
      </c>
      <c r="H93" s="11">
        <f>+H21</f>
        <v>6.487299307812619E-2</v>
      </c>
      <c r="I93" s="6">
        <f t="shared" si="32"/>
        <v>2797.1298640309637</v>
      </c>
      <c r="K93" s="11">
        <f>+K21</f>
        <v>0.21845934076214624</v>
      </c>
      <c r="L93" s="6">
        <f t="shared" si="33"/>
        <v>9419.3148354727655</v>
      </c>
      <c r="N93" s="6">
        <f t="shared" si="34"/>
        <v>43117.015745865094</v>
      </c>
      <c r="O93" s="11">
        <f t="shared" si="35"/>
        <v>1</v>
      </c>
      <c r="P93" t="str">
        <f t="shared" si="36"/>
        <v xml:space="preserve"> </v>
      </c>
    </row>
    <row r="94" spans="1:16">
      <c r="A94">
        <v>5270</v>
      </c>
      <c r="B94" t="s">
        <v>76</v>
      </c>
      <c r="C94" s="6">
        <f>+'Results of Operations Regulated'!C94</f>
        <v>7041.33</v>
      </c>
      <c r="E94" s="15">
        <v>0</v>
      </c>
      <c r="F94" s="6">
        <f t="shared" si="31"/>
        <v>0</v>
      </c>
      <c r="H94" s="15">
        <v>1</v>
      </c>
      <c r="I94" s="6">
        <f t="shared" si="32"/>
        <v>7041.33</v>
      </c>
      <c r="K94" s="15">
        <v>0</v>
      </c>
      <c r="L94" s="6">
        <f t="shared" si="33"/>
        <v>0</v>
      </c>
      <c r="N94" s="6">
        <f t="shared" si="34"/>
        <v>7041.33</v>
      </c>
      <c r="O94" s="11">
        <f t="shared" si="35"/>
        <v>1</v>
      </c>
      <c r="P94" t="str">
        <f t="shared" si="36"/>
        <v xml:space="preserve"> </v>
      </c>
    </row>
    <row r="95" spans="1:16">
      <c r="A95">
        <v>5290</v>
      </c>
      <c r="B95" t="s">
        <v>77</v>
      </c>
      <c r="C95" s="6">
        <f>+'Results of Operations Regulated'!C95</f>
        <v>-18991.973533928398</v>
      </c>
      <c r="E95" s="11">
        <f>+$E$25</f>
        <v>0.78523744752734048</v>
      </c>
      <c r="F95" s="6">
        <f t="shared" si="31"/>
        <v>-14913.208821288739</v>
      </c>
      <c r="H95" s="11">
        <f>+'Hours &amp; Miles by County'!$E$25</f>
        <v>6.7195645252181857E-2</v>
      </c>
      <c r="I95" s="6">
        <f t="shared" si="32"/>
        <v>-1276.1779162246792</v>
      </c>
      <c r="K95" s="11">
        <f>+K25</f>
        <v>0.1475669072204778</v>
      </c>
      <c r="L95" s="6">
        <f t="shared" si="33"/>
        <v>-2802.5867964149816</v>
      </c>
      <c r="N95" s="6">
        <f t="shared" si="34"/>
        <v>-18991.973533928398</v>
      </c>
      <c r="O95" s="11">
        <f t="shared" si="35"/>
        <v>1</v>
      </c>
      <c r="P95" t="str">
        <f t="shared" si="36"/>
        <v xml:space="preserve"> </v>
      </c>
    </row>
    <row r="96" spans="1:16">
      <c r="A96" t="s">
        <v>22</v>
      </c>
      <c r="C96" s="6"/>
      <c r="E96" s="11"/>
      <c r="F96" s="6"/>
      <c r="H96" s="11"/>
      <c r="I96" s="6"/>
      <c r="K96" s="11"/>
      <c r="L96" s="6"/>
      <c r="N96" s="6"/>
      <c r="O96" s="11"/>
    </row>
    <row r="97" spans="1:16">
      <c r="A97">
        <v>5320</v>
      </c>
      <c r="B97" t="s">
        <v>78</v>
      </c>
      <c r="C97" s="6">
        <f>+'Results of Operations Regulated'!C97</f>
        <v>73693.615742481503</v>
      </c>
      <c r="E97" s="11">
        <f>$E$64</f>
        <v>0.74293226142437141</v>
      </c>
      <c r="F97" s="6">
        <f>+C97*E97</f>
        <v>54749.364596100437</v>
      </c>
      <c r="H97" s="26">
        <f>+'Overhead Allocation'!$F$20</f>
        <v>7.9349798597571491E-2</v>
      </c>
      <c r="I97" s="6">
        <f>+C97*H97</f>
        <v>5847.5735670927315</v>
      </c>
      <c r="K97" s="11">
        <f>$K$64</f>
        <v>0.17771793997805721</v>
      </c>
      <c r="L97" s="6">
        <f>+C97*K97</f>
        <v>13096.67757928834</v>
      </c>
      <c r="N97" s="6">
        <f>+F97+I97+L97</f>
        <v>73693.615742481503</v>
      </c>
      <c r="O97" s="11">
        <f>+E97+H97+K97</f>
        <v>1.0000000000000002</v>
      </c>
      <c r="P97" t="str">
        <f>IF(O97&lt;&gt;1,"ERR"," ")</f>
        <v xml:space="preserve"> </v>
      </c>
    </row>
    <row r="98" spans="1:16" ht="13.5" thickBot="1">
      <c r="A98" s="158">
        <v>5322</v>
      </c>
      <c r="B98" s="158" t="s">
        <v>371</v>
      </c>
      <c r="C98" s="682">
        <f>+'Results of Operations Regulated'!C98</f>
        <v>0</v>
      </c>
      <c r="D98" s="683"/>
      <c r="E98" s="104">
        <f>+$E$64</f>
        <v>0.74293226142437141</v>
      </c>
      <c r="F98" s="682">
        <f>+C98*E98</f>
        <v>0</v>
      </c>
      <c r="G98" s="683"/>
      <c r="H98" s="104">
        <f>+'Overhead Allocation'!$F$20</f>
        <v>7.9349798597571491E-2</v>
      </c>
      <c r="I98" s="682">
        <f>+C98*H98</f>
        <v>0</v>
      </c>
      <c r="J98" s="683"/>
      <c r="K98" s="104">
        <f>+$K$64</f>
        <v>0.17771793997805721</v>
      </c>
      <c r="L98" s="682">
        <f>+C98*K98</f>
        <v>0</v>
      </c>
      <c r="M98" s="683"/>
      <c r="N98" s="682">
        <f>+F98+I98+L98</f>
        <v>0</v>
      </c>
      <c r="O98" s="104">
        <f>+E98+H98+K98</f>
        <v>1.0000000000000002</v>
      </c>
      <c r="P98" s="158" t="str">
        <f>IF(O98&lt;&gt;1,"ERR"," ")</f>
        <v xml:space="preserve"> </v>
      </c>
    </row>
    <row r="99" spans="1:16">
      <c r="C99" s="6"/>
      <c r="E99" s="11"/>
      <c r="H99" s="11"/>
      <c r="K99" s="11"/>
      <c r="O99" s="11"/>
    </row>
    <row r="100" spans="1:16" ht="13.5" thickBot="1">
      <c r="B100" t="s">
        <v>23</v>
      </c>
      <c r="C100" s="7">
        <f>SUM(C25:C98)</f>
        <v>2187467.8998787915</v>
      </c>
      <c r="D100" s="5"/>
      <c r="E100" s="12">
        <f>+F100/C100</f>
        <v>0.74791856949349622</v>
      </c>
      <c r="F100" s="7">
        <f>SUM(F25:F98)</f>
        <v>1636047.8624902882</v>
      </c>
      <c r="G100" s="5"/>
      <c r="H100" s="12">
        <f>+I100/C100</f>
        <v>6.8763167458889385E-2</v>
      </c>
      <c r="I100" s="7">
        <f>SUM(I25:I98)</f>
        <v>150417.22151031042</v>
      </c>
      <c r="J100" s="5"/>
      <c r="K100" s="12">
        <f>+L100/C100</f>
        <v>0.18331826304761475</v>
      </c>
      <c r="L100" s="7">
        <f>SUM(L25:L98)</f>
        <v>401002.81587819371</v>
      </c>
      <c r="M100" s="5"/>
      <c r="N100" s="7">
        <f>SUM(N25:N98)</f>
        <v>2187467.8998787915</v>
      </c>
      <c r="O100" s="12">
        <f>+E100+H100+K100</f>
        <v>1.0000000000000002</v>
      </c>
    </row>
    <row r="101" spans="1:16">
      <c r="C101" s="6"/>
      <c r="E101" s="11"/>
      <c r="F101" s="6"/>
      <c r="H101" s="11"/>
      <c r="I101" s="6"/>
      <c r="K101" s="11"/>
      <c r="L101" s="6"/>
      <c r="N101" s="6"/>
      <c r="O101" s="11"/>
    </row>
    <row r="102" spans="1:16" ht="13.5" thickBot="1">
      <c r="B102" t="s">
        <v>24</v>
      </c>
      <c r="C102" s="8">
        <f>+C21-C100</f>
        <v>250293.73012120835</v>
      </c>
      <c r="D102" s="13"/>
      <c r="E102" s="14">
        <f>+F102/C102</f>
        <v>0.44354716948676154</v>
      </c>
      <c r="F102" s="8">
        <f>+F21-F100</f>
        <v>111017.07553554536</v>
      </c>
      <c r="G102" s="13"/>
      <c r="H102" s="14">
        <f>+I102/C102</f>
        <v>3.0874412375647375E-2</v>
      </c>
      <c r="I102" s="8">
        <f>+I21-I100</f>
        <v>7727.6718388011795</v>
      </c>
      <c r="J102" s="13"/>
      <c r="K102" s="14">
        <f>+L102/C102</f>
        <v>0.52557841813758899</v>
      </c>
      <c r="L102" s="8">
        <f>+L21-L100</f>
        <v>131548.98274686129</v>
      </c>
      <c r="M102" s="13"/>
      <c r="N102" s="8">
        <f>+N21-N100</f>
        <v>250293.73012120835</v>
      </c>
      <c r="O102" s="14">
        <f>+E102+H102+K102</f>
        <v>0.99999999999999789</v>
      </c>
    </row>
    <row r="103" spans="1:16" ht="13.5" thickTop="1">
      <c r="C103" s="6"/>
      <c r="E103" s="11"/>
      <c r="F103" s="6"/>
      <c r="H103" s="11"/>
      <c r="I103" s="6"/>
      <c r="K103" s="11"/>
      <c r="L103" s="6"/>
      <c r="N103" s="6"/>
      <c r="O103" s="11"/>
    </row>
    <row r="104" spans="1:16">
      <c r="B104" t="s">
        <v>103</v>
      </c>
      <c r="C104" s="10">
        <f>+C100/C21</f>
        <v>0.89732641327970675</v>
      </c>
      <c r="E104" s="11"/>
      <c r="F104" s="10">
        <f>+F100/F21</f>
        <v>0.93645509498863067</v>
      </c>
      <c r="H104" s="11"/>
      <c r="I104" s="10">
        <f>+I100/I21</f>
        <v>0.95113549558794785</v>
      </c>
      <c r="K104" s="11"/>
      <c r="L104" s="10">
        <f>+L100/L21</f>
        <v>0.75298368518049297</v>
      </c>
      <c r="N104" s="10">
        <f>+N100/N21</f>
        <v>0.89732641327970675</v>
      </c>
      <c r="O104" s="11"/>
    </row>
  </sheetData>
  <mergeCells count="6">
    <mergeCell ref="K6:L6"/>
    <mergeCell ref="K7:L7"/>
    <mergeCell ref="E6:F6"/>
    <mergeCell ref="E7:F7"/>
    <mergeCell ref="H6:I6"/>
    <mergeCell ref="H7:I7"/>
  </mergeCells>
  <pageMargins left="0.27" right="0.25" top="0.52" bottom="0.45" header="0.5" footer="0.5"/>
  <pageSetup scale="89" fitToHeight="2"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9B1C4A4426FA488DEB61B5BC498D21" ma:contentTypeVersion="7" ma:contentTypeDescription="" ma:contentTypeScope="" ma:versionID="4fe8f5c2b79f0bba1e52d8e97ace75f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1add469a04ec84511d21693c7e1b6b7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C1144AA5E45D84F8687D207146E59CA" ma:contentTypeVersion="68" ma:contentTypeDescription="" ma:contentTypeScope="" ma:versionID="6acf0e765bbf5640804df3504bdff0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2018-03-28T07:00:00+00:00</OpenedDate>
    <SignificantOrder xmlns="dc463f71-b30c-4ab2-9473-d307f9d35888">false</SignificantOrder>
    <Date1 xmlns="dc463f71-b30c-4ab2-9473-d307f9d35888">2021-02-12T08:00:00+00:00</Date1>
    <IsDocumentOrder xmlns="dc463f71-b30c-4ab2-9473-d307f9d35888">false</IsDocumentOrder>
    <IsHighlyConfidential xmlns="dc463f71-b30c-4ab2-9473-d307f9d35888">false</IsHighlyConfidential>
    <CaseCompanyNames xmlns="dc463f71-b30c-4ab2-9473-d307f9d35888">ZIPPY DISPOSAL SERVICE, INC.</CaseCompanyNames>
    <Nickname xmlns="http://schemas.microsoft.com/sharepoint/v3" xsi:nil="true"/>
    <DocketNumber xmlns="dc463f71-b30c-4ab2-9473-d307f9d35888">180267</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7A183D4-57C3-40FD-9350-F3F319443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463f71-b30c-4ab2-9473-d307f9d35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907FA6-551D-46C2-A84A-DB6BC15516F6}"/>
</file>

<file path=customXml/itemProps3.xml><?xml version="1.0" encoding="utf-8"?>
<ds:datastoreItem xmlns:ds="http://schemas.openxmlformats.org/officeDocument/2006/customXml" ds:itemID="{E8A760EC-4AA3-41C6-B25C-865BBCFE235D}">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dc463f71-b30c-4ab2-9473-d307f9d35888"/>
    <ds:schemaRef ds:uri="http://schemas.microsoft.com/sharepoint/v3"/>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A801C576-817C-44E9-9FEF-625564A573C8}">
  <ds:schemaRefs>
    <ds:schemaRef ds:uri="http://schemas.microsoft.com/sharepoint/v3/contenttype/forms"/>
  </ds:schemaRefs>
</ds:datastoreItem>
</file>

<file path=customXml/itemProps5.xml><?xml version="1.0" encoding="utf-8"?>
<ds:datastoreItem xmlns:ds="http://schemas.openxmlformats.org/officeDocument/2006/customXml" ds:itemID="{50121300-C938-4FAB-AAD2-CEF18888806F}">
  <ds:schemaRefs>
    <ds:schemaRef ds:uri="http://schemas.microsoft.com/office/2006/metadata/longProperties"/>
  </ds:schemaRefs>
</ds:datastoreItem>
</file>

<file path=customXml/itemProps6.xml><?xml version="1.0" encoding="utf-8"?>
<ds:datastoreItem xmlns:ds="http://schemas.openxmlformats.org/officeDocument/2006/customXml" ds:itemID="{F56F5656-50E4-40AB-B833-CBD2BD345F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39</vt:i4>
      </vt:variant>
    </vt:vector>
  </HeadingPairs>
  <TitlesOfParts>
    <vt:vector size="88" baseType="lpstr">
      <vt:lpstr>Lurito</vt:lpstr>
      <vt:lpstr>Staff Adjustment Summary</vt:lpstr>
      <vt:lpstr>Staff LG Total</vt:lpstr>
      <vt:lpstr>Results of Operations Staff </vt:lpstr>
      <vt:lpstr>Results of Operations Regulated</vt:lpstr>
      <vt:lpstr>Staff Pro Forma</vt:lpstr>
      <vt:lpstr>Restating AJEs</vt:lpstr>
      <vt:lpstr>Proforma AJEs</vt:lpstr>
      <vt:lpstr>Cost Allocations</vt:lpstr>
      <vt:lpstr>Cost Allocations-Contracts</vt:lpstr>
      <vt:lpstr>Cost Allocations-Recycle</vt:lpstr>
      <vt:lpstr>Cost Allocations-Rolloff</vt:lpstr>
      <vt:lpstr>Depr Allocation</vt:lpstr>
      <vt:lpstr>Hours &amp; Miles</vt:lpstr>
      <vt:lpstr>Container Count</vt:lpstr>
      <vt:lpstr>DEPN2K</vt:lpstr>
      <vt:lpstr>Wutc Balance Sheet</vt:lpstr>
      <vt:lpstr>Monthy Income Statements</vt:lpstr>
      <vt:lpstr>Priceout-Chelan</vt:lpstr>
      <vt:lpstr>Priceout-Douglas</vt:lpstr>
      <vt:lpstr>Priceout-Okanogan</vt:lpstr>
      <vt:lpstr>Lurito-Chelan</vt:lpstr>
      <vt:lpstr>Lurito-Douglas</vt:lpstr>
      <vt:lpstr>Lurito-Okanogan</vt:lpstr>
      <vt:lpstr>Overhead Allocation</vt:lpstr>
      <vt:lpstr>Depr Allocation by County</vt:lpstr>
      <vt:lpstr>Hours &amp; Miles by County</vt:lpstr>
      <vt:lpstr>Container Count by County</vt:lpstr>
      <vt:lpstr>Drop Box Allocation</vt:lpstr>
      <vt:lpstr>Disposal Fee Breakdown</vt:lpstr>
      <vt:lpstr>Service Counts</vt:lpstr>
      <vt:lpstr>Wage Summary</vt:lpstr>
      <vt:lpstr>L&amp;I</vt:lpstr>
      <vt:lpstr>Health Insurance</vt:lpstr>
      <vt:lpstr>City Contracts</vt:lpstr>
      <vt:lpstr>Disposal Fees</vt:lpstr>
      <vt:lpstr>Previous rate increases</vt:lpstr>
      <vt:lpstr>Fuel Summary</vt:lpstr>
      <vt:lpstr>Fuel Proforma</vt:lpstr>
      <vt:lpstr>Employment Security</vt:lpstr>
      <vt:lpstr>Rent</vt:lpstr>
      <vt:lpstr>Checklist</vt:lpstr>
      <vt:lpstr>General Data</vt:lpstr>
      <vt:lpstr>Monthly Data-Hours &amp; Miles</vt:lpstr>
      <vt:lpstr>Monthly Data-Container Count</vt:lpstr>
      <vt:lpstr>Monthly Data-Disposal Fees</vt:lpstr>
      <vt:lpstr>Service Count Data</vt:lpstr>
      <vt:lpstr>Pateros Service Counts</vt:lpstr>
      <vt:lpstr>Bridgeport Service Counts</vt:lpstr>
      <vt:lpstr>Database</vt:lpstr>
      <vt:lpstr>Database_MI</vt:lpstr>
      <vt:lpstr>'Staff LG Total'!Debt_Rate</vt:lpstr>
      <vt:lpstr>'Staff LG Total'!debtP</vt:lpstr>
      <vt:lpstr>'Staff LG Total'!Equity_percent</vt:lpstr>
      <vt:lpstr>'Staff LG Total'!equityP</vt:lpstr>
      <vt:lpstr>'Staff LG Total'!expenses</vt:lpstr>
      <vt:lpstr>'Staff LG Total'!Investment</vt:lpstr>
      <vt:lpstr>PAGE_1</vt:lpstr>
      <vt:lpstr>'Staff LG Total'!Pfd_weighted</vt:lpstr>
      <vt:lpstr>'Bridgeport Service Counts'!Print_Area</vt:lpstr>
      <vt:lpstr>DEPN2K!Print_Area</vt:lpstr>
      <vt:lpstr>'Hours &amp; Miles'!Print_Area</vt:lpstr>
      <vt:lpstr>Lurito!Print_Area</vt:lpstr>
      <vt:lpstr>'Lurito-Chelan'!Print_Area</vt:lpstr>
      <vt:lpstr>'Lurito-Douglas'!Print_Area</vt:lpstr>
      <vt:lpstr>'Lurito-Okanogan'!Print_Area</vt:lpstr>
      <vt:lpstr>'Pateros Service Counts'!Print_Area</vt:lpstr>
      <vt:lpstr>'Priceout-Chelan'!Print_Area</vt:lpstr>
      <vt:lpstr>'Priceout-Douglas'!Print_Area</vt:lpstr>
      <vt:lpstr>'Priceout-Okanogan'!Print_Area</vt:lpstr>
      <vt:lpstr>'Results of Operations Regulated'!Print_Area</vt:lpstr>
      <vt:lpstr>'Results of Operations Staff '!Print_Area</vt:lpstr>
      <vt:lpstr>'Service Count Data'!Print_Area</vt:lpstr>
      <vt:lpstr>'Service Counts'!Print_Area</vt:lpstr>
      <vt:lpstr>'Staff LG Total'!Print_Area</vt:lpstr>
      <vt:lpstr>'Wage Summary'!Print_Area</vt:lpstr>
      <vt:lpstr>'Wutc Balance Sheet'!Print_Area</vt:lpstr>
      <vt:lpstr>Print_Area</vt:lpstr>
      <vt:lpstr>Print_Area_MI</vt:lpstr>
      <vt:lpstr>'Service Counts'!Print_Titles</vt:lpstr>
      <vt:lpstr>'Staff LG Total'!regDebt_weighted</vt:lpstr>
      <vt:lpstr>'Staff LG Total'!Revenue</vt:lpstr>
      <vt:lpstr>'Staff LG Total'!slope</vt:lpstr>
      <vt:lpstr>'Staff LG Total'!taxrate</vt:lpstr>
      <vt:lpstr>'Staff LG Total'!y_inter1</vt:lpstr>
      <vt:lpstr>'Staff LG Total'!y_inter2</vt:lpstr>
      <vt:lpstr>'Staff LG Total'!y_inter3</vt:lpstr>
      <vt:lpstr>'Staff LG Total'!y_inter4</vt:lpstr>
    </vt:vector>
  </TitlesOfParts>
  <Company>Gateway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Glen</cp:lastModifiedBy>
  <cp:lastPrinted>2021-02-09T17:00:05Z</cp:lastPrinted>
  <dcterms:created xsi:type="dcterms:W3CDTF">2003-12-07T20:58:46Z</dcterms:created>
  <dcterms:modified xsi:type="dcterms:W3CDTF">2021-02-12T20:08:16Z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0x0101006E56B4D1795A2E4DB2F0B01679ED314A00BC1144AA5E45D84F8687D207146E59CA</vt:lpwstr>
  </property>
  <property fmtid="{D5CDD505-2E9C-101B-9397-08002B2CF9AE}" pid="3" name="_docset_NoMedatataSyncRequired">
    <vt:lpwstr>False</vt:lpwstr>
  </property>
  <property fmtid="{D5CDD505-2E9C-101B-9397-08002B2CF9AE}" pid="4" name="IsEFSEC">
    <vt:bool>false</vt:bool>
  </property>
</Properties>
</file>