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190" tabRatio="601" activeTab="0"/>
  </bookViews>
  <sheets>
    <sheet name="Summary" sheetId="1" r:id="rId1"/>
    <sheet name="2131 Trks" sheetId="2" r:id="rId2"/>
    <sheet name="2131 Cont, DB" sheetId="3" r:id="rId3"/>
    <sheet name="2131 YW" sheetId="4" r:id="rId4"/>
    <sheet name="2131 Other" sheetId="5" r:id="rId5"/>
  </sheets>
  <externalReferences>
    <externalReference r:id="rId8"/>
  </externalReferences>
  <definedNames>
    <definedName name="NOTES">'2131 Trks'!$C$14</definedName>
    <definedName name="PAGE_1">'2131 Trks'!$C$1:$AC$69</definedName>
    <definedName name="_xlnm.Print_Area" localSheetId="2">'2131 Cont, DB'!$B$1:$AB$112</definedName>
    <definedName name="_xlnm.Print_Area" localSheetId="4">'2131 Other'!$C$1:$AH$31</definedName>
    <definedName name="_xlnm.Print_Area" localSheetId="1">'2131 Trks'!$A$1:$AC$74</definedName>
    <definedName name="_xlnm.Print_Area" localSheetId="3">'2131 YW'!$A$1:$AB$36</definedName>
    <definedName name="_xlnm.Print_Area" localSheetId="0">'Summary'!$A$1:$I$50</definedName>
    <definedName name="Print_Area_MI" localSheetId="1">'2131 Trks'!$C$1:$AC$69</definedName>
    <definedName name="_xlnm.Print_Titles" localSheetId="2">'2131 Cont, DB'!$1:$11</definedName>
  </definedNames>
  <calcPr fullCalcOnLoad="1"/>
</workbook>
</file>

<file path=xl/comments2.xml><?xml version="1.0" encoding="utf-8"?>
<comments xmlns="http://schemas.openxmlformats.org/spreadsheetml/2006/main">
  <authors>
    <author>Melissa Cheesman</author>
  </authors>
  <commentList>
    <comment ref="G46" authorId="0">
      <text>
        <r>
          <rPr>
            <b/>
            <sz val="9"/>
            <rFont val="Tahoma"/>
            <family val="2"/>
          </rPr>
          <t>Melissa Cheesman:</t>
        </r>
        <r>
          <rPr>
            <sz val="9"/>
            <rFont val="Tahoma"/>
            <family val="2"/>
          </rPr>
          <t xml:space="preserve">
changed from 0 to 20% consistent with truck #139</t>
        </r>
      </text>
    </comment>
  </commentList>
</comments>
</file>

<file path=xl/comments3.xml><?xml version="1.0" encoding="utf-8"?>
<comments xmlns="http://schemas.openxmlformats.org/spreadsheetml/2006/main">
  <authors>
    <author>Melissa Cheesman</author>
  </authors>
  <commentList>
    <comment ref="M98" authorId="0">
      <text>
        <r>
          <rPr>
            <b/>
            <sz val="9"/>
            <rFont val="Tahoma"/>
            <family val="2"/>
          </rPr>
          <t>Melissa Cheesman:</t>
        </r>
        <r>
          <rPr>
            <sz val="9"/>
            <rFont val="Tahoma"/>
            <family val="2"/>
          </rPr>
          <t xml:space="preserve">
Company =575187.44+27187.44
Staff =575187.44+27187.44+329.57</t>
        </r>
      </text>
    </comment>
  </commentList>
</comments>
</file>

<file path=xl/comments4.xml><?xml version="1.0" encoding="utf-8"?>
<comments xmlns="http://schemas.openxmlformats.org/spreadsheetml/2006/main">
  <authors>
    <author>Melissa Cheesman</author>
  </authors>
  <commentList>
    <comment ref="I20" authorId="0">
      <text>
        <r>
          <rPr>
            <b/>
            <sz val="9"/>
            <rFont val="Tahoma"/>
            <family val="2"/>
          </rPr>
          <t>Melissa Cheesman:</t>
        </r>
        <r>
          <rPr>
            <sz val="9"/>
            <rFont val="Tahoma"/>
            <family val="2"/>
          </rPr>
          <t xml:space="preserve">
changed from 5 to 7, per settlement agreement</t>
        </r>
      </text>
    </comment>
    <comment ref="I21" authorId="0">
      <text>
        <r>
          <rPr>
            <b/>
            <sz val="9"/>
            <rFont val="Tahoma"/>
            <family val="2"/>
          </rPr>
          <t>Melissa Cheesman:</t>
        </r>
        <r>
          <rPr>
            <sz val="9"/>
            <rFont val="Tahoma"/>
            <family val="2"/>
          </rPr>
          <t xml:space="preserve">
changed from 5 to 7, per settlement agreement</t>
        </r>
      </text>
    </comment>
  </commentList>
</comments>
</file>

<file path=xl/comments5.xml><?xml version="1.0" encoding="utf-8"?>
<comments xmlns="http://schemas.openxmlformats.org/spreadsheetml/2006/main">
  <authors>
    <author>Melissa Cheesman</author>
  </authors>
  <commentList>
    <comment ref="N14" authorId="0">
      <text>
        <r>
          <rPr>
            <b/>
            <sz val="9"/>
            <rFont val="Tahoma"/>
            <family val="2"/>
          </rPr>
          <t>Melissa Cheesman:</t>
        </r>
        <r>
          <rPr>
            <sz val="9"/>
            <rFont val="Tahoma"/>
            <family val="2"/>
          </rPr>
          <t xml:space="preserve">
Partial removal of Danylle truck, based on contact log, for time spent on non-regulated activities</t>
        </r>
      </text>
    </comment>
  </commentList>
</comments>
</file>

<file path=xl/sharedStrings.xml><?xml version="1.0" encoding="utf-8"?>
<sst xmlns="http://schemas.openxmlformats.org/spreadsheetml/2006/main" count="801" uniqueCount="231">
  <si>
    <t>Depreciation Schedule</t>
  </si>
  <si>
    <t>Months in first year</t>
  </si>
  <si>
    <t>CONVENTIONS</t>
  </si>
  <si>
    <t>Months in second year</t>
  </si>
  <si>
    <t>A.</t>
  </si>
  <si>
    <t>Purchase date</t>
  </si>
  <si>
    <t>First year</t>
  </si>
  <si>
    <t>B.</t>
  </si>
  <si>
    <t>End of Test Period</t>
  </si>
  <si>
    <t xml:space="preserve">Calendar year test period: </t>
  </si>
  <si>
    <t>mos in first year</t>
  </si>
  <si>
    <t>Second year</t>
  </si>
  <si>
    <t>C</t>
  </si>
  <si>
    <t>Date fully Depr</t>
  </si>
  <si>
    <t>mos in 2nd year</t>
  </si>
  <si>
    <t>D.</t>
  </si>
  <si>
    <t>Beg of Test Period</t>
  </si>
  <si>
    <t>Total</t>
  </si>
  <si>
    <t>Beginning</t>
  </si>
  <si>
    <t>Allocated</t>
  </si>
  <si>
    <t>E.</t>
  </si>
  <si>
    <t>Disposition Date</t>
  </si>
  <si>
    <t>Second Year</t>
  </si>
  <si>
    <t>Salvage</t>
  </si>
  <si>
    <t>Year</t>
  </si>
  <si>
    <t>Disposal</t>
  </si>
  <si>
    <t>Accumulated</t>
  </si>
  <si>
    <t>Branch</t>
  </si>
  <si>
    <t>Accum.</t>
  </si>
  <si>
    <t>Value</t>
  </si>
  <si>
    <t>Method</t>
  </si>
  <si>
    <t>Asset</t>
  </si>
  <si>
    <t>Test year</t>
  </si>
  <si>
    <t>Test yr.</t>
  </si>
  <si>
    <t>%</t>
  </si>
  <si>
    <t>Depreciation</t>
  </si>
  <si>
    <t>Allo.</t>
  </si>
  <si>
    <t>Depr.</t>
  </si>
  <si>
    <t>Average</t>
  </si>
  <si>
    <t>Mo</t>
  </si>
  <si>
    <t>M</t>
  </si>
  <si>
    <t xml:space="preserve"> Mo.</t>
  </si>
  <si>
    <t>Cost</t>
  </si>
  <si>
    <t>Depn</t>
  </si>
  <si>
    <t>Depn.</t>
  </si>
  <si>
    <t>Investment</t>
  </si>
  <si>
    <t>B</t>
  </si>
  <si>
    <t>C.</t>
  </si>
  <si>
    <t>Dispositions must be in test period</t>
  </si>
  <si>
    <t>-</t>
  </si>
  <si>
    <t>Total Trucks</t>
  </si>
  <si>
    <t>Total Roll-off Trucks</t>
  </si>
  <si>
    <t>S/L</t>
  </si>
  <si>
    <t>Codes</t>
  </si>
  <si>
    <t>RL</t>
  </si>
  <si>
    <t>FL</t>
  </si>
  <si>
    <t>RO</t>
  </si>
  <si>
    <t xml:space="preserve"> </t>
  </si>
  <si>
    <t>GARBAGE</t>
  </si>
  <si>
    <t>Date in</t>
  </si>
  <si>
    <t>Truck</t>
  </si>
  <si>
    <t xml:space="preserve">Service </t>
  </si>
  <si>
    <t>No</t>
  </si>
  <si>
    <t>Asset Classification</t>
  </si>
  <si>
    <t xml:space="preserve">Life </t>
  </si>
  <si>
    <t xml:space="preserve">Fully </t>
  </si>
  <si>
    <t>Years</t>
  </si>
  <si>
    <t>Depr</t>
  </si>
  <si>
    <t>Test</t>
  </si>
  <si>
    <t xml:space="preserve">Monthly </t>
  </si>
  <si>
    <t>Roll-off Trucks:</t>
  </si>
  <si>
    <t>MULTI-FAMILY</t>
  </si>
  <si>
    <t>MF</t>
  </si>
  <si>
    <t>CURBSIDE RECYCLING</t>
  </si>
  <si>
    <t>CS</t>
  </si>
  <si>
    <t>TOTAL CURBSIDE RECYCLING</t>
  </si>
  <si>
    <t>YARD WASTE</t>
  </si>
  <si>
    <t>YW</t>
  </si>
  <si>
    <t>Total Yard Waste</t>
  </si>
  <si>
    <t>2YD CONT W/LIDS</t>
  </si>
  <si>
    <t>2 YD CONT W/LIDS</t>
  </si>
  <si>
    <t>1 YD CONT W/LIDS</t>
  </si>
  <si>
    <t>25 YD DB W/LIDS</t>
  </si>
  <si>
    <t>30 Yd Drop Box (N)</t>
  </si>
  <si>
    <t>Grand Total</t>
  </si>
  <si>
    <t>Quantity</t>
  </si>
  <si>
    <t>Accum</t>
  </si>
  <si>
    <t>Ending</t>
  </si>
  <si>
    <t>MULTIFAMILY</t>
  </si>
  <si>
    <t>95 GAL MF TOTERS</t>
  </si>
  <si>
    <t>Equipment</t>
  </si>
  <si>
    <t>Test Year</t>
  </si>
  <si>
    <t>Accum Depr</t>
  </si>
  <si>
    <t>Trucks</t>
  </si>
  <si>
    <t>Garbage</t>
  </si>
  <si>
    <t>Roll-off</t>
  </si>
  <si>
    <t xml:space="preserve">Recycling </t>
  </si>
  <si>
    <t xml:space="preserve">MF </t>
  </si>
  <si>
    <t xml:space="preserve">Yard Waste </t>
  </si>
  <si>
    <t>Containers:</t>
  </si>
  <si>
    <t>Drop Boxes</t>
  </si>
  <si>
    <t>Total Cont, Carts,Totes</t>
  </si>
  <si>
    <t>Service Equipment</t>
  </si>
  <si>
    <t>Shop Equipment</t>
  </si>
  <si>
    <t>Office Equipment</t>
  </si>
  <si>
    <t>Total Equipment</t>
  </si>
  <si>
    <t>1 RADIO (N)</t>
  </si>
  <si>
    <t xml:space="preserve">1998 PBLT (10800),(5141)(N) </t>
  </si>
  <si>
    <t xml:space="preserve">1998 PBLT (10801),(5166) 51(N) </t>
  </si>
  <si>
    <t>2002 IHC REARLOAD  (N)</t>
  </si>
  <si>
    <t>TRANSMISSION REBUILD</t>
  </si>
  <si>
    <t xml:space="preserve">CAMERA FOR TRK </t>
  </si>
  <si>
    <t>ENGINE TRK</t>
  </si>
  <si>
    <t>2003 INT'L TRK R-LD  (N)</t>
  </si>
  <si>
    <t>2 Fuel Pumps</t>
  </si>
  <si>
    <t>2005 Peterbilt M-330 RO  TF from 2111 1-1-05</t>
  </si>
  <si>
    <t>2004 Cascon Powerlift RO Hoist Syst TF 2111</t>
  </si>
  <si>
    <t>2005 AUTOCAR SIDELOAD (N) w/greasing sys</t>
  </si>
  <si>
    <t>2004 Peterbilt M-320 Automated W/Pck (N)</t>
  </si>
  <si>
    <t>28 Yd Automated body on Chassis (N)</t>
  </si>
  <si>
    <t>4 YRD CON W/LIDS</t>
  </si>
  <si>
    <t>4 YRD CONT W/LIDS</t>
  </si>
  <si>
    <t>2 YRD CONT W/LIDS</t>
  </si>
  <si>
    <t>4 YRD FRNT LD CONT W/LIDS</t>
  </si>
  <si>
    <t>1YD CONT W/LIDS</t>
  </si>
  <si>
    <t>1 YRD CONT W/LIDS (N)</t>
  </si>
  <si>
    <t>2 YRD CONT W/LIDS (N)</t>
  </si>
  <si>
    <t>4 YRDS W/LIDS (N)</t>
  </si>
  <si>
    <t>6 YRD  W/LIDS (N)</t>
  </si>
  <si>
    <t>1 YRD CONT W/LID (N)</t>
  </si>
  <si>
    <t>1.5 YRD CONT W/LIDS (N)</t>
  </si>
  <si>
    <t>4 YRD FL CONT W/LIDS (N)</t>
  </si>
  <si>
    <t>4 YRD CONT W/LIDS (N)</t>
  </si>
  <si>
    <t>1 Yd Container w/lids  (N)</t>
  </si>
  <si>
    <t>1 Yd FL Container w/lids  (N)</t>
  </si>
  <si>
    <t>6 Yd FL Container w/lids  (N)</t>
  </si>
  <si>
    <t>2 Yd FL Container w/lids (N)</t>
  </si>
  <si>
    <t>4 Yd FL Container w/lids (N)</t>
  </si>
  <si>
    <t>1.5 Yd FL Container w/lids (N)</t>
  </si>
  <si>
    <t>Drop Box(s)</t>
  </si>
  <si>
    <t>20 YRD DROP BOXES</t>
  </si>
  <si>
    <t>30 YRD DROP BOXES W/LID</t>
  </si>
  <si>
    <t>30 YRD BD W/LIDS</t>
  </si>
  <si>
    <t>20 YD DB W/LIDS</t>
  </si>
  <si>
    <t>30 YD DROP BOX W/LID (N) C</t>
  </si>
  <si>
    <t>20 YD DROP BOX W/LID (N) C</t>
  </si>
  <si>
    <t>40 YRD W/LIDS (N)</t>
  </si>
  <si>
    <t>40 YRD W/LIDS (N) C</t>
  </si>
  <si>
    <t>30 YRD DROP BOXES W/LID (N)</t>
  </si>
  <si>
    <t>30 YRD DROP BOX (N)</t>
  </si>
  <si>
    <t>25 YRD DROP BOX (N)</t>
  </si>
  <si>
    <t>40 YRD DROP BOX (N)</t>
  </si>
  <si>
    <t>6YRD CONT  W/LIDS</t>
  </si>
  <si>
    <t>6YD SC'D CAGES</t>
  </si>
  <si>
    <t>6 YD SC'D CAGES</t>
  </si>
  <si>
    <t>Total Multi-Family</t>
  </si>
  <si>
    <t>95 GAL YW CARTS (N)</t>
  </si>
  <si>
    <t>SERVICE CARS &amp; EQUIPMENT (123.0)</t>
  </si>
  <si>
    <t>Total Service Equipment</t>
  </si>
  <si>
    <t>SHOP EQUIPMENT (124.0)</t>
  </si>
  <si>
    <t>ALLIS  CHALMERS FORKLFT (N)</t>
  </si>
  <si>
    <t>Total Shop Equipment</t>
  </si>
  <si>
    <t>FURNITURE &amp; OFFICE EQUIPMENT (125.00)</t>
  </si>
  <si>
    <t>Total Furniture &amp; Office Equipment</t>
  </si>
  <si>
    <t>American Disposal Co., Inc.</t>
  </si>
  <si>
    <t>96 GAL CARTS (N)</t>
  </si>
  <si>
    <t>64 GAL CARTS (N)</t>
  </si>
  <si>
    <t>2 Yd RL Container w/lids (N)</t>
  </si>
  <si>
    <t>1 Yd RL Container w/lids (N)</t>
  </si>
  <si>
    <t>2006 Autocar TRK R-LD-20-YD PCK  (N)</t>
  </si>
  <si>
    <t>RL C</t>
  </si>
  <si>
    <t>Camaras (2)</t>
  </si>
  <si>
    <t>Camaras (1)</t>
  </si>
  <si>
    <t>Camaras (14)</t>
  </si>
  <si>
    <t>2008 Autocar TRK VIN#206132 (N)</t>
  </si>
  <si>
    <t>4 Yd FL Container w/lids  (N)</t>
  </si>
  <si>
    <t>2008 Int'l w/20 yd pckr (N)</t>
  </si>
  <si>
    <t>2 Yd RL Container w/lids  (N)</t>
  </si>
  <si>
    <t xml:space="preserve">2008 Autocar TRK w/PCK  (N)              </t>
  </si>
  <si>
    <t>Auto Tarper</t>
  </si>
  <si>
    <t>2011 Isuzu w/6 yd pckr (N) Mini Retriever</t>
  </si>
  <si>
    <t>Route Manager Licenses</t>
  </si>
  <si>
    <t>50 Yd Drop Box (N)</t>
  </si>
  <si>
    <t>2013 Peterbilt T-320 (N)</t>
  </si>
  <si>
    <t>P-9</t>
  </si>
  <si>
    <t>Ford F-150 (U)</t>
  </si>
  <si>
    <t>2009 Ford F-350 Super Duty Tire Trk (N)</t>
  </si>
  <si>
    <t>FAR #</t>
  </si>
  <si>
    <t xml:space="preserve">YW </t>
  </si>
  <si>
    <t>2010 Peterbilt 320 w/Pckr  ASL (N)</t>
  </si>
  <si>
    <t>MF RECYCLING</t>
  </si>
  <si>
    <t>TOTAL MF RECYCLING</t>
  </si>
  <si>
    <t>Drive Cam #139</t>
  </si>
  <si>
    <t>2007 Autocar w/McNeilus (U)</t>
  </si>
  <si>
    <t>Depreciation Summary</t>
  </si>
  <si>
    <t>TOTAL YARD WASTE</t>
  </si>
  <si>
    <t>Multi-Family Containers</t>
  </si>
  <si>
    <t>MF Carts</t>
  </si>
  <si>
    <t>DR 7</t>
  </si>
  <si>
    <t>Removed</t>
  </si>
  <si>
    <t xml:space="preserve">Company </t>
  </si>
  <si>
    <t>Staff Adj cost to reflect invoice and shared assets</t>
  </si>
  <si>
    <t>Modified</t>
  </si>
  <si>
    <t>Notes per audit during TG-130501/130502</t>
  </si>
  <si>
    <t>2014 Pete/Labrie FEL Truck (N)</t>
  </si>
  <si>
    <t>American Disposal Company, Inc. G-87</t>
  </si>
  <si>
    <t>Prior GRC Adjustments (Test period Jan 2012 - Dec 2012):</t>
  </si>
  <si>
    <t>Total Expense</t>
  </si>
  <si>
    <t>Annual Expense</t>
  </si>
  <si>
    <t>Fully Amortzied</t>
  </si>
  <si>
    <t>Insurance Expense</t>
  </si>
  <si>
    <t>American only - see Murrey's Deprec Schedule for Murrey's portion.</t>
  </si>
  <si>
    <t>2014 Peterbilt ASL (N)</t>
  </si>
  <si>
    <t>Engine Repair #609</t>
  </si>
  <si>
    <t>Engine Repair #612</t>
  </si>
  <si>
    <t xml:space="preserve">2005 FORD F-150 PU (U) </t>
  </si>
  <si>
    <t>2015 Peterbilt ASL (N)</t>
  </si>
  <si>
    <t>TOTAL OTHER CAPITAL</t>
  </si>
  <si>
    <t>TOTAL CONTAINERS</t>
  </si>
  <si>
    <t>20 yd Drop Boexx</t>
  </si>
  <si>
    <t>2016 ASL Truck (N)</t>
  </si>
  <si>
    <t>1 yd REL Containers</t>
  </si>
  <si>
    <t>2012 Ford F-150 PU (U)</t>
  </si>
  <si>
    <t>Tipper for #153</t>
  </si>
  <si>
    <t>Total  Garbage Trucks</t>
  </si>
  <si>
    <t>TOTAL TRUCKS</t>
  </si>
  <si>
    <t>TOTAL DROP BOX ES</t>
  </si>
  <si>
    <t>TOTAL GARBAGE COLLECTION</t>
  </si>
  <si>
    <t>TOTAL CURBSIDE CARTS</t>
  </si>
  <si>
    <t>TOTAL CARTS/CONTAINERS</t>
  </si>
  <si>
    <t>Trucks Retired for Automation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</si>
</sst>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[$-409]dddd\,\ mmmm\ dd\,\ yyyy"/>
    <numFmt numFmtId="166" formatCode="[$-409]mmmm\ d\,\ yyyy;@"/>
    <numFmt numFmtId="167" formatCode="#,##0.000"/>
    <numFmt numFmtId="168" formatCode="#,##0.0"/>
    <numFmt numFmtId="169" formatCode="m/d/yy;@"/>
    <numFmt numFmtId="170" formatCode="m/d/yy"/>
    <numFmt numFmtId="171" formatCode="_(* #,##0.0_);_(* \(#,##0.0\);_(* &quot;-&quot;??_);_(@_)"/>
    <numFmt numFmtId="172" formatCode="_(* #,##0_);_(* \(#,##0\);_(* &quot;-&quot;??_);_(@_)"/>
    <numFmt numFmtId="173" formatCode="0.0"/>
  </numFmts>
  <fonts count="66">
    <font>
      <sz val="12"/>
      <name val="Helv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sz val="8"/>
      <color theme="0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>
      <alignment/>
    </xf>
    <xf numFmtId="172" fontId="8" fillId="0" borderId="0" xfId="42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9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44" fontId="8" fillId="32" borderId="0" xfId="44" applyFont="1" applyFill="1" applyBorder="1" applyAlignment="1">
      <alignment/>
    </xf>
    <xf numFmtId="15" fontId="8" fillId="32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42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wrapText="1"/>
    </xf>
    <xf numFmtId="4" fontId="58" fillId="0" borderId="11" xfId="0" applyNumberFormat="1" applyFont="1" applyFill="1" applyBorder="1" applyAlignment="1">
      <alignment horizontal="left"/>
    </xf>
    <xf numFmtId="4" fontId="10" fillId="0" borderId="11" xfId="0" applyNumberFormat="1" applyFont="1" applyFill="1" applyBorder="1" applyAlignment="1">
      <alignment horizontal="right"/>
    </xf>
    <xf numFmtId="14" fontId="59" fillId="0" borderId="11" xfId="0" applyNumberFormat="1" applyFont="1" applyFill="1" applyBorder="1" applyAlignment="1">
      <alignment/>
    </xf>
    <xf numFmtId="0" fontId="12" fillId="34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left"/>
    </xf>
    <xf numFmtId="166" fontId="11" fillId="0" borderId="11" xfId="42" applyNumberFormat="1" applyFont="1" applyFill="1" applyBorder="1" applyAlignment="1">
      <alignment horizontal="left"/>
    </xf>
    <xf numFmtId="0" fontId="12" fillId="15" borderId="11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9" fontId="11" fillId="0" borderId="11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9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fill"/>
    </xf>
    <xf numFmtId="170" fontId="11" fillId="0" borderId="11" xfId="0" applyNumberFormat="1" applyFont="1" applyFill="1" applyBorder="1" applyAlignment="1">
      <alignment horizontal="center"/>
    </xf>
    <xf numFmtId="169" fontId="11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center"/>
    </xf>
    <xf numFmtId="9" fontId="10" fillId="0" borderId="11" xfId="0" applyNumberFormat="1" applyFont="1" applyFill="1" applyBorder="1" applyAlignment="1">
      <alignment horizontal="center"/>
    </xf>
    <xf numFmtId="172" fontId="10" fillId="0" borderId="11" xfId="42" applyNumberFormat="1" applyFont="1" applyFill="1" applyBorder="1" applyAlignment="1">
      <alignment horizontal="right"/>
    </xf>
    <xf numFmtId="172" fontId="10" fillId="0" borderId="11" xfId="42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11" fillId="0" borderId="11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right"/>
    </xf>
    <xf numFmtId="172" fontId="11" fillId="0" borderId="11" xfId="42" applyNumberFormat="1" applyFont="1" applyFill="1" applyBorder="1" applyAlignment="1">
      <alignment horizontal="right"/>
    </xf>
    <xf numFmtId="9" fontId="10" fillId="34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1" fontId="12" fillId="0" borderId="11" xfId="0" applyNumberFormat="1" applyFont="1" applyFill="1" applyBorder="1" applyAlignment="1">
      <alignment horizontal="center"/>
    </xf>
    <xf numFmtId="9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right"/>
    </xf>
    <xf numFmtId="172" fontId="12" fillId="0" borderId="11" xfId="42" applyNumberFormat="1" applyFont="1" applyFill="1" applyBorder="1" applyAlignment="1">
      <alignment horizontal="right"/>
    </xf>
    <xf numFmtId="172" fontId="12" fillId="0" borderId="11" xfId="42" applyNumberFormat="1" applyFont="1" applyFill="1" applyBorder="1" applyAlignment="1" applyProtection="1">
      <alignment/>
      <protection/>
    </xf>
    <xf numFmtId="4" fontId="12" fillId="0" borderId="11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right"/>
    </xf>
    <xf numFmtId="172" fontId="10" fillId="0" borderId="12" xfId="42" applyNumberFormat="1" applyFont="1" applyFill="1" applyBorder="1" applyAlignment="1">
      <alignment horizontal="right"/>
    </xf>
    <xf numFmtId="172" fontId="10" fillId="0" borderId="12" xfId="42" applyNumberFormat="1" applyFont="1" applyFill="1" applyBorder="1" applyAlignment="1">
      <alignment/>
    </xf>
    <xf numFmtId="9" fontId="10" fillId="0" borderId="12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1" fontId="11" fillId="0" borderId="13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right"/>
    </xf>
    <xf numFmtId="172" fontId="11" fillId="0" borderId="13" xfId="42" applyNumberFormat="1" applyFont="1" applyFill="1" applyBorder="1" applyAlignment="1">
      <alignment horizontal="right"/>
    </xf>
    <xf numFmtId="172" fontId="11" fillId="0" borderId="13" xfId="42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9" fontId="10" fillId="0" borderId="13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right"/>
    </xf>
    <xf numFmtId="172" fontId="10" fillId="0" borderId="13" xfId="42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center"/>
    </xf>
    <xf numFmtId="9" fontId="10" fillId="0" borderId="14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right"/>
    </xf>
    <xf numFmtId="172" fontId="11" fillId="0" borderId="14" xfId="42" applyNumberFormat="1" applyFont="1" applyFill="1" applyBorder="1" applyAlignment="1">
      <alignment horizontal="right"/>
    </xf>
    <xf numFmtId="172" fontId="10" fillId="0" borderId="14" xfId="42" applyNumberFormat="1" applyFont="1" applyFill="1" applyBorder="1" applyAlignment="1">
      <alignment/>
    </xf>
    <xf numFmtId="172" fontId="10" fillId="0" borderId="14" xfId="42" applyNumberFormat="1" applyFont="1" applyFill="1" applyBorder="1" applyAlignment="1">
      <alignment horizontal="right"/>
    </xf>
    <xf numFmtId="172" fontId="11" fillId="0" borderId="12" xfId="42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/>
    </xf>
    <xf numFmtId="172" fontId="10" fillId="0" borderId="13" xfId="42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/>
    </xf>
    <xf numFmtId="172" fontId="11" fillId="0" borderId="14" xfId="42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2" fontId="12" fillId="0" borderId="11" xfId="0" applyNumberFormat="1" applyFont="1" applyFill="1" applyBorder="1" applyAlignment="1">
      <alignment/>
    </xf>
    <xf numFmtId="14" fontId="15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4" fontId="12" fillId="0" borderId="11" xfId="0" applyNumberFormat="1" applyFont="1" applyFill="1" applyBorder="1" applyAlignment="1">
      <alignment horizontal="left"/>
    </xf>
    <xf numFmtId="166" fontId="14" fillId="0" borderId="11" xfId="42" applyNumberFormat="1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left"/>
    </xf>
    <xf numFmtId="9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9" fontId="16" fillId="0" borderId="11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fill"/>
    </xf>
    <xf numFmtId="170" fontId="14" fillId="0" borderId="11" xfId="0" applyNumberFormat="1" applyFont="1" applyFill="1" applyBorder="1" applyAlignment="1">
      <alignment horizontal="center"/>
    </xf>
    <xf numFmtId="169" fontId="14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172" fontId="12" fillId="0" borderId="11" xfId="42" applyNumberFormat="1" applyFont="1" applyFill="1" applyBorder="1" applyAlignment="1">
      <alignment/>
    </xf>
    <xf numFmtId="172" fontId="12" fillId="0" borderId="11" xfId="42" applyNumberFormat="1" applyFont="1" applyFill="1" applyBorder="1" applyAlignment="1" applyProtection="1">
      <alignment horizontal="fill"/>
      <protection/>
    </xf>
    <xf numFmtId="0" fontId="14" fillId="0" borderId="11" xfId="0" applyFont="1" applyFill="1" applyBorder="1" applyAlignment="1">
      <alignment horizontal="right"/>
    </xf>
    <xf numFmtId="172" fontId="14" fillId="0" borderId="11" xfId="42" applyNumberFormat="1" applyFont="1" applyFill="1" applyBorder="1" applyAlignment="1">
      <alignment horizontal="right"/>
    </xf>
    <xf numFmtId="4" fontId="14" fillId="0" borderId="11" xfId="0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1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4" fontId="17" fillId="0" borderId="11" xfId="0" applyNumberFormat="1" applyFont="1" applyFill="1" applyBorder="1" applyAlignment="1">
      <alignment horizontal="right"/>
    </xf>
    <xf numFmtId="1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0" fontId="60" fillId="0" borderId="11" xfId="0" applyFont="1" applyBorder="1" applyAlignment="1">
      <alignment/>
    </xf>
    <xf numFmtId="172" fontId="60" fillId="0" borderId="11" xfId="42" applyNumberFormat="1" applyFont="1" applyBorder="1" applyAlignment="1">
      <alignment/>
    </xf>
    <xf numFmtId="0" fontId="12" fillId="0" borderId="15" xfId="0" applyFont="1" applyFill="1" applyBorder="1" applyAlignment="1">
      <alignment/>
    </xf>
    <xf numFmtId="172" fontId="12" fillId="0" borderId="16" xfId="42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4" fontId="18" fillId="0" borderId="11" xfId="0" applyNumberFormat="1" applyFont="1" applyBorder="1" applyAlignment="1">
      <alignment horizontal="right"/>
    </xf>
    <xf numFmtId="4" fontId="61" fillId="0" borderId="11" xfId="0" applyNumberFormat="1" applyFont="1" applyBorder="1" applyAlignment="1">
      <alignment/>
    </xf>
    <xf numFmtId="0" fontId="61" fillId="0" borderId="11" xfId="0" applyFont="1" applyBorder="1" applyAlignment="1">
      <alignment/>
    </xf>
    <xf numFmtId="43" fontId="61" fillId="0" borderId="11" xfId="42" applyFont="1" applyBorder="1" applyAlignment="1">
      <alignment/>
    </xf>
    <xf numFmtId="43" fontId="60" fillId="0" borderId="11" xfId="0" applyNumberFormat="1" applyFont="1" applyBorder="1" applyAlignment="1">
      <alignment/>
    </xf>
    <xf numFmtId="0" fontId="61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1" fontId="12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0" fontId="12" fillId="0" borderId="12" xfId="0" applyNumberFormat="1" applyFont="1" applyFill="1" applyBorder="1" applyAlignment="1">
      <alignment horizontal="right"/>
    </xf>
    <xf numFmtId="172" fontId="14" fillId="0" borderId="12" xfId="42" applyNumberFormat="1" applyFont="1" applyFill="1" applyBorder="1" applyAlignment="1">
      <alignment horizontal="right"/>
    </xf>
    <xf numFmtId="172" fontId="12" fillId="0" borderId="12" xfId="42" applyNumberFormat="1" applyFont="1" applyFill="1" applyBorder="1" applyAlignment="1">
      <alignment/>
    </xf>
    <xf numFmtId="172" fontId="12" fillId="0" borderId="12" xfId="42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1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right"/>
    </xf>
    <xf numFmtId="172" fontId="14" fillId="0" borderId="13" xfId="42" applyNumberFormat="1" applyFont="1" applyFill="1" applyBorder="1" applyAlignment="1">
      <alignment horizontal="right"/>
    </xf>
    <xf numFmtId="172" fontId="12" fillId="0" borderId="13" xfId="42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1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right"/>
    </xf>
    <xf numFmtId="0" fontId="12" fillId="0" borderId="14" xfId="0" applyNumberFormat="1" applyFont="1" applyFill="1" applyBorder="1" applyAlignment="1">
      <alignment horizontal="center"/>
    </xf>
    <xf numFmtId="172" fontId="14" fillId="0" borderId="14" xfId="42" applyNumberFormat="1" applyFont="1" applyFill="1" applyBorder="1" applyAlignment="1">
      <alignment horizontal="right"/>
    </xf>
    <xf numFmtId="172" fontId="12" fillId="0" borderId="14" xfId="42" applyNumberFormat="1" applyFont="1" applyFill="1" applyBorder="1" applyAlignment="1">
      <alignment/>
    </xf>
    <xf numFmtId="172" fontId="12" fillId="33" borderId="11" xfId="42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right"/>
    </xf>
    <xf numFmtId="0" fontId="12" fillId="0" borderId="11" xfId="0" applyFont="1" applyBorder="1" applyAlignment="1">
      <alignment/>
    </xf>
    <xf numFmtId="172" fontId="12" fillId="0" borderId="11" xfId="42" applyNumberFormat="1" applyFont="1" applyBorder="1" applyAlignment="1">
      <alignment/>
    </xf>
    <xf numFmtId="0" fontId="12" fillId="0" borderId="1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172" fontId="12" fillId="0" borderId="19" xfId="42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1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4" fillId="0" borderId="13" xfId="0" applyNumberFormat="1" applyFont="1" applyFill="1" applyBorder="1" applyAlignment="1">
      <alignment horizontal="right"/>
    </xf>
    <xf numFmtId="172" fontId="14" fillId="0" borderId="13" xfId="42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/>
    </xf>
    <xf numFmtId="0" fontId="14" fillId="0" borderId="13" xfId="0" applyNumberFormat="1" applyFont="1" applyFill="1" applyBorder="1" applyAlignment="1">
      <alignment/>
    </xf>
    <xf numFmtId="0" fontId="60" fillId="0" borderId="12" xfId="0" applyFont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/>
    </xf>
    <xf numFmtId="172" fontId="14" fillId="0" borderId="14" xfId="42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 horizontal="center"/>
    </xf>
    <xf numFmtId="41" fontId="12" fillId="0" borderId="11" xfId="0" applyNumberFormat="1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12" fillId="32" borderId="17" xfId="0" applyFont="1" applyFill="1" applyBorder="1" applyAlignment="1">
      <alignment horizontal="center"/>
    </xf>
    <xf numFmtId="172" fontId="12" fillId="0" borderId="11" xfId="42" applyNumberFormat="1" applyFont="1" applyFill="1" applyBorder="1" applyAlignment="1">
      <alignment horizontal="center"/>
    </xf>
    <xf numFmtId="172" fontId="12" fillId="0" borderId="11" xfId="42" applyNumberFormat="1" applyFont="1" applyFill="1" applyBorder="1" applyAlignment="1">
      <alignment horizontal="left"/>
    </xf>
    <xf numFmtId="4" fontId="20" fillId="0" borderId="11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1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4" fontId="12" fillId="0" borderId="17" xfId="0" applyNumberFormat="1" applyFont="1" applyFill="1" applyBorder="1" applyAlignment="1">
      <alignment horizontal="right"/>
    </xf>
    <xf numFmtId="4" fontId="12" fillId="0" borderId="16" xfId="0" applyNumberFormat="1" applyFont="1" applyFill="1" applyBorder="1" applyAlignment="1">
      <alignment horizontal="right"/>
    </xf>
    <xf numFmtId="172" fontId="60" fillId="0" borderId="11" xfId="0" applyNumberFormat="1" applyFont="1" applyBorder="1" applyAlignment="1">
      <alignment/>
    </xf>
    <xf numFmtId="4" fontId="14" fillId="0" borderId="16" xfId="0" applyNumberFormat="1" applyFont="1" applyFill="1" applyBorder="1" applyAlignment="1">
      <alignment horizontal="right"/>
    </xf>
    <xf numFmtId="43" fontId="60" fillId="0" borderId="11" xfId="42" applyFont="1" applyBorder="1" applyAlignment="1">
      <alignment/>
    </xf>
    <xf numFmtId="4" fontId="17" fillId="0" borderId="16" xfId="0" applyNumberFormat="1" applyFont="1" applyFill="1" applyBorder="1" applyAlignment="1">
      <alignment horizontal="right"/>
    </xf>
    <xf numFmtId="0" fontId="17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1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right"/>
    </xf>
    <xf numFmtId="4" fontId="14" fillId="0" borderId="11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right"/>
    </xf>
    <xf numFmtId="172" fontId="12" fillId="0" borderId="12" xfId="42" applyNumberFormat="1" applyFont="1" applyFill="1" applyBorder="1" applyAlignment="1">
      <alignment horizontal="center"/>
    </xf>
    <xf numFmtId="172" fontId="12" fillId="0" borderId="12" xfId="42" applyNumberFormat="1" applyFont="1" applyFill="1" applyBorder="1" applyAlignment="1" applyProtection="1">
      <alignment/>
      <protection/>
    </xf>
    <xf numFmtId="3" fontId="14" fillId="0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left"/>
    </xf>
    <xf numFmtId="4" fontId="12" fillId="0" borderId="13" xfId="0" applyNumberFormat="1" applyFont="1" applyFill="1" applyBorder="1" applyAlignment="1">
      <alignment horizontal="right"/>
    </xf>
    <xf numFmtId="172" fontId="12" fillId="0" borderId="13" xfId="42" applyNumberFormat="1" applyFont="1" applyFill="1" applyBorder="1" applyAlignment="1" applyProtection="1">
      <alignment/>
      <protection/>
    </xf>
    <xf numFmtId="4" fontId="12" fillId="0" borderId="12" xfId="0" applyNumberFormat="1" applyFont="1" applyFill="1" applyBorder="1" applyAlignment="1">
      <alignment horizontal="center"/>
    </xf>
    <xf numFmtId="172" fontId="12" fillId="0" borderId="12" xfId="42" applyNumberFormat="1" applyFont="1" applyFill="1" applyBorder="1" applyAlignment="1">
      <alignment horizontal="left"/>
    </xf>
    <xf numFmtId="4" fontId="12" fillId="0" borderId="13" xfId="0" applyNumberFormat="1" applyFont="1" applyFill="1" applyBorder="1" applyAlignment="1">
      <alignment horizontal="center"/>
    </xf>
    <xf numFmtId="172" fontId="12" fillId="0" borderId="13" xfId="42" applyNumberFormat="1" applyFont="1" applyFill="1" applyBorder="1" applyAlignment="1">
      <alignment horizontal="right"/>
    </xf>
    <xf numFmtId="4" fontId="12" fillId="0" borderId="12" xfId="0" applyNumberFormat="1" applyFont="1" applyFill="1" applyBorder="1" applyAlignment="1">
      <alignment horizontal="left"/>
    </xf>
    <xf numFmtId="3" fontId="14" fillId="0" borderId="1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172" fontId="12" fillId="0" borderId="14" xfId="42" applyNumberFormat="1" applyFont="1" applyFill="1" applyBorder="1" applyAlignment="1">
      <alignment horizontal="right"/>
    </xf>
    <xf numFmtId="0" fontId="62" fillId="0" borderId="11" xfId="0" applyFont="1" applyFill="1" applyBorder="1" applyAlignment="1">
      <alignment/>
    </xf>
    <xf numFmtId="4" fontId="63" fillId="0" borderId="11" xfId="0" applyNumberFormat="1" applyFont="1" applyFill="1" applyBorder="1" applyAlignment="1">
      <alignment horizontal="left"/>
    </xf>
    <xf numFmtId="0" fontId="62" fillId="0" borderId="11" xfId="0" applyFont="1" applyFill="1" applyBorder="1" applyAlignment="1">
      <alignment horizontal="center"/>
    </xf>
    <xf numFmtId="3" fontId="62" fillId="0" borderId="11" xfId="0" applyNumberFormat="1" applyFont="1" applyFill="1" applyBorder="1" applyAlignment="1">
      <alignment horizontal="center"/>
    </xf>
    <xf numFmtId="4" fontId="62" fillId="0" borderId="11" xfId="0" applyNumberFormat="1" applyFont="1" applyFill="1" applyBorder="1" applyAlignment="1">
      <alignment horizontal="right"/>
    </xf>
    <xf numFmtId="170" fontId="12" fillId="0" borderId="11" xfId="0" applyNumberFormat="1" applyFont="1" applyFill="1" applyBorder="1" applyAlignment="1">
      <alignment wrapText="1"/>
    </xf>
    <xf numFmtId="0" fontId="12" fillId="36" borderId="11" xfId="0" applyFont="1" applyFill="1" applyBorder="1" applyAlignment="1">
      <alignment/>
    </xf>
    <xf numFmtId="3" fontId="63" fillId="0" borderId="11" xfId="0" applyNumberFormat="1" applyFont="1" applyFill="1" applyBorder="1" applyAlignment="1">
      <alignment horizontal="right"/>
    </xf>
    <xf numFmtId="4" fontId="62" fillId="0" borderId="11" xfId="0" applyNumberFormat="1" applyFont="1" applyFill="1" applyBorder="1" applyAlignment="1">
      <alignment horizontal="left"/>
    </xf>
    <xf numFmtId="166" fontId="63" fillId="0" borderId="11" xfId="42" applyNumberFormat="1" applyFont="1" applyFill="1" applyBorder="1" applyAlignment="1">
      <alignment horizontal="left"/>
    </xf>
    <xf numFmtId="0" fontId="63" fillId="0" borderId="11" xfId="0" applyNumberFormat="1" applyFont="1" applyFill="1" applyBorder="1" applyAlignment="1">
      <alignment horizontal="right"/>
    </xf>
    <xf numFmtId="4" fontId="62" fillId="0" borderId="11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left"/>
    </xf>
    <xf numFmtId="9" fontId="63" fillId="0" borderId="11" xfId="0" applyNumberFormat="1" applyFont="1" applyFill="1" applyBorder="1" applyAlignment="1">
      <alignment horizontal="center"/>
    </xf>
    <xf numFmtId="3" fontId="63" fillId="0" borderId="11" xfId="0" applyNumberFormat="1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left"/>
    </xf>
    <xf numFmtId="9" fontId="64" fillId="0" borderId="11" xfId="0" applyNumberFormat="1" applyFont="1" applyFill="1" applyBorder="1" applyAlignment="1">
      <alignment horizontal="center"/>
    </xf>
    <xf numFmtId="3" fontId="64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fill"/>
    </xf>
    <xf numFmtId="170" fontId="63" fillId="0" borderId="11" xfId="0" applyNumberFormat="1" applyFont="1" applyFill="1" applyBorder="1" applyAlignment="1">
      <alignment horizontal="center"/>
    </xf>
    <xf numFmtId="169" fontId="63" fillId="0" borderId="11" xfId="0" applyNumberFormat="1" applyFont="1" applyFill="1" applyBorder="1" applyAlignment="1">
      <alignment horizontal="center"/>
    </xf>
    <xf numFmtId="4" fontId="62" fillId="0" borderId="11" xfId="0" applyNumberFormat="1" applyFont="1" applyFill="1" applyBorder="1" applyAlignment="1">
      <alignment/>
    </xf>
    <xf numFmtId="0" fontId="62" fillId="0" borderId="11" xfId="0" applyNumberFormat="1" applyFont="1" applyFill="1" applyBorder="1" applyAlignment="1">
      <alignment/>
    </xf>
    <xf numFmtId="1" fontId="62" fillId="0" borderId="11" xfId="0" applyNumberFormat="1" applyFont="1" applyFill="1" applyBorder="1" applyAlignment="1">
      <alignment horizontal="center"/>
    </xf>
    <xf numFmtId="0" fontId="62" fillId="0" borderId="11" xfId="0" applyNumberFormat="1" applyFont="1" applyFill="1" applyBorder="1" applyAlignment="1">
      <alignment horizontal="center"/>
    </xf>
    <xf numFmtId="37" fontId="62" fillId="0" borderId="11" xfId="0" applyNumberFormat="1" applyFont="1" applyFill="1" applyBorder="1" applyAlignment="1" applyProtection="1">
      <alignment/>
      <protection/>
    </xf>
    <xf numFmtId="0" fontId="63" fillId="0" borderId="11" xfId="0" applyNumberFormat="1" applyFont="1" applyFill="1" applyBorder="1" applyAlignment="1">
      <alignment/>
    </xf>
    <xf numFmtId="9" fontId="62" fillId="0" borderId="11" xfId="0" applyNumberFormat="1" applyFont="1" applyFill="1" applyBorder="1" applyAlignment="1">
      <alignment horizontal="center"/>
    </xf>
    <xf numFmtId="172" fontId="12" fillId="15" borderId="11" xfId="42" applyNumberFormat="1" applyFont="1" applyFill="1" applyBorder="1" applyAlignment="1">
      <alignment/>
    </xf>
    <xf numFmtId="172" fontId="62" fillId="0" borderId="11" xfId="42" applyNumberFormat="1" applyFont="1" applyFill="1" applyBorder="1" applyAlignment="1" applyProtection="1">
      <alignment/>
      <protection/>
    </xf>
    <xf numFmtId="172" fontId="62" fillId="0" borderId="11" xfId="42" applyNumberFormat="1" applyFont="1" applyFill="1" applyBorder="1" applyAlignment="1">
      <alignment horizontal="right"/>
    </xf>
    <xf numFmtId="0" fontId="63" fillId="0" borderId="11" xfId="0" applyFont="1" applyFill="1" applyBorder="1" applyAlignment="1">
      <alignment/>
    </xf>
    <xf numFmtId="172" fontId="62" fillId="0" borderId="11" xfId="42" applyNumberFormat="1" applyFont="1" applyFill="1" applyBorder="1" applyAlignment="1">
      <alignment/>
    </xf>
    <xf numFmtId="172" fontId="62" fillId="0" borderId="11" xfId="42" applyNumberFormat="1" applyFont="1" applyFill="1" applyBorder="1" applyAlignment="1">
      <alignment/>
    </xf>
    <xf numFmtId="0" fontId="62" fillId="0" borderId="11" xfId="0" applyFont="1" applyFill="1" applyBorder="1" applyAlignment="1">
      <alignment horizontal="left"/>
    </xf>
    <xf numFmtId="3" fontId="62" fillId="0" borderId="11" xfId="0" applyNumberFormat="1" applyFont="1" applyFill="1" applyBorder="1" applyAlignment="1">
      <alignment/>
    </xf>
    <xf numFmtId="15" fontId="62" fillId="0" borderId="11" xfId="0" applyNumberFormat="1" applyFont="1" applyFill="1" applyBorder="1" applyAlignment="1">
      <alignment horizontal="center"/>
    </xf>
    <xf numFmtId="4" fontId="62" fillId="0" borderId="12" xfId="0" applyNumberFormat="1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2" fillId="0" borderId="12" xfId="0" applyNumberFormat="1" applyFont="1" applyFill="1" applyBorder="1" applyAlignment="1">
      <alignment/>
    </xf>
    <xf numFmtId="1" fontId="62" fillId="0" borderId="12" xfId="0" applyNumberFormat="1" applyFont="1" applyFill="1" applyBorder="1" applyAlignment="1">
      <alignment horizontal="center"/>
    </xf>
    <xf numFmtId="4" fontId="62" fillId="0" borderId="12" xfId="0" applyNumberFormat="1" applyFont="1" applyFill="1" applyBorder="1" applyAlignment="1">
      <alignment horizontal="right"/>
    </xf>
    <xf numFmtId="0" fontId="62" fillId="0" borderId="12" xfId="0" applyFont="1" applyFill="1" applyBorder="1" applyAlignment="1">
      <alignment horizontal="center"/>
    </xf>
    <xf numFmtId="0" fontId="62" fillId="0" borderId="12" xfId="0" applyNumberFormat="1" applyFont="1" applyFill="1" applyBorder="1" applyAlignment="1">
      <alignment horizontal="center"/>
    </xf>
    <xf numFmtId="3" fontId="62" fillId="0" borderId="12" xfId="0" applyNumberFormat="1" applyFont="1" applyFill="1" applyBorder="1" applyAlignment="1">
      <alignment horizontal="center"/>
    </xf>
    <xf numFmtId="172" fontId="62" fillId="0" borderId="12" xfId="42" applyNumberFormat="1" applyFont="1" applyFill="1" applyBorder="1" applyAlignment="1">
      <alignment/>
    </xf>
    <xf numFmtId="172" fontId="62" fillId="0" borderId="12" xfId="42" applyNumberFormat="1" applyFont="1" applyFill="1" applyBorder="1" applyAlignment="1">
      <alignment/>
    </xf>
    <xf numFmtId="172" fontId="62" fillId="0" borderId="12" xfId="42" applyNumberFormat="1" applyFont="1" applyFill="1" applyBorder="1" applyAlignment="1">
      <alignment horizontal="right"/>
    </xf>
    <xf numFmtId="3" fontId="62" fillId="0" borderId="12" xfId="0" applyNumberFormat="1" applyFont="1" applyFill="1" applyBorder="1" applyAlignment="1">
      <alignment/>
    </xf>
    <xf numFmtId="172" fontId="63" fillId="0" borderId="12" xfId="42" applyNumberFormat="1" applyFont="1" applyFill="1" applyBorder="1" applyAlignment="1">
      <alignment/>
    </xf>
    <xf numFmtId="0" fontId="63" fillId="0" borderId="12" xfId="0" applyNumberFormat="1" applyFont="1" applyFill="1" applyBorder="1" applyAlignment="1">
      <alignment horizontal="left"/>
    </xf>
    <xf numFmtId="4" fontId="62" fillId="0" borderId="13" xfId="0" applyNumberFormat="1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3" fillId="0" borderId="13" xfId="0" applyNumberFormat="1" applyFont="1" applyFill="1" applyBorder="1" applyAlignment="1">
      <alignment horizontal="left"/>
    </xf>
    <xf numFmtId="0" fontId="62" fillId="0" borderId="13" xfId="0" applyNumberFormat="1" applyFont="1" applyFill="1" applyBorder="1" applyAlignment="1">
      <alignment/>
    </xf>
    <xf numFmtId="1" fontId="62" fillId="0" borderId="13" xfId="0" applyNumberFormat="1" applyFont="1" applyFill="1" applyBorder="1" applyAlignment="1">
      <alignment horizontal="center"/>
    </xf>
    <xf numFmtId="4" fontId="62" fillId="0" borderId="13" xfId="0" applyNumberFormat="1" applyFont="1" applyFill="1" applyBorder="1" applyAlignment="1">
      <alignment horizontal="right"/>
    </xf>
    <xf numFmtId="0" fontId="62" fillId="0" borderId="13" xfId="0" applyFont="1" applyFill="1" applyBorder="1" applyAlignment="1">
      <alignment horizontal="center"/>
    </xf>
    <xf numFmtId="0" fontId="62" fillId="0" borderId="13" xfId="0" applyNumberFormat="1" applyFont="1" applyFill="1" applyBorder="1" applyAlignment="1">
      <alignment horizontal="center"/>
    </xf>
    <xf numFmtId="3" fontId="62" fillId="0" borderId="13" xfId="0" applyNumberFormat="1" applyFont="1" applyFill="1" applyBorder="1" applyAlignment="1">
      <alignment horizontal="center"/>
    </xf>
    <xf numFmtId="172" fontId="63" fillId="0" borderId="13" xfId="42" applyNumberFormat="1" applyFont="1" applyFill="1" applyBorder="1" applyAlignment="1">
      <alignment/>
    </xf>
    <xf numFmtId="172" fontId="62" fillId="0" borderId="13" xfId="42" applyNumberFormat="1" applyFont="1" applyFill="1" applyBorder="1" applyAlignment="1" applyProtection="1">
      <alignment/>
      <protection/>
    </xf>
    <xf numFmtId="172" fontId="62" fillId="0" borderId="13" xfId="42" applyNumberFormat="1" applyFont="1" applyFill="1" applyBorder="1" applyAlignment="1">
      <alignment horizontal="right"/>
    </xf>
    <xf numFmtId="3" fontId="62" fillId="0" borderId="13" xfId="0" applyNumberFormat="1" applyFont="1" applyFill="1" applyBorder="1" applyAlignment="1">
      <alignment/>
    </xf>
    <xf numFmtId="172" fontId="62" fillId="0" borderId="13" xfId="42" applyNumberFormat="1" applyFont="1" applyFill="1" applyBorder="1" applyAlignment="1">
      <alignment/>
    </xf>
    <xf numFmtId="172" fontId="63" fillId="0" borderId="13" xfId="42" applyNumberFormat="1" applyFont="1" applyFill="1" applyBorder="1" applyAlignment="1">
      <alignment/>
    </xf>
    <xf numFmtId="0" fontId="62" fillId="0" borderId="14" xfId="0" applyFont="1" applyFill="1" applyBorder="1" applyAlignment="1">
      <alignment/>
    </xf>
    <xf numFmtId="0" fontId="63" fillId="0" borderId="14" xfId="0" applyNumberFormat="1" applyFont="1" applyFill="1" applyBorder="1" applyAlignment="1">
      <alignment horizontal="right"/>
    </xf>
    <xf numFmtId="0" fontId="62" fillId="0" borderId="14" xfId="0" applyNumberFormat="1" applyFont="1" applyFill="1" applyBorder="1" applyAlignment="1">
      <alignment/>
    </xf>
    <xf numFmtId="0" fontId="62" fillId="0" borderId="14" xfId="0" applyNumberFormat="1" applyFont="1" applyFill="1" applyBorder="1" applyAlignment="1">
      <alignment horizontal="center"/>
    </xf>
    <xf numFmtId="3" fontId="62" fillId="0" borderId="14" xfId="0" applyNumberFormat="1" applyFont="1" applyFill="1" applyBorder="1" applyAlignment="1">
      <alignment/>
    </xf>
    <xf numFmtId="172" fontId="63" fillId="0" borderId="14" xfId="42" applyNumberFormat="1" applyFont="1" applyFill="1" applyBorder="1" applyAlignment="1">
      <alignment/>
    </xf>
    <xf numFmtId="172" fontId="62" fillId="0" borderId="14" xfId="42" applyNumberFormat="1" applyFont="1" applyFill="1" applyBorder="1" applyAlignment="1">
      <alignment/>
    </xf>
    <xf numFmtId="0" fontId="10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left"/>
    </xf>
    <xf numFmtId="1" fontId="10" fillId="32" borderId="11" xfId="0" applyNumberFormat="1" applyFont="1" applyFill="1" applyBorder="1" applyAlignment="1">
      <alignment horizontal="center"/>
    </xf>
    <xf numFmtId="9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/>
    </xf>
    <xf numFmtId="0" fontId="10" fillId="32" borderId="11" xfId="0" applyNumberFormat="1" applyFont="1" applyFill="1" applyBorder="1" applyAlignment="1">
      <alignment horizontal="right"/>
    </xf>
    <xf numFmtId="172" fontId="10" fillId="32" borderId="11" xfId="42" applyNumberFormat="1" applyFont="1" applyFill="1" applyBorder="1" applyAlignment="1">
      <alignment horizontal="right"/>
    </xf>
    <xf numFmtId="172" fontId="10" fillId="32" borderId="11" xfId="42" applyNumberFormat="1" applyFont="1" applyFill="1" applyBorder="1" applyAlignment="1">
      <alignment/>
    </xf>
    <xf numFmtId="4" fontId="10" fillId="32" borderId="11" xfId="0" applyNumberFormat="1" applyFont="1" applyFill="1" applyBorder="1" applyAlignment="1">
      <alignment horizontal="right"/>
    </xf>
    <xf numFmtId="0" fontId="60" fillId="0" borderId="11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131 Trk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stern%20Region\WUTC\WIP%20Files\2131%20American\Depreciation\2015\staff%20Guerrero%20Tracking%20Lo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"/>
    </sheetNames>
    <sheetDataSet>
      <sheetData sheetId="0">
        <row r="121">
          <cell r="B121">
            <v>0.27102803738317754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I28" sqref="I28"/>
    </sheetView>
  </sheetViews>
  <sheetFormatPr defaultColWidth="14.6640625" defaultRowHeight="15.75"/>
  <cols>
    <col min="1" max="1" width="14.6640625" style="3" customWidth="1"/>
    <col min="2" max="2" width="9.6640625" style="3" bestFit="1" customWidth="1"/>
    <col min="3" max="3" width="8.5546875" style="3" bestFit="1" customWidth="1"/>
    <col min="4" max="4" width="11.21484375" style="3" bestFit="1" customWidth="1"/>
    <col min="5" max="5" width="10.3359375" style="3" bestFit="1" customWidth="1"/>
    <col min="6" max="6" width="8.99609375" style="3" customWidth="1"/>
    <col min="7" max="7" width="8.6640625" style="3" customWidth="1"/>
    <col min="8" max="8" width="9.4453125" style="3" customWidth="1"/>
    <col min="9" max="16384" width="14.6640625" style="3" customWidth="1"/>
  </cols>
  <sheetData>
    <row r="1" spans="1:2" ht="12">
      <c r="A1" s="1" t="s">
        <v>194</v>
      </c>
      <c r="B1" s="2"/>
    </row>
    <row r="2" ht="12">
      <c r="A2" s="1" t="s">
        <v>205</v>
      </c>
    </row>
    <row r="3" spans="6:8" ht="12">
      <c r="F3" s="4" t="s">
        <v>18</v>
      </c>
      <c r="G3" s="4" t="s">
        <v>87</v>
      </c>
      <c r="H3" s="4" t="s">
        <v>38</v>
      </c>
    </row>
    <row r="4" spans="1:8" ht="12">
      <c r="A4" s="4" t="s">
        <v>90</v>
      </c>
      <c r="B4" s="4" t="s">
        <v>42</v>
      </c>
      <c r="C4" s="4" t="s">
        <v>23</v>
      </c>
      <c r="D4" s="4" t="s">
        <v>67</v>
      </c>
      <c r="E4" s="4" t="s">
        <v>91</v>
      </c>
      <c r="F4" s="4" t="s">
        <v>92</v>
      </c>
      <c r="G4" s="4" t="s">
        <v>92</v>
      </c>
      <c r="H4" s="4" t="s">
        <v>45</v>
      </c>
    </row>
    <row r="5" spans="1:8" ht="12">
      <c r="A5" s="4"/>
      <c r="B5" s="4"/>
      <c r="C5" s="4"/>
      <c r="D5" s="4" t="s">
        <v>42</v>
      </c>
      <c r="E5" s="4" t="s">
        <v>67</v>
      </c>
      <c r="F5" s="5">
        <v>42005</v>
      </c>
      <c r="G5" s="5">
        <v>42369</v>
      </c>
      <c r="H5" s="5">
        <f>G5</f>
        <v>42369</v>
      </c>
    </row>
    <row r="6" spans="1:2" ht="12">
      <c r="A6" s="1" t="s">
        <v>93</v>
      </c>
      <c r="B6" s="6"/>
    </row>
    <row r="7" spans="1:9" ht="12">
      <c r="A7" s="3" t="s">
        <v>94</v>
      </c>
      <c r="B7" s="7">
        <f>'2131 Trks'!N23</f>
        <v>1418357.86</v>
      </c>
      <c r="C7" s="7">
        <f>B7-D7</f>
        <v>276841.4240000001</v>
      </c>
      <c r="D7" s="7">
        <f>'2131 Trks'!P23</f>
        <v>1141516.436</v>
      </c>
      <c r="E7" s="7">
        <f>'2131 Trks'!R23</f>
        <v>134335.1502857143</v>
      </c>
      <c r="F7" s="7">
        <f>'2131 Trks'!AA23</f>
        <v>615097.6877142773</v>
      </c>
      <c r="G7" s="7">
        <f>'2131 Trks'!AB23</f>
        <v>749432.8379999914</v>
      </c>
      <c r="H7" s="7">
        <f>'2131 Trks'!AC23</f>
        <v>736092.5971428656</v>
      </c>
      <c r="I7" s="6"/>
    </row>
    <row r="8" spans="2:8" ht="12">
      <c r="B8" s="7"/>
      <c r="C8" s="7"/>
      <c r="D8" s="7"/>
      <c r="E8" s="7"/>
      <c r="F8" s="7"/>
      <c r="G8" s="7"/>
      <c r="H8" s="7"/>
    </row>
    <row r="9" spans="1:9" ht="12">
      <c r="A9" s="3" t="s">
        <v>95</v>
      </c>
      <c r="B9" s="7">
        <f>'2131 Trks'!N30</f>
        <v>127353.46</v>
      </c>
      <c r="C9" s="7">
        <f>B9-D9</f>
        <v>25470.691999999995</v>
      </c>
      <c r="D9" s="7">
        <f>'2131 Trks'!P30</f>
        <v>101882.76800000001</v>
      </c>
      <c r="E9" s="7">
        <f>'2131 Trks'!R30</f>
        <v>794.8785714285715</v>
      </c>
      <c r="F9" s="7">
        <f>'2131 Trks'!AA30</f>
        <v>101087.88942857145</v>
      </c>
      <c r="G9" s="7">
        <f>'2131 Trks'!AB30</f>
        <v>101882.76800000001</v>
      </c>
      <c r="H9" s="7">
        <f>'2131 Trks'!AC30</f>
        <v>25868.13128571428</v>
      </c>
      <c r="I9" s="6"/>
    </row>
    <row r="10" spans="2:8" ht="12">
      <c r="B10" s="7"/>
      <c r="C10" s="7"/>
      <c r="D10" s="7"/>
      <c r="E10" s="7"/>
      <c r="F10" s="7"/>
      <c r="G10" s="7"/>
      <c r="H10" s="7"/>
    </row>
    <row r="11" spans="1:9" ht="12">
      <c r="A11" s="3" t="s">
        <v>96</v>
      </c>
      <c r="B11" s="7">
        <f>'2131 Trks'!N49</f>
        <v>1024325.73</v>
      </c>
      <c r="C11" s="7">
        <f>B11-D11</f>
        <v>204865.14600000007</v>
      </c>
      <c r="D11" s="7">
        <f>'2131 Trks'!P49</f>
        <v>819460.5839999999</v>
      </c>
      <c r="E11" s="7">
        <f>'2131 Trks'!R49</f>
        <v>49373.737714285715</v>
      </c>
      <c r="F11" s="7">
        <f>'2131 Trks'!AA49</f>
        <v>521020.2524761896</v>
      </c>
      <c r="G11" s="7">
        <f>'2131 Trks'!AB49</f>
        <v>570393.9901904752</v>
      </c>
      <c r="H11" s="7">
        <f>'2131 Trks'!AC49</f>
        <v>478618.60866666754</v>
      </c>
      <c r="I11" s="6"/>
    </row>
    <row r="12" spans="2:8" ht="12">
      <c r="B12" s="7"/>
      <c r="C12" s="7"/>
      <c r="D12" s="7"/>
      <c r="E12" s="7"/>
      <c r="F12" s="7"/>
      <c r="G12" s="7"/>
      <c r="H12" s="7"/>
    </row>
    <row r="13" spans="1:9" ht="12">
      <c r="A13" s="3" t="s">
        <v>97</v>
      </c>
      <c r="B13" s="7">
        <f>'2131 Trks'!N36</f>
        <v>0</v>
      </c>
      <c r="C13" s="7">
        <f>B13-D13</f>
        <v>0</v>
      </c>
      <c r="D13" s="7">
        <f>'2131 Trks'!P36</f>
        <v>0</v>
      </c>
      <c r="E13" s="7">
        <f>'2131 Trks'!V36</f>
        <v>0</v>
      </c>
      <c r="F13" s="7">
        <f>'2131 Trks'!AA36</f>
        <v>0</v>
      </c>
      <c r="G13" s="7">
        <f>'2131 Trks'!AB36</f>
        <v>0</v>
      </c>
      <c r="H13" s="7">
        <f>'2131 Trks'!AC36</f>
        <v>0</v>
      </c>
      <c r="I13" s="6"/>
    </row>
    <row r="14" spans="2:8" ht="12">
      <c r="B14" s="7"/>
      <c r="C14" s="7"/>
      <c r="D14" s="7"/>
      <c r="E14" s="7"/>
      <c r="F14" s="7"/>
      <c r="G14" s="7"/>
      <c r="H14" s="7"/>
    </row>
    <row r="15" spans="1:9" ht="12">
      <c r="A15" s="3" t="s">
        <v>98</v>
      </c>
      <c r="B15" s="7">
        <f>'2131 Trks'!N59</f>
        <v>1133869.86</v>
      </c>
      <c r="C15" s="7">
        <f>B15-D15</f>
        <v>254177.36620000016</v>
      </c>
      <c r="D15" s="7">
        <f>'2131 Trks'!P59</f>
        <v>879692.4937999999</v>
      </c>
      <c r="E15" s="7">
        <f>'2131 Trks'!R59</f>
        <v>31340.608571428573</v>
      </c>
      <c r="F15" s="7">
        <f>'2131 Trks'!AA59</f>
        <v>191052.50294285716</v>
      </c>
      <c r="G15" s="7">
        <f>'2131 Trks'!AB59</f>
        <v>222393.11151428573</v>
      </c>
      <c r="H15" s="7">
        <f>'2131 Trks'!AC59</f>
        <v>604390.3377714285</v>
      </c>
      <c r="I15" s="6"/>
    </row>
    <row r="16" spans="2:8" ht="12">
      <c r="B16" s="7"/>
      <c r="C16" s="7"/>
      <c r="D16" s="7"/>
      <c r="E16" s="7"/>
      <c r="F16" s="7"/>
      <c r="G16" s="7"/>
      <c r="H16" s="7"/>
    </row>
    <row r="17" spans="1:9" ht="12.75" thickBot="1">
      <c r="A17" s="16" t="s">
        <v>50</v>
      </c>
      <c r="B17" s="17">
        <f>SUM(B7:B15)</f>
        <v>3703906.91</v>
      </c>
      <c r="C17" s="17">
        <f aca="true" t="shared" si="0" ref="C17:H17">SUM(C7:C16)</f>
        <v>761354.6282000004</v>
      </c>
      <c r="D17" s="17">
        <f t="shared" si="0"/>
        <v>2942552.2817999995</v>
      </c>
      <c r="E17" s="17">
        <f t="shared" si="0"/>
        <v>215844.37514285714</v>
      </c>
      <c r="F17" s="17">
        <f t="shared" si="0"/>
        <v>1428258.3325618955</v>
      </c>
      <c r="G17" s="17">
        <f t="shared" si="0"/>
        <v>1644102.7077047522</v>
      </c>
      <c r="H17" s="17">
        <f t="shared" si="0"/>
        <v>1844969.674866676</v>
      </c>
      <c r="I17" s="6">
        <f>H17-'2131 Trks'!AC61</f>
        <v>0</v>
      </c>
    </row>
    <row r="18" spans="2:8" ht="12">
      <c r="B18" s="7" t="s">
        <v>57</v>
      </c>
      <c r="C18" s="7"/>
      <c r="D18" s="7"/>
      <c r="E18" s="7"/>
      <c r="F18" s="7"/>
      <c r="G18" s="7"/>
      <c r="H18" s="7"/>
    </row>
    <row r="19" spans="1:8" ht="12">
      <c r="A19" s="1" t="s">
        <v>99</v>
      </c>
      <c r="B19" s="7"/>
      <c r="C19" s="7"/>
      <c r="D19" s="7"/>
      <c r="E19" s="7"/>
      <c r="F19" s="7"/>
      <c r="G19" s="7"/>
      <c r="H19" s="7"/>
    </row>
    <row r="20" spans="1:9" ht="12">
      <c r="A20" s="3" t="s">
        <v>94</v>
      </c>
      <c r="B20" s="7">
        <f>'2131 Cont, DB'!M58</f>
        <v>230318.33</v>
      </c>
      <c r="C20" s="7">
        <f>B20-D20</f>
        <v>0</v>
      </c>
      <c r="D20" s="7">
        <f>'2131 Cont, DB'!O58</f>
        <v>230318.33</v>
      </c>
      <c r="E20" s="7">
        <f>'2131 Cont, DB'!Q58</f>
        <v>9208.230499999869</v>
      </c>
      <c r="F20" s="7">
        <f>'2131 Cont, DB'!Z58</f>
        <v>191766.0666666665</v>
      </c>
      <c r="G20" s="7">
        <f>'2131 Cont, DB'!AA58</f>
        <v>196365.84716666632</v>
      </c>
      <c r="H20" s="7">
        <f>'2131 Cont, DB'!AB58</f>
        <v>26776.978083333568</v>
      </c>
      <c r="I20" s="6"/>
    </row>
    <row r="21" spans="2:8" ht="12">
      <c r="B21" s="7"/>
      <c r="C21" s="7"/>
      <c r="D21" s="7"/>
      <c r="E21" s="7"/>
      <c r="F21" s="7"/>
      <c r="G21" s="7"/>
      <c r="H21" s="7"/>
    </row>
    <row r="22" spans="1:9" ht="12">
      <c r="A22" s="8" t="s">
        <v>100</v>
      </c>
      <c r="B22" s="7">
        <f>'2131 Cont, DB'!M86</f>
        <v>289834.67000000004</v>
      </c>
      <c r="C22" s="7">
        <f>B22-D22</f>
        <v>0</v>
      </c>
      <c r="D22" s="7">
        <f>'2131 Cont, DB'!O86</f>
        <v>289834.67000000004</v>
      </c>
      <c r="E22" s="7">
        <f>'2131 Cont, DB'!Q86</f>
        <v>11505.392</v>
      </c>
      <c r="F22" s="7">
        <f>'2131 Cont, DB'!Z86</f>
        <v>257004.97549999985</v>
      </c>
      <c r="G22" s="7">
        <f>'2131 Cont, DB'!AA86</f>
        <v>268510.3674999999</v>
      </c>
      <c r="H22" s="7">
        <f>'2131 Cont, DB'!AB86</f>
        <v>27076.99850000017</v>
      </c>
      <c r="I22" s="6"/>
    </row>
    <row r="23" spans="2:8" ht="12">
      <c r="B23" s="7"/>
      <c r="C23" s="7"/>
      <c r="D23" s="7"/>
      <c r="E23" s="7"/>
      <c r="F23" s="7"/>
      <c r="G23" s="7"/>
      <c r="H23" s="7"/>
    </row>
    <row r="24" spans="1:9" ht="12">
      <c r="A24" s="3" t="s">
        <v>96</v>
      </c>
      <c r="B24" s="7">
        <f>'2131 Cont, DB'!M108</f>
        <v>796915.58</v>
      </c>
      <c r="C24" s="7">
        <f>B24-D24</f>
        <v>0</v>
      </c>
      <c r="D24" s="7">
        <f>'2131 Cont, DB'!O108</f>
        <v>796915.58</v>
      </c>
      <c r="E24" s="7">
        <f>'2131 Cont, DB'!Q108</f>
        <v>29466.18716667123</v>
      </c>
      <c r="F24" s="7">
        <f>'2131 Cont, DB'!Z108</f>
        <v>669763.1940833287</v>
      </c>
      <c r="G24" s="7">
        <f>'2131 Cont, DB'!AA108</f>
        <v>699229.3812500001</v>
      </c>
      <c r="H24" s="7">
        <f>'2131 Cont, DB'!AB108</f>
        <v>112419.29233333544</v>
      </c>
      <c r="I24" s="6"/>
    </row>
    <row r="25" spans="2:8" ht="12">
      <c r="B25" s="7"/>
      <c r="C25" s="7"/>
      <c r="D25" s="7"/>
      <c r="E25" s="7"/>
      <c r="F25" s="7"/>
      <c r="G25" s="7"/>
      <c r="H25" s="7"/>
    </row>
    <row r="26" spans="1:8" ht="12">
      <c r="A26" s="3" t="s">
        <v>196</v>
      </c>
      <c r="B26" s="7">
        <f>'2131 Cont, DB'!M95</f>
        <v>19180.12</v>
      </c>
      <c r="C26" s="7">
        <f>B26-D26</f>
        <v>0</v>
      </c>
      <c r="D26" s="7">
        <f>'2131 Cont, DB'!O95</f>
        <v>19180.12</v>
      </c>
      <c r="E26" s="7">
        <f>'2131 Cont, DB'!Q95</f>
        <v>0</v>
      </c>
      <c r="F26" s="7">
        <f>'2131 Cont, DB'!Z95</f>
        <v>19180.12</v>
      </c>
      <c r="G26" s="7">
        <f>'2131 Cont, DB'!AA95</f>
        <v>19180.12</v>
      </c>
      <c r="H26" s="7">
        <f>'2131 Cont, DB'!AB95</f>
        <v>0</v>
      </c>
    </row>
    <row r="27" spans="2:8" ht="12">
      <c r="B27" s="7"/>
      <c r="C27" s="7"/>
      <c r="D27" s="7"/>
      <c r="E27" s="7"/>
      <c r="F27" s="7"/>
      <c r="G27" s="7"/>
      <c r="H27" s="7"/>
    </row>
    <row r="28" spans="1:8" ht="12">
      <c r="A28" s="3" t="s">
        <v>98</v>
      </c>
      <c r="B28" s="7">
        <f>'2131 YW'!M28</f>
        <v>474365.4199999999</v>
      </c>
      <c r="C28" s="7">
        <f>B28-D28</f>
        <v>0</v>
      </c>
      <c r="D28" s="7">
        <f>'2131 YW'!O28</f>
        <v>474365.4199999999</v>
      </c>
      <c r="E28" s="7">
        <f>'2131 YW'!Q28</f>
        <v>19513.25976190497</v>
      </c>
      <c r="F28" s="7">
        <f>'2131 YW'!Z28</f>
        <v>347773.134761905</v>
      </c>
      <c r="G28" s="7">
        <f>'2131 YW'!AA28</f>
        <v>367286.39452381</v>
      </c>
      <c r="H28" s="7">
        <f>'2131 YW'!AB28</f>
        <v>84484.15035714244</v>
      </c>
    </row>
    <row r="29" spans="2:8" ht="12">
      <c r="B29" s="7"/>
      <c r="C29" s="7"/>
      <c r="D29" s="7"/>
      <c r="E29" s="7"/>
      <c r="F29" s="7"/>
      <c r="G29" s="7"/>
      <c r="H29" s="7"/>
    </row>
    <row r="30" spans="1:8" ht="12">
      <c r="A30" s="3" t="s">
        <v>197</v>
      </c>
      <c r="B30" s="7">
        <f>'2131 YW'!M33</f>
        <v>5551.7</v>
      </c>
      <c r="C30" s="7">
        <f>B30-D30</f>
        <v>0</v>
      </c>
      <c r="D30" s="7">
        <f>'2131 YW'!O33</f>
        <v>5551.7</v>
      </c>
      <c r="E30" s="7">
        <f>'2131 YW'!Q33</f>
        <v>0</v>
      </c>
      <c r="F30" s="7">
        <f>'2131 YW'!Z33</f>
        <v>5551.7</v>
      </c>
      <c r="G30" s="7">
        <f>'2131 YW'!AA33</f>
        <v>5551.7</v>
      </c>
      <c r="H30" s="7">
        <f>'2131 YW'!AB33</f>
        <v>0</v>
      </c>
    </row>
    <row r="31" spans="2:8" ht="12">
      <c r="B31" s="7"/>
      <c r="C31" s="7"/>
      <c r="D31" s="7"/>
      <c r="E31" s="7"/>
      <c r="F31" s="7"/>
      <c r="G31" s="7"/>
      <c r="H31" s="7"/>
    </row>
    <row r="32" spans="1:9" ht="12.75" thickBot="1">
      <c r="A32" s="16" t="s">
        <v>101</v>
      </c>
      <c r="B32" s="17">
        <f aca="true" t="shared" si="1" ref="B32:H32">SUM(B20:B31)</f>
        <v>1816165.82</v>
      </c>
      <c r="C32" s="17">
        <f t="shared" si="1"/>
        <v>0</v>
      </c>
      <c r="D32" s="17">
        <f t="shared" si="1"/>
        <v>1816165.82</v>
      </c>
      <c r="E32" s="17">
        <f t="shared" si="1"/>
        <v>69693.06942857607</v>
      </c>
      <c r="F32" s="17">
        <f t="shared" si="1"/>
        <v>1491039.1910119</v>
      </c>
      <c r="G32" s="17">
        <f t="shared" si="1"/>
        <v>1556123.8104404763</v>
      </c>
      <c r="H32" s="17">
        <f t="shared" si="1"/>
        <v>250757.41927381163</v>
      </c>
      <c r="I32" s="9">
        <f>H32-'2131 Cont, DB'!AB111-'2131 YW'!AB35</f>
        <v>0</v>
      </c>
    </row>
    <row r="33" spans="2:8" ht="12">
      <c r="B33" s="7"/>
      <c r="C33" s="7"/>
      <c r="D33" s="7"/>
      <c r="E33" s="7"/>
      <c r="F33" s="7"/>
      <c r="G33" s="7"/>
      <c r="H33" s="7"/>
    </row>
    <row r="34" spans="1:8" ht="12">
      <c r="A34" s="3" t="s">
        <v>102</v>
      </c>
      <c r="B34" s="7">
        <f>'2131 Other'!N17</f>
        <v>34811.522429906545</v>
      </c>
      <c r="C34" s="7">
        <f>B34-D34</f>
        <v>11487.802401869161</v>
      </c>
      <c r="D34" s="7">
        <f>'2131 Other'!P17</f>
        <v>23323.720028037384</v>
      </c>
      <c r="E34" s="7">
        <f>'2131 Other'!R17</f>
        <v>721.9280056074765</v>
      </c>
      <c r="F34" s="7">
        <f>'2131 Other'!AA17</f>
        <v>60.160667133901654</v>
      </c>
      <c r="G34" s="7">
        <f>'2131 Other'!AB17</f>
        <v>782.0886727413781</v>
      </c>
      <c r="H34" s="7">
        <f>'2131 Other'!AC17</f>
        <v>19678.397759968902</v>
      </c>
    </row>
    <row r="35" spans="2:8" ht="12">
      <c r="B35" s="7"/>
      <c r="C35" s="7"/>
      <c r="D35" s="7"/>
      <c r="E35" s="7"/>
      <c r="F35" s="7"/>
      <c r="G35" s="7"/>
      <c r="H35" s="7"/>
    </row>
    <row r="36" spans="1:8" ht="12">
      <c r="A36" s="3" t="s">
        <v>103</v>
      </c>
      <c r="B36" s="7">
        <f>'2131 Other'!N24</f>
        <v>64638.2</v>
      </c>
      <c r="C36" s="7">
        <f>B36-D36</f>
        <v>6763.799999999996</v>
      </c>
      <c r="D36" s="7">
        <f>'2131 Other'!P24</f>
        <v>57874.4</v>
      </c>
      <c r="E36" s="7">
        <f>'2131 Other'!R24</f>
        <v>7679.314285714285</v>
      </c>
      <c r="F36" s="7">
        <f>'2131 Other'!AA24</f>
        <v>20088.171428571717</v>
      </c>
      <c r="G36" s="7">
        <f>'2131 Other'!AB24</f>
        <v>27767.485714286002</v>
      </c>
      <c r="H36" s="7">
        <f>'2131 Other'!AC24</f>
        <v>40710.37142857114</v>
      </c>
    </row>
    <row r="37" spans="2:8" ht="12">
      <c r="B37" s="7"/>
      <c r="C37" s="7"/>
      <c r="D37" s="7"/>
      <c r="E37" s="7"/>
      <c r="F37" s="7"/>
      <c r="G37" s="7"/>
      <c r="H37" s="7"/>
    </row>
    <row r="38" spans="1:9" ht="12">
      <c r="A38" s="3" t="s">
        <v>104</v>
      </c>
      <c r="B38" s="7">
        <f>'2131 Other'!N30</f>
        <v>875</v>
      </c>
      <c r="C38" s="7">
        <f>B38-D38</f>
        <v>0</v>
      </c>
      <c r="D38" s="7">
        <f>'2131 Other'!P30</f>
        <v>875</v>
      </c>
      <c r="E38" s="7">
        <f>'2131 Other'!R30</f>
        <v>160.41666666667993</v>
      </c>
      <c r="F38" s="7">
        <f>'2131 Other'!AA30</f>
        <v>714.5833333333201</v>
      </c>
      <c r="G38" s="7">
        <f>'2131 Other'!AB30</f>
        <v>875</v>
      </c>
      <c r="H38" s="7">
        <f>'2131 Other'!AC30</f>
        <v>80.20833333333997</v>
      </c>
      <c r="I38" s="10">
        <f>SUM(H34:H38)-'2131 Other'!AC32</f>
        <v>0</v>
      </c>
    </row>
    <row r="39" spans="2:8" ht="12">
      <c r="B39" s="7"/>
      <c r="C39" s="7"/>
      <c r="D39" s="7"/>
      <c r="E39" s="7"/>
      <c r="F39" s="7"/>
      <c r="G39" s="7"/>
      <c r="H39" s="7"/>
    </row>
    <row r="40" spans="2:8" ht="12">
      <c r="B40" s="7"/>
      <c r="C40" s="7"/>
      <c r="D40" s="7"/>
      <c r="E40" s="7"/>
      <c r="F40" s="7"/>
      <c r="G40" s="7"/>
      <c r="H40" s="7"/>
    </row>
    <row r="41" spans="1:8" ht="12.75" thickBot="1">
      <c r="A41" s="16" t="s">
        <v>105</v>
      </c>
      <c r="B41" s="17">
        <f>B17+B32+B34+B36+B38</f>
        <v>5620397.452429907</v>
      </c>
      <c r="C41" s="17">
        <f aca="true" t="shared" si="2" ref="C41:H41">C17+C32+C34+C36+C38</f>
        <v>779606.2306018696</v>
      </c>
      <c r="D41" s="17">
        <f t="shared" si="2"/>
        <v>4840791.221828037</v>
      </c>
      <c r="E41" s="17">
        <f t="shared" si="2"/>
        <v>294099.10352942167</v>
      </c>
      <c r="F41" s="17">
        <f t="shared" si="2"/>
        <v>2940160.4390028347</v>
      </c>
      <c r="G41" s="17">
        <f t="shared" si="2"/>
        <v>3229651.092532256</v>
      </c>
      <c r="H41" s="17">
        <f t="shared" si="2"/>
        <v>2156196.0716623613</v>
      </c>
    </row>
    <row r="44" spans="1:9" ht="12">
      <c r="A44" s="11" t="s">
        <v>206</v>
      </c>
      <c r="B44" s="12"/>
      <c r="C44" s="12"/>
      <c r="D44" s="12"/>
      <c r="E44" s="12"/>
      <c r="F44" s="12"/>
      <c r="G44" s="12"/>
      <c r="H44" s="12"/>
      <c r="I44" s="12"/>
    </row>
    <row r="45" spans="1:9" ht="12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2">
      <c r="A46" s="12"/>
      <c r="B46" s="13" t="s">
        <v>207</v>
      </c>
      <c r="C46" s="13" t="s">
        <v>66</v>
      </c>
      <c r="D46" s="13" t="s">
        <v>208</v>
      </c>
      <c r="E46" s="13" t="s">
        <v>209</v>
      </c>
      <c r="F46" s="12"/>
      <c r="G46" s="12"/>
      <c r="H46" s="12"/>
      <c r="I46" s="12"/>
    </row>
    <row r="47" spans="1:9" ht="12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">
      <c r="A48" s="12" t="s">
        <v>210</v>
      </c>
      <c r="B48" s="14">
        <v>738887.35</v>
      </c>
      <c r="C48" s="12">
        <v>3</v>
      </c>
      <c r="D48" s="14">
        <f>B48/C48</f>
        <v>246295.78333333333</v>
      </c>
      <c r="E48" s="15">
        <v>42659</v>
      </c>
      <c r="F48" s="12" t="s">
        <v>211</v>
      </c>
      <c r="G48" s="12"/>
      <c r="H48" s="12"/>
      <c r="I48" s="12"/>
    </row>
  </sheetData>
  <sheetProtection/>
  <printOptions/>
  <pageMargins left="0.75" right="0.75" top="1" bottom="1" header="0.5" footer="0.5"/>
  <pageSetup fitToHeight="1" fitToWidth="1" horizontalDpi="300" verticalDpi="300" orientation="portrait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00B0F0"/>
    <pageSetUpPr fitToPage="1"/>
  </sheetPr>
  <dimension ref="A1:CB387"/>
  <sheetViews>
    <sheetView showGridLines="0" zoomScalePageLayoutView="0" workbookViewId="0" topLeftCell="A1">
      <pane xSplit="3" ySplit="11" topLeftCell="D12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77734375" defaultRowHeight="15.75"/>
  <cols>
    <col min="1" max="1" width="5.4453125" style="18" hidden="1" customWidth="1"/>
    <col min="2" max="2" width="3.77734375" style="18" customWidth="1"/>
    <col min="3" max="3" width="5.3359375" style="18" customWidth="1"/>
    <col min="4" max="4" width="22.10546875" style="18" customWidth="1"/>
    <col min="5" max="5" width="5.88671875" style="18" customWidth="1"/>
    <col min="6" max="6" width="2.6640625" style="18" customWidth="1"/>
    <col min="7" max="7" width="5.77734375" style="18" customWidth="1"/>
    <col min="8" max="8" width="1.2265625" style="18" customWidth="1"/>
    <col min="9" max="9" width="5.4453125" style="18" customWidth="1"/>
    <col min="10" max="10" width="4.4453125" style="18" customWidth="1"/>
    <col min="11" max="11" width="3.88671875" style="20" customWidth="1"/>
    <col min="12" max="12" width="4.4453125" style="18" hidden="1" customWidth="1"/>
    <col min="13" max="13" width="3.10546875" style="18" hidden="1" customWidth="1"/>
    <col min="14" max="14" width="9.99609375" style="18" customWidth="1"/>
    <col min="15" max="15" width="5.21484375" style="18" hidden="1" customWidth="1"/>
    <col min="16" max="17" width="8.77734375" style="18" customWidth="1"/>
    <col min="18" max="18" width="7.21484375" style="18" hidden="1" customWidth="1"/>
    <col min="19" max="19" width="5.21484375" style="18" hidden="1" customWidth="1"/>
    <col min="20" max="20" width="7.6640625" style="18" hidden="1" customWidth="1"/>
    <col min="21" max="21" width="3.4453125" style="18" hidden="1" customWidth="1"/>
    <col min="22" max="22" width="6.4453125" style="18" customWidth="1"/>
    <col min="23" max="23" width="1.77734375" style="18" customWidth="1"/>
    <col min="24" max="25" width="8.6640625" style="18" hidden="1" customWidth="1"/>
    <col min="26" max="26" width="5.10546875" style="18" hidden="1" customWidth="1"/>
    <col min="27" max="28" width="6.99609375" style="18" customWidth="1"/>
    <col min="29" max="29" width="7.77734375" style="18" customWidth="1"/>
    <col min="30" max="30" width="6.10546875" style="18" hidden="1" customWidth="1"/>
    <col min="31" max="31" width="6.5546875" style="18" hidden="1" customWidth="1"/>
    <col min="32" max="32" width="7.88671875" style="18" hidden="1" customWidth="1"/>
    <col min="33" max="33" width="6.10546875" style="18" hidden="1" customWidth="1"/>
    <col min="34" max="34" width="3.88671875" style="18" hidden="1" customWidth="1"/>
    <col min="35" max="16384" width="9.77734375" style="18" customWidth="1"/>
  </cols>
  <sheetData>
    <row r="1" spans="4:31" ht="45">
      <c r="D1" s="19" t="s">
        <v>164</v>
      </c>
      <c r="N1" s="21" t="s">
        <v>201</v>
      </c>
      <c r="P1" s="22" t="s">
        <v>203</v>
      </c>
      <c r="Q1" s="23"/>
      <c r="AE1" s="24">
        <f>Summary!F5</f>
        <v>42005</v>
      </c>
    </row>
    <row r="2" spans="4:76" ht="11.25">
      <c r="D2" s="19" t="s">
        <v>0</v>
      </c>
      <c r="N2" s="25" t="s">
        <v>202</v>
      </c>
      <c r="P2" s="26">
        <v>12</v>
      </c>
      <c r="Q2" s="27" t="s">
        <v>1</v>
      </c>
      <c r="BX2" s="18" t="s">
        <v>2</v>
      </c>
    </row>
    <row r="3" spans="4:32" ht="11.25">
      <c r="D3" s="28">
        <f>Summary!H5</f>
        <v>42369</v>
      </c>
      <c r="N3" s="29" t="s">
        <v>199</v>
      </c>
      <c r="P3" s="26">
        <v>0</v>
      </c>
      <c r="Q3" s="27" t="s">
        <v>3</v>
      </c>
      <c r="AE3" s="18" t="s">
        <v>4</v>
      </c>
      <c r="AF3" s="18" t="s">
        <v>5</v>
      </c>
    </row>
    <row r="4" spans="14:80" ht="11.25">
      <c r="N4" s="30" t="s">
        <v>200</v>
      </c>
      <c r="P4" s="31">
        <v>2015</v>
      </c>
      <c r="Q4" s="27" t="s">
        <v>6</v>
      </c>
      <c r="AE4" s="18" t="s">
        <v>7</v>
      </c>
      <c r="AF4" s="18" t="s">
        <v>8</v>
      </c>
      <c r="BW4" s="18">
        <v>1</v>
      </c>
      <c r="BX4" s="18" t="s">
        <v>9</v>
      </c>
      <c r="CA4" s="18">
        <v>12</v>
      </c>
      <c r="CB4" s="18" t="s">
        <v>10</v>
      </c>
    </row>
    <row r="5" spans="16:80" ht="11.25">
      <c r="P5" s="31">
        <v>2016</v>
      </c>
      <c r="Q5" s="27" t="s">
        <v>11</v>
      </c>
      <c r="AE5" s="18" t="s">
        <v>12</v>
      </c>
      <c r="AF5" s="18" t="s">
        <v>13</v>
      </c>
      <c r="BX5" s="18">
        <v>1993</v>
      </c>
      <c r="CA5" s="18">
        <v>0</v>
      </c>
      <c r="CB5" s="18" t="s">
        <v>14</v>
      </c>
    </row>
    <row r="6" spans="31:80" ht="11.25">
      <c r="AE6" s="18" t="s">
        <v>15</v>
      </c>
      <c r="AF6" s="18" t="s">
        <v>16</v>
      </c>
      <c r="CA6" s="18">
        <v>93</v>
      </c>
      <c r="CB6" s="18" t="s">
        <v>6</v>
      </c>
    </row>
    <row r="7" spans="29:80" ht="11.25">
      <c r="AC7" s="32"/>
      <c r="AE7" s="18" t="s">
        <v>20</v>
      </c>
      <c r="AF7" s="18" t="s">
        <v>21</v>
      </c>
      <c r="CA7" s="18">
        <v>94</v>
      </c>
      <c r="CB7" s="18" t="s">
        <v>22</v>
      </c>
    </row>
    <row r="8" spans="3:29" ht="11.25">
      <c r="C8" s="23"/>
      <c r="D8" s="23"/>
      <c r="E8" s="23"/>
      <c r="F8" s="23"/>
      <c r="G8" s="23"/>
      <c r="H8" s="23"/>
      <c r="I8" s="23"/>
      <c r="J8" s="23"/>
      <c r="K8" s="33"/>
      <c r="S8" s="34" t="s">
        <v>25</v>
      </c>
      <c r="V8" s="32" t="s">
        <v>17</v>
      </c>
      <c r="X8" s="34" t="s">
        <v>18</v>
      </c>
      <c r="Y8" s="34" t="s">
        <v>19</v>
      </c>
      <c r="AA8" s="32" t="s">
        <v>19</v>
      </c>
      <c r="AB8" s="32" t="s">
        <v>19</v>
      </c>
      <c r="AC8" s="32"/>
    </row>
    <row r="9" spans="2:29" ht="11.25">
      <c r="B9" s="32"/>
      <c r="C9" s="32" t="s">
        <v>57</v>
      </c>
      <c r="D9" s="35" t="s">
        <v>58</v>
      </c>
      <c r="E9" s="32" t="s">
        <v>59</v>
      </c>
      <c r="F9" s="32"/>
      <c r="G9" s="36" t="s">
        <v>23</v>
      </c>
      <c r="H9" s="23"/>
      <c r="I9" s="32" t="s">
        <v>57</v>
      </c>
      <c r="J9" s="32"/>
      <c r="K9" s="37" t="s">
        <v>24</v>
      </c>
      <c r="L9" s="32" t="s">
        <v>57</v>
      </c>
      <c r="N9" s="32" t="s">
        <v>57</v>
      </c>
      <c r="O9" s="34" t="s">
        <v>31</v>
      </c>
      <c r="P9" s="35" t="s">
        <v>57</v>
      </c>
      <c r="Q9" s="35"/>
      <c r="R9" s="32" t="s">
        <v>68</v>
      </c>
      <c r="S9" s="34" t="s">
        <v>24</v>
      </c>
      <c r="T9" s="32" t="s">
        <v>17</v>
      </c>
      <c r="U9" s="32" t="s">
        <v>34</v>
      </c>
      <c r="V9" s="32" t="s">
        <v>19</v>
      </c>
      <c r="X9" s="34" t="s">
        <v>26</v>
      </c>
      <c r="Y9" s="34" t="s">
        <v>26</v>
      </c>
      <c r="Z9" s="34" t="s">
        <v>27</v>
      </c>
      <c r="AA9" s="32" t="s">
        <v>28</v>
      </c>
      <c r="AB9" s="32" t="s">
        <v>28</v>
      </c>
      <c r="AC9" s="32" t="s">
        <v>38</v>
      </c>
    </row>
    <row r="10" spans="2:76" ht="11.25">
      <c r="B10" s="32"/>
      <c r="C10" s="32" t="s">
        <v>60</v>
      </c>
      <c r="D10" s="35"/>
      <c r="E10" s="32" t="s">
        <v>61</v>
      </c>
      <c r="F10" s="32"/>
      <c r="G10" s="36" t="s">
        <v>29</v>
      </c>
      <c r="H10" s="23"/>
      <c r="I10" s="32" t="s">
        <v>30</v>
      </c>
      <c r="J10" s="32" t="s">
        <v>64</v>
      </c>
      <c r="K10" s="37" t="s">
        <v>65</v>
      </c>
      <c r="L10" s="32" t="s">
        <v>31</v>
      </c>
      <c r="M10" s="18" t="s">
        <v>41</v>
      </c>
      <c r="N10" s="32" t="s">
        <v>31</v>
      </c>
      <c r="O10" s="34" t="s">
        <v>25</v>
      </c>
      <c r="P10" s="32" t="s">
        <v>67</v>
      </c>
      <c r="Q10" s="32" t="s">
        <v>69</v>
      </c>
      <c r="R10" s="32" t="s">
        <v>24</v>
      </c>
      <c r="S10" s="34" t="s">
        <v>43</v>
      </c>
      <c r="T10" s="32" t="s">
        <v>33</v>
      </c>
      <c r="U10" s="32" t="s">
        <v>36</v>
      </c>
      <c r="V10" s="32" t="s">
        <v>32</v>
      </c>
      <c r="W10" s="32"/>
      <c r="X10" s="32" t="s">
        <v>35</v>
      </c>
      <c r="Y10" s="32" t="s">
        <v>35</v>
      </c>
      <c r="Z10" s="32" t="s">
        <v>36</v>
      </c>
      <c r="AA10" s="32" t="s">
        <v>37</v>
      </c>
      <c r="AB10" s="32" t="s">
        <v>37</v>
      </c>
      <c r="AC10" s="32" t="s">
        <v>45</v>
      </c>
      <c r="AD10" s="34" t="s">
        <v>4</v>
      </c>
      <c r="AE10" s="34" t="s">
        <v>46</v>
      </c>
      <c r="AF10" s="34" t="s">
        <v>47</v>
      </c>
      <c r="AG10" s="34" t="s">
        <v>15</v>
      </c>
      <c r="AH10" s="34" t="s">
        <v>20</v>
      </c>
      <c r="BW10" s="18">
        <v>2</v>
      </c>
      <c r="BX10" s="18" t="s">
        <v>48</v>
      </c>
    </row>
    <row r="11" spans="1:29" ht="11.25">
      <c r="A11" s="32" t="s">
        <v>187</v>
      </c>
      <c r="B11" s="38" t="s">
        <v>53</v>
      </c>
      <c r="C11" s="38" t="s">
        <v>62</v>
      </c>
      <c r="D11" s="39" t="s">
        <v>63</v>
      </c>
      <c r="E11" s="38" t="s">
        <v>24</v>
      </c>
      <c r="F11" s="38" t="s">
        <v>39</v>
      </c>
      <c r="G11" s="40" t="s">
        <v>34</v>
      </c>
      <c r="H11" s="23" t="s">
        <v>49</v>
      </c>
      <c r="I11" s="38" t="s">
        <v>40</v>
      </c>
      <c r="J11" s="38" t="s">
        <v>66</v>
      </c>
      <c r="K11" s="41" t="s">
        <v>67</v>
      </c>
      <c r="L11" s="38" t="s">
        <v>42</v>
      </c>
      <c r="M11" s="42" t="s">
        <v>49</v>
      </c>
      <c r="N11" s="38" t="s">
        <v>42</v>
      </c>
      <c r="O11" s="42" t="s">
        <v>49</v>
      </c>
      <c r="P11" s="38" t="s">
        <v>42</v>
      </c>
      <c r="Q11" s="38" t="s">
        <v>67</v>
      </c>
      <c r="R11" s="38" t="s">
        <v>67</v>
      </c>
      <c r="S11" s="42" t="s">
        <v>49</v>
      </c>
      <c r="T11" s="32" t="s">
        <v>44</v>
      </c>
      <c r="U11" s="38" t="s">
        <v>49</v>
      </c>
      <c r="V11" s="32" t="s">
        <v>37</v>
      </c>
      <c r="W11" s="32"/>
      <c r="X11" s="43">
        <f>AE1</f>
        <v>42005</v>
      </c>
      <c r="Y11" s="43">
        <f>+D3</f>
        <v>42369</v>
      </c>
      <c r="Z11" s="32" t="s">
        <v>34</v>
      </c>
      <c r="AA11" s="44">
        <f>+X11</f>
        <v>42005</v>
      </c>
      <c r="AB11" s="44">
        <f>+D3</f>
        <v>42369</v>
      </c>
      <c r="AC11" s="44">
        <f>AB11</f>
        <v>42369</v>
      </c>
    </row>
    <row r="12" spans="2:34" ht="11.25">
      <c r="B12" s="34"/>
      <c r="C12" s="34"/>
      <c r="D12" s="45" t="s">
        <v>110</v>
      </c>
      <c r="E12" s="46">
        <v>2001</v>
      </c>
      <c r="F12" s="46">
        <v>11</v>
      </c>
      <c r="G12" s="47">
        <v>0</v>
      </c>
      <c r="H12" s="23"/>
      <c r="I12" s="34" t="s">
        <v>52</v>
      </c>
      <c r="J12" s="34">
        <v>5</v>
      </c>
      <c r="K12" s="33">
        <f>E12+J12</f>
        <v>2006</v>
      </c>
      <c r="N12" s="48">
        <v>18734.91</v>
      </c>
      <c r="O12" s="49"/>
      <c r="P12" s="48">
        <f>N12-N12*G12</f>
        <v>18734.91</v>
      </c>
      <c r="Q12" s="48">
        <f>P12/J12/12</f>
        <v>312.2485</v>
      </c>
      <c r="R12" s="48">
        <f>IF(O12&gt;0,0,IF(OR(AD12&gt;AE12,AF12&lt;AG12),0,IF(AND(AF12&gt;=AG12,AF12&lt;=AE12),Q12*((AF12-AG12)*12),IF(AND(AG12&lt;=AD12,AE12&gt;=AD12),((AE12-AD12)*12)*Q12,IF(AF12&gt;AE12,12*Q12,0)))))</f>
        <v>0</v>
      </c>
      <c r="S12" s="48">
        <f>IF(O12=0,0,IF(AND(AH12&gt;=AG12,AH12&lt;=AF12),((AH12-AG12)*12)*Q12,0))</f>
        <v>0</v>
      </c>
      <c r="T12" s="48">
        <f>IF(S12&gt;0,S12,R12)</f>
        <v>0</v>
      </c>
      <c r="U12" s="48">
        <v>1</v>
      </c>
      <c r="V12" s="48">
        <f>U12*SUM(R12:S12)</f>
        <v>0</v>
      </c>
      <c r="W12" s="48"/>
      <c r="X12" s="48">
        <f>IF(AD12&gt;AE12,0,IF(AF12&lt;AG12,P12,IF(AND(AF12&gt;=AG12,AF12&lt;=AE12),(P12-T12),IF(AND(AG12&lt;=AD12,AE12&gt;=AD12),0,IF(AF12&gt;AE12,((AG12-AD12)*12)*Q12,0)))))</f>
        <v>18734.91</v>
      </c>
      <c r="Y12" s="48">
        <f>X12*U12</f>
        <v>18734.91</v>
      </c>
      <c r="Z12" s="48">
        <v>1</v>
      </c>
      <c r="AA12" s="48">
        <f>Y12*Z12</f>
        <v>18734.91</v>
      </c>
      <c r="AB12" s="48">
        <f>IF(O12&gt;0,0,AA12+V12*Z12)*Z12</f>
        <v>18734.91</v>
      </c>
      <c r="AC12" s="48">
        <f>IF(O12&gt;0,(N12-AA12)/2,IF(AD12&gt;=AG12,(((N12*U12)*Z12)-AB12)/2,((((N12*U12)*Z12)-AA12)+(((N12*U12)*Z12)-AB12))/2))</f>
        <v>0</v>
      </c>
      <c r="AD12" s="23">
        <f aca="true" t="shared" si="0" ref="AD12:AD21">$E12+(($F12-1)/12)</f>
        <v>2001.8333333333333</v>
      </c>
      <c r="AE12" s="23">
        <f aca="true" t="shared" si="1" ref="AE12:AE21">($P$5+1)-($P$2/12)</f>
        <v>2016</v>
      </c>
      <c r="AF12" s="23">
        <f aca="true" t="shared" si="2" ref="AF12:AF21">$K12+(($F12-1)/12)</f>
        <v>2006.8333333333333</v>
      </c>
      <c r="AG12" s="23">
        <f aca="true" t="shared" si="3" ref="AG12:AG21">$P$4+($P$3/12)</f>
        <v>2015</v>
      </c>
      <c r="AH12" s="23">
        <f aca="true" t="shared" si="4" ref="AH12:AH21">$L12+(($M12-1)/12)</f>
        <v>-0.08333333333333333</v>
      </c>
    </row>
    <row r="13" spans="2:34" ht="11.25">
      <c r="B13" s="34"/>
      <c r="C13" s="34"/>
      <c r="D13" s="45" t="s">
        <v>112</v>
      </c>
      <c r="E13" s="46">
        <v>2002</v>
      </c>
      <c r="F13" s="46">
        <v>12</v>
      </c>
      <c r="G13" s="47">
        <v>0</v>
      </c>
      <c r="H13" s="23"/>
      <c r="I13" s="50" t="s">
        <v>52</v>
      </c>
      <c r="J13" s="34">
        <v>3</v>
      </c>
      <c r="K13" s="33">
        <f>E13+J13</f>
        <v>2005</v>
      </c>
      <c r="N13" s="48">
        <v>6004.28</v>
      </c>
      <c r="O13" s="49"/>
      <c r="P13" s="48">
        <f>N13-N13*G13</f>
        <v>6004.28</v>
      </c>
      <c r="Q13" s="48">
        <f>P13/J13/12</f>
        <v>166.78555555555553</v>
      </c>
      <c r="R13" s="48">
        <f>IF(O13&gt;0,0,IF(OR(AD13&gt;AE13,AF13&lt;AG13),0,IF(AND(AF13&gt;=AG13,AF13&lt;=AE13),Q13*((AF13-AG13)*12),IF(AND(AG13&lt;=AD13,AE13&gt;=AD13),((AE13-AD13)*12)*Q13,IF(AF13&gt;AE13,12*Q13,0)))))</f>
        <v>0</v>
      </c>
      <c r="S13" s="48">
        <f>IF(O13=0,0,IF(AND(AH13&gt;=AG13,AH13&lt;=AF13),((AH13-AG13)*12)*Q13,0))</f>
        <v>0</v>
      </c>
      <c r="T13" s="48">
        <f>IF(S13&gt;0,S13,R13)</f>
        <v>0</v>
      </c>
      <c r="U13" s="48">
        <v>1</v>
      </c>
      <c r="V13" s="48">
        <f>U13*SUM(R13:S13)</f>
        <v>0</v>
      </c>
      <c r="W13" s="48"/>
      <c r="X13" s="48">
        <f>IF(AD13&gt;AE13,0,IF(AF13&lt;AG13,P13,IF(AND(AF13&gt;=AG13,AF13&lt;=AE13),(P13-T13),IF(AND(AG13&lt;=AD13,AE13&gt;=AD13),0,IF(AF13&gt;AE13,((AG13-AD13)*12)*Q13,0)))))</f>
        <v>6004.28</v>
      </c>
      <c r="Y13" s="48">
        <f>X13*U13</f>
        <v>6004.28</v>
      </c>
      <c r="Z13" s="48">
        <v>1</v>
      </c>
      <c r="AA13" s="48">
        <f>Y13*Z13</f>
        <v>6004.28</v>
      </c>
      <c r="AB13" s="48">
        <f>IF(O13&gt;0,0,AA13+V13*Z13)*Z13</f>
        <v>6004.28</v>
      </c>
      <c r="AC13" s="48">
        <f>IF(O13&gt;0,(N13-AA13)/2,IF(AD13&gt;=AG13,(((N13*U13)*Z13)-AB13)/2,((((N13*U13)*Z13)-AA13)+(((N13*U13)*Z13)-AB13))/2))</f>
        <v>0</v>
      </c>
      <c r="AD13" s="23">
        <f t="shared" si="0"/>
        <v>2002.9166666666667</v>
      </c>
      <c r="AE13" s="23">
        <f t="shared" si="1"/>
        <v>2016</v>
      </c>
      <c r="AF13" s="23">
        <f t="shared" si="2"/>
        <v>2005.9166666666667</v>
      </c>
      <c r="AG13" s="23">
        <f t="shared" si="3"/>
        <v>2015</v>
      </c>
      <c r="AH13" s="23">
        <f t="shared" si="4"/>
        <v>-0.08333333333333333</v>
      </c>
    </row>
    <row r="14" spans="2:34" ht="11.25">
      <c r="B14" s="34"/>
      <c r="C14" s="34"/>
      <c r="D14" s="45" t="s">
        <v>114</v>
      </c>
      <c r="E14" s="46">
        <v>2005</v>
      </c>
      <c r="F14" s="46">
        <v>8</v>
      </c>
      <c r="G14" s="47"/>
      <c r="I14" s="34" t="s">
        <v>52</v>
      </c>
      <c r="J14" s="34">
        <v>7</v>
      </c>
      <c r="K14" s="33">
        <f>E14+J14</f>
        <v>2012</v>
      </c>
      <c r="N14" s="48">
        <v>9411.55</v>
      </c>
      <c r="O14" s="49"/>
      <c r="P14" s="48">
        <f>N14-N14*G14</f>
        <v>9411.55</v>
      </c>
      <c r="Q14" s="48">
        <f>P14/J14/12</f>
        <v>112.0422619047619</v>
      </c>
      <c r="R14" s="48">
        <f>IF(O14&gt;0,0,IF(OR(AD14&gt;AE14,AF14&lt;AG14),0,IF(AND(AF14&gt;=AG14,AF14&lt;=AE14),Q14*((AF14-AG14)*12),IF(AND(AG14&lt;=AD14,AE14&gt;=AD14),((AE14-AD14)*12)*Q14,IF(AF14&gt;AE14,12*Q14,0)))))</f>
        <v>0</v>
      </c>
      <c r="S14" s="48">
        <f>IF(O14=0,0,IF(AND(AH14&gt;=AG14,AH14&lt;=AF14),((AH14-AG14)*12)*Q14,0))</f>
        <v>0</v>
      </c>
      <c r="T14" s="48">
        <f>IF(S14&gt;0,S14,R14)</f>
        <v>0</v>
      </c>
      <c r="U14" s="48">
        <v>1</v>
      </c>
      <c r="V14" s="48">
        <f>U14*SUM(R14:S14)</f>
        <v>0</v>
      </c>
      <c r="W14" s="48"/>
      <c r="X14" s="48">
        <f>IF(AD14&gt;AE14,0,IF(AF14&lt;AG14,P14,IF(AND(AF14&gt;=AG14,AF14&lt;=AE14),(P14-T14),IF(AND(AG14&lt;=AD14,AE14&gt;=AD14),0,IF(AF14&gt;AE14,((AG14-AD14)*12)*Q14,0)))))</f>
        <v>9411.55</v>
      </c>
      <c r="Y14" s="48">
        <f>X14*U14</f>
        <v>9411.55</v>
      </c>
      <c r="Z14" s="48">
        <v>1</v>
      </c>
      <c r="AA14" s="48">
        <f>Y14*Z14</f>
        <v>9411.55</v>
      </c>
      <c r="AB14" s="48">
        <f>IF(O14&gt;0,0,AA14+V14*Z14)*Z14</f>
        <v>9411.55</v>
      </c>
      <c r="AC14" s="48">
        <f>IF(O14&gt;0,(N14-AA14)/2,IF(AD14&gt;=AG14,(((N14*U14)*Z14)-AB14)/2,((((N14*U14)*Z14)-AA14)+(((N14*U14)*Z14)-AB14))/2))</f>
        <v>0</v>
      </c>
      <c r="AD14" s="23">
        <f t="shared" si="0"/>
        <v>2005.5833333333333</v>
      </c>
      <c r="AE14" s="23">
        <f t="shared" si="1"/>
        <v>2016</v>
      </c>
      <c r="AF14" s="23">
        <f t="shared" si="2"/>
        <v>2012.5833333333333</v>
      </c>
      <c r="AG14" s="23">
        <f t="shared" si="3"/>
        <v>2015</v>
      </c>
      <c r="AH14" s="23">
        <f t="shared" si="4"/>
        <v>-0.08333333333333333</v>
      </c>
    </row>
    <row r="15" spans="1:34" ht="11.25">
      <c r="A15" s="18">
        <v>53799</v>
      </c>
      <c r="B15" s="34" t="s">
        <v>54</v>
      </c>
      <c r="C15" s="32">
        <v>616</v>
      </c>
      <c r="D15" s="51" t="s">
        <v>174</v>
      </c>
      <c r="E15" s="46">
        <v>2007</v>
      </c>
      <c r="F15" s="46">
        <v>12</v>
      </c>
      <c r="G15" s="47">
        <v>0.2</v>
      </c>
      <c r="I15" s="34" t="s">
        <v>52</v>
      </c>
      <c r="J15" s="34">
        <v>7</v>
      </c>
      <c r="K15" s="33">
        <f aca="true" t="shared" si="5" ref="K15:K21">E15+J15</f>
        <v>2014</v>
      </c>
      <c r="N15" s="48">
        <v>138814.73</v>
      </c>
      <c r="O15" s="49"/>
      <c r="P15" s="48">
        <f aca="true" t="shared" si="6" ref="P15:P21">N15-N15*G15</f>
        <v>111051.78400000001</v>
      </c>
      <c r="Q15" s="48">
        <f aca="true" t="shared" si="7" ref="Q15:Q21">P15/J15/12</f>
        <v>1322.0450476190479</v>
      </c>
      <c r="R15" s="48">
        <f aca="true" t="shared" si="8" ref="R15:R20">IF(O15&gt;0,0,IF(OR(AD15&gt;AE15,AF15&lt;AG15),0,IF(AND(AF15&gt;=AG15,AF15&lt;=AE15),Q15*((AF15-AG15)*12),IF(AND(AG15&lt;=AD15,AE15&gt;=AD15),((AE15-AD15)*12)*Q15,IF(AF15&gt;AE15,12*Q15,0)))))</f>
        <v>0</v>
      </c>
      <c r="S15" s="48">
        <f aca="true" t="shared" si="9" ref="S15:S20">IF(O15=0,0,IF(AND(AH15&gt;=AG15,AH15&lt;=AF15),((AH15-AG15)*12)*Q15,0))</f>
        <v>0</v>
      </c>
      <c r="T15" s="48">
        <f aca="true" t="shared" si="10" ref="T15:T20">IF(S15&gt;0,S15,R15)</f>
        <v>0</v>
      </c>
      <c r="U15" s="48">
        <v>1</v>
      </c>
      <c r="V15" s="48">
        <f aca="true" t="shared" si="11" ref="V15:V20">U15*SUM(R15:S15)</f>
        <v>0</v>
      </c>
      <c r="W15" s="48"/>
      <c r="X15" s="48">
        <f aca="true" t="shared" si="12" ref="X15:X20">IF(AD15&gt;AE15,0,IF(AF15&lt;AG15,P15,IF(AND(AF15&gt;=AG15,AF15&lt;=AE15),(P15-T15),IF(AND(AG15&lt;=AD15,AE15&gt;=AD15),0,IF(AF15&gt;AE15,((AG15-AD15)*12)*Q15,0)))))</f>
        <v>111051.78400000001</v>
      </c>
      <c r="Y15" s="48">
        <f aca="true" t="shared" si="13" ref="Y15:Y20">X15*U15</f>
        <v>111051.78400000001</v>
      </c>
      <c r="Z15" s="48">
        <v>1</v>
      </c>
      <c r="AA15" s="48">
        <f aca="true" t="shared" si="14" ref="AA15:AA20">Y15*Z15</f>
        <v>111051.78400000001</v>
      </c>
      <c r="AB15" s="48">
        <f aca="true" t="shared" si="15" ref="AB15:AB20">IF(O15&gt;0,0,AA15+V15*Z15)*Z15</f>
        <v>111051.78400000001</v>
      </c>
      <c r="AC15" s="48">
        <f aca="true" t="shared" si="16" ref="AC15:AC20">IF(O15&gt;0,(N15-AA15)/2,IF(AD15&gt;=AG15,(((N15*U15)*Z15)-AB15)/2,((((N15*U15)*Z15)-AA15)+(((N15*U15)*Z15)-AB15))/2))</f>
        <v>27762.945999999996</v>
      </c>
      <c r="AD15" s="23">
        <f t="shared" si="0"/>
        <v>2007.9166666666667</v>
      </c>
      <c r="AE15" s="23">
        <f t="shared" si="1"/>
        <v>2016</v>
      </c>
      <c r="AF15" s="23">
        <f t="shared" si="2"/>
        <v>2014.9166666666667</v>
      </c>
      <c r="AG15" s="23">
        <f t="shared" si="3"/>
        <v>2015</v>
      </c>
      <c r="AH15" s="23">
        <f t="shared" si="4"/>
        <v>-0.08333333333333333</v>
      </c>
    </row>
    <row r="16" spans="2:34" ht="11.25">
      <c r="B16" s="34" t="s">
        <v>57</v>
      </c>
      <c r="C16" s="32"/>
      <c r="D16" s="45" t="s">
        <v>173</v>
      </c>
      <c r="E16" s="46">
        <v>2008</v>
      </c>
      <c r="F16" s="46">
        <v>4</v>
      </c>
      <c r="G16" s="47">
        <v>0.2</v>
      </c>
      <c r="I16" s="34" t="s">
        <v>52</v>
      </c>
      <c r="J16" s="46">
        <v>5</v>
      </c>
      <c r="K16" s="33">
        <f t="shared" si="5"/>
        <v>2013</v>
      </c>
      <c r="N16" s="48">
        <f>545.43*14</f>
        <v>7636.0199999999995</v>
      </c>
      <c r="O16" s="49"/>
      <c r="P16" s="48">
        <f t="shared" si="6"/>
        <v>6108.816</v>
      </c>
      <c r="Q16" s="48">
        <f t="shared" si="7"/>
        <v>101.8136</v>
      </c>
      <c r="R16" s="48">
        <f t="shared" si="8"/>
        <v>0</v>
      </c>
      <c r="S16" s="48">
        <f t="shared" si="9"/>
        <v>0</v>
      </c>
      <c r="T16" s="48">
        <f t="shared" si="10"/>
        <v>0</v>
      </c>
      <c r="U16" s="48">
        <v>1</v>
      </c>
      <c r="V16" s="48">
        <f t="shared" si="11"/>
        <v>0</v>
      </c>
      <c r="W16" s="48"/>
      <c r="X16" s="48">
        <f t="shared" si="12"/>
        <v>6108.816</v>
      </c>
      <c r="Y16" s="48">
        <f t="shared" si="13"/>
        <v>6108.816</v>
      </c>
      <c r="Z16" s="48">
        <v>1</v>
      </c>
      <c r="AA16" s="48">
        <f t="shared" si="14"/>
        <v>6108.816</v>
      </c>
      <c r="AB16" s="48">
        <f t="shared" si="15"/>
        <v>6108.816</v>
      </c>
      <c r="AC16" s="48">
        <f t="shared" si="16"/>
        <v>1527.2039999999997</v>
      </c>
      <c r="AD16" s="23">
        <f>$E16+(($F16-1)/12)</f>
        <v>2008.25</v>
      </c>
      <c r="AE16" s="23">
        <f t="shared" si="1"/>
        <v>2016</v>
      </c>
      <c r="AF16" s="23">
        <f>$K16+(($F16-1)/12)</f>
        <v>2013.25</v>
      </c>
      <c r="AG16" s="23">
        <f t="shared" si="3"/>
        <v>2015</v>
      </c>
      <c r="AH16" s="23">
        <f>$L16+(($M16-1)/12)</f>
        <v>-0.08333333333333333</v>
      </c>
    </row>
    <row r="17" spans="1:34" ht="11.25">
      <c r="A17" s="18">
        <v>59664</v>
      </c>
      <c r="B17" s="34" t="s">
        <v>55</v>
      </c>
      <c r="C17" s="32">
        <v>906</v>
      </c>
      <c r="D17" s="45" t="s">
        <v>178</v>
      </c>
      <c r="E17" s="46">
        <v>2008</v>
      </c>
      <c r="F17" s="46">
        <v>10</v>
      </c>
      <c r="G17" s="47">
        <v>0.2</v>
      </c>
      <c r="I17" s="34" t="s">
        <v>52</v>
      </c>
      <c r="J17" s="34">
        <v>7</v>
      </c>
      <c r="K17" s="33">
        <f t="shared" si="5"/>
        <v>2015</v>
      </c>
      <c r="N17" s="48">
        <f>113448.07+132585.75+3070.3+191.1</f>
        <v>249295.22</v>
      </c>
      <c r="O17" s="49"/>
      <c r="P17" s="48">
        <f t="shared" si="6"/>
        <v>199436.176</v>
      </c>
      <c r="Q17" s="48">
        <f t="shared" si="7"/>
        <v>2374.2401904761905</v>
      </c>
      <c r="R17" s="48">
        <f t="shared" si="8"/>
        <v>21368.161714285714</v>
      </c>
      <c r="S17" s="48">
        <f t="shared" si="9"/>
        <v>0</v>
      </c>
      <c r="T17" s="48">
        <f t="shared" si="10"/>
        <v>21368.161714285714</v>
      </c>
      <c r="U17" s="48">
        <v>1</v>
      </c>
      <c r="V17" s="48">
        <f t="shared" si="11"/>
        <v>21368.161714285714</v>
      </c>
      <c r="W17" s="48"/>
      <c r="X17" s="48">
        <f t="shared" si="12"/>
        <v>178068.0142857143</v>
      </c>
      <c r="Y17" s="48">
        <f t="shared" si="13"/>
        <v>178068.0142857143</v>
      </c>
      <c r="Z17" s="48">
        <v>1</v>
      </c>
      <c r="AA17" s="48">
        <f t="shared" si="14"/>
        <v>178068.0142857143</v>
      </c>
      <c r="AB17" s="48">
        <f t="shared" si="15"/>
        <v>199436.17600000004</v>
      </c>
      <c r="AC17" s="48">
        <f t="shared" si="16"/>
        <v>60543.12485714283</v>
      </c>
      <c r="AD17" s="23">
        <f t="shared" si="0"/>
        <v>2008.75</v>
      </c>
      <c r="AE17" s="23">
        <f t="shared" si="1"/>
        <v>2016</v>
      </c>
      <c r="AF17" s="23">
        <f t="shared" si="2"/>
        <v>2015.75</v>
      </c>
      <c r="AG17" s="23">
        <f t="shared" si="3"/>
        <v>2015</v>
      </c>
      <c r="AH17" s="23">
        <f t="shared" si="4"/>
        <v>-0.08333333333333333</v>
      </c>
    </row>
    <row r="18" spans="1:34" ht="11.25">
      <c r="A18" s="18">
        <v>65003</v>
      </c>
      <c r="B18" s="34" t="s">
        <v>54</v>
      </c>
      <c r="C18" s="32">
        <v>623</v>
      </c>
      <c r="D18" s="45" t="s">
        <v>176</v>
      </c>
      <c r="E18" s="46">
        <v>2009</v>
      </c>
      <c r="F18" s="46">
        <v>6</v>
      </c>
      <c r="G18" s="47">
        <v>0.2</v>
      </c>
      <c r="I18" s="34" t="s">
        <v>52</v>
      </c>
      <c r="J18" s="34">
        <v>7</v>
      </c>
      <c r="K18" s="33">
        <f t="shared" si="5"/>
        <v>2016</v>
      </c>
      <c r="N18" s="48">
        <v>192679.89</v>
      </c>
      <c r="O18" s="49"/>
      <c r="P18" s="48">
        <f t="shared" si="6"/>
        <v>154143.912</v>
      </c>
      <c r="Q18" s="48">
        <f t="shared" si="7"/>
        <v>1835.0465714285717</v>
      </c>
      <c r="R18" s="48">
        <f t="shared" si="8"/>
        <v>22020.55885714286</v>
      </c>
      <c r="S18" s="48">
        <f t="shared" si="9"/>
        <v>0</v>
      </c>
      <c r="T18" s="48">
        <f t="shared" si="10"/>
        <v>22020.55885714286</v>
      </c>
      <c r="U18" s="48">
        <v>1</v>
      </c>
      <c r="V18" s="48">
        <f t="shared" si="11"/>
        <v>22020.55885714286</v>
      </c>
      <c r="W18" s="48"/>
      <c r="X18" s="48">
        <f t="shared" si="12"/>
        <v>122948.12028571263</v>
      </c>
      <c r="Y18" s="48">
        <f t="shared" si="13"/>
        <v>122948.12028571263</v>
      </c>
      <c r="Z18" s="48">
        <v>1</v>
      </c>
      <c r="AA18" s="48">
        <f t="shared" si="14"/>
        <v>122948.12028571263</v>
      </c>
      <c r="AB18" s="48">
        <f t="shared" si="15"/>
        <v>144968.6791428555</v>
      </c>
      <c r="AC18" s="48">
        <f t="shared" si="16"/>
        <v>58721.490285715954</v>
      </c>
      <c r="AD18" s="23">
        <f t="shared" si="0"/>
        <v>2009.4166666666667</v>
      </c>
      <c r="AE18" s="23">
        <f t="shared" si="1"/>
        <v>2016</v>
      </c>
      <c r="AF18" s="23">
        <f t="shared" si="2"/>
        <v>2016.4166666666667</v>
      </c>
      <c r="AG18" s="23">
        <f t="shared" si="3"/>
        <v>2015</v>
      </c>
      <c r="AH18" s="23">
        <f t="shared" si="4"/>
        <v>-0.08333333333333333</v>
      </c>
    </row>
    <row r="19" spans="1:34" ht="11.25">
      <c r="A19" s="18">
        <v>98299</v>
      </c>
      <c r="B19" s="34" t="s">
        <v>54</v>
      </c>
      <c r="C19" s="32">
        <v>628</v>
      </c>
      <c r="D19" s="45" t="s">
        <v>183</v>
      </c>
      <c r="E19" s="46">
        <v>2012</v>
      </c>
      <c r="F19" s="46">
        <v>9</v>
      </c>
      <c r="G19" s="47">
        <v>0.2</v>
      </c>
      <c r="I19" s="34" t="s">
        <v>52</v>
      </c>
      <c r="J19" s="34">
        <v>7</v>
      </c>
      <c r="K19" s="33">
        <f t="shared" si="5"/>
        <v>2019</v>
      </c>
      <c r="N19" s="48">
        <v>249752</v>
      </c>
      <c r="O19" s="49"/>
      <c r="P19" s="48">
        <f t="shared" si="6"/>
        <v>199801.6</v>
      </c>
      <c r="Q19" s="48">
        <f t="shared" si="7"/>
        <v>2378.5904761904762</v>
      </c>
      <c r="R19" s="48">
        <f t="shared" si="8"/>
        <v>28543.085714285713</v>
      </c>
      <c r="S19" s="48">
        <f t="shared" si="9"/>
        <v>0</v>
      </c>
      <c r="T19" s="48">
        <f t="shared" si="10"/>
        <v>28543.085714285713</v>
      </c>
      <c r="U19" s="48">
        <v>1</v>
      </c>
      <c r="V19" s="48">
        <f t="shared" si="11"/>
        <v>28543.085714285713</v>
      </c>
      <c r="W19" s="48"/>
      <c r="X19" s="48">
        <f t="shared" si="12"/>
        <v>66600.53333333117</v>
      </c>
      <c r="Y19" s="48">
        <f t="shared" si="13"/>
        <v>66600.53333333117</v>
      </c>
      <c r="Z19" s="48">
        <v>1</v>
      </c>
      <c r="AA19" s="48">
        <f t="shared" si="14"/>
        <v>66600.53333333117</v>
      </c>
      <c r="AB19" s="48">
        <f t="shared" si="15"/>
        <v>95143.61904761688</v>
      </c>
      <c r="AC19" s="48">
        <f t="shared" si="16"/>
        <v>168879.92380952596</v>
      </c>
      <c r="AD19" s="23">
        <f t="shared" si="0"/>
        <v>2012.6666666666667</v>
      </c>
      <c r="AE19" s="23">
        <f t="shared" si="1"/>
        <v>2016</v>
      </c>
      <c r="AF19" s="23">
        <f t="shared" si="2"/>
        <v>2019.6666666666667</v>
      </c>
      <c r="AG19" s="23">
        <f t="shared" si="3"/>
        <v>2015</v>
      </c>
      <c r="AH19" s="23">
        <f t="shared" si="4"/>
        <v>-0.08333333333333333</v>
      </c>
    </row>
    <row r="20" spans="1:34" ht="11.25">
      <c r="A20" s="18">
        <v>102219</v>
      </c>
      <c r="B20" s="34" t="s">
        <v>54</v>
      </c>
      <c r="C20" s="32">
        <v>629</v>
      </c>
      <c r="D20" s="45" t="s">
        <v>183</v>
      </c>
      <c r="E20" s="46">
        <v>2012</v>
      </c>
      <c r="F20" s="46">
        <v>12</v>
      </c>
      <c r="G20" s="47">
        <v>0.2</v>
      </c>
      <c r="I20" s="34" t="s">
        <v>52</v>
      </c>
      <c r="J20" s="34">
        <v>7</v>
      </c>
      <c r="K20" s="33">
        <f t="shared" si="5"/>
        <v>2019</v>
      </c>
      <c r="N20" s="48">
        <v>249953</v>
      </c>
      <c r="O20" s="49"/>
      <c r="P20" s="48">
        <f t="shared" si="6"/>
        <v>199962.4</v>
      </c>
      <c r="Q20" s="48">
        <f t="shared" si="7"/>
        <v>2380.504761904762</v>
      </c>
      <c r="R20" s="48">
        <f t="shared" si="8"/>
        <v>28566.057142857142</v>
      </c>
      <c r="S20" s="48">
        <f t="shared" si="9"/>
        <v>0</v>
      </c>
      <c r="T20" s="48">
        <f t="shared" si="10"/>
        <v>28566.057142857142</v>
      </c>
      <c r="U20" s="48">
        <v>1</v>
      </c>
      <c r="V20" s="48">
        <f t="shared" si="11"/>
        <v>28566.057142857142</v>
      </c>
      <c r="W20" s="48"/>
      <c r="X20" s="48">
        <f t="shared" si="12"/>
        <v>59512.61904761688</v>
      </c>
      <c r="Y20" s="48">
        <f t="shared" si="13"/>
        <v>59512.61904761688</v>
      </c>
      <c r="Z20" s="48">
        <v>1</v>
      </c>
      <c r="AA20" s="48">
        <f t="shared" si="14"/>
        <v>59512.61904761688</v>
      </c>
      <c r="AB20" s="48">
        <f t="shared" si="15"/>
        <v>88078.67619047401</v>
      </c>
      <c r="AC20" s="48">
        <f t="shared" si="16"/>
        <v>176157.35238095454</v>
      </c>
      <c r="AD20" s="23">
        <f t="shared" si="0"/>
        <v>2012.9166666666667</v>
      </c>
      <c r="AE20" s="23">
        <f t="shared" si="1"/>
        <v>2016</v>
      </c>
      <c r="AF20" s="23">
        <f t="shared" si="2"/>
        <v>2019.9166666666667</v>
      </c>
      <c r="AG20" s="23">
        <f t="shared" si="3"/>
        <v>2015</v>
      </c>
      <c r="AH20" s="23">
        <f t="shared" si="4"/>
        <v>-0.08333333333333333</v>
      </c>
    </row>
    <row r="21" spans="1:34" ht="11.25">
      <c r="A21" s="18">
        <v>109512</v>
      </c>
      <c r="B21" s="34" t="s">
        <v>55</v>
      </c>
      <c r="C21" s="32">
        <v>909</v>
      </c>
      <c r="D21" s="45" t="s">
        <v>204</v>
      </c>
      <c r="E21" s="46">
        <v>2013</v>
      </c>
      <c r="F21" s="46">
        <v>12</v>
      </c>
      <c r="G21" s="47">
        <v>0.2</v>
      </c>
      <c r="I21" s="34" t="s">
        <v>52</v>
      </c>
      <c r="J21" s="34">
        <v>7</v>
      </c>
      <c r="K21" s="33">
        <f t="shared" si="5"/>
        <v>2020</v>
      </c>
      <c r="N21" s="48">
        <v>296076.26</v>
      </c>
      <c r="O21" s="49"/>
      <c r="P21" s="48">
        <f t="shared" si="6"/>
        <v>236861.008</v>
      </c>
      <c r="Q21" s="48">
        <f t="shared" si="7"/>
        <v>2819.7739047619048</v>
      </c>
      <c r="R21" s="48">
        <f>IF(O21&gt;0,0,IF(OR(AD21&gt;AE21,AF21&lt;AG21),0,IF(AND(AF21&gt;=AG21,AF21&lt;=AE21),Q21*((AF21-AG21)*12),IF(AND(AG21&lt;=AD21,AE21&gt;=AD21),((AE21-AD21)*12)*Q21,IF(AF21&gt;AE21,12*Q21,0)))))</f>
        <v>33837.286857142855</v>
      </c>
      <c r="S21" s="48">
        <f>IF(O21=0,0,IF(AND(AH21&gt;=AG21,AH21&lt;=AF21),((AH21-AG21)*12)*Q21,0))</f>
        <v>0</v>
      </c>
      <c r="T21" s="48">
        <f>IF(S21&gt;0,S21,R21)</f>
        <v>33837.286857142855</v>
      </c>
      <c r="U21" s="48">
        <v>1</v>
      </c>
      <c r="V21" s="48">
        <f>U21*SUM(R21:S21)</f>
        <v>33837.286857142855</v>
      </c>
      <c r="W21" s="48"/>
      <c r="X21" s="48">
        <f>IF(AD21&gt;AE21,0,IF(AF21&lt;AG21,P21,IF(AND(AF21&gt;=AG21,AF21&lt;=AE21),(P21-T21),IF(AND(AG21&lt;=AD21,AE21&gt;=AD21),0,IF(AF21&gt;AE21,((AG21-AD21)*12)*Q21,0)))))</f>
        <v>36657.0607619022</v>
      </c>
      <c r="Y21" s="48">
        <f>X21*U21</f>
        <v>36657.0607619022</v>
      </c>
      <c r="Z21" s="48">
        <v>1</v>
      </c>
      <c r="AA21" s="48">
        <f>Y21*Z21</f>
        <v>36657.0607619022</v>
      </c>
      <c r="AB21" s="48">
        <f>IF(O21&gt;0,0,AA21+V21*Z21)*Z21</f>
        <v>70494.34761904506</v>
      </c>
      <c r="AC21" s="48">
        <f>IF(O21&gt;0,(N21-AA21)/2,IF(AD21&gt;=AG21,(((N21*U21)*Z21)-AB21)/2,((((N21*U21)*Z21)-AA21)+(((N21*U21)*Z21)-AB21))/2))</f>
        <v>242500.55580952638</v>
      </c>
      <c r="AD21" s="23">
        <f t="shared" si="0"/>
        <v>2013.9166666666667</v>
      </c>
      <c r="AE21" s="23">
        <f t="shared" si="1"/>
        <v>2016</v>
      </c>
      <c r="AF21" s="23">
        <f t="shared" si="2"/>
        <v>2020.9166666666667</v>
      </c>
      <c r="AG21" s="23">
        <f t="shared" si="3"/>
        <v>2015</v>
      </c>
      <c r="AH21" s="23">
        <f t="shared" si="4"/>
        <v>-0.08333333333333333</v>
      </c>
    </row>
    <row r="22" spans="2:34" ht="11.25">
      <c r="B22" s="34"/>
      <c r="C22" s="34"/>
      <c r="D22" s="45"/>
      <c r="E22" s="46"/>
      <c r="F22" s="46"/>
      <c r="G22" s="47"/>
      <c r="I22" s="34"/>
      <c r="J22" s="34"/>
      <c r="K22" s="33"/>
      <c r="N22" s="48"/>
      <c r="O22" s="49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23"/>
      <c r="AE22" s="23"/>
      <c r="AF22" s="23"/>
      <c r="AG22" s="23"/>
      <c r="AH22" s="23"/>
    </row>
    <row r="23" spans="1:34" s="52" customFormat="1" ht="12" thickBot="1">
      <c r="A23" s="74"/>
      <c r="B23" s="75"/>
      <c r="C23" s="75"/>
      <c r="D23" s="76" t="s">
        <v>50</v>
      </c>
      <c r="E23" s="77"/>
      <c r="F23" s="77"/>
      <c r="G23" s="77"/>
      <c r="H23" s="74"/>
      <c r="I23" s="75"/>
      <c r="J23" s="75"/>
      <c r="K23" s="78"/>
      <c r="L23" s="74"/>
      <c r="M23" s="74"/>
      <c r="N23" s="79">
        <f>SUM(N12:N22)</f>
        <v>1418357.86</v>
      </c>
      <c r="O23" s="80"/>
      <c r="P23" s="79">
        <f>SUM(P12:P22)</f>
        <v>1141516.436</v>
      </c>
      <c r="Q23" s="79">
        <f>SUM(Q12:Q22)</f>
        <v>13803.090869841271</v>
      </c>
      <c r="R23" s="79">
        <f>SUM(R12:R22)</f>
        <v>134335.1502857143</v>
      </c>
      <c r="S23" s="79"/>
      <c r="T23" s="79">
        <f>IF(S23&gt;0,S23,R23)</f>
        <v>134335.1502857143</v>
      </c>
      <c r="U23" s="79"/>
      <c r="V23" s="79">
        <f>U23*SUM(R23:S23)</f>
        <v>0</v>
      </c>
      <c r="W23" s="79"/>
      <c r="X23" s="79">
        <f>IF(AD23&gt;AE23,0,IF(AF23&lt;AG23,P23,IF(AND(AF23&gt;=AG23,AF23&lt;=AE23),(P23-T23),IF(AND(AG23&lt;=AD23,AE23&gt;=AD23),0,IF(AF23&gt;AE23,((AG23-AD23)*12)*Q23,0)))))</f>
        <v>1007181.2857142857</v>
      </c>
      <c r="Y23" s="79">
        <f>X23*U23</f>
        <v>0</v>
      </c>
      <c r="Z23" s="79"/>
      <c r="AA23" s="79">
        <f>SUM(AA12:AA22)</f>
        <v>615097.6877142773</v>
      </c>
      <c r="AB23" s="79">
        <f>SUM(AB12:AB22)</f>
        <v>749432.8379999914</v>
      </c>
      <c r="AC23" s="79">
        <f>SUM(AC12:AC22)</f>
        <v>736092.5971428656</v>
      </c>
      <c r="AD23" s="53"/>
      <c r="AE23" s="53"/>
      <c r="AF23" s="53"/>
      <c r="AG23" s="53"/>
      <c r="AH23" s="53"/>
    </row>
    <row r="24" spans="1:29" ht="11.25">
      <c r="A24" s="66"/>
      <c r="B24" s="67"/>
      <c r="C24" s="67"/>
      <c r="D24" s="68"/>
      <c r="E24" s="69"/>
      <c r="F24" s="69"/>
      <c r="G24" s="69"/>
      <c r="H24" s="66"/>
      <c r="I24" s="67"/>
      <c r="J24" s="67"/>
      <c r="K24" s="70"/>
      <c r="L24" s="66"/>
      <c r="M24" s="66"/>
      <c r="N24" s="71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</row>
    <row r="25" spans="2:29" ht="11.25">
      <c r="B25" s="34"/>
      <c r="C25" s="34"/>
      <c r="D25" s="35" t="s">
        <v>70</v>
      </c>
      <c r="E25" s="46"/>
      <c r="F25" s="46"/>
      <c r="G25" s="46"/>
      <c r="I25" s="34"/>
      <c r="J25" s="34"/>
      <c r="K25" s="33"/>
      <c r="N25" s="48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34" ht="11.25">
      <c r="A26" s="18">
        <v>102100</v>
      </c>
      <c r="B26" s="34" t="s">
        <v>56</v>
      </c>
      <c r="C26" s="32">
        <v>409</v>
      </c>
      <c r="D26" s="45" t="s">
        <v>115</v>
      </c>
      <c r="E26" s="46">
        <v>2004</v>
      </c>
      <c r="F26" s="46">
        <v>4</v>
      </c>
      <c r="G26" s="47">
        <v>0.2</v>
      </c>
      <c r="I26" s="34" t="s">
        <v>52</v>
      </c>
      <c r="J26" s="34">
        <v>7</v>
      </c>
      <c r="K26" s="33">
        <f>E26+J26</f>
        <v>2011</v>
      </c>
      <c r="N26" s="48">
        <v>86998.71</v>
      </c>
      <c r="O26" s="49"/>
      <c r="P26" s="48">
        <f>N26-N26*G26</f>
        <v>69598.96800000001</v>
      </c>
      <c r="Q26" s="48">
        <f>P26/J26/12</f>
        <v>828.5591428571429</v>
      </c>
      <c r="R26" s="48">
        <f>IF(O26&gt;0,0,IF(OR(AD26&gt;AE26,AF26&lt;AG26),0,IF(AND(AF26&gt;=AG26,AF26&lt;=AE26),Q26*((AF26-AG26)*12),IF(AND(AG26&lt;=AD26,AE26&gt;=AD26),((AE26-AD26)*12)*Q26,IF(AF26&gt;AE26,12*Q26,0)))))</f>
        <v>0</v>
      </c>
      <c r="S26" s="48">
        <f>IF(O26=0,0,IF(AND(AH26&gt;=AG26,AH26&lt;=AF26),((AH26-AG26)*12)*Q26,0))</f>
        <v>0</v>
      </c>
      <c r="T26" s="48">
        <f>IF(S26&gt;0,S26,R26)</f>
        <v>0</v>
      </c>
      <c r="U26" s="48">
        <v>1</v>
      </c>
      <c r="V26" s="48">
        <f>U26*SUM(R26:S26)</f>
        <v>0</v>
      </c>
      <c r="W26" s="48"/>
      <c r="X26" s="48">
        <f>IF(AD26&gt;AE26,0,IF(AF26&lt;AG26,P26,IF(AND(AF26&gt;=AG26,AF26&lt;=AE26),(P26-T26),IF(AND(AG26&lt;=AD26,AE26&gt;=AD26),0,IF(AF26&gt;AE26,((AG26-AD26)*12)*Q26,0)))))</f>
        <v>69598.96800000001</v>
      </c>
      <c r="Y26" s="48">
        <f>X26*U26</f>
        <v>69598.96800000001</v>
      </c>
      <c r="Z26" s="48">
        <v>1</v>
      </c>
      <c r="AA26" s="48">
        <f>Y26*Z26</f>
        <v>69598.96800000001</v>
      </c>
      <c r="AB26" s="48">
        <f>IF(O26&gt;0,0,AA26+V26*Z26)*Z26</f>
        <v>69598.96800000001</v>
      </c>
      <c r="AC26" s="48">
        <f>IF(O26&gt;0,(N26-AA26)/2,IF(AD26&gt;=AG26,(((N26*U26)*Z26)-AB26)/2,((((N26*U26)*Z26)-AA26)+(((N26*U26)*Z26)-AB26))/2))</f>
        <v>17399.742</v>
      </c>
      <c r="AD26" s="23">
        <f>$E26+(($F26-1)/12)</f>
        <v>2004.25</v>
      </c>
      <c r="AE26" s="23">
        <f>($P$5+1)-($P$2/12)</f>
        <v>2016</v>
      </c>
      <c r="AF26" s="23">
        <f>$K26+(($F26-1)/12)</f>
        <v>2011.25</v>
      </c>
      <c r="AG26" s="23">
        <f>$P$4+($P$3/12)</f>
        <v>2015</v>
      </c>
      <c r="AH26" s="23">
        <f>$L26+(($M26-1)/12)</f>
        <v>-0.08333333333333333</v>
      </c>
    </row>
    <row r="27" spans="1:34" ht="11.25">
      <c r="A27" s="18">
        <v>102101</v>
      </c>
      <c r="B27" s="34" t="s">
        <v>56</v>
      </c>
      <c r="C27" s="32">
        <v>409</v>
      </c>
      <c r="D27" s="45" t="s">
        <v>116</v>
      </c>
      <c r="E27" s="46">
        <v>2004</v>
      </c>
      <c r="F27" s="46">
        <v>4</v>
      </c>
      <c r="G27" s="47">
        <v>0.2</v>
      </c>
      <c r="I27" s="34" t="s">
        <v>52</v>
      </c>
      <c r="J27" s="34">
        <v>7</v>
      </c>
      <c r="K27" s="33">
        <f>E27+J27</f>
        <v>2011</v>
      </c>
      <c r="N27" s="48">
        <v>32990.49</v>
      </c>
      <c r="O27" s="49"/>
      <c r="P27" s="48">
        <f>N27-N27*G27</f>
        <v>26392.392</v>
      </c>
      <c r="Q27" s="48">
        <f>P27/J27/12</f>
        <v>314.19514285714286</v>
      </c>
      <c r="R27" s="48">
        <f>IF(O27&gt;0,0,IF(OR(AD27&gt;AE27,AF27&lt;AG27),0,IF(AND(AF27&gt;=AG27,AF27&lt;=AE27),Q27*((AF27-AG27)*12),IF(AND(AG27&lt;=AD27,AE27&gt;=AD27),((AE27-AD27)*12)*Q27,IF(AF27&gt;AE27,12*Q27,0)))))</f>
        <v>0</v>
      </c>
      <c r="S27" s="48">
        <f>IF(O27=0,0,IF(AND(AH27&gt;=AG27,AH27&lt;=AF27),((AH27-AG27)*12)*Q27,0))</f>
        <v>0</v>
      </c>
      <c r="T27" s="48">
        <f>IF(S27&gt;0,S27,R27)</f>
        <v>0</v>
      </c>
      <c r="U27" s="48">
        <v>1</v>
      </c>
      <c r="V27" s="48">
        <f>U27*SUM(R27:S27)</f>
        <v>0</v>
      </c>
      <c r="W27" s="48"/>
      <c r="X27" s="48">
        <f>IF(AD27&gt;AE27,0,IF(AF27&lt;AG27,P27,IF(AND(AF27&gt;=AG27,AF27&lt;=AE27),(P27-T27),IF(AND(AG27&lt;=AD27,AE27&gt;=AD27),0,IF(AF27&gt;AE27,((AG27-AD27)*12)*Q27,0)))))</f>
        <v>26392.392</v>
      </c>
      <c r="Y27" s="48">
        <f>X27*U27</f>
        <v>26392.392</v>
      </c>
      <c r="Z27" s="48">
        <v>1</v>
      </c>
      <c r="AA27" s="48">
        <f>Y27*Z27</f>
        <v>26392.392</v>
      </c>
      <c r="AB27" s="48">
        <f>IF(O27&gt;0,0,AA27+V27*Z27)*Z27</f>
        <v>26392.392</v>
      </c>
      <c r="AC27" s="48">
        <f>IF(O27&gt;0,(N27-AA27)/2,IF(AD27&gt;=AG27,(((N27*U27)*Z27)-AB27)/2,((((N27*U27)*Z27)-AA27)+(((N27*U27)*Z27)-AB27))/2))</f>
        <v>6598.097999999998</v>
      </c>
      <c r="AD27" s="23">
        <f>$E27+(($F27-1)/12)</f>
        <v>2004.25</v>
      </c>
      <c r="AE27" s="23">
        <f>($P$5+1)-($P$2/12)</f>
        <v>2016</v>
      </c>
      <c r="AF27" s="23">
        <f>$K27+(($F27-1)/12)</f>
        <v>2011.25</v>
      </c>
      <c r="AG27" s="23">
        <f>$P$4+($P$3/12)</f>
        <v>2015</v>
      </c>
      <c r="AH27" s="23">
        <f>$L27+(($M27-1)/12)</f>
        <v>-0.08333333333333333</v>
      </c>
    </row>
    <row r="28" spans="2:34" ht="11.25">
      <c r="B28" s="34" t="s">
        <v>56</v>
      </c>
      <c r="C28" s="32"/>
      <c r="D28" s="45" t="s">
        <v>172</v>
      </c>
      <c r="E28" s="46">
        <v>2008</v>
      </c>
      <c r="F28" s="46">
        <v>4</v>
      </c>
      <c r="G28" s="47">
        <v>0.2</v>
      </c>
      <c r="I28" s="34" t="s">
        <v>52</v>
      </c>
      <c r="J28" s="46">
        <v>7</v>
      </c>
      <c r="K28" s="33">
        <f>E28+J28</f>
        <v>2015</v>
      </c>
      <c r="N28" s="48">
        <v>545.43</v>
      </c>
      <c r="O28" s="49"/>
      <c r="P28" s="48">
        <f>N28-N28*G28</f>
        <v>436.34399999999994</v>
      </c>
      <c r="Q28" s="48">
        <f>P28/J28/12</f>
        <v>5.194571428571428</v>
      </c>
      <c r="R28" s="48">
        <f>IF(O28&gt;0,0,IF(OR(AD28&gt;AE28,AF28&lt;AG28),0,IF(AND(AF28&gt;=AG28,AF28&lt;=AE28),Q28*((AF28-AG28)*12),IF(AND(AG28&lt;=AD28,AE28&gt;=AD28),((AE28-AD28)*12)*Q28,IF(AF28&gt;AE28,12*Q28,0)))))</f>
        <v>15.583714285714283</v>
      </c>
      <c r="S28" s="48">
        <f>IF(O28=0,0,IF(AND(AH28&gt;=AG28,AH28&lt;=AF28),((AH28-AG28)*12)*Q28,0))</f>
        <v>0</v>
      </c>
      <c r="T28" s="48">
        <f>IF(S28&gt;0,S28,R28)</f>
        <v>15.583714285714283</v>
      </c>
      <c r="U28" s="48">
        <v>1</v>
      </c>
      <c r="V28" s="48">
        <f>U28*SUM(R28:S28)</f>
        <v>15.583714285714283</v>
      </c>
      <c r="W28" s="48"/>
      <c r="X28" s="48">
        <f>IF(AD28&gt;AE28,0,IF(AF28&lt;AG28,P28,IF(AND(AF28&gt;=AG28,AF28&lt;=AE28),(P28-T28),IF(AND(AG28&lt;=AD28,AE28&gt;=AD28),0,IF(AF28&gt;AE28,((AG28-AD28)*12)*Q28,0)))))</f>
        <v>420.76028571428566</v>
      </c>
      <c r="Y28" s="48">
        <f>X28*U28</f>
        <v>420.76028571428566</v>
      </c>
      <c r="Z28" s="48">
        <v>1</v>
      </c>
      <c r="AA28" s="48">
        <f>Y28*Z28</f>
        <v>420.76028571428566</v>
      </c>
      <c r="AB28" s="48">
        <f>IF(O28&gt;0,0,AA28+V28*Z28)*Z28</f>
        <v>436.34399999999994</v>
      </c>
      <c r="AC28" s="48">
        <f>IF(O28&gt;0,(N28-AA28)/2,IF(AD28&gt;=AG28,(((N28*U28)*Z28)-AB28)/2,((((N28*U28)*Z28)-AA28)+(((N28*U28)*Z28)-AB28))/2))</f>
        <v>116.87785714285715</v>
      </c>
      <c r="AD28" s="23">
        <f>$E28+(($F28-1)/12)</f>
        <v>2008.25</v>
      </c>
      <c r="AE28" s="23">
        <f>($P$5+1)-($P$2/12)</f>
        <v>2016</v>
      </c>
      <c r="AF28" s="23">
        <f>$K28+(($F28-1)/12)</f>
        <v>2015.25</v>
      </c>
      <c r="AG28" s="23">
        <f>$P$4+($P$3/12)</f>
        <v>2015</v>
      </c>
      <c r="AH28" s="23">
        <f>$L28+(($M28-1)/12)</f>
        <v>-0.08333333333333333</v>
      </c>
    </row>
    <row r="29" spans="1:34" ht="11.25">
      <c r="A29" s="18">
        <v>102102</v>
      </c>
      <c r="B29" s="34" t="s">
        <v>56</v>
      </c>
      <c r="C29" s="32">
        <v>409</v>
      </c>
      <c r="D29" s="45" t="s">
        <v>179</v>
      </c>
      <c r="E29" s="46">
        <v>2009</v>
      </c>
      <c r="F29" s="46">
        <v>1</v>
      </c>
      <c r="G29" s="47">
        <v>0.2</v>
      </c>
      <c r="I29" s="34" t="s">
        <v>52</v>
      </c>
      <c r="J29" s="46">
        <v>7</v>
      </c>
      <c r="K29" s="33">
        <f>E29+J29</f>
        <v>2016</v>
      </c>
      <c r="N29" s="48">
        <v>6818.83</v>
      </c>
      <c r="O29" s="49"/>
      <c r="P29" s="48">
        <f>N29-N29*G29</f>
        <v>5455.064</v>
      </c>
      <c r="Q29" s="48">
        <f>P29/J29/12</f>
        <v>64.94123809523809</v>
      </c>
      <c r="R29" s="48">
        <f>IF(O29&gt;0,0,IF(OR(AD29&gt;AE29,AF29&lt;AG29),0,IF(AND(AF29&gt;=AG29,AF29&lt;=AE29),Q29*((AF29-AG29)*12),IF(AND(AG29&lt;=AD29,AE29&gt;=AD29),((AE29-AD29)*12)*Q29,IF(AF29&gt;AE29,12*Q29,0)))))</f>
        <v>779.2948571428572</v>
      </c>
      <c r="S29" s="48">
        <f>IF(O29=0,0,IF(AND(AH29&gt;=AG29,AH29&lt;=AF29),((AH29-AG29)*12)*Q29,0))</f>
        <v>0</v>
      </c>
      <c r="T29" s="48">
        <f>IF(S29&gt;0,S29,R29)</f>
        <v>779.2948571428572</v>
      </c>
      <c r="U29" s="48">
        <v>1</v>
      </c>
      <c r="V29" s="48">
        <f>U29*SUM(R29:S29)</f>
        <v>779.2948571428572</v>
      </c>
      <c r="W29" s="48"/>
      <c r="X29" s="48">
        <f>IF(AD29&gt;AE29,0,IF(AF29&lt;AG29,P29,IF(AND(AF29&gt;=AG29,AF29&lt;=AE29),(P29-T29),IF(AND(AG29&lt;=AD29,AE29&gt;=AD29),0,IF(AF29&gt;AE29,((AG29-AD29)*12)*Q29,0)))))</f>
        <v>4675.769142857143</v>
      </c>
      <c r="Y29" s="48">
        <f>X29*U29</f>
        <v>4675.769142857143</v>
      </c>
      <c r="Z29" s="48">
        <v>1</v>
      </c>
      <c r="AA29" s="48">
        <f>Y29*Z29</f>
        <v>4675.769142857143</v>
      </c>
      <c r="AB29" s="48">
        <f>IF(O29&gt;0,0,AA29+V29*Z29)*Z29</f>
        <v>5455.064</v>
      </c>
      <c r="AC29" s="48">
        <f>IF(O29&gt;0,(N29-AA29)/2,IF(AD29&gt;=AG29,(((N29*U29)*Z29)-AB29)/2,((((N29*U29)*Z29)-AA29)+(((N29*U29)*Z29)-AB29))/2))</f>
        <v>1753.413428571428</v>
      </c>
      <c r="AD29" s="23">
        <f>$E29+(($F29-1)/12)</f>
        <v>2009</v>
      </c>
      <c r="AE29" s="23">
        <f>($P$5+1)-($P$2/12)</f>
        <v>2016</v>
      </c>
      <c r="AF29" s="23">
        <f>$K29+(($F29-1)/12)</f>
        <v>2016</v>
      </c>
      <c r="AG29" s="23">
        <f>$P$4+($P$3/12)</f>
        <v>2015</v>
      </c>
      <c r="AH29" s="23">
        <f>$L29+(($M29-1)/12)</f>
        <v>-0.08333333333333333</v>
      </c>
    </row>
    <row r="30" spans="1:34" ht="12" thickBot="1">
      <c r="A30" s="81"/>
      <c r="B30" s="82"/>
      <c r="C30" s="82"/>
      <c r="D30" s="76" t="s">
        <v>51</v>
      </c>
      <c r="E30" s="83"/>
      <c r="F30" s="83"/>
      <c r="G30" s="84"/>
      <c r="H30" s="81"/>
      <c r="I30" s="82"/>
      <c r="J30" s="82"/>
      <c r="K30" s="85"/>
      <c r="L30" s="81"/>
      <c r="M30" s="81"/>
      <c r="N30" s="79">
        <f>SUM(N26:N29)</f>
        <v>127353.46</v>
      </c>
      <c r="O30" s="86"/>
      <c r="P30" s="79">
        <f aca="true" t="shared" si="17" ref="P30:AC30">SUM(P26:P29)</f>
        <v>101882.76800000001</v>
      </c>
      <c r="Q30" s="79">
        <f t="shared" si="17"/>
        <v>1212.8900952380952</v>
      </c>
      <c r="R30" s="79">
        <f t="shared" si="17"/>
        <v>794.8785714285715</v>
      </c>
      <c r="S30" s="79"/>
      <c r="T30" s="79">
        <f t="shared" si="17"/>
        <v>794.8785714285715</v>
      </c>
      <c r="U30" s="79"/>
      <c r="V30" s="79">
        <f t="shared" si="17"/>
        <v>794.8785714285715</v>
      </c>
      <c r="W30" s="79"/>
      <c r="X30" s="79">
        <f t="shared" si="17"/>
        <v>101087.88942857145</v>
      </c>
      <c r="Y30" s="79">
        <f t="shared" si="17"/>
        <v>101087.88942857145</v>
      </c>
      <c r="Z30" s="79"/>
      <c r="AA30" s="79">
        <f t="shared" si="17"/>
        <v>101087.88942857145</v>
      </c>
      <c r="AB30" s="79">
        <f t="shared" si="17"/>
        <v>101882.76800000001</v>
      </c>
      <c r="AC30" s="79">
        <f t="shared" si="17"/>
        <v>25868.13128571428</v>
      </c>
      <c r="AD30" s="23"/>
      <c r="AE30" s="23"/>
      <c r="AF30" s="23"/>
      <c r="AG30" s="23"/>
      <c r="AH30" s="23"/>
    </row>
    <row r="31" spans="1:34" ht="11.25">
      <c r="A31" s="66"/>
      <c r="B31" s="67"/>
      <c r="C31" s="67"/>
      <c r="D31" s="68"/>
      <c r="E31" s="69"/>
      <c r="F31" s="69"/>
      <c r="G31" s="73"/>
      <c r="H31" s="66"/>
      <c r="I31" s="67"/>
      <c r="J31" s="67"/>
      <c r="K31" s="70"/>
      <c r="L31" s="66"/>
      <c r="M31" s="66"/>
      <c r="N31" s="71"/>
      <c r="O31" s="72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23"/>
      <c r="AE31" s="23"/>
      <c r="AF31" s="23"/>
      <c r="AG31" s="23"/>
      <c r="AH31" s="23"/>
    </row>
    <row r="32" spans="1:34" ht="12" thickBot="1">
      <c r="A32" s="88"/>
      <c r="B32" s="89"/>
      <c r="C32" s="89"/>
      <c r="D32" s="90" t="s">
        <v>224</v>
      </c>
      <c r="E32" s="91"/>
      <c r="F32" s="91"/>
      <c r="G32" s="92"/>
      <c r="H32" s="88"/>
      <c r="I32" s="89"/>
      <c r="J32" s="89"/>
      <c r="K32" s="93"/>
      <c r="L32" s="88"/>
      <c r="M32" s="88"/>
      <c r="N32" s="94">
        <f>N23+N30</f>
        <v>1545711.32</v>
      </c>
      <c r="O32" s="95"/>
      <c r="P32" s="94">
        <f>P23+P30</f>
        <v>1243399.204</v>
      </c>
      <c r="Q32" s="94">
        <f>Q23+Q30</f>
        <v>15015.980965079367</v>
      </c>
      <c r="R32" s="94">
        <f>R23+R30</f>
        <v>135130.02885714287</v>
      </c>
      <c r="S32" s="96"/>
      <c r="T32" s="96"/>
      <c r="U32" s="96"/>
      <c r="V32" s="94">
        <f>V23+V30</f>
        <v>794.8785714285715</v>
      </c>
      <c r="W32" s="96"/>
      <c r="X32" s="96"/>
      <c r="Y32" s="96"/>
      <c r="Z32" s="96"/>
      <c r="AA32" s="94">
        <f>AA23+AA30</f>
        <v>716185.5771428487</v>
      </c>
      <c r="AB32" s="94">
        <f>AB23+AB30</f>
        <v>851315.6059999914</v>
      </c>
      <c r="AC32" s="94">
        <f>AC23+AC30</f>
        <v>761960.72842858</v>
      </c>
      <c r="AD32" s="23"/>
      <c r="AE32" s="23"/>
      <c r="AF32" s="23"/>
      <c r="AG32" s="23"/>
      <c r="AH32" s="23"/>
    </row>
    <row r="33" spans="1:34" ht="12" thickTop="1">
      <c r="A33" s="66"/>
      <c r="B33" s="67"/>
      <c r="C33" s="67"/>
      <c r="D33" s="87"/>
      <c r="E33" s="69"/>
      <c r="F33" s="69"/>
      <c r="G33" s="73"/>
      <c r="H33" s="66"/>
      <c r="I33" s="67"/>
      <c r="J33" s="67"/>
      <c r="K33" s="70"/>
      <c r="L33" s="66"/>
      <c r="M33" s="66"/>
      <c r="N33" s="71"/>
      <c r="O33" s="72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23"/>
      <c r="AE33" s="23"/>
      <c r="AF33" s="23"/>
      <c r="AG33" s="23"/>
      <c r="AH33" s="23"/>
    </row>
    <row r="34" spans="2:29" ht="11.25">
      <c r="B34" s="34"/>
      <c r="C34" s="34"/>
      <c r="D34" s="39" t="s">
        <v>190</v>
      </c>
      <c r="E34" s="46"/>
      <c r="F34" s="46"/>
      <c r="G34" s="46"/>
      <c r="I34" s="34"/>
      <c r="J34" s="34"/>
      <c r="K34" s="33"/>
      <c r="N34" s="54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2:29" ht="11.25">
      <c r="B35" s="34"/>
      <c r="C35" s="34"/>
      <c r="D35" s="45"/>
      <c r="E35" s="46"/>
      <c r="F35" s="46"/>
      <c r="G35" s="47"/>
      <c r="I35" s="34"/>
      <c r="J35" s="34"/>
      <c r="K35" s="33"/>
      <c r="N35" s="4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2:29" ht="11.25">
      <c r="B36" s="34"/>
      <c r="C36" s="34"/>
      <c r="D36" s="35" t="s">
        <v>191</v>
      </c>
      <c r="E36" s="46"/>
      <c r="F36" s="46"/>
      <c r="G36" s="47"/>
      <c r="I36" s="34"/>
      <c r="J36" s="34"/>
      <c r="K36" s="33"/>
      <c r="N36" s="54">
        <f>SUM(N35:N35)</f>
        <v>0</v>
      </c>
      <c r="O36" s="49"/>
      <c r="P36" s="54">
        <f>SUM(P35:P35)</f>
        <v>0</v>
      </c>
      <c r="Q36" s="54">
        <f>SUM(Q35:Q35)</f>
        <v>0</v>
      </c>
      <c r="R36" s="54">
        <f>SUM(R35:R35)</f>
        <v>0</v>
      </c>
      <c r="S36" s="49"/>
      <c r="T36" s="49"/>
      <c r="U36" s="49"/>
      <c r="V36" s="54">
        <f>SUM(V35:V35)</f>
        <v>0</v>
      </c>
      <c r="W36" s="49"/>
      <c r="X36" s="49"/>
      <c r="Y36" s="49"/>
      <c r="Z36" s="49"/>
      <c r="AA36" s="54">
        <f>SUM(AA35:AA35)</f>
        <v>0</v>
      </c>
      <c r="AB36" s="54">
        <f>SUM(AB35:AB35)</f>
        <v>0</v>
      </c>
      <c r="AC36" s="54">
        <f>SUM(AC35:AC35)</f>
        <v>0</v>
      </c>
    </row>
    <row r="37" spans="2:29" ht="11.25">
      <c r="B37" s="34"/>
      <c r="C37" s="34"/>
      <c r="D37" s="45"/>
      <c r="E37" s="46"/>
      <c r="F37" s="46"/>
      <c r="G37" s="47"/>
      <c r="I37" s="34"/>
      <c r="J37" s="34"/>
      <c r="K37" s="33"/>
      <c r="N37" s="54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2:34" ht="11.25">
      <c r="B38" s="34"/>
      <c r="C38" s="34"/>
      <c r="D38" s="35"/>
      <c r="E38" s="46"/>
      <c r="F38" s="46"/>
      <c r="G38" s="47"/>
      <c r="I38" s="34"/>
      <c r="J38" s="34"/>
      <c r="K38" s="33"/>
      <c r="N38" s="48"/>
      <c r="O38" s="49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23"/>
      <c r="AE38" s="23"/>
      <c r="AF38" s="23"/>
      <c r="AG38" s="23"/>
      <c r="AH38" s="23"/>
    </row>
    <row r="39" spans="2:29" ht="11.25">
      <c r="B39" s="34"/>
      <c r="C39" s="34"/>
      <c r="D39" s="39" t="s">
        <v>73</v>
      </c>
      <c r="E39" s="46"/>
      <c r="F39" s="46"/>
      <c r="G39" s="46"/>
      <c r="I39" s="34"/>
      <c r="J39" s="34"/>
      <c r="K39" s="33"/>
      <c r="N39" s="54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34" ht="11.25">
      <c r="A40" s="18">
        <v>39506</v>
      </c>
      <c r="B40" s="34" t="s">
        <v>74</v>
      </c>
      <c r="C40" s="32">
        <v>800</v>
      </c>
      <c r="D40" s="45" t="s">
        <v>118</v>
      </c>
      <c r="E40" s="46">
        <v>2004</v>
      </c>
      <c r="F40" s="46">
        <v>6</v>
      </c>
      <c r="G40" s="47">
        <v>0.2</v>
      </c>
      <c r="I40" s="34" t="s">
        <v>52</v>
      </c>
      <c r="J40" s="46">
        <v>7</v>
      </c>
      <c r="K40" s="33">
        <f aca="true" t="shared" si="18" ref="K40:K47">E40+J40</f>
        <v>2011</v>
      </c>
      <c r="N40" s="48">
        <v>109002.31</v>
      </c>
      <c r="O40" s="49"/>
      <c r="P40" s="48">
        <f aca="true" t="shared" si="19" ref="P40:P46">N40-N40*G40</f>
        <v>87201.848</v>
      </c>
      <c r="Q40" s="48">
        <f aca="true" t="shared" si="20" ref="Q40:Q46">P40/J40/12</f>
        <v>1038.117238095238</v>
      </c>
      <c r="R40" s="48">
        <f aca="true" t="shared" si="21" ref="R40:R46">IF(O40&gt;0,0,IF(OR(AD40&gt;AE40,AF40&lt;AG40),0,IF(AND(AF40&gt;=AG40,AF40&lt;=AE40),Q40*((AF40-AG40)*12),IF(AND(AG40&lt;=AD40,AE40&gt;=AD40),((AE40-AD40)*12)*Q40,IF(AF40&gt;AE40,12*Q40,0)))))</f>
        <v>0</v>
      </c>
      <c r="S40" s="48">
        <f aca="true" t="shared" si="22" ref="S40:S46">IF(O40=0,0,IF(AND(AH40&gt;=AG40,AH40&lt;=AF40),((AH40-AG40)*12)*Q40,0))</f>
        <v>0</v>
      </c>
      <c r="T40" s="48">
        <f aca="true" t="shared" si="23" ref="T40:T46">IF(S40&gt;0,S40,R40)</f>
        <v>0</v>
      </c>
      <c r="U40" s="48">
        <v>1</v>
      </c>
      <c r="V40" s="48">
        <f aca="true" t="shared" si="24" ref="V40:V46">U40*SUM(R40:S40)</f>
        <v>0</v>
      </c>
      <c r="W40" s="48"/>
      <c r="X40" s="48">
        <f aca="true" t="shared" si="25" ref="X40:X46">IF(AD40&gt;AE40,0,IF(AF40&lt;AG40,P40,IF(AND(AF40&gt;=AG40,AF40&lt;=AE40),(P40-T40),IF(AND(AG40&lt;=AD40,AE40&gt;=AD40),0,IF(AF40&gt;AE40,((AG40-AD40)*12)*Q40,0)))))</f>
        <v>87201.848</v>
      </c>
      <c r="Y40" s="48">
        <f aca="true" t="shared" si="26" ref="Y40:Y46">X40*U40</f>
        <v>87201.848</v>
      </c>
      <c r="Z40" s="48">
        <v>1</v>
      </c>
      <c r="AA40" s="48">
        <f aca="true" t="shared" si="27" ref="AA40:AA46">Y40*Z40</f>
        <v>87201.848</v>
      </c>
      <c r="AB40" s="48">
        <f aca="true" t="shared" si="28" ref="AB40:AB46">IF(O40&gt;0,0,AA40+V40*Z40)*Z40</f>
        <v>87201.848</v>
      </c>
      <c r="AC40" s="48">
        <f aca="true" t="shared" si="29" ref="AC40:AC46">IF(O40&gt;0,(N40-AA40)/2,IF(AD40&gt;=AG40,(((N40*U40)*Z40)-AB40)/2,((((N40*U40)*Z40)-AA40)+(((N40*U40)*Z40)-AB40))/2))</f>
        <v>21800.462</v>
      </c>
      <c r="AD40" s="23">
        <f aca="true" t="shared" si="30" ref="AD40:AD47">$E40+(($F40-1)/12)</f>
        <v>2004.4166666666667</v>
      </c>
      <c r="AE40" s="23">
        <f aca="true" t="shared" si="31" ref="AE40:AE47">($P$5+1)-($P$2/12)</f>
        <v>2016</v>
      </c>
      <c r="AF40" s="23">
        <f aca="true" t="shared" si="32" ref="AF40:AF47">$K40+(($F40-1)/12)</f>
        <v>2011.4166666666667</v>
      </c>
      <c r="AG40" s="23">
        <f aca="true" t="shared" si="33" ref="AG40:AG47">$P$4+($P$3/12)</f>
        <v>2015</v>
      </c>
      <c r="AH40" s="23">
        <f aca="true" t="shared" si="34" ref="AH40:AH47">$L40+(($M40-1)/12)</f>
        <v>-0.08333333333333333</v>
      </c>
    </row>
    <row r="41" spans="2:34" ht="11.25">
      <c r="B41" s="34" t="s">
        <v>74</v>
      </c>
      <c r="C41" s="32">
        <v>800</v>
      </c>
      <c r="D41" s="45" t="s">
        <v>119</v>
      </c>
      <c r="E41" s="46">
        <v>2004</v>
      </c>
      <c r="F41" s="46">
        <v>6</v>
      </c>
      <c r="G41" s="47">
        <v>0.2</v>
      </c>
      <c r="I41" s="34" t="s">
        <v>52</v>
      </c>
      <c r="J41" s="46">
        <v>7</v>
      </c>
      <c r="K41" s="33">
        <f t="shared" si="18"/>
        <v>2011</v>
      </c>
      <c r="N41" s="48">
        <v>77974.23</v>
      </c>
      <c r="O41" s="49"/>
      <c r="P41" s="48">
        <f t="shared" si="19"/>
        <v>62379.384</v>
      </c>
      <c r="Q41" s="48">
        <f t="shared" si="20"/>
        <v>742.6117142857142</v>
      </c>
      <c r="R41" s="48">
        <f t="shared" si="21"/>
        <v>0</v>
      </c>
      <c r="S41" s="48">
        <f t="shared" si="22"/>
        <v>0</v>
      </c>
      <c r="T41" s="48">
        <f t="shared" si="23"/>
        <v>0</v>
      </c>
      <c r="U41" s="48">
        <v>1</v>
      </c>
      <c r="V41" s="48">
        <f t="shared" si="24"/>
        <v>0</v>
      </c>
      <c r="W41" s="48"/>
      <c r="X41" s="48">
        <f t="shared" si="25"/>
        <v>62379.384</v>
      </c>
      <c r="Y41" s="48">
        <f t="shared" si="26"/>
        <v>62379.384</v>
      </c>
      <c r="Z41" s="48">
        <v>1</v>
      </c>
      <c r="AA41" s="48">
        <f t="shared" si="27"/>
        <v>62379.384</v>
      </c>
      <c r="AB41" s="48">
        <f t="shared" si="28"/>
        <v>62379.384</v>
      </c>
      <c r="AC41" s="48">
        <f t="shared" si="29"/>
        <v>15594.845999999998</v>
      </c>
      <c r="AD41" s="23">
        <f t="shared" si="30"/>
        <v>2004.4166666666667</v>
      </c>
      <c r="AE41" s="23">
        <f t="shared" si="31"/>
        <v>2016</v>
      </c>
      <c r="AF41" s="23">
        <f t="shared" si="32"/>
        <v>2011.4166666666667</v>
      </c>
      <c r="AG41" s="23">
        <f t="shared" si="33"/>
        <v>2015</v>
      </c>
      <c r="AH41" s="23">
        <f t="shared" si="34"/>
        <v>-0.08333333333333333</v>
      </c>
    </row>
    <row r="42" spans="1:34" ht="11.25">
      <c r="A42" s="18">
        <v>31408</v>
      </c>
      <c r="B42" s="34" t="s">
        <v>74</v>
      </c>
      <c r="C42" s="32">
        <v>801</v>
      </c>
      <c r="D42" s="45" t="s">
        <v>117</v>
      </c>
      <c r="E42" s="46">
        <v>2005</v>
      </c>
      <c r="F42" s="46">
        <v>3</v>
      </c>
      <c r="G42" s="47">
        <v>0.2</v>
      </c>
      <c r="I42" s="34" t="s">
        <v>52</v>
      </c>
      <c r="J42" s="34">
        <v>7</v>
      </c>
      <c r="K42" s="33">
        <f t="shared" si="18"/>
        <v>2012</v>
      </c>
      <c r="N42" s="48">
        <f>100692.45+97960.58+3602.39</f>
        <v>202255.42</v>
      </c>
      <c r="O42" s="49"/>
      <c r="P42" s="48">
        <f t="shared" si="19"/>
        <v>161804.336</v>
      </c>
      <c r="Q42" s="48">
        <f t="shared" si="20"/>
        <v>1926.2420952380953</v>
      </c>
      <c r="R42" s="48">
        <f t="shared" si="21"/>
        <v>0</v>
      </c>
      <c r="S42" s="48">
        <f t="shared" si="22"/>
        <v>0</v>
      </c>
      <c r="T42" s="48">
        <f t="shared" si="23"/>
        <v>0</v>
      </c>
      <c r="U42" s="48">
        <v>1</v>
      </c>
      <c r="V42" s="48">
        <f t="shared" si="24"/>
        <v>0</v>
      </c>
      <c r="W42" s="48"/>
      <c r="X42" s="48">
        <f t="shared" si="25"/>
        <v>161804.336</v>
      </c>
      <c r="Y42" s="48">
        <f t="shared" si="26"/>
        <v>161804.336</v>
      </c>
      <c r="Z42" s="48">
        <v>1</v>
      </c>
      <c r="AA42" s="48">
        <f t="shared" si="27"/>
        <v>161804.336</v>
      </c>
      <c r="AB42" s="48">
        <f t="shared" si="28"/>
        <v>161804.336</v>
      </c>
      <c r="AC42" s="48">
        <f t="shared" si="29"/>
        <v>40451.084</v>
      </c>
      <c r="AD42" s="23">
        <f t="shared" si="30"/>
        <v>2005.1666666666667</v>
      </c>
      <c r="AE42" s="23">
        <f t="shared" si="31"/>
        <v>2016</v>
      </c>
      <c r="AF42" s="23">
        <f t="shared" si="32"/>
        <v>2012.1666666666667</v>
      </c>
      <c r="AG42" s="23">
        <f t="shared" si="33"/>
        <v>2015</v>
      </c>
      <c r="AH42" s="23">
        <f t="shared" si="34"/>
        <v>-0.08333333333333333</v>
      </c>
    </row>
    <row r="43" spans="1:34" ht="11.25">
      <c r="A43" s="18">
        <v>31409</v>
      </c>
      <c r="B43" s="34" t="s">
        <v>74</v>
      </c>
      <c r="C43" s="32">
        <v>802</v>
      </c>
      <c r="D43" s="45" t="s">
        <v>117</v>
      </c>
      <c r="E43" s="46">
        <v>2005</v>
      </c>
      <c r="F43" s="46">
        <v>3</v>
      </c>
      <c r="G43" s="47">
        <v>0.2</v>
      </c>
      <c r="I43" s="34" t="s">
        <v>52</v>
      </c>
      <c r="J43" s="34">
        <v>7</v>
      </c>
      <c r="K43" s="33">
        <f t="shared" si="18"/>
        <v>2012</v>
      </c>
      <c r="N43" s="48">
        <f>100692.45+97960.58+3602.39</f>
        <v>202255.42</v>
      </c>
      <c r="O43" s="49"/>
      <c r="P43" s="48">
        <f t="shared" si="19"/>
        <v>161804.336</v>
      </c>
      <c r="Q43" s="48">
        <f t="shared" si="20"/>
        <v>1926.2420952380953</v>
      </c>
      <c r="R43" s="48">
        <f t="shared" si="21"/>
        <v>0</v>
      </c>
      <c r="S43" s="48">
        <f t="shared" si="22"/>
        <v>0</v>
      </c>
      <c r="T43" s="48">
        <f t="shared" si="23"/>
        <v>0</v>
      </c>
      <c r="U43" s="48">
        <v>1</v>
      </c>
      <c r="V43" s="48">
        <f t="shared" si="24"/>
        <v>0</v>
      </c>
      <c r="W43" s="48"/>
      <c r="X43" s="48">
        <f t="shared" si="25"/>
        <v>161804.336</v>
      </c>
      <c r="Y43" s="48">
        <f t="shared" si="26"/>
        <v>161804.336</v>
      </c>
      <c r="Z43" s="48">
        <v>1</v>
      </c>
      <c r="AA43" s="48">
        <f t="shared" si="27"/>
        <v>161804.336</v>
      </c>
      <c r="AB43" s="48">
        <f t="shared" si="28"/>
        <v>161804.336</v>
      </c>
      <c r="AC43" s="48">
        <f t="shared" si="29"/>
        <v>40451.084</v>
      </c>
      <c r="AD43" s="23">
        <f t="shared" si="30"/>
        <v>2005.1666666666667</v>
      </c>
      <c r="AE43" s="23">
        <f t="shared" si="31"/>
        <v>2016</v>
      </c>
      <c r="AF43" s="23">
        <f t="shared" si="32"/>
        <v>2012.1666666666667</v>
      </c>
      <c r="AG43" s="23">
        <f t="shared" si="33"/>
        <v>2015</v>
      </c>
      <c r="AH43" s="23">
        <f t="shared" si="34"/>
        <v>-0.08333333333333333</v>
      </c>
    </row>
    <row r="44" spans="2:34" ht="11.25">
      <c r="B44" s="34" t="s">
        <v>74</v>
      </c>
      <c r="C44" s="32"/>
      <c r="D44" s="45" t="s">
        <v>171</v>
      </c>
      <c r="E44" s="46">
        <v>2008</v>
      </c>
      <c r="F44" s="46">
        <v>4</v>
      </c>
      <c r="G44" s="47">
        <v>0.2</v>
      </c>
      <c r="I44" s="34" t="s">
        <v>52</v>
      </c>
      <c r="J44" s="46">
        <v>7</v>
      </c>
      <c r="K44" s="33">
        <f t="shared" si="18"/>
        <v>2015</v>
      </c>
      <c r="N44" s="48">
        <f>545.43+545.43</f>
        <v>1090.86</v>
      </c>
      <c r="O44" s="49"/>
      <c r="P44" s="48">
        <f t="shared" si="19"/>
        <v>872.6879999999999</v>
      </c>
      <c r="Q44" s="48">
        <f t="shared" si="20"/>
        <v>10.389142857142856</v>
      </c>
      <c r="R44" s="48">
        <f t="shared" si="21"/>
        <v>31.167428571428566</v>
      </c>
      <c r="S44" s="48">
        <f t="shared" si="22"/>
        <v>0</v>
      </c>
      <c r="T44" s="48">
        <f t="shared" si="23"/>
        <v>31.167428571428566</v>
      </c>
      <c r="U44" s="48">
        <v>1</v>
      </c>
      <c r="V44" s="48">
        <f t="shared" si="24"/>
        <v>31.167428571428566</v>
      </c>
      <c r="W44" s="48"/>
      <c r="X44" s="48">
        <f t="shared" si="25"/>
        <v>841.5205714285713</v>
      </c>
      <c r="Y44" s="48">
        <f t="shared" si="26"/>
        <v>841.5205714285713</v>
      </c>
      <c r="Z44" s="48">
        <v>1</v>
      </c>
      <c r="AA44" s="48">
        <f t="shared" si="27"/>
        <v>841.5205714285713</v>
      </c>
      <c r="AB44" s="48">
        <f t="shared" si="28"/>
        <v>872.6879999999999</v>
      </c>
      <c r="AC44" s="48">
        <f t="shared" si="29"/>
        <v>233.7557142857143</v>
      </c>
      <c r="AD44" s="23">
        <f t="shared" si="30"/>
        <v>2008.25</v>
      </c>
      <c r="AE44" s="23">
        <f t="shared" si="31"/>
        <v>2016</v>
      </c>
      <c r="AF44" s="23">
        <f t="shared" si="32"/>
        <v>2015.25</v>
      </c>
      <c r="AG44" s="23">
        <f t="shared" si="33"/>
        <v>2015</v>
      </c>
      <c r="AH44" s="23">
        <f t="shared" si="34"/>
        <v>-0.08333333333333333</v>
      </c>
    </row>
    <row r="45" spans="1:34" ht="11.25">
      <c r="A45" s="18">
        <v>88705</v>
      </c>
      <c r="B45" s="34" t="s">
        <v>54</v>
      </c>
      <c r="C45" s="32">
        <v>139</v>
      </c>
      <c r="D45" s="45" t="s">
        <v>180</v>
      </c>
      <c r="E45" s="46">
        <v>2011</v>
      </c>
      <c r="F45" s="46">
        <v>12</v>
      </c>
      <c r="G45" s="47">
        <v>0.2</v>
      </c>
      <c r="I45" s="34" t="s">
        <v>52</v>
      </c>
      <c r="J45" s="34">
        <v>7</v>
      </c>
      <c r="K45" s="33">
        <f t="shared" si="18"/>
        <v>2018</v>
      </c>
      <c r="N45" s="48">
        <v>105733.19</v>
      </c>
      <c r="O45" s="49"/>
      <c r="P45" s="48">
        <f t="shared" si="19"/>
        <v>84586.552</v>
      </c>
      <c r="Q45" s="48">
        <f t="shared" si="20"/>
        <v>1006.9827619047619</v>
      </c>
      <c r="R45" s="48">
        <f t="shared" si="21"/>
        <v>12083.793142857143</v>
      </c>
      <c r="S45" s="48">
        <f t="shared" si="22"/>
        <v>0</v>
      </c>
      <c r="T45" s="48">
        <f t="shared" si="23"/>
        <v>12083.793142857143</v>
      </c>
      <c r="U45" s="48">
        <v>1</v>
      </c>
      <c r="V45" s="48">
        <f t="shared" si="24"/>
        <v>12083.793142857143</v>
      </c>
      <c r="W45" s="48"/>
      <c r="X45" s="48">
        <f t="shared" si="25"/>
        <v>37258.36219047527</v>
      </c>
      <c r="Y45" s="48">
        <f t="shared" si="26"/>
        <v>37258.36219047527</v>
      </c>
      <c r="Z45" s="48">
        <v>1</v>
      </c>
      <c r="AA45" s="48">
        <f t="shared" si="27"/>
        <v>37258.36219047527</v>
      </c>
      <c r="AB45" s="48">
        <f t="shared" si="28"/>
        <v>49342.15533333241</v>
      </c>
      <c r="AC45" s="48">
        <f t="shared" si="29"/>
        <v>62432.93123809616</v>
      </c>
      <c r="AD45" s="23">
        <f t="shared" si="30"/>
        <v>2011.9166666666667</v>
      </c>
      <c r="AE45" s="23">
        <f t="shared" si="31"/>
        <v>2016</v>
      </c>
      <c r="AF45" s="23">
        <f t="shared" si="32"/>
        <v>2018.9166666666667</v>
      </c>
      <c r="AG45" s="23">
        <f t="shared" si="33"/>
        <v>2015</v>
      </c>
      <c r="AH45" s="23">
        <f t="shared" si="34"/>
        <v>-0.08333333333333333</v>
      </c>
    </row>
    <row r="46" spans="2:34" ht="11.25">
      <c r="B46" s="34"/>
      <c r="C46" s="32">
        <v>139</v>
      </c>
      <c r="D46" s="45" t="s">
        <v>192</v>
      </c>
      <c r="E46" s="46">
        <v>2011</v>
      </c>
      <c r="F46" s="46">
        <v>12</v>
      </c>
      <c r="G46" s="55">
        <v>0.2</v>
      </c>
      <c r="I46" s="34" t="s">
        <v>52</v>
      </c>
      <c r="J46" s="34">
        <v>7</v>
      </c>
      <c r="K46" s="33">
        <f t="shared" si="18"/>
        <v>2018</v>
      </c>
      <c r="N46" s="48">
        <f>642*2</f>
        <v>1284</v>
      </c>
      <c r="O46" s="49"/>
      <c r="P46" s="48">
        <f t="shared" si="19"/>
        <v>1027.2</v>
      </c>
      <c r="Q46" s="48">
        <f t="shared" si="20"/>
        <v>12.22857142857143</v>
      </c>
      <c r="R46" s="48">
        <f t="shared" si="21"/>
        <v>146.74285714285716</v>
      </c>
      <c r="S46" s="48">
        <f t="shared" si="22"/>
        <v>0</v>
      </c>
      <c r="T46" s="48">
        <f t="shared" si="23"/>
        <v>146.74285714285716</v>
      </c>
      <c r="U46" s="48">
        <v>1</v>
      </c>
      <c r="V46" s="48">
        <f t="shared" si="24"/>
        <v>146.74285714285716</v>
      </c>
      <c r="W46" s="48"/>
      <c r="X46" s="48">
        <f t="shared" si="25"/>
        <v>452.45714285713177</v>
      </c>
      <c r="Y46" s="48">
        <f t="shared" si="26"/>
        <v>452.45714285713177</v>
      </c>
      <c r="Z46" s="48">
        <v>1</v>
      </c>
      <c r="AA46" s="48">
        <f t="shared" si="27"/>
        <v>452.45714285713177</v>
      </c>
      <c r="AB46" s="48">
        <f t="shared" si="28"/>
        <v>599.1999999999889</v>
      </c>
      <c r="AC46" s="48">
        <f t="shared" si="29"/>
        <v>758.1714285714397</v>
      </c>
      <c r="AD46" s="23">
        <f t="shared" si="30"/>
        <v>2011.9166666666667</v>
      </c>
      <c r="AE46" s="23">
        <f t="shared" si="31"/>
        <v>2016</v>
      </c>
      <c r="AF46" s="23">
        <f t="shared" si="32"/>
        <v>2018.9166666666667</v>
      </c>
      <c r="AG46" s="23">
        <f t="shared" si="33"/>
        <v>2015</v>
      </c>
      <c r="AH46" s="23">
        <f t="shared" si="34"/>
        <v>-0.08333333333333333</v>
      </c>
    </row>
    <row r="47" spans="1:34" ht="11.25">
      <c r="A47" s="18">
        <v>116567</v>
      </c>
      <c r="B47" s="34"/>
      <c r="C47" s="32">
        <v>829</v>
      </c>
      <c r="D47" s="45" t="s">
        <v>216</v>
      </c>
      <c r="E47" s="46">
        <v>2014</v>
      </c>
      <c r="F47" s="46">
        <v>10</v>
      </c>
      <c r="G47" s="47">
        <v>0.2</v>
      </c>
      <c r="I47" s="34" t="s">
        <v>52</v>
      </c>
      <c r="J47" s="34">
        <v>7</v>
      </c>
      <c r="K47" s="33">
        <f t="shared" si="18"/>
        <v>2021</v>
      </c>
      <c r="N47" s="48">
        <v>324730.3</v>
      </c>
      <c r="O47" s="49"/>
      <c r="P47" s="48">
        <f>N47-N47*G47</f>
        <v>259784.24</v>
      </c>
      <c r="Q47" s="48">
        <f>P47/J47/12</f>
        <v>3092.6695238095235</v>
      </c>
      <c r="R47" s="48">
        <f>IF(O47&gt;0,0,IF(OR(AD47&gt;AE47,AF47&lt;AG47),0,IF(AND(AF47&gt;=AG47,AF47&lt;=AE47),Q47*((AF47-AG47)*12),IF(AND(AG47&lt;=AD47,AE47&gt;=AD47),((AE47-AD47)*12)*Q47,IF(AF47&gt;AE47,12*Q47,0)))))</f>
        <v>37112.03428571428</v>
      </c>
      <c r="S47" s="48">
        <f>IF(O47=0,0,IF(AND(AH47&gt;=AG47,AH47&lt;=AF47),((AH47-AG47)*12)*Q47,0))</f>
        <v>0</v>
      </c>
      <c r="T47" s="48">
        <f>IF(S47&gt;0,S47,R47)</f>
        <v>37112.03428571428</v>
      </c>
      <c r="U47" s="48">
        <v>1</v>
      </c>
      <c r="V47" s="48">
        <f>U47*SUM(R47:S47)</f>
        <v>37112.03428571428</v>
      </c>
      <c r="W47" s="48"/>
      <c r="X47" s="48">
        <f>IF(AD47&gt;AE47,0,IF(AF47&lt;AG47,P47,IF(AND(AF47&gt;=AG47,AF47&lt;=AE47),(P47-T47),IF(AND(AG47&lt;=AD47,AE47&gt;=AD47),0,IF(AF47&gt;AE47,((AG47-AD47)*12)*Q47,0)))))</f>
        <v>9278.00857142857</v>
      </c>
      <c r="Y47" s="48">
        <f>X47*U47</f>
        <v>9278.00857142857</v>
      </c>
      <c r="Z47" s="48">
        <v>1</v>
      </c>
      <c r="AA47" s="48">
        <f>Y47*Z47</f>
        <v>9278.00857142857</v>
      </c>
      <c r="AB47" s="48">
        <f>IF(O47&gt;0,0,AA47+V47*Z47)*Z47</f>
        <v>46390.04285714285</v>
      </c>
      <c r="AC47" s="48">
        <f>IF(O47&gt;0,(N47-AA47)/2,IF(AD47&gt;=AG47,(((N47*U47)*Z47)-AB47)/2,((((N47*U47)*Z47)-AA47)+(((N47*U47)*Z47)-AB47))/2))</f>
        <v>296896.27428571426</v>
      </c>
      <c r="AD47" s="23">
        <f t="shared" si="30"/>
        <v>2014.75</v>
      </c>
      <c r="AE47" s="23">
        <f t="shared" si="31"/>
        <v>2016</v>
      </c>
      <c r="AF47" s="23">
        <f t="shared" si="32"/>
        <v>2021.75</v>
      </c>
      <c r="AG47" s="23">
        <f t="shared" si="33"/>
        <v>2015</v>
      </c>
      <c r="AH47" s="23">
        <f t="shared" si="34"/>
        <v>-0.08333333333333333</v>
      </c>
    </row>
    <row r="48" spans="2:29" ht="11.25">
      <c r="B48" s="34"/>
      <c r="C48" s="34"/>
      <c r="D48" s="45"/>
      <c r="E48" s="46"/>
      <c r="F48" s="46"/>
      <c r="G48" s="47"/>
      <c r="I48" s="34"/>
      <c r="J48" s="34"/>
      <c r="K48" s="33"/>
      <c r="N48" s="48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 ht="12" thickBot="1">
      <c r="A49" s="81"/>
      <c r="B49" s="82"/>
      <c r="C49" s="82"/>
      <c r="D49" s="76" t="s">
        <v>75</v>
      </c>
      <c r="E49" s="83"/>
      <c r="F49" s="83"/>
      <c r="G49" s="84"/>
      <c r="H49" s="81"/>
      <c r="I49" s="82"/>
      <c r="J49" s="82"/>
      <c r="K49" s="85"/>
      <c r="L49" s="81"/>
      <c r="M49" s="81"/>
      <c r="N49" s="79">
        <f>SUM(N40:N48)</f>
        <v>1024325.73</v>
      </c>
      <c r="O49" s="86"/>
      <c r="P49" s="79">
        <f>SUM(P40:P48)</f>
        <v>819460.5839999999</v>
      </c>
      <c r="Q49" s="79">
        <f>SUM(Q40:Q48)</f>
        <v>9755.483142857143</v>
      </c>
      <c r="R49" s="79">
        <f>SUM(R40:R48)</f>
        <v>49373.737714285715</v>
      </c>
      <c r="S49" s="86"/>
      <c r="T49" s="86"/>
      <c r="U49" s="86"/>
      <c r="V49" s="79">
        <f>SUM(V40:V48)</f>
        <v>49373.737714285715</v>
      </c>
      <c r="W49" s="86"/>
      <c r="X49" s="86"/>
      <c r="Y49" s="86"/>
      <c r="Z49" s="86"/>
      <c r="AA49" s="79">
        <f>SUM(AA40:AA48)</f>
        <v>521020.2524761896</v>
      </c>
      <c r="AB49" s="79">
        <f>SUM(AB40:AB48)</f>
        <v>570393.9901904752</v>
      </c>
      <c r="AC49" s="79">
        <f>SUM(AC40:AC48)</f>
        <v>478618.60866666754</v>
      </c>
    </row>
    <row r="50" spans="1:29" ht="11.25">
      <c r="A50" s="66"/>
      <c r="B50" s="67"/>
      <c r="C50" s="67"/>
      <c r="D50" s="68"/>
      <c r="E50" s="69"/>
      <c r="F50" s="69"/>
      <c r="G50" s="73"/>
      <c r="H50" s="66"/>
      <c r="I50" s="67"/>
      <c r="J50" s="67"/>
      <c r="K50" s="70"/>
      <c r="L50" s="66"/>
      <c r="M50" s="66"/>
      <c r="N50" s="97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</row>
    <row r="51" spans="2:29" ht="11.25">
      <c r="B51" s="34"/>
      <c r="C51" s="34"/>
      <c r="D51" s="39" t="s">
        <v>76</v>
      </c>
      <c r="E51" s="46"/>
      <c r="F51" s="46"/>
      <c r="G51" s="47"/>
      <c r="I51" s="34"/>
      <c r="J51" s="34"/>
      <c r="K51" s="33"/>
      <c r="N51" s="48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2:34" ht="11.25">
      <c r="B52" s="34" t="s">
        <v>77</v>
      </c>
      <c r="C52" s="34" t="s">
        <v>57</v>
      </c>
      <c r="D52" s="45" t="s">
        <v>106</v>
      </c>
      <c r="E52" s="46">
        <v>91</v>
      </c>
      <c r="F52" s="46">
        <v>12</v>
      </c>
      <c r="G52" s="47">
        <v>0</v>
      </c>
      <c r="I52" s="34" t="s">
        <v>52</v>
      </c>
      <c r="J52" s="34">
        <v>5</v>
      </c>
      <c r="K52" s="33">
        <f aca="true" t="shared" si="35" ref="K52:K57">E52+J52</f>
        <v>96</v>
      </c>
      <c r="N52" s="48">
        <v>980.98</v>
      </c>
      <c r="O52" s="49"/>
      <c r="P52" s="48">
        <f aca="true" t="shared" si="36" ref="P52:P57">N52-N52*G52</f>
        <v>980.98</v>
      </c>
      <c r="Q52" s="48">
        <f aca="true" t="shared" si="37" ref="Q52:Q57">P52/J52/12</f>
        <v>16.349666666666668</v>
      </c>
      <c r="R52" s="48">
        <f aca="true" t="shared" si="38" ref="R52:R57">IF(O52&gt;0,0,IF(OR(AD52&gt;AE52,AF52&lt;AG52),0,IF(AND(AF52&gt;=AG52,AF52&lt;=AE52),Q52*((AF52-AG52)*12),IF(AND(AG52&lt;=AD52,AE52&gt;=AD52),((AE52-AD52)*12)*Q52,IF(AF52&gt;AE52,12*Q52,0)))))</f>
        <v>0</v>
      </c>
      <c r="S52" s="48">
        <f aca="true" t="shared" si="39" ref="S52:S57">IF(O52=0,0,IF(AND(AH52&gt;=AG52,AH52&lt;=AF52),((AH52-AG52)*12)*Q52,0))</f>
        <v>0</v>
      </c>
      <c r="T52" s="48">
        <f aca="true" t="shared" si="40" ref="T52:T57">IF(S52&gt;0,S52,R52)</f>
        <v>0</v>
      </c>
      <c r="U52" s="48">
        <v>1</v>
      </c>
      <c r="V52" s="48">
        <f aca="true" t="shared" si="41" ref="V52:V57">U52*SUM(R52:S52)</f>
        <v>0</v>
      </c>
      <c r="W52" s="48"/>
      <c r="X52" s="48">
        <f aca="true" t="shared" si="42" ref="X52:X57">IF(AD52&gt;AE52,0,IF(AF52&lt;AG52,P52,IF(AND(AF52&gt;=AG52,AF52&lt;=AE52),(P52-T52),IF(AND(AG52&lt;=AD52,AE52&gt;=AD52),0,IF(AF52&gt;AE52,((AG52-AD52)*12)*Q52,0)))))</f>
        <v>980.98</v>
      </c>
      <c r="Y52" s="48">
        <f aca="true" t="shared" si="43" ref="Y52:Y57">X52*U52</f>
        <v>980.98</v>
      </c>
      <c r="Z52" s="48">
        <v>1</v>
      </c>
      <c r="AA52" s="48">
        <f aca="true" t="shared" si="44" ref="AA52:AA57">Y52*Z52</f>
        <v>980.98</v>
      </c>
      <c r="AB52" s="48">
        <f aca="true" t="shared" si="45" ref="AB52:AB57">IF(O52&gt;0,0,AA52+V52*Z52)*Z52</f>
        <v>980.98</v>
      </c>
      <c r="AC52" s="48">
        <f aca="true" t="shared" si="46" ref="AC52:AC57">IF(O52&gt;0,(N52-AA52)/2,IF(AD52&gt;=AG52,(((N52*U52)*Z52)-AB52)/2,((((N52*U52)*Z52)-AA52)+(((N52*U52)*Z52)-AB52))/2))</f>
        <v>0</v>
      </c>
      <c r="AD52" s="23">
        <f aca="true" t="shared" si="47" ref="AD52:AD57">$E52+(($F52-1)/12)</f>
        <v>91.91666666666667</v>
      </c>
      <c r="AE52" s="23">
        <f>($P$5+1)-($P$2/12)</f>
        <v>2016</v>
      </c>
      <c r="AF52" s="23">
        <f aca="true" t="shared" si="48" ref="AF52:AF57">$K52+(($F52-1)/12)</f>
        <v>96.91666666666667</v>
      </c>
      <c r="AG52" s="23">
        <f>$P$4+($P$3/12)</f>
        <v>2015</v>
      </c>
      <c r="AH52" s="23">
        <f aca="true" t="shared" si="49" ref="AH52:AH57">$L52+(($M52-1)/12)</f>
        <v>-0.08333333333333333</v>
      </c>
    </row>
    <row r="53" spans="2:34" ht="11.25">
      <c r="B53" s="34" t="s">
        <v>77</v>
      </c>
      <c r="C53" s="32"/>
      <c r="D53" s="45" t="s">
        <v>171</v>
      </c>
      <c r="E53" s="46">
        <v>2008</v>
      </c>
      <c r="F53" s="46">
        <v>4</v>
      </c>
      <c r="G53" s="47">
        <v>0.2</v>
      </c>
      <c r="I53" s="34" t="s">
        <v>52</v>
      </c>
      <c r="J53" s="46">
        <v>7</v>
      </c>
      <c r="K53" s="33">
        <f t="shared" si="35"/>
        <v>2015</v>
      </c>
      <c r="N53" s="48">
        <f>560.39+560.39</f>
        <v>1120.78</v>
      </c>
      <c r="O53" s="49"/>
      <c r="P53" s="48">
        <f t="shared" si="36"/>
        <v>896.624</v>
      </c>
      <c r="Q53" s="48">
        <f t="shared" si="37"/>
        <v>10.674095238095239</v>
      </c>
      <c r="R53" s="48">
        <f t="shared" si="38"/>
        <v>32.022285714285715</v>
      </c>
      <c r="S53" s="48">
        <f t="shared" si="39"/>
        <v>0</v>
      </c>
      <c r="T53" s="48">
        <f t="shared" si="40"/>
        <v>32.022285714285715</v>
      </c>
      <c r="U53" s="48">
        <v>1</v>
      </c>
      <c r="V53" s="48">
        <f t="shared" si="41"/>
        <v>32.022285714285715</v>
      </c>
      <c r="W53" s="48"/>
      <c r="X53" s="48">
        <f t="shared" si="42"/>
        <v>864.6017142857143</v>
      </c>
      <c r="Y53" s="48">
        <f t="shared" si="43"/>
        <v>864.6017142857143</v>
      </c>
      <c r="Z53" s="48">
        <v>1</v>
      </c>
      <c r="AA53" s="48">
        <f t="shared" si="44"/>
        <v>864.6017142857143</v>
      </c>
      <c r="AB53" s="48">
        <f t="shared" si="45"/>
        <v>896.624</v>
      </c>
      <c r="AC53" s="48">
        <f t="shared" si="46"/>
        <v>240.16714285714284</v>
      </c>
      <c r="AD53" s="23">
        <f t="shared" si="47"/>
        <v>2008.25</v>
      </c>
      <c r="AE53" s="23">
        <f>($P$5+1)-($P$2/12)</f>
        <v>2016</v>
      </c>
      <c r="AF53" s="23">
        <f t="shared" si="48"/>
        <v>2015.25</v>
      </c>
      <c r="AG53" s="23">
        <f>$P$4+($P$3/12)</f>
        <v>2015</v>
      </c>
      <c r="AH53" s="23">
        <f t="shared" si="49"/>
        <v>-0.08333333333333333</v>
      </c>
    </row>
    <row r="54" spans="1:34" ht="11.25">
      <c r="A54" s="18">
        <v>64782</v>
      </c>
      <c r="B54" s="34" t="s">
        <v>77</v>
      </c>
      <c r="C54" s="32">
        <v>816</v>
      </c>
      <c r="D54" s="45" t="s">
        <v>193</v>
      </c>
      <c r="E54" s="46">
        <v>2009</v>
      </c>
      <c r="F54" s="46">
        <v>5</v>
      </c>
      <c r="G54" s="47">
        <v>0.33</v>
      </c>
      <c r="I54" s="34" t="s">
        <v>52</v>
      </c>
      <c r="J54" s="46">
        <v>5</v>
      </c>
      <c r="K54" s="33">
        <f t="shared" si="35"/>
        <v>2014</v>
      </c>
      <c r="N54" s="48">
        <v>212304.54</v>
      </c>
      <c r="O54" s="49"/>
      <c r="P54" s="48">
        <f t="shared" si="36"/>
        <v>142244.0418</v>
      </c>
      <c r="Q54" s="48">
        <f t="shared" si="37"/>
        <v>2370.73403</v>
      </c>
      <c r="R54" s="48">
        <f t="shared" si="38"/>
        <v>0</v>
      </c>
      <c r="S54" s="48">
        <f t="shared" si="39"/>
        <v>0</v>
      </c>
      <c r="T54" s="48">
        <f t="shared" si="40"/>
        <v>0</v>
      </c>
      <c r="U54" s="48">
        <v>1</v>
      </c>
      <c r="V54" s="48">
        <f t="shared" si="41"/>
        <v>0</v>
      </c>
      <c r="W54" s="48"/>
      <c r="X54" s="48">
        <f t="shared" si="42"/>
        <v>142244.0418</v>
      </c>
      <c r="Y54" s="48">
        <f t="shared" si="43"/>
        <v>142244.0418</v>
      </c>
      <c r="Z54" s="48">
        <v>1</v>
      </c>
      <c r="AA54" s="48">
        <f t="shared" si="44"/>
        <v>142244.0418</v>
      </c>
      <c r="AB54" s="48">
        <f t="shared" si="45"/>
        <v>142244.0418</v>
      </c>
      <c r="AC54" s="48">
        <f t="shared" si="46"/>
        <v>70060.4982</v>
      </c>
      <c r="AD54" s="23">
        <f t="shared" si="47"/>
        <v>2009.3333333333333</v>
      </c>
      <c r="AE54" s="23">
        <f>($P$5+1)-($P$2/12)</f>
        <v>2016</v>
      </c>
      <c r="AF54" s="23">
        <f t="shared" si="48"/>
        <v>2014.3333333333333</v>
      </c>
      <c r="AG54" s="23">
        <f>$P$4+($P$3/12)</f>
        <v>2015</v>
      </c>
      <c r="AH54" s="23">
        <f t="shared" si="49"/>
        <v>-0.08333333333333333</v>
      </c>
    </row>
    <row r="55" spans="1:34" s="56" customFormat="1" ht="11.25">
      <c r="A55" s="56">
        <v>102183</v>
      </c>
      <c r="B55" s="57" t="s">
        <v>188</v>
      </c>
      <c r="C55" s="58">
        <v>818</v>
      </c>
      <c r="D55" s="59" t="s">
        <v>189</v>
      </c>
      <c r="E55" s="60">
        <v>2010</v>
      </c>
      <c r="F55" s="60">
        <v>7</v>
      </c>
      <c r="G55" s="61">
        <v>0.2</v>
      </c>
      <c r="I55" s="57" t="s">
        <v>52</v>
      </c>
      <c r="J55" s="57">
        <v>7</v>
      </c>
      <c r="K55" s="62">
        <f t="shared" si="35"/>
        <v>2017</v>
      </c>
      <c r="N55" s="63">
        <v>273950.13</v>
      </c>
      <c r="O55" s="64"/>
      <c r="P55" s="63">
        <f t="shared" si="36"/>
        <v>219160.104</v>
      </c>
      <c r="Q55" s="63">
        <f t="shared" si="37"/>
        <v>2609.0488571428573</v>
      </c>
      <c r="R55" s="63">
        <f t="shared" si="38"/>
        <v>31308.586285714286</v>
      </c>
      <c r="S55" s="63">
        <f t="shared" si="39"/>
        <v>0</v>
      </c>
      <c r="T55" s="63">
        <f t="shared" si="40"/>
        <v>31308.586285714286</v>
      </c>
      <c r="U55" s="63">
        <v>1</v>
      </c>
      <c r="V55" s="63">
        <f t="shared" si="41"/>
        <v>31308.586285714286</v>
      </c>
      <c r="W55" s="63"/>
      <c r="X55" s="63">
        <f t="shared" si="42"/>
        <v>46962.87942857143</v>
      </c>
      <c r="Y55" s="63">
        <f t="shared" si="43"/>
        <v>46962.87942857143</v>
      </c>
      <c r="Z55" s="63">
        <v>1</v>
      </c>
      <c r="AA55" s="63">
        <f t="shared" si="44"/>
        <v>46962.87942857143</v>
      </c>
      <c r="AB55" s="63">
        <f t="shared" si="45"/>
        <v>78271.46571428572</v>
      </c>
      <c r="AC55" s="63">
        <f t="shared" si="46"/>
        <v>211332.95742857142</v>
      </c>
      <c r="AD55" s="65">
        <f t="shared" si="47"/>
        <v>2010.5</v>
      </c>
      <c r="AE55" s="65">
        <v>2013</v>
      </c>
      <c r="AF55" s="65">
        <f t="shared" si="48"/>
        <v>2017.5</v>
      </c>
      <c r="AG55" s="65">
        <v>2012</v>
      </c>
      <c r="AH55" s="65">
        <f t="shared" si="49"/>
        <v>-0.08333333333333333</v>
      </c>
    </row>
    <row r="56" spans="1:34" s="56" customFormat="1" ht="11.25">
      <c r="A56" s="56">
        <v>110575</v>
      </c>
      <c r="B56" s="57" t="s">
        <v>77</v>
      </c>
      <c r="C56" s="58">
        <v>823</v>
      </c>
      <c r="D56" s="59" t="s">
        <v>212</v>
      </c>
      <c r="E56" s="60">
        <v>2014</v>
      </c>
      <c r="F56" s="60">
        <v>1</v>
      </c>
      <c r="G56" s="61">
        <v>0.2</v>
      </c>
      <c r="I56" s="57" t="s">
        <v>52</v>
      </c>
      <c r="J56" s="57">
        <v>7</v>
      </c>
      <c r="K56" s="62">
        <f t="shared" si="35"/>
        <v>2021</v>
      </c>
      <c r="N56" s="63">
        <v>319176.65</v>
      </c>
      <c r="O56" s="64"/>
      <c r="P56" s="63">
        <f t="shared" si="36"/>
        <v>255341.32</v>
      </c>
      <c r="Q56" s="63">
        <f t="shared" si="37"/>
        <v>3039.7776190476193</v>
      </c>
      <c r="R56" s="63">
        <f t="shared" si="38"/>
        <v>0</v>
      </c>
      <c r="S56" s="63">
        <f t="shared" si="39"/>
        <v>0</v>
      </c>
      <c r="T56" s="63">
        <f t="shared" si="40"/>
        <v>0</v>
      </c>
      <c r="U56" s="63">
        <v>1</v>
      </c>
      <c r="V56" s="63">
        <f t="shared" si="41"/>
        <v>0</v>
      </c>
      <c r="W56" s="63"/>
      <c r="X56" s="63">
        <f t="shared" si="42"/>
        <v>0</v>
      </c>
      <c r="Y56" s="63">
        <f t="shared" si="43"/>
        <v>0</v>
      </c>
      <c r="Z56" s="63">
        <v>1</v>
      </c>
      <c r="AA56" s="63">
        <f t="shared" si="44"/>
        <v>0</v>
      </c>
      <c r="AB56" s="63">
        <f t="shared" si="45"/>
        <v>0</v>
      </c>
      <c r="AC56" s="63">
        <f t="shared" si="46"/>
        <v>159588.325</v>
      </c>
      <c r="AD56" s="65">
        <f t="shared" si="47"/>
        <v>2014</v>
      </c>
      <c r="AE56" s="65">
        <v>2013</v>
      </c>
      <c r="AF56" s="65">
        <f t="shared" si="48"/>
        <v>2021</v>
      </c>
      <c r="AG56" s="65">
        <v>2012</v>
      </c>
      <c r="AH56" s="65">
        <f t="shared" si="49"/>
        <v>-0.08333333333333333</v>
      </c>
    </row>
    <row r="57" spans="1:34" s="56" customFormat="1" ht="11.25">
      <c r="A57" s="56">
        <v>122581</v>
      </c>
      <c r="B57" s="57" t="s">
        <v>77</v>
      </c>
      <c r="C57" s="58">
        <v>832</v>
      </c>
      <c r="D57" s="59" t="s">
        <v>220</v>
      </c>
      <c r="E57" s="60">
        <v>2015</v>
      </c>
      <c r="F57" s="60">
        <v>5</v>
      </c>
      <c r="G57" s="61">
        <v>0.2</v>
      </c>
      <c r="I57" s="57" t="s">
        <v>52</v>
      </c>
      <c r="J57" s="57">
        <v>7</v>
      </c>
      <c r="K57" s="62">
        <f t="shared" si="35"/>
        <v>2022</v>
      </c>
      <c r="N57" s="63">
        <v>326336.78</v>
      </c>
      <c r="O57" s="64"/>
      <c r="P57" s="63">
        <f t="shared" si="36"/>
        <v>261069.42400000003</v>
      </c>
      <c r="Q57" s="63">
        <f t="shared" si="37"/>
        <v>3107.969333333334</v>
      </c>
      <c r="R57" s="63">
        <f t="shared" si="38"/>
        <v>0</v>
      </c>
      <c r="S57" s="63">
        <f t="shared" si="39"/>
        <v>0</v>
      </c>
      <c r="T57" s="63">
        <f t="shared" si="40"/>
        <v>0</v>
      </c>
      <c r="U57" s="63">
        <v>1</v>
      </c>
      <c r="V57" s="63">
        <f t="shared" si="41"/>
        <v>0</v>
      </c>
      <c r="W57" s="63"/>
      <c r="X57" s="63">
        <f t="shared" si="42"/>
        <v>0</v>
      </c>
      <c r="Y57" s="63">
        <f t="shared" si="43"/>
        <v>0</v>
      </c>
      <c r="Z57" s="63">
        <v>1</v>
      </c>
      <c r="AA57" s="63">
        <f t="shared" si="44"/>
        <v>0</v>
      </c>
      <c r="AB57" s="63">
        <f t="shared" si="45"/>
        <v>0</v>
      </c>
      <c r="AC57" s="63">
        <f t="shared" si="46"/>
        <v>163168.39</v>
      </c>
      <c r="AD57" s="65">
        <f t="shared" si="47"/>
        <v>2015.3333333333333</v>
      </c>
      <c r="AE57" s="65">
        <v>2013</v>
      </c>
      <c r="AF57" s="65">
        <f t="shared" si="48"/>
        <v>2022.3333333333333</v>
      </c>
      <c r="AG57" s="65">
        <v>2012</v>
      </c>
      <c r="AH57" s="65">
        <f t="shared" si="49"/>
        <v>-0.08333333333333333</v>
      </c>
    </row>
    <row r="58" spans="2:34" ht="11.25">
      <c r="B58" s="34"/>
      <c r="C58" s="34"/>
      <c r="D58" s="45"/>
      <c r="E58" s="46"/>
      <c r="F58" s="46"/>
      <c r="G58" s="47"/>
      <c r="I58" s="34"/>
      <c r="J58" s="34"/>
      <c r="K58" s="33"/>
      <c r="N58" s="48"/>
      <c r="O58" s="49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23"/>
      <c r="AE58" s="23"/>
      <c r="AF58" s="23"/>
      <c r="AG58" s="23"/>
      <c r="AH58" s="23"/>
    </row>
    <row r="59" spans="1:34" ht="12" thickBot="1">
      <c r="A59" s="81"/>
      <c r="B59" s="82"/>
      <c r="C59" s="82"/>
      <c r="D59" s="76" t="s">
        <v>195</v>
      </c>
      <c r="E59" s="83"/>
      <c r="F59" s="83"/>
      <c r="G59" s="84"/>
      <c r="H59" s="81"/>
      <c r="I59" s="82"/>
      <c r="J59" s="82"/>
      <c r="K59" s="85"/>
      <c r="L59" s="81"/>
      <c r="M59" s="81"/>
      <c r="N59" s="79">
        <f>SUM(N52:N58)</f>
        <v>1133869.86</v>
      </c>
      <c r="O59" s="86"/>
      <c r="P59" s="79">
        <f>SUM(P52:P58)</f>
        <v>879692.4937999999</v>
      </c>
      <c r="Q59" s="79">
        <f>SUM(Q52:Q58)</f>
        <v>11154.553601428574</v>
      </c>
      <c r="R59" s="79">
        <f>SUM(R52:R58)</f>
        <v>31340.608571428573</v>
      </c>
      <c r="S59" s="99"/>
      <c r="T59" s="99"/>
      <c r="U59" s="99"/>
      <c r="V59" s="79">
        <f>SUM(V52:V58)</f>
        <v>31340.608571428573</v>
      </c>
      <c r="W59" s="99"/>
      <c r="X59" s="99"/>
      <c r="Y59" s="99"/>
      <c r="Z59" s="99"/>
      <c r="AA59" s="79">
        <f>SUM(AA52:AA58)</f>
        <v>191052.50294285716</v>
      </c>
      <c r="AB59" s="79">
        <f>SUM(AB52:AB58)</f>
        <v>222393.11151428573</v>
      </c>
      <c r="AC59" s="79">
        <f>SUM(AC52:AC58)</f>
        <v>604390.3377714285</v>
      </c>
      <c r="AD59" s="23"/>
      <c r="AE59" s="23"/>
      <c r="AF59" s="23"/>
      <c r="AG59" s="23"/>
      <c r="AH59" s="23"/>
    </row>
    <row r="60" spans="1:29" ht="11.25">
      <c r="A60" s="66"/>
      <c r="B60" s="66"/>
      <c r="C60" s="66"/>
      <c r="D60" s="66"/>
      <c r="E60" s="66"/>
      <c r="F60" s="66"/>
      <c r="G60" s="66"/>
      <c r="H60" s="66"/>
      <c r="I60" s="67"/>
      <c r="J60" s="67"/>
      <c r="K60" s="98"/>
      <c r="L60" s="66"/>
      <c r="M60" s="66"/>
      <c r="N60" s="72"/>
      <c r="O60" s="72"/>
      <c r="P60" s="71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</row>
    <row r="61" spans="1:29" s="52" customFormat="1" ht="12" thickBot="1">
      <c r="A61" s="101"/>
      <c r="B61" s="101"/>
      <c r="C61" s="101"/>
      <c r="D61" s="101" t="s">
        <v>225</v>
      </c>
      <c r="E61" s="101"/>
      <c r="F61" s="101"/>
      <c r="G61" s="101"/>
      <c r="H61" s="101"/>
      <c r="I61" s="102"/>
      <c r="J61" s="102"/>
      <c r="K61" s="103"/>
      <c r="L61" s="101"/>
      <c r="M61" s="101"/>
      <c r="N61" s="104">
        <f>N23+N30+N49+N59+N36</f>
        <v>3703906.91</v>
      </c>
      <c r="O61" s="104">
        <f>O23+O30+O49+O59+O36</f>
        <v>0</v>
      </c>
      <c r="P61" s="104">
        <f>P23+P30+P49+P59+P36</f>
        <v>2942552.2817999995</v>
      </c>
      <c r="Q61" s="104">
        <f>Q23+Q30+Q49+Q59+Q36</f>
        <v>35926.017709365085</v>
      </c>
      <c r="R61" s="104">
        <f>R23+R30+R49+R59+R36</f>
        <v>215844.37514285714</v>
      </c>
      <c r="S61" s="104"/>
      <c r="T61" s="104"/>
      <c r="U61" s="104"/>
      <c r="V61" s="104">
        <f>V23+V30+V49+V59+V36</f>
        <v>81509.22485714286</v>
      </c>
      <c r="W61" s="104"/>
      <c r="X61" s="104"/>
      <c r="Y61" s="104"/>
      <c r="Z61" s="104"/>
      <c r="AA61" s="104">
        <f>AA23+AA30+AA49+AA59+AA36</f>
        <v>1428258.3325618955</v>
      </c>
      <c r="AB61" s="104">
        <f>AB23+AB30+AB49+AB59+AB36</f>
        <v>1644102.7077047522</v>
      </c>
      <c r="AC61" s="104">
        <f>AC23+AC30+AC49+AC59+AC36</f>
        <v>1844969.674866676</v>
      </c>
    </row>
    <row r="62" spans="1:29" ht="12" thickTop="1">
      <c r="A62" s="66"/>
      <c r="B62" s="66"/>
      <c r="C62" s="66"/>
      <c r="D62" s="66"/>
      <c r="E62" s="66"/>
      <c r="F62" s="66"/>
      <c r="G62" s="66"/>
      <c r="H62" s="66"/>
      <c r="I62" s="67"/>
      <c r="J62" s="67"/>
      <c r="K62" s="98"/>
      <c r="L62" s="66"/>
      <c r="M62" s="66"/>
      <c r="N62" s="66"/>
      <c r="O62" s="66"/>
      <c r="P62" s="100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</row>
    <row r="63" spans="9:10" ht="11.25">
      <c r="I63" s="34"/>
      <c r="J63" s="34"/>
    </row>
    <row r="64" spans="4:10" ht="11.25">
      <c r="D64" s="52" t="s">
        <v>230</v>
      </c>
      <c r="I64" s="34"/>
      <c r="J64" s="34"/>
    </row>
    <row r="65" spans="1:34" ht="11.25">
      <c r="A65" s="18">
        <v>43740</v>
      </c>
      <c r="B65" s="319" t="s">
        <v>54</v>
      </c>
      <c r="C65" s="320">
        <v>612</v>
      </c>
      <c r="D65" s="321" t="s">
        <v>169</v>
      </c>
      <c r="E65" s="322">
        <v>2006</v>
      </c>
      <c r="F65" s="322">
        <v>10</v>
      </c>
      <c r="G65" s="323">
        <v>0.2</v>
      </c>
      <c r="H65" s="324"/>
      <c r="I65" s="319" t="s">
        <v>52</v>
      </c>
      <c r="J65" s="319">
        <v>7</v>
      </c>
      <c r="K65" s="325">
        <f aca="true" t="shared" si="50" ref="K65:K73">E65+J65</f>
        <v>2013</v>
      </c>
      <c r="L65" s="324"/>
      <c r="M65" s="324"/>
      <c r="N65" s="326">
        <f>120222.34+65281.09</f>
        <v>185503.43</v>
      </c>
      <c r="O65" s="327"/>
      <c r="P65" s="326">
        <f aca="true" t="shared" si="51" ref="P65:P73">N65-N65*G65</f>
        <v>148402.744</v>
      </c>
      <c r="Q65" s="326">
        <f aca="true" t="shared" si="52" ref="Q65:Q73">P65/J65/12</f>
        <v>1766.6993333333332</v>
      </c>
      <c r="R65" s="326">
        <f aca="true" t="shared" si="53" ref="R65:R73">IF(O65&gt;0,0,IF(OR(AD65&gt;AE65,AF65&lt;AG65),0,IF(AND(AF65&gt;=AG65,AF65&lt;=AE65),Q65*((AF65-AG65)*12),IF(AND(AG65&lt;=AD65,AE65&gt;=AD65),((AE65-AD65)*12)*Q65,IF(AF65&gt;AE65,12*Q65,0)))))</f>
        <v>0</v>
      </c>
      <c r="S65" s="326">
        <f aca="true" t="shared" si="54" ref="S65:S73">IF(O65=0,0,IF(AND(AH65&gt;=AG65,AH65&lt;=AF65),((AH65-AG65)*12)*Q65,0))</f>
        <v>0</v>
      </c>
      <c r="T65" s="326">
        <f aca="true" t="shared" si="55" ref="T65:T73">IF(S65&gt;0,S65,R65)</f>
        <v>0</v>
      </c>
      <c r="U65" s="326">
        <v>1</v>
      </c>
      <c r="V65" s="326">
        <f aca="true" t="shared" si="56" ref="V65:V73">U65*SUM(R65:S65)</f>
        <v>0</v>
      </c>
      <c r="W65" s="326"/>
      <c r="X65" s="326">
        <f aca="true" t="shared" si="57" ref="X65:X73">IF(AD65&gt;AE65,0,IF(AF65&lt;AG65,P65,IF(AND(AF65&gt;=AG65,AF65&lt;=AE65),(P65-T65),IF(AND(AG65&lt;=AD65,AE65&gt;=AD65),0,IF(AF65&gt;AE65,((AG65-AD65)*12)*Q65,0)))))</f>
        <v>148402.744</v>
      </c>
      <c r="Y65" s="326">
        <f aca="true" t="shared" si="58" ref="Y65:Y73">X65*U65</f>
        <v>148402.744</v>
      </c>
      <c r="Z65" s="326">
        <v>1</v>
      </c>
      <c r="AA65" s="326">
        <f aca="true" t="shared" si="59" ref="AA65:AA73">Y65*Z65</f>
        <v>148402.744</v>
      </c>
      <c r="AB65" s="326">
        <f aca="true" t="shared" si="60" ref="AB65:AB73">IF(O65&gt;0,0,AA65+V65*Z65)*Z65</f>
        <v>148402.744</v>
      </c>
      <c r="AC65" s="326">
        <f aca="true" t="shared" si="61" ref="AC65:AC73">IF(O65&gt;0,(N65-AA65)/2,IF(AD65&gt;=AG65,(((N65*U65)*Z65)-AB65)/2,((((N65*U65)*Z65)-AA65)+(((N65*U65)*Z65)-AB65))/2))</f>
        <v>37100.68599999999</v>
      </c>
      <c r="AD65" s="23">
        <f aca="true" t="shared" si="62" ref="AD65:AD73">$E65+(($F65-1)/12)</f>
        <v>2006.75</v>
      </c>
      <c r="AE65" s="23">
        <f aca="true" t="shared" si="63" ref="AE65:AE73">($P$5+1)-($P$2/12)</f>
        <v>2016</v>
      </c>
      <c r="AF65" s="23">
        <f aca="true" t="shared" si="64" ref="AF65:AF73">$K65+(($F65-1)/12)</f>
        <v>2013.75</v>
      </c>
      <c r="AG65" s="23">
        <f aca="true" t="shared" si="65" ref="AG65:AG73">$P$4+($P$3/12)</f>
        <v>2015</v>
      </c>
      <c r="AH65" s="23">
        <f aca="true" t="shared" si="66" ref="AH65:AH73">$L65+(($M65-1)/12)</f>
        <v>-0.08333333333333333</v>
      </c>
    </row>
    <row r="66" spans="1:34" ht="11.25">
      <c r="A66" s="18">
        <v>115353</v>
      </c>
      <c r="B66" s="319"/>
      <c r="C66" s="320">
        <v>612</v>
      </c>
      <c r="D66" s="321" t="s">
        <v>214</v>
      </c>
      <c r="E66" s="322">
        <v>2014</v>
      </c>
      <c r="F66" s="322">
        <v>7</v>
      </c>
      <c r="G66" s="323">
        <v>0</v>
      </c>
      <c r="H66" s="324"/>
      <c r="I66" s="319" t="s">
        <v>52</v>
      </c>
      <c r="J66" s="319">
        <v>3</v>
      </c>
      <c r="K66" s="325">
        <f t="shared" si="50"/>
        <v>2017</v>
      </c>
      <c r="L66" s="324"/>
      <c r="M66" s="324"/>
      <c r="N66" s="326">
        <v>18555.36</v>
      </c>
      <c r="O66" s="327"/>
      <c r="P66" s="326">
        <f t="shared" si="51"/>
        <v>18555.36</v>
      </c>
      <c r="Q66" s="326">
        <f t="shared" si="52"/>
        <v>515.4266666666666</v>
      </c>
      <c r="R66" s="326">
        <f t="shared" si="53"/>
        <v>6185.119999999999</v>
      </c>
      <c r="S66" s="326">
        <f t="shared" si="54"/>
        <v>0</v>
      </c>
      <c r="T66" s="326">
        <f t="shared" si="55"/>
        <v>6185.119999999999</v>
      </c>
      <c r="U66" s="326">
        <v>1</v>
      </c>
      <c r="V66" s="326">
        <f t="shared" si="56"/>
        <v>6185.119999999999</v>
      </c>
      <c r="W66" s="326"/>
      <c r="X66" s="326">
        <f t="shared" si="57"/>
        <v>3092.5599999999995</v>
      </c>
      <c r="Y66" s="326">
        <f t="shared" si="58"/>
        <v>3092.5599999999995</v>
      </c>
      <c r="Z66" s="326">
        <v>1</v>
      </c>
      <c r="AA66" s="326">
        <f t="shared" si="59"/>
        <v>3092.5599999999995</v>
      </c>
      <c r="AB66" s="326">
        <f t="shared" si="60"/>
        <v>9277.679999999998</v>
      </c>
      <c r="AC66" s="326">
        <f t="shared" si="61"/>
        <v>12370.240000000002</v>
      </c>
      <c r="AD66" s="23">
        <f t="shared" si="62"/>
        <v>2014.5</v>
      </c>
      <c r="AE66" s="23">
        <f t="shared" si="63"/>
        <v>2016</v>
      </c>
      <c r="AF66" s="23">
        <f t="shared" si="64"/>
        <v>2017.5</v>
      </c>
      <c r="AG66" s="23">
        <f t="shared" si="65"/>
        <v>2015</v>
      </c>
      <c r="AH66" s="23">
        <f t="shared" si="66"/>
        <v>-0.08333333333333333</v>
      </c>
    </row>
    <row r="67" spans="1:34" ht="11.25">
      <c r="A67" s="18">
        <v>22369</v>
      </c>
      <c r="B67" s="319" t="s">
        <v>54</v>
      </c>
      <c r="C67" s="320">
        <v>318</v>
      </c>
      <c r="D67" s="321" t="s">
        <v>109</v>
      </c>
      <c r="E67" s="322">
        <v>2001</v>
      </c>
      <c r="F67" s="322">
        <v>8</v>
      </c>
      <c r="G67" s="323">
        <v>0.2</v>
      </c>
      <c r="H67" s="328"/>
      <c r="I67" s="319" t="s">
        <v>52</v>
      </c>
      <c r="J67" s="319">
        <v>7</v>
      </c>
      <c r="K67" s="325">
        <f t="shared" si="50"/>
        <v>2008</v>
      </c>
      <c r="L67" s="324"/>
      <c r="M67" s="324"/>
      <c r="N67" s="326">
        <v>133281.46</v>
      </c>
      <c r="O67" s="327"/>
      <c r="P67" s="326">
        <f t="shared" si="51"/>
        <v>106625.16799999999</v>
      </c>
      <c r="Q67" s="326">
        <f t="shared" si="52"/>
        <v>1269.347238095238</v>
      </c>
      <c r="R67" s="326">
        <f t="shared" si="53"/>
        <v>0</v>
      </c>
      <c r="S67" s="326">
        <f t="shared" si="54"/>
        <v>0</v>
      </c>
      <c r="T67" s="326">
        <f t="shared" si="55"/>
        <v>0</v>
      </c>
      <c r="U67" s="326">
        <v>1</v>
      </c>
      <c r="V67" s="326">
        <f t="shared" si="56"/>
        <v>0</v>
      </c>
      <c r="W67" s="326"/>
      <c r="X67" s="326">
        <f t="shared" si="57"/>
        <v>106625.16799999999</v>
      </c>
      <c r="Y67" s="326">
        <f t="shared" si="58"/>
        <v>106625.16799999999</v>
      </c>
      <c r="Z67" s="326">
        <v>1</v>
      </c>
      <c r="AA67" s="326">
        <f t="shared" si="59"/>
        <v>106625.16799999999</v>
      </c>
      <c r="AB67" s="326">
        <f t="shared" si="60"/>
        <v>106625.16799999999</v>
      </c>
      <c r="AC67" s="326">
        <f t="shared" si="61"/>
        <v>26656.292</v>
      </c>
      <c r="AD67" s="23">
        <f t="shared" si="62"/>
        <v>2001.5833333333333</v>
      </c>
      <c r="AE67" s="23">
        <f t="shared" si="63"/>
        <v>2016</v>
      </c>
      <c r="AF67" s="23">
        <f t="shared" si="64"/>
        <v>2008.5833333333333</v>
      </c>
      <c r="AG67" s="23">
        <f t="shared" si="65"/>
        <v>2015</v>
      </c>
      <c r="AH67" s="23">
        <f t="shared" si="66"/>
        <v>-0.08333333333333333</v>
      </c>
    </row>
    <row r="68" spans="2:34" ht="11.25">
      <c r="B68" s="319" t="s">
        <v>54</v>
      </c>
      <c r="C68" s="320">
        <v>318</v>
      </c>
      <c r="D68" s="321" t="s">
        <v>111</v>
      </c>
      <c r="E68" s="322">
        <v>2001</v>
      </c>
      <c r="F68" s="322">
        <v>11</v>
      </c>
      <c r="G68" s="323">
        <v>0.2</v>
      </c>
      <c r="H68" s="328"/>
      <c r="I68" s="319" t="s">
        <v>52</v>
      </c>
      <c r="J68" s="319">
        <v>7</v>
      </c>
      <c r="K68" s="325">
        <f t="shared" si="50"/>
        <v>2008</v>
      </c>
      <c r="L68" s="324"/>
      <c r="M68" s="324"/>
      <c r="N68" s="326">
        <v>1229.23</v>
      </c>
      <c r="O68" s="327"/>
      <c r="P68" s="326">
        <f t="shared" si="51"/>
        <v>983.384</v>
      </c>
      <c r="Q68" s="326">
        <f t="shared" si="52"/>
        <v>11.70695238095238</v>
      </c>
      <c r="R68" s="326">
        <f t="shared" si="53"/>
        <v>0</v>
      </c>
      <c r="S68" s="326">
        <f t="shared" si="54"/>
        <v>0</v>
      </c>
      <c r="T68" s="326">
        <f t="shared" si="55"/>
        <v>0</v>
      </c>
      <c r="U68" s="326">
        <v>1</v>
      </c>
      <c r="V68" s="326">
        <f t="shared" si="56"/>
        <v>0</v>
      </c>
      <c r="W68" s="326"/>
      <c r="X68" s="326">
        <f t="shared" si="57"/>
        <v>983.384</v>
      </c>
      <c r="Y68" s="326">
        <f t="shared" si="58"/>
        <v>983.384</v>
      </c>
      <c r="Z68" s="326">
        <v>1</v>
      </c>
      <c r="AA68" s="326">
        <f t="shared" si="59"/>
        <v>983.384</v>
      </c>
      <c r="AB68" s="326">
        <f t="shared" si="60"/>
        <v>983.384</v>
      </c>
      <c r="AC68" s="326">
        <f t="shared" si="61"/>
        <v>245.846</v>
      </c>
      <c r="AD68" s="23">
        <f t="shared" si="62"/>
        <v>2001.8333333333333</v>
      </c>
      <c r="AE68" s="23">
        <f t="shared" si="63"/>
        <v>2016</v>
      </c>
      <c r="AF68" s="23">
        <f t="shared" si="64"/>
        <v>2008.8333333333333</v>
      </c>
      <c r="AG68" s="23">
        <f t="shared" si="65"/>
        <v>2015</v>
      </c>
      <c r="AH68" s="23">
        <f t="shared" si="66"/>
        <v>-0.08333333333333333</v>
      </c>
    </row>
    <row r="69" spans="1:34" ht="11.25">
      <c r="A69" s="18">
        <v>6956</v>
      </c>
      <c r="B69" s="320" t="s">
        <v>170</v>
      </c>
      <c r="C69" s="320">
        <v>152</v>
      </c>
      <c r="D69" s="321" t="s">
        <v>107</v>
      </c>
      <c r="E69" s="322">
        <v>97</v>
      </c>
      <c r="F69" s="322">
        <v>8</v>
      </c>
      <c r="G69" s="323">
        <v>0.2</v>
      </c>
      <c r="H69" s="328"/>
      <c r="I69" s="319" t="s">
        <v>52</v>
      </c>
      <c r="J69" s="319">
        <v>7</v>
      </c>
      <c r="K69" s="325">
        <f t="shared" si="50"/>
        <v>104</v>
      </c>
      <c r="L69" s="324"/>
      <c r="M69" s="324"/>
      <c r="N69" s="326">
        <v>119807.54</v>
      </c>
      <c r="O69" s="327"/>
      <c r="P69" s="326">
        <f t="shared" si="51"/>
        <v>95846.03199999999</v>
      </c>
      <c r="Q69" s="326">
        <f t="shared" si="52"/>
        <v>1141.0241904761904</v>
      </c>
      <c r="R69" s="326">
        <f t="shared" si="53"/>
        <v>0</v>
      </c>
      <c r="S69" s="326">
        <f t="shared" si="54"/>
        <v>0</v>
      </c>
      <c r="T69" s="326">
        <f t="shared" si="55"/>
        <v>0</v>
      </c>
      <c r="U69" s="326">
        <v>1</v>
      </c>
      <c r="V69" s="326">
        <f t="shared" si="56"/>
        <v>0</v>
      </c>
      <c r="W69" s="326"/>
      <c r="X69" s="326">
        <f t="shared" si="57"/>
        <v>95846.03199999999</v>
      </c>
      <c r="Y69" s="326">
        <f t="shared" si="58"/>
        <v>95846.03199999999</v>
      </c>
      <c r="Z69" s="326">
        <v>1</v>
      </c>
      <c r="AA69" s="326">
        <f t="shared" si="59"/>
        <v>95846.03199999999</v>
      </c>
      <c r="AB69" s="326">
        <f t="shared" si="60"/>
        <v>95846.03199999999</v>
      </c>
      <c r="AC69" s="326">
        <f t="shared" si="61"/>
        <v>23961.508</v>
      </c>
      <c r="AD69" s="23">
        <f t="shared" si="62"/>
        <v>97.58333333333333</v>
      </c>
      <c r="AE69" s="23">
        <f t="shared" si="63"/>
        <v>2016</v>
      </c>
      <c r="AF69" s="23">
        <f t="shared" si="64"/>
        <v>104.58333333333333</v>
      </c>
      <c r="AG69" s="23">
        <f t="shared" si="65"/>
        <v>2015</v>
      </c>
      <c r="AH69" s="23">
        <f t="shared" si="66"/>
        <v>-0.08333333333333333</v>
      </c>
    </row>
    <row r="70" spans="1:34" ht="11.25">
      <c r="A70" s="18">
        <v>6957</v>
      </c>
      <c r="B70" s="319" t="s">
        <v>54</v>
      </c>
      <c r="C70" s="320">
        <v>153</v>
      </c>
      <c r="D70" s="321" t="s">
        <v>108</v>
      </c>
      <c r="E70" s="322">
        <v>97</v>
      </c>
      <c r="F70" s="322">
        <v>7</v>
      </c>
      <c r="G70" s="323">
        <v>0.2</v>
      </c>
      <c r="H70" s="328"/>
      <c r="I70" s="319" t="s">
        <v>52</v>
      </c>
      <c r="J70" s="319">
        <v>7</v>
      </c>
      <c r="K70" s="325">
        <f t="shared" si="50"/>
        <v>104</v>
      </c>
      <c r="L70" s="324"/>
      <c r="M70" s="324"/>
      <c r="N70" s="326">
        <v>119807.54</v>
      </c>
      <c r="O70" s="327"/>
      <c r="P70" s="326">
        <f t="shared" si="51"/>
        <v>95846.03199999999</v>
      </c>
      <c r="Q70" s="326">
        <f t="shared" si="52"/>
        <v>1141.0241904761904</v>
      </c>
      <c r="R70" s="326">
        <f t="shared" si="53"/>
        <v>0</v>
      </c>
      <c r="S70" s="326">
        <f t="shared" si="54"/>
        <v>0</v>
      </c>
      <c r="T70" s="326">
        <f t="shared" si="55"/>
        <v>0</v>
      </c>
      <c r="U70" s="326">
        <v>1</v>
      </c>
      <c r="V70" s="326">
        <f t="shared" si="56"/>
        <v>0</v>
      </c>
      <c r="W70" s="326"/>
      <c r="X70" s="326">
        <f t="shared" si="57"/>
        <v>95846.03199999999</v>
      </c>
      <c r="Y70" s="326">
        <f t="shared" si="58"/>
        <v>95846.03199999999</v>
      </c>
      <c r="Z70" s="326">
        <v>1</v>
      </c>
      <c r="AA70" s="326">
        <f t="shared" si="59"/>
        <v>95846.03199999999</v>
      </c>
      <c r="AB70" s="326">
        <f t="shared" si="60"/>
        <v>95846.03199999999</v>
      </c>
      <c r="AC70" s="326">
        <f t="shared" si="61"/>
        <v>23961.508</v>
      </c>
      <c r="AD70" s="23">
        <f t="shared" si="62"/>
        <v>97.5</v>
      </c>
      <c r="AE70" s="23">
        <f t="shared" si="63"/>
        <v>2016</v>
      </c>
      <c r="AF70" s="23">
        <f t="shared" si="64"/>
        <v>104.5</v>
      </c>
      <c r="AG70" s="23">
        <f t="shared" si="65"/>
        <v>2015</v>
      </c>
      <c r="AH70" s="23">
        <f t="shared" si="66"/>
        <v>-0.08333333333333333</v>
      </c>
    </row>
    <row r="71" spans="1:34" ht="11.25">
      <c r="A71" s="18">
        <v>127288</v>
      </c>
      <c r="B71" s="319"/>
      <c r="C71" s="320">
        <v>153</v>
      </c>
      <c r="D71" s="321" t="s">
        <v>223</v>
      </c>
      <c r="E71" s="322">
        <v>2015</v>
      </c>
      <c r="F71" s="322">
        <v>10</v>
      </c>
      <c r="G71" s="323">
        <v>0</v>
      </c>
      <c r="H71" s="324"/>
      <c r="I71" s="319" t="s">
        <v>52</v>
      </c>
      <c r="J71" s="319">
        <v>3</v>
      </c>
      <c r="K71" s="325">
        <f t="shared" si="50"/>
        <v>2018</v>
      </c>
      <c r="L71" s="324"/>
      <c r="M71" s="324"/>
      <c r="N71" s="326">
        <v>7490.62</v>
      </c>
      <c r="O71" s="327"/>
      <c r="P71" s="326">
        <f t="shared" si="51"/>
        <v>7490.62</v>
      </c>
      <c r="Q71" s="326">
        <f t="shared" si="52"/>
        <v>208.0727777777778</v>
      </c>
      <c r="R71" s="326">
        <f t="shared" si="53"/>
        <v>624.2183333333334</v>
      </c>
      <c r="S71" s="326">
        <f t="shared" si="54"/>
        <v>0</v>
      </c>
      <c r="T71" s="326">
        <f t="shared" si="55"/>
        <v>624.2183333333334</v>
      </c>
      <c r="U71" s="326">
        <v>1</v>
      </c>
      <c r="V71" s="326">
        <f t="shared" si="56"/>
        <v>624.2183333333334</v>
      </c>
      <c r="W71" s="326"/>
      <c r="X71" s="326">
        <f t="shared" si="57"/>
        <v>0</v>
      </c>
      <c r="Y71" s="326">
        <f t="shared" si="58"/>
        <v>0</v>
      </c>
      <c r="Z71" s="326">
        <v>1</v>
      </c>
      <c r="AA71" s="326">
        <f t="shared" si="59"/>
        <v>0</v>
      </c>
      <c r="AB71" s="326">
        <f t="shared" si="60"/>
        <v>624.2183333333334</v>
      </c>
      <c r="AC71" s="326">
        <f t="shared" si="61"/>
        <v>3433.2008333333333</v>
      </c>
      <c r="AD71" s="23">
        <f t="shared" si="62"/>
        <v>2015.75</v>
      </c>
      <c r="AE71" s="23">
        <f t="shared" si="63"/>
        <v>2016</v>
      </c>
      <c r="AF71" s="23">
        <f t="shared" si="64"/>
        <v>2018.75</v>
      </c>
      <c r="AG71" s="23">
        <f t="shared" si="65"/>
        <v>2015</v>
      </c>
      <c r="AH71" s="23">
        <f t="shared" si="66"/>
        <v>-0.08333333333333333</v>
      </c>
    </row>
    <row r="72" spans="1:34" ht="11.25">
      <c r="A72" s="18">
        <v>19650</v>
      </c>
      <c r="B72" s="319" t="s">
        <v>54</v>
      </c>
      <c r="C72" s="320">
        <v>609</v>
      </c>
      <c r="D72" s="321" t="s">
        <v>113</v>
      </c>
      <c r="E72" s="322">
        <v>2003</v>
      </c>
      <c r="F72" s="322">
        <v>1</v>
      </c>
      <c r="G72" s="323">
        <v>0.2</v>
      </c>
      <c r="H72" s="324"/>
      <c r="I72" s="319" t="s">
        <v>52</v>
      </c>
      <c r="J72" s="319">
        <v>7</v>
      </c>
      <c r="K72" s="325">
        <f t="shared" si="50"/>
        <v>2010</v>
      </c>
      <c r="L72" s="324"/>
      <c r="M72" s="324"/>
      <c r="N72" s="326">
        <v>123452.02</v>
      </c>
      <c r="O72" s="327"/>
      <c r="P72" s="326">
        <f t="shared" si="51"/>
        <v>98761.61600000001</v>
      </c>
      <c r="Q72" s="326">
        <f t="shared" si="52"/>
        <v>1175.733523809524</v>
      </c>
      <c r="R72" s="326">
        <f t="shared" si="53"/>
        <v>0</v>
      </c>
      <c r="S72" s="326">
        <f t="shared" si="54"/>
        <v>0</v>
      </c>
      <c r="T72" s="326">
        <f t="shared" si="55"/>
        <v>0</v>
      </c>
      <c r="U72" s="326">
        <v>1</v>
      </c>
      <c r="V72" s="326">
        <f t="shared" si="56"/>
        <v>0</v>
      </c>
      <c r="W72" s="326"/>
      <c r="X72" s="326">
        <f t="shared" si="57"/>
        <v>98761.61600000001</v>
      </c>
      <c r="Y72" s="326">
        <f t="shared" si="58"/>
        <v>98761.61600000001</v>
      </c>
      <c r="Z72" s="326">
        <v>1</v>
      </c>
      <c r="AA72" s="326">
        <f t="shared" si="59"/>
        <v>98761.61600000001</v>
      </c>
      <c r="AB72" s="326">
        <f t="shared" si="60"/>
        <v>98761.61600000001</v>
      </c>
      <c r="AC72" s="326">
        <f t="shared" si="61"/>
        <v>24690.403999999995</v>
      </c>
      <c r="AD72" s="23">
        <f t="shared" si="62"/>
        <v>2003</v>
      </c>
      <c r="AE72" s="23">
        <f t="shared" si="63"/>
        <v>2016</v>
      </c>
      <c r="AF72" s="23">
        <f t="shared" si="64"/>
        <v>2010</v>
      </c>
      <c r="AG72" s="23">
        <f t="shared" si="65"/>
        <v>2015</v>
      </c>
      <c r="AH72" s="23">
        <f t="shared" si="66"/>
        <v>-0.08333333333333333</v>
      </c>
    </row>
    <row r="73" spans="1:34" ht="11.25">
      <c r="A73" s="18">
        <v>115354</v>
      </c>
      <c r="B73" s="319"/>
      <c r="C73" s="320">
        <v>609</v>
      </c>
      <c r="D73" s="321" t="s">
        <v>213</v>
      </c>
      <c r="E73" s="322">
        <v>2014</v>
      </c>
      <c r="F73" s="322">
        <v>8</v>
      </c>
      <c r="G73" s="323">
        <v>0</v>
      </c>
      <c r="H73" s="324"/>
      <c r="I73" s="319" t="s">
        <v>52</v>
      </c>
      <c r="J73" s="319">
        <v>3</v>
      </c>
      <c r="K73" s="325">
        <f t="shared" si="50"/>
        <v>2017</v>
      </c>
      <c r="L73" s="324"/>
      <c r="M73" s="324"/>
      <c r="N73" s="326">
        <v>5046.94</v>
      </c>
      <c r="O73" s="327"/>
      <c r="P73" s="326">
        <f t="shared" si="51"/>
        <v>5046.94</v>
      </c>
      <c r="Q73" s="326">
        <f t="shared" si="52"/>
        <v>140.19277777777776</v>
      </c>
      <c r="R73" s="326">
        <f t="shared" si="53"/>
        <v>1682.313333333333</v>
      </c>
      <c r="S73" s="326">
        <f t="shared" si="54"/>
        <v>0</v>
      </c>
      <c r="T73" s="326">
        <f t="shared" si="55"/>
        <v>1682.313333333333</v>
      </c>
      <c r="U73" s="326">
        <v>1</v>
      </c>
      <c r="V73" s="326">
        <f t="shared" si="56"/>
        <v>1682.313333333333</v>
      </c>
      <c r="W73" s="326"/>
      <c r="X73" s="326">
        <f t="shared" si="57"/>
        <v>700.9638888890163</v>
      </c>
      <c r="Y73" s="326">
        <f t="shared" si="58"/>
        <v>700.9638888890163</v>
      </c>
      <c r="Z73" s="326">
        <v>1</v>
      </c>
      <c r="AA73" s="326">
        <f t="shared" si="59"/>
        <v>700.9638888890163</v>
      </c>
      <c r="AB73" s="326">
        <f t="shared" si="60"/>
        <v>2383.2772222223493</v>
      </c>
      <c r="AC73" s="326">
        <f t="shared" si="61"/>
        <v>3504.819444444317</v>
      </c>
      <c r="AD73" s="23">
        <f t="shared" si="62"/>
        <v>2014.5833333333333</v>
      </c>
      <c r="AE73" s="23">
        <f t="shared" si="63"/>
        <v>2016</v>
      </c>
      <c r="AF73" s="23">
        <f t="shared" si="64"/>
        <v>2017.5833333333333</v>
      </c>
      <c r="AG73" s="23">
        <f t="shared" si="65"/>
        <v>2015</v>
      </c>
      <c r="AH73" s="23">
        <f t="shared" si="66"/>
        <v>-0.08333333333333333</v>
      </c>
    </row>
    <row r="74" spans="9:10" ht="11.25">
      <c r="I74" s="34"/>
      <c r="J74" s="34"/>
    </row>
    <row r="75" spans="9:10" ht="11.25">
      <c r="I75" s="46"/>
      <c r="J75" s="46"/>
    </row>
    <row r="76" spans="9:10" ht="11.25">
      <c r="I76" s="34"/>
      <c r="J76" s="34"/>
    </row>
    <row r="77" spans="9:10" ht="11.25">
      <c r="I77" s="34"/>
      <c r="J77" s="34"/>
    </row>
    <row r="78" spans="9:10" ht="11.25">
      <c r="I78" s="34"/>
      <c r="J78" s="34"/>
    </row>
    <row r="79" spans="9:10" ht="11.25">
      <c r="I79" s="34"/>
      <c r="J79" s="34"/>
    </row>
    <row r="80" spans="9:10" ht="11.25">
      <c r="I80" s="34"/>
      <c r="J80" s="34"/>
    </row>
    <row r="81" spans="9:10" ht="11.25">
      <c r="I81" s="34"/>
      <c r="J81" s="34"/>
    </row>
    <row r="82" spans="9:10" ht="11.25">
      <c r="I82" s="34"/>
      <c r="J82" s="34"/>
    </row>
    <row r="83" spans="9:10" ht="11.25">
      <c r="I83" s="34"/>
      <c r="J83" s="34"/>
    </row>
    <row r="84" spans="9:10" ht="11.25">
      <c r="I84" s="34"/>
      <c r="J84" s="34"/>
    </row>
    <row r="85" spans="9:10" ht="11.25">
      <c r="I85" s="34"/>
      <c r="J85" s="34"/>
    </row>
    <row r="86" spans="9:10" ht="11.25">
      <c r="I86" s="34"/>
      <c r="J86" s="34"/>
    </row>
    <row r="87" spans="9:10" ht="11.25">
      <c r="I87" s="34"/>
      <c r="J87" s="34"/>
    </row>
    <row r="88" spans="9:10" ht="11.25">
      <c r="I88" s="34"/>
      <c r="J88" s="34"/>
    </row>
    <row r="89" spans="9:10" ht="11.25">
      <c r="I89" s="34"/>
      <c r="J89" s="34"/>
    </row>
    <row r="90" spans="9:10" ht="11.25">
      <c r="I90" s="34"/>
      <c r="J90" s="34"/>
    </row>
    <row r="91" spans="9:10" ht="11.25">
      <c r="I91" s="34"/>
      <c r="J91" s="34"/>
    </row>
    <row r="92" spans="9:10" ht="11.25">
      <c r="I92" s="34"/>
      <c r="J92" s="34"/>
    </row>
    <row r="93" spans="9:10" ht="11.25">
      <c r="I93" s="34"/>
      <c r="J93" s="34"/>
    </row>
    <row r="94" spans="9:10" ht="11.25">
      <c r="I94" s="34"/>
      <c r="J94" s="34"/>
    </row>
    <row r="95" spans="9:10" ht="11.25">
      <c r="I95" s="34"/>
      <c r="J95" s="34"/>
    </row>
    <row r="96" spans="9:10" ht="11.25">
      <c r="I96" s="34"/>
      <c r="J96" s="34"/>
    </row>
    <row r="97" spans="9:10" ht="11.25">
      <c r="I97" s="34"/>
      <c r="J97" s="34"/>
    </row>
    <row r="98" spans="9:10" ht="11.25">
      <c r="I98" s="34"/>
      <c r="J98" s="34"/>
    </row>
    <row r="99" spans="9:10" ht="11.25">
      <c r="I99" s="34"/>
      <c r="J99" s="34"/>
    </row>
    <row r="100" spans="9:10" ht="11.25">
      <c r="I100" s="34"/>
      <c r="J100" s="34"/>
    </row>
    <row r="101" spans="9:10" ht="11.25">
      <c r="I101" s="34"/>
      <c r="J101" s="34"/>
    </row>
    <row r="102" spans="9:10" ht="11.25">
      <c r="I102" s="34"/>
      <c r="J102" s="34"/>
    </row>
    <row r="103" spans="9:10" ht="11.25">
      <c r="I103" s="34"/>
      <c r="J103" s="34"/>
    </row>
    <row r="104" spans="9:10" ht="11.25">
      <c r="I104" s="34"/>
      <c r="J104" s="34"/>
    </row>
    <row r="105" spans="9:10" ht="11.25">
      <c r="I105" s="34"/>
      <c r="J105" s="34"/>
    </row>
    <row r="106" spans="9:10" ht="11.25">
      <c r="I106" s="34"/>
      <c r="J106" s="34"/>
    </row>
    <row r="107" spans="9:10" ht="11.25">
      <c r="I107" s="34"/>
      <c r="J107" s="34"/>
    </row>
    <row r="108" spans="9:10" ht="11.25">
      <c r="I108" s="34"/>
      <c r="J108" s="34"/>
    </row>
    <row r="109" spans="9:10" ht="11.25">
      <c r="I109" s="34"/>
      <c r="J109" s="34"/>
    </row>
    <row r="110" spans="9:10" ht="11.25">
      <c r="I110" s="34"/>
      <c r="J110" s="34"/>
    </row>
    <row r="111" spans="9:10" ht="11.25">
      <c r="I111" s="34"/>
      <c r="J111" s="34"/>
    </row>
    <row r="112" spans="9:10" ht="11.25">
      <c r="I112" s="34"/>
      <c r="J112" s="34"/>
    </row>
    <row r="113" spans="9:10" ht="11.25">
      <c r="I113" s="34"/>
      <c r="J113" s="34"/>
    </row>
    <row r="114" spans="9:10" ht="11.25">
      <c r="I114" s="34"/>
      <c r="J114" s="34"/>
    </row>
    <row r="115" spans="9:10" ht="11.25">
      <c r="I115" s="34"/>
      <c r="J115" s="34"/>
    </row>
    <row r="116" spans="9:10" ht="11.25">
      <c r="I116" s="34"/>
      <c r="J116" s="34"/>
    </row>
    <row r="117" spans="9:10" ht="11.25">
      <c r="I117" s="34"/>
      <c r="J117" s="34"/>
    </row>
    <row r="118" spans="9:10" ht="11.25">
      <c r="I118" s="34"/>
      <c r="J118" s="34"/>
    </row>
    <row r="119" spans="9:10" ht="11.25">
      <c r="I119" s="34"/>
      <c r="J119" s="34"/>
    </row>
    <row r="120" spans="9:10" ht="11.25">
      <c r="I120" s="34"/>
      <c r="J120" s="34"/>
    </row>
    <row r="121" spans="9:10" ht="11.25">
      <c r="I121" s="34"/>
      <c r="J121" s="34"/>
    </row>
    <row r="122" spans="9:10" ht="11.25">
      <c r="I122" s="34"/>
      <c r="J122" s="34"/>
    </row>
    <row r="123" spans="9:10" ht="11.25">
      <c r="I123" s="34"/>
      <c r="J123" s="34"/>
    </row>
    <row r="124" spans="9:10" ht="11.25">
      <c r="I124" s="34"/>
      <c r="J124" s="34"/>
    </row>
    <row r="125" spans="9:10" ht="11.25">
      <c r="I125" s="34"/>
      <c r="J125" s="34"/>
    </row>
    <row r="126" spans="9:10" ht="11.25">
      <c r="I126" s="34"/>
      <c r="J126" s="34"/>
    </row>
    <row r="127" spans="9:10" ht="11.25">
      <c r="I127" s="34"/>
      <c r="J127" s="34"/>
    </row>
    <row r="128" spans="9:10" ht="11.25">
      <c r="I128" s="34"/>
      <c r="J128" s="34"/>
    </row>
    <row r="129" spans="9:10" ht="11.25">
      <c r="I129" s="34"/>
      <c r="J129" s="34"/>
    </row>
    <row r="130" spans="9:10" ht="11.25">
      <c r="I130" s="34"/>
      <c r="J130" s="34"/>
    </row>
    <row r="131" spans="9:10" ht="11.25">
      <c r="I131" s="34"/>
      <c r="J131" s="34"/>
    </row>
    <row r="132" spans="9:10" ht="11.25">
      <c r="I132" s="34"/>
      <c r="J132" s="34"/>
    </row>
    <row r="133" spans="9:10" ht="11.25">
      <c r="I133" s="34"/>
      <c r="J133" s="34"/>
    </row>
    <row r="134" spans="9:10" ht="11.25">
      <c r="I134" s="34"/>
      <c r="J134" s="34"/>
    </row>
    <row r="135" spans="9:10" ht="11.25">
      <c r="I135" s="34"/>
      <c r="J135" s="34"/>
    </row>
    <row r="136" spans="9:10" ht="11.25">
      <c r="I136" s="34"/>
      <c r="J136" s="34"/>
    </row>
    <row r="137" spans="9:10" ht="11.25">
      <c r="I137" s="34"/>
      <c r="J137" s="34"/>
    </row>
    <row r="138" spans="9:10" ht="11.25">
      <c r="I138" s="34"/>
      <c r="J138" s="34"/>
    </row>
    <row r="139" spans="9:10" ht="11.25">
      <c r="I139" s="34"/>
      <c r="J139" s="34"/>
    </row>
    <row r="140" spans="9:10" ht="11.25">
      <c r="I140" s="34"/>
      <c r="J140" s="34"/>
    </row>
    <row r="141" spans="9:10" ht="11.25">
      <c r="I141" s="34"/>
      <c r="J141" s="34"/>
    </row>
    <row r="142" spans="9:10" ht="11.25">
      <c r="I142" s="34"/>
      <c r="J142" s="34"/>
    </row>
    <row r="143" spans="9:10" ht="11.25">
      <c r="I143" s="34"/>
      <c r="J143" s="34"/>
    </row>
    <row r="144" spans="9:10" ht="11.25">
      <c r="I144" s="34"/>
      <c r="J144" s="34"/>
    </row>
    <row r="145" spans="9:10" ht="11.25">
      <c r="I145" s="34"/>
      <c r="J145" s="34"/>
    </row>
    <row r="146" spans="9:10" ht="11.25">
      <c r="I146" s="34"/>
      <c r="J146" s="34"/>
    </row>
    <row r="147" spans="9:10" ht="11.25">
      <c r="I147" s="34"/>
      <c r="J147" s="34"/>
    </row>
    <row r="148" spans="9:10" ht="11.25">
      <c r="I148" s="34"/>
      <c r="J148" s="34"/>
    </row>
    <row r="149" spans="9:10" ht="11.25">
      <c r="I149" s="34"/>
      <c r="J149" s="34"/>
    </row>
    <row r="150" spans="9:10" ht="11.25">
      <c r="I150" s="34"/>
      <c r="J150" s="34"/>
    </row>
    <row r="151" spans="9:10" ht="11.25">
      <c r="I151" s="34"/>
      <c r="J151" s="34"/>
    </row>
    <row r="152" spans="9:10" ht="11.25">
      <c r="I152" s="34"/>
      <c r="J152" s="34"/>
    </row>
    <row r="153" spans="9:10" ht="11.25">
      <c r="I153" s="34"/>
      <c r="J153" s="34"/>
    </row>
    <row r="154" spans="9:10" ht="11.25">
      <c r="I154" s="34"/>
      <c r="J154" s="34"/>
    </row>
    <row r="155" spans="9:10" ht="11.25">
      <c r="I155" s="34"/>
      <c r="J155" s="34"/>
    </row>
    <row r="156" spans="9:10" ht="11.25">
      <c r="I156" s="34"/>
      <c r="J156" s="34"/>
    </row>
    <row r="157" spans="9:10" ht="11.25">
      <c r="I157" s="34"/>
      <c r="J157" s="34"/>
    </row>
    <row r="158" spans="9:10" ht="11.25">
      <c r="I158" s="34"/>
      <c r="J158" s="34"/>
    </row>
    <row r="159" spans="9:10" ht="11.25">
      <c r="I159" s="34"/>
      <c r="J159" s="34"/>
    </row>
    <row r="160" spans="9:10" ht="11.25">
      <c r="I160" s="34"/>
      <c r="J160" s="34"/>
    </row>
    <row r="161" spans="9:10" ht="11.25">
      <c r="I161" s="34"/>
      <c r="J161" s="34"/>
    </row>
    <row r="162" spans="9:10" ht="11.25">
      <c r="I162" s="34"/>
      <c r="J162" s="34"/>
    </row>
    <row r="163" spans="9:10" ht="11.25">
      <c r="I163" s="34"/>
      <c r="J163" s="34"/>
    </row>
    <row r="164" spans="9:10" ht="11.25">
      <c r="I164" s="34"/>
      <c r="J164" s="34"/>
    </row>
    <row r="165" spans="9:10" ht="11.25">
      <c r="I165" s="34"/>
      <c r="J165" s="34"/>
    </row>
    <row r="166" spans="9:10" ht="11.25">
      <c r="I166" s="34"/>
      <c r="J166" s="34"/>
    </row>
    <row r="167" spans="9:10" ht="11.25">
      <c r="I167" s="34"/>
      <c r="J167" s="34"/>
    </row>
    <row r="168" spans="9:10" ht="11.25">
      <c r="I168" s="34"/>
      <c r="J168" s="34"/>
    </row>
    <row r="169" spans="9:10" ht="11.25">
      <c r="I169" s="34"/>
      <c r="J169" s="34"/>
    </row>
    <row r="170" spans="9:10" ht="11.25">
      <c r="I170" s="34"/>
      <c r="J170" s="34"/>
    </row>
    <row r="171" spans="9:10" ht="11.25">
      <c r="I171" s="34"/>
      <c r="J171" s="34"/>
    </row>
    <row r="172" spans="9:10" ht="11.25">
      <c r="I172" s="34"/>
      <c r="J172" s="34"/>
    </row>
    <row r="173" spans="9:10" ht="11.25">
      <c r="I173" s="34"/>
      <c r="J173" s="34"/>
    </row>
    <row r="174" spans="9:10" ht="11.25">
      <c r="I174" s="34"/>
      <c r="J174" s="34"/>
    </row>
    <row r="175" spans="9:10" ht="11.25">
      <c r="I175" s="34"/>
      <c r="J175" s="34"/>
    </row>
    <row r="176" spans="9:10" ht="11.25">
      <c r="I176" s="34"/>
      <c r="J176" s="34"/>
    </row>
    <row r="177" spans="9:10" ht="11.25">
      <c r="I177" s="34"/>
      <c r="J177" s="34"/>
    </row>
    <row r="178" spans="9:10" ht="11.25">
      <c r="I178" s="34"/>
      <c r="J178" s="34"/>
    </row>
    <row r="179" spans="9:10" ht="11.25">
      <c r="I179" s="34"/>
      <c r="J179" s="34"/>
    </row>
    <row r="180" spans="9:10" ht="11.25">
      <c r="I180" s="34"/>
      <c r="J180" s="34"/>
    </row>
    <row r="181" spans="9:10" ht="11.25">
      <c r="I181" s="34"/>
      <c r="J181" s="34"/>
    </row>
    <row r="182" spans="9:10" ht="11.25">
      <c r="I182" s="34"/>
      <c r="J182" s="34"/>
    </row>
    <row r="183" spans="9:10" ht="11.25">
      <c r="I183" s="34"/>
      <c r="J183" s="34"/>
    </row>
    <row r="184" spans="9:10" ht="11.25">
      <c r="I184" s="34"/>
      <c r="J184" s="34"/>
    </row>
    <row r="185" spans="9:10" ht="11.25">
      <c r="I185" s="34"/>
      <c r="J185" s="34"/>
    </row>
    <row r="186" spans="9:10" ht="11.25">
      <c r="I186" s="34"/>
      <c r="J186" s="34"/>
    </row>
    <row r="187" spans="9:10" ht="11.25">
      <c r="I187" s="34"/>
      <c r="J187" s="34"/>
    </row>
    <row r="188" spans="9:10" ht="11.25">
      <c r="I188" s="34"/>
      <c r="J188" s="34"/>
    </row>
    <row r="189" spans="9:10" ht="11.25">
      <c r="I189" s="34"/>
      <c r="J189" s="34"/>
    </row>
    <row r="190" spans="9:10" ht="11.25">
      <c r="I190" s="34"/>
      <c r="J190" s="34"/>
    </row>
    <row r="191" spans="9:10" ht="11.25">
      <c r="I191" s="34"/>
      <c r="J191" s="34"/>
    </row>
    <row r="192" spans="9:10" ht="11.25">
      <c r="I192" s="34"/>
      <c r="J192" s="34"/>
    </row>
    <row r="193" spans="9:10" ht="11.25">
      <c r="I193" s="34"/>
      <c r="J193" s="34"/>
    </row>
    <row r="194" spans="9:10" ht="11.25">
      <c r="I194" s="34"/>
      <c r="J194" s="34"/>
    </row>
    <row r="195" spans="9:10" ht="11.25">
      <c r="I195" s="34"/>
      <c r="J195" s="34"/>
    </row>
    <row r="196" spans="9:10" ht="11.25">
      <c r="I196" s="34"/>
      <c r="J196" s="34"/>
    </row>
    <row r="197" spans="9:10" ht="11.25">
      <c r="I197" s="34"/>
      <c r="J197" s="34"/>
    </row>
    <row r="198" spans="9:10" ht="11.25">
      <c r="I198" s="34"/>
      <c r="J198" s="34"/>
    </row>
    <row r="199" spans="9:10" ht="11.25">
      <c r="I199" s="34"/>
      <c r="J199" s="34"/>
    </row>
    <row r="200" spans="9:10" ht="11.25">
      <c r="I200" s="34"/>
      <c r="J200" s="34"/>
    </row>
    <row r="201" spans="9:10" ht="11.25">
      <c r="I201" s="34"/>
      <c r="J201" s="34"/>
    </row>
    <row r="202" spans="9:10" ht="11.25">
      <c r="I202" s="34"/>
      <c r="J202" s="34"/>
    </row>
    <row r="203" spans="9:10" ht="11.25">
      <c r="I203" s="34"/>
      <c r="J203" s="34"/>
    </row>
    <row r="204" spans="9:10" ht="11.25">
      <c r="I204" s="34"/>
      <c r="J204" s="34"/>
    </row>
    <row r="205" spans="9:10" ht="11.25">
      <c r="I205" s="34"/>
      <c r="J205" s="34"/>
    </row>
    <row r="206" spans="9:10" ht="11.25">
      <c r="I206" s="34"/>
      <c r="J206" s="34"/>
    </row>
    <row r="207" spans="9:10" ht="11.25">
      <c r="I207" s="34"/>
      <c r="J207" s="34"/>
    </row>
    <row r="208" spans="9:10" ht="11.25">
      <c r="I208" s="34"/>
      <c r="J208" s="34"/>
    </row>
    <row r="209" spans="9:10" ht="11.25">
      <c r="I209" s="34"/>
      <c r="J209" s="34"/>
    </row>
    <row r="210" spans="9:10" ht="11.25">
      <c r="I210" s="34"/>
      <c r="J210" s="34"/>
    </row>
    <row r="211" spans="9:10" ht="11.25">
      <c r="I211" s="34"/>
      <c r="J211" s="34"/>
    </row>
    <row r="212" spans="9:10" ht="11.25">
      <c r="I212" s="34"/>
      <c r="J212" s="34"/>
    </row>
    <row r="213" spans="9:10" ht="11.25">
      <c r="I213" s="34"/>
      <c r="J213" s="34"/>
    </row>
    <row r="214" spans="9:10" ht="11.25">
      <c r="I214" s="34"/>
      <c r="J214" s="34"/>
    </row>
    <row r="215" spans="9:10" ht="11.25">
      <c r="I215" s="34"/>
      <c r="J215" s="34"/>
    </row>
    <row r="216" spans="9:10" ht="11.25">
      <c r="I216" s="34"/>
      <c r="J216" s="34"/>
    </row>
    <row r="217" spans="9:10" ht="11.25">
      <c r="I217" s="34"/>
      <c r="J217" s="34"/>
    </row>
    <row r="218" spans="9:10" ht="11.25">
      <c r="I218" s="34"/>
      <c r="J218" s="34"/>
    </row>
    <row r="219" spans="9:10" ht="11.25">
      <c r="I219" s="34"/>
      <c r="J219" s="34"/>
    </row>
    <row r="220" spans="9:10" ht="11.25">
      <c r="I220" s="34"/>
      <c r="J220" s="34"/>
    </row>
    <row r="221" spans="9:10" ht="11.25">
      <c r="I221" s="34"/>
      <c r="J221" s="34"/>
    </row>
    <row r="222" spans="9:10" ht="11.25">
      <c r="I222" s="34"/>
      <c r="J222" s="34"/>
    </row>
    <row r="223" spans="9:10" ht="11.25">
      <c r="I223" s="34"/>
      <c r="J223" s="34"/>
    </row>
    <row r="224" spans="9:10" ht="11.25">
      <c r="I224" s="34"/>
      <c r="J224" s="34"/>
    </row>
    <row r="225" spans="9:10" ht="11.25">
      <c r="I225" s="34"/>
      <c r="J225" s="34"/>
    </row>
    <row r="226" spans="9:10" ht="11.25">
      <c r="I226" s="34"/>
      <c r="J226" s="34"/>
    </row>
    <row r="227" spans="9:10" ht="11.25">
      <c r="I227" s="34"/>
      <c r="J227" s="34"/>
    </row>
    <row r="228" spans="9:10" ht="11.25">
      <c r="I228" s="34"/>
      <c r="J228" s="34"/>
    </row>
    <row r="229" spans="9:10" ht="11.25">
      <c r="I229" s="34"/>
      <c r="J229" s="34"/>
    </row>
    <row r="230" spans="9:10" ht="11.25">
      <c r="I230" s="34"/>
      <c r="J230" s="34"/>
    </row>
    <row r="231" spans="9:10" ht="11.25">
      <c r="I231" s="34"/>
      <c r="J231" s="34"/>
    </row>
    <row r="232" spans="9:10" ht="11.25">
      <c r="I232" s="34"/>
      <c r="J232" s="34"/>
    </row>
    <row r="233" spans="9:10" ht="11.25">
      <c r="I233" s="34"/>
      <c r="J233" s="34"/>
    </row>
    <row r="234" spans="9:10" ht="11.25">
      <c r="I234" s="34"/>
      <c r="J234" s="34"/>
    </row>
    <row r="235" spans="9:10" ht="11.25">
      <c r="I235" s="34"/>
      <c r="J235" s="34"/>
    </row>
    <row r="236" spans="9:10" ht="11.25">
      <c r="I236" s="34"/>
      <c r="J236" s="34"/>
    </row>
    <row r="237" spans="9:10" ht="11.25">
      <c r="I237" s="34"/>
      <c r="J237" s="34"/>
    </row>
    <row r="238" spans="9:10" ht="11.25">
      <c r="I238" s="34"/>
      <c r="J238" s="34"/>
    </row>
    <row r="239" spans="9:10" ht="11.25">
      <c r="I239" s="34"/>
      <c r="J239" s="34"/>
    </row>
    <row r="240" spans="9:10" ht="11.25">
      <c r="I240" s="34"/>
      <c r="J240" s="34"/>
    </row>
    <row r="241" spans="9:10" ht="11.25">
      <c r="I241" s="34"/>
      <c r="J241" s="34"/>
    </row>
    <row r="242" spans="9:10" ht="11.25">
      <c r="I242" s="34"/>
      <c r="J242" s="34"/>
    </row>
    <row r="243" spans="9:10" ht="11.25">
      <c r="I243" s="34"/>
      <c r="J243" s="34"/>
    </row>
    <row r="244" spans="9:10" ht="11.25">
      <c r="I244" s="34"/>
      <c r="J244" s="34"/>
    </row>
    <row r="245" spans="9:10" ht="11.25">
      <c r="I245" s="34"/>
      <c r="J245" s="34"/>
    </row>
    <row r="246" spans="9:10" ht="11.25">
      <c r="I246" s="34"/>
      <c r="J246" s="34"/>
    </row>
    <row r="247" spans="9:10" ht="11.25">
      <c r="I247" s="34"/>
      <c r="J247" s="34"/>
    </row>
    <row r="248" spans="9:10" ht="11.25">
      <c r="I248" s="34"/>
      <c r="J248" s="34"/>
    </row>
    <row r="249" spans="9:10" ht="11.25">
      <c r="I249" s="34"/>
      <c r="J249" s="34"/>
    </row>
    <row r="250" spans="9:10" ht="11.25">
      <c r="I250" s="34"/>
      <c r="J250" s="34"/>
    </row>
    <row r="251" spans="9:10" ht="11.25">
      <c r="I251" s="34"/>
      <c r="J251" s="34"/>
    </row>
    <row r="252" spans="9:10" ht="11.25">
      <c r="I252" s="34"/>
      <c r="J252" s="34"/>
    </row>
    <row r="253" spans="9:10" ht="11.25">
      <c r="I253" s="34"/>
      <c r="J253" s="34"/>
    </row>
    <row r="254" spans="9:10" ht="11.25">
      <c r="I254" s="34"/>
      <c r="J254" s="34"/>
    </row>
    <row r="255" spans="9:10" ht="11.25">
      <c r="I255" s="34"/>
      <c r="J255" s="34"/>
    </row>
    <row r="256" spans="9:10" ht="11.25">
      <c r="I256" s="34"/>
      <c r="J256" s="34"/>
    </row>
    <row r="257" spans="9:10" ht="11.25">
      <c r="I257" s="34"/>
      <c r="J257" s="34"/>
    </row>
    <row r="258" spans="9:10" ht="11.25">
      <c r="I258" s="34"/>
      <c r="J258" s="34"/>
    </row>
    <row r="259" spans="9:10" ht="11.25">
      <c r="I259" s="34"/>
      <c r="J259" s="34"/>
    </row>
    <row r="260" spans="9:10" ht="11.25">
      <c r="I260" s="34"/>
      <c r="J260" s="34"/>
    </row>
    <row r="261" spans="9:10" ht="11.25">
      <c r="I261" s="34"/>
      <c r="J261" s="34"/>
    </row>
    <row r="262" spans="9:10" ht="11.25">
      <c r="I262" s="34"/>
      <c r="J262" s="34"/>
    </row>
    <row r="263" spans="9:10" ht="11.25">
      <c r="I263" s="34"/>
      <c r="J263" s="34"/>
    </row>
    <row r="264" spans="9:10" ht="11.25">
      <c r="I264" s="34"/>
      <c r="J264" s="34"/>
    </row>
    <row r="265" spans="9:10" ht="11.25">
      <c r="I265" s="34"/>
      <c r="J265" s="34"/>
    </row>
    <row r="266" spans="9:10" ht="11.25">
      <c r="I266" s="34"/>
      <c r="J266" s="34"/>
    </row>
    <row r="267" spans="9:10" ht="11.25">
      <c r="I267" s="34"/>
      <c r="J267" s="34"/>
    </row>
    <row r="268" spans="9:10" ht="11.25">
      <c r="I268" s="34"/>
      <c r="J268" s="34"/>
    </row>
    <row r="269" spans="9:10" ht="11.25">
      <c r="I269" s="34"/>
      <c r="J269" s="34"/>
    </row>
    <row r="270" spans="9:10" ht="11.25">
      <c r="I270" s="34"/>
      <c r="J270" s="34"/>
    </row>
    <row r="271" spans="9:10" ht="11.25">
      <c r="I271" s="34"/>
      <c r="J271" s="34"/>
    </row>
    <row r="272" spans="9:10" ht="11.25">
      <c r="I272" s="34"/>
      <c r="J272" s="34"/>
    </row>
    <row r="273" spans="9:10" ht="11.25">
      <c r="I273" s="34"/>
      <c r="J273" s="34"/>
    </row>
    <row r="274" spans="9:10" ht="11.25">
      <c r="I274" s="34"/>
      <c r="J274" s="34"/>
    </row>
    <row r="275" spans="9:10" ht="11.25">
      <c r="I275" s="34"/>
      <c r="J275" s="34"/>
    </row>
    <row r="276" spans="9:10" ht="11.25">
      <c r="I276" s="34"/>
      <c r="J276" s="34"/>
    </row>
    <row r="277" spans="9:10" ht="11.25">
      <c r="I277" s="34"/>
      <c r="J277" s="34"/>
    </row>
    <row r="278" spans="9:10" ht="11.25">
      <c r="I278" s="34"/>
      <c r="J278" s="34"/>
    </row>
    <row r="279" spans="9:10" ht="11.25">
      <c r="I279" s="34"/>
      <c r="J279" s="34"/>
    </row>
    <row r="280" spans="9:10" ht="11.25">
      <c r="I280" s="34"/>
      <c r="J280" s="34"/>
    </row>
    <row r="281" spans="9:10" ht="11.25">
      <c r="I281" s="34"/>
      <c r="J281" s="34"/>
    </row>
    <row r="282" spans="9:10" ht="11.25">
      <c r="I282" s="34"/>
      <c r="J282" s="34"/>
    </row>
    <row r="283" spans="9:10" ht="11.25">
      <c r="I283" s="34"/>
      <c r="J283" s="34"/>
    </row>
    <row r="284" spans="9:10" ht="11.25">
      <c r="I284" s="34"/>
      <c r="J284" s="34"/>
    </row>
    <row r="285" spans="9:10" ht="11.25">
      <c r="I285" s="34"/>
      <c r="J285" s="34"/>
    </row>
    <row r="286" spans="9:10" ht="11.25">
      <c r="I286" s="34"/>
      <c r="J286" s="34"/>
    </row>
    <row r="287" spans="9:10" ht="11.25">
      <c r="I287" s="34"/>
      <c r="J287" s="34"/>
    </row>
    <row r="288" spans="9:10" ht="11.25">
      <c r="I288" s="34"/>
      <c r="J288" s="34"/>
    </row>
    <row r="289" spans="9:10" ht="11.25">
      <c r="I289" s="34"/>
      <c r="J289" s="34"/>
    </row>
    <row r="290" spans="9:10" ht="11.25">
      <c r="I290" s="34"/>
      <c r="J290" s="34"/>
    </row>
    <row r="291" spans="9:10" ht="11.25">
      <c r="I291" s="34"/>
      <c r="J291" s="34"/>
    </row>
    <row r="292" spans="9:10" ht="11.25">
      <c r="I292" s="34"/>
      <c r="J292" s="34"/>
    </row>
    <row r="293" spans="9:10" ht="11.25">
      <c r="I293" s="34"/>
      <c r="J293" s="34"/>
    </row>
    <row r="294" spans="9:10" ht="11.25">
      <c r="I294" s="34"/>
      <c r="J294" s="34"/>
    </row>
    <row r="295" spans="9:10" ht="11.25">
      <c r="I295" s="34"/>
      <c r="J295" s="34"/>
    </row>
    <row r="296" spans="9:10" ht="11.25">
      <c r="I296" s="34"/>
      <c r="J296" s="34"/>
    </row>
    <row r="297" spans="9:10" ht="11.25">
      <c r="I297" s="34"/>
      <c r="J297" s="34"/>
    </row>
    <row r="298" spans="9:10" ht="11.25">
      <c r="I298" s="34"/>
      <c r="J298" s="34"/>
    </row>
    <row r="299" spans="9:10" ht="11.25">
      <c r="I299" s="34"/>
      <c r="J299" s="34"/>
    </row>
    <row r="300" spans="9:10" ht="11.25">
      <c r="I300" s="34"/>
      <c r="J300" s="34"/>
    </row>
    <row r="301" spans="9:10" ht="11.25">
      <c r="I301" s="34"/>
      <c r="J301" s="34"/>
    </row>
    <row r="302" spans="9:10" ht="11.25">
      <c r="I302" s="34"/>
      <c r="J302" s="34"/>
    </row>
    <row r="303" spans="9:10" ht="11.25">
      <c r="I303" s="34"/>
      <c r="J303" s="34"/>
    </row>
    <row r="304" spans="9:10" ht="11.25">
      <c r="I304" s="34"/>
      <c r="J304" s="34"/>
    </row>
    <row r="305" spans="9:10" ht="11.25">
      <c r="I305" s="34"/>
      <c r="J305" s="34"/>
    </row>
    <row r="306" spans="9:10" ht="11.25">
      <c r="I306" s="34"/>
      <c r="J306" s="34"/>
    </row>
    <row r="307" spans="9:10" ht="11.25">
      <c r="I307" s="34"/>
      <c r="J307" s="34"/>
    </row>
    <row r="308" spans="9:10" ht="11.25">
      <c r="I308" s="34"/>
      <c r="J308" s="34"/>
    </row>
    <row r="309" spans="9:10" ht="11.25">
      <c r="I309" s="34"/>
      <c r="J309" s="34"/>
    </row>
    <row r="310" spans="9:10" ht="11.25">
      <c r="I310" s="34"/>
      <c r="J310" s="34"/>
    </row>
    <row r="311" spans="9:10" ht="11.25">
      <c r="I311" s="34"/>
      <c r="J311" s="34"/>
    </row>
    <row r="312" spans="9:10" ht="11.25">
      <c r="I312" s="34"/>
      <c r="J312" s="34"/>
    </row>
    <row r="313" spans="9:10" ht="11.25">
      <c r="I313" s="34"/>
      <c r="J313" s="34"/>
    </row>
    <row r="314" spans="9:10" ht="11.25">
      <c r="I314" s="34"/>
      <c r="J314" s="34"/>
    </row>
    <row r="315" spans="9:10" ht="11.25">
      <c r="I315" s="34"/>
      <c r="J315" s="34"/>
    </row>
    <row r="316" spans="9:10" ht="11.25">
      <c r="I316" s="34"/>
      <c r="J316" s="34"/>
    </row>
    <row r="317" spans="9:10" ht="11.25">
      <c r="I317" s="34"/>
      <c r="J317" s="34"/>
    </row>
    <row r="318" spans="9:10" ht="11.25">
      <c r="I318" s="34"/>
      <c r="J318" s="34"/>
    </row>
    <row r="319" spans="9:10" ht="11.25">
      <c r="I319" s="34"/>
      <c r="J319" s="34"/>
    </row>
    <row r="320" spans="9:10" ht="11.25">
      <c r="I320" s="34"/>
      <c r="J320" s="34"/>
    </row>
    <row r="321" spans="9:10" ht="11.25">
      <c r="I321" s="34"/>
      <c r="J321" s="34"/>
    </row>
    <row r="322" spans="9:10" ht="11.25">
      <c r="I322" s="34"/>
      <c r="J322" s="34"/>
    </row>
    <row r="323" spans="9:10" ht="11.25">
      <c r="I323" s="34"/>
      <c r="J323" s="34"/>
    </row>
    <row r="324" spans="9:10" ht="11.25">
      <c r="I324" s="34"/>
      <c r="J324" s="34"/>
    </row>
    <row r="325" spans="9:10" ht="11.25">
      <c r="I325" s="34"/>
      <c r="J325" s="34"/>
    </row>
    <row r="326" spans="9:10" ht="11.25">
      <c r="I326" s="34"/>
      <c r="J326" s="34"/>
    </row>
    <row r="327" spans="9:10" ht="11.25">
      <c r="I327" s="34"/>
      <c r="J327" s="34"/>
    </row>
    <row r="328" spans="9:10" ht="11.25">
      <c r="I328" s="34"/>
      <c r="J328" s="34"/>
    </row>
    <row r="329" spans="9:10" ht="11.25">
      <c r="I329" s="34"/>
      <c r="J329" s="34"/>
    </row>
    <row r="330" spans="9:10" ht="11.25">
      <c r="I330" s="34"/>
      <c r="J330" s="34"/>
    </row>
    <row r="331" spans="9:10" ht="11.25">
      <c r="I331" s="34"/>
      <c r="J331" s="34"/>
    </row>
    <row r="332" spans="9:10" ht="11.25">
      <c r="I332" s="34"/>
      <c r="J332" s="34"/>
    </row>
    <row r="333" spans="9:10" ht="11.25">
      <c r="I333" s="34"/>
      <c r="J333" s="34"/>
    </row>
    <row r="334" spans="9:10" ht="11.25">
      <c r="I334" s="34"/>
      <c r="J334" s="34"/>
    </row>
    <row r="335" spans="9:10" ht="11.25">
      <c r="I335" s="34"/>
      <c r="J335" s="34"/>
    </row>
    <row r="336" spans="9:10" ht="11.25">
      <c r="I336" s="34"/>
      <c r="J336" s="34"/>
    </row>
    <row r="337" spans="9:10" ht="11.25">
      <c r="I337" s="34"/>
      <c r="J337" s="34"/>
    </row>
    <row r="338" spans="9:10" ht="11.25">
      <c r="I338" s="34"/>
      <c r="J338" s="34"/>
    </row>
    <row r="339" spans="9:10" ht="11.25">
      <c r="I339" s="34"/>
      <c r="J339" s="34"/>
    </row>
    <row r="340" spans="9:10" ht="11.25">
      <c r="I340" s="34"/>
      <c r="J340" s="34"/>
    </row>
    <row r="341" spans="9:10" ht="11.25">
      <c r="I341" s="34"/>
      <c r="J341" s="34"/>
    </row>
    <row r="342" spans="9:10" ht="11.25">
      <c r="I342" s="34"/>
      <c r="J342" s="34"/>
    </row>
    <row r="343" spans="9:10" ht="11.25">
      <c r="I343" s="34"/>
      <c r="J343" s="34"/>
    </row>
    <row r="344" spans="9:10" ht="11.25">
      <c r="I344" s="34"/>
      <c r="J344" s="34"/>
    </row>
    <row r="345" spans="9:10" ht="11.25">
      <c r="I345" s="34"/>
      <c r="J345" s="34"/>
    </row>
    <row r="346" spans="9:10" ht="11.25">
      <c r="I346" s="34"/>
      <c r="J346" s="34"/>
    </row>
    <row r="347" spans="9:10" ht="11.25">
      <c r="I347" s="34"/>
      <c r="J347" s="34"/>
    </row>
    <row r="348" spans="9:10" ht="11.25">
      <c r="I348" s="34"/>
      <c r="J348" s="34"/>
    </row>
    <row r="349" spans="9:10" ht="11.25">
      <c r="I349" s="34"/>
      <c r="J349" s="34"/>
    </row>
    <row r="350" spans="9:10" ht="11.25">
      <c r="I350" s="34"/>
      <c r="J350" s="34"/>
    </row>
    <row r="351" spans="9:10" ht="11.25">
      <c r="I351" s="34"/>
      <c r="J351" s="34"/>
    </row>
    <row r="352" spans="9:10" ht="11.25">
      <c r="I352" s="34"/>
      <c r="J352" s="34"/>
    </row>
    <row r="353" spans="9:10" ht="11.25">
      <c r="I353" s="34"/>
      <c r="J353" s="34"/>
    </row>
    <row r="354" spans="9:10" ht="11.25">
      <c r="I354" s="34"/>
      <c r="J354" s="34"/>
    </row>
    <row r="355" spans="9:10" ht="11.25">
      <c r="I355" s="34"/>
      <c r="J355" s="34"/>
    </row>
    <row r="356" spans="9:10" ht="11.25">
      <c r="I356" s="34"/>
      <c r="J356" s="34"/>
    </row>
    <row r="357" spans="9:10" ht="11.25">
      <c r="I357" s="34"/>
      <c r="J357" s="34"/>
    </row>
    <row r="358" spans="9:10" ht="11.25">
      <c r="I358" s="34"/>
      <c r="J358" s="34"/>
    </row>
    <row r="359" spans="9:10" ht="11.25">
      <c r="I359" s="34"/>
      <c r="J359" s="34"/>
    </row>
    <row r="360" spans="9:10" ht="11.25">
      <c r="I360" s="34"/>
      <c r="J360" s="34"/>
    </row>
    <row r="361" spans="9:10" ht="11.25">
      <c r="I361" s="34"/>
      <c r="J361" s="34"/>
    </row>
    <row r="362" spans="9:10" ht="11.25">
      <c r="I362" s="34"/>
      <c r="J362" s="34"/>
    </row>
    <row r="363" spans="9:10" ht="11.25">
      <c r="I363" s="34"/>
      <c r="J363" s="34"/>
    </row>
    <row r="364" spans="9:10" ht="11.25">
      <c r="I364" s="34"/>
      <c r="J364" s="34"/>
    </row>
    <row r="365" spans="9:10" ht="11.25">
      <c r="I365" s="34"/>
      <c r="J365" s="34"/>
    </row>
    <row r="366" spans="9:10" ht="11.25">
      <c r="I366" s="34"/>
      <c r="J366" s="34"/>
    </row>
    <row r="367" spans="9:10" ht="11.25">
      <c r="I367" s="34"/>
      <c r="J367" s="34"/>
    </row>
    <row r="368" spans="9:10" ht="11.25">
      <c r="I368" s="34"/>
      <c r="J368" s="34"/>
    </row>
    <row r="369" spans="9:10" ht="11.25">
      <c r="I369" s="34"/>
      <c r="J369" s="34"/>
    </row>
    <row r="370" spans="9:10" ht="11.25">
      <c r="I370" s="34"/>
      <c r="J370" s="34"/>
    </row>
    <row r="371" spans="9:10" ht="11.25">
      <c r="I371" s="34"/>
      <c r="J371" s="34"/>
    </row>
    <row r="372" spans="9:10" ht="11.25">
      <c r="I372" s="34"/>
      <c r="J372" s="34"/>
    </row>
    <row r="373" spans="9:10" ht="11.25">
      <c r="I373" s="34"/>
      <c r="J373" s="34"/>
    </row>
    <row r="374" spans="9:10" ht="11.25">
      <c r="I374" s="34"/>
      <c r="J374" s="34"/>
    </row>
    <row r="375" spans="9:10" ht="11.25">
      <c r="I375" s="34"/>
      <c r="J375" s="34"/>
    </row>
    <row r="376" spans="9:10" ht="11.25">
      <c r="I376" s="34"/>
      <c r="J376" s="34"/>
    </row>
    <row r="377" spans="9:10" ht="11.25">
      <c r="I377" s="34"/>
      <c r="J377" s="34"/>
    </row>
    <row r="378" spans="9:10" ht="11.25">
      <c r="I378" s="34"/>
      <c r="J378" s="34"/>
    </row>
    <row r="379" spans="9:10" ht="11.25">
      <c r="I379" s="34"/>
      <c r="J379" s="34"/>
    </row>
    <row r="380" spans="9:10" ht="11.25">
      <c r="I380" s="34"/>
      <c r="J380" s="34"/>
    </row>
    <row r="381" spans="9:10" ht="11.25">
      <c r="I381" s="34"/>
      <c r="J381" s="34"/>
    </row>
    <row r="382" spans="9:10" ht="11.25">
      <c r="I382" s="34"/>
      <c r="J382" s="34"/>
    </row>
    <row r="383" spans="9:10" ht="11.25">
      <c r="I383" s="34"/>
      <c r="J383" s="34"/>
    </row>
    <row r="384" spans="9:10" ht="11.25">
      <c r="I384" s="34"/>
      <c r="J384" s="34"/>
    </row>
    <row r="385" spans="9:10" ht="11.25">
      <c r="I385" s="34"/>
      <c r="J385" s="34"/>
    </row>
    <row r="386" spans="9:10" ht="11.25">
      <c r="I386" s="34"/>
      <c r="J386" s="34"/>
    </row>
    <row r="387" spans="9:10" ht="11.25">
      <c r="I387" s="34"/>
      <c r="J387" s="34"/>
    </row>
  </sheetData>
  <sheetProtection/>
  <printOptions/>
  <pageMargins left="0.5" right="0.5" top="0.5" bottom="0.55" header="0.5" footer="0.5"/>
  <pageSetup fitToHeight="1" fitToWidth="1" horizontalDpi="600" verticalDpi="600" orientation="landscape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8"/>
  <sheetViews>
    <sheetView zoomScalePageLayoutView="0" workbookViewId="0" topLeftCell="B1">
      <selection activeCell="I28" sqref="I28"/>
    </sheetView>
  </sheetViews>
  <sheetFormatPr defaultColWidth="8.88671875" defaultRowHeight="15.75"/>
  <cols>
    <col min="1" max="1" width="5.5546875" style="56" hidden="1" customWidth="1"/>
    <col min="2" max="2" width="5.77734375" style="56" customWidth="1"/>
    <col min="3" max="3" width="20.4453125" style="56" customWidth="1"/>
    <col min="4" max="4" width="7.4453125" style="56" customWidth="1"/>
    <col min="5" max="5" width="6.5546875" style="56" customWidth="1"/>
    <col min="6" max="6" width="6.99609375" style="56" customWidth="1"/>
    <col min="7" max="7" width="1.33203125" style="56" customWidth="1"/>
    <col min="8" max="8" width="5.4453125" style="56" bestFit="1" customWidth="1"/>
    <col min="9" max="9" width="4.4453125" style="56" bestFit="1" customWidth="1"/>
    <col min="10" max="10" width="3.88671875" style="106" bestFit="1" customWidth="1"/>
    <col min="11" max="11" width="4.4453125" style="56" hidden="1" customWidth="1"/>
    <col min="12" max="12" width="3.10546875" style="56" hidden="1" customWidth="1"/>
    <col min="13" max="13" width="13.99609375" style="56" customWidth="1"/>
    <col min="14" max="14" width="5.21484375" style="56" hidden="1" customWidth="1"/>
    <col min="15" max="15" width="7.99609375" style="56" customWidth="1"/>
    <col min="16" max="16" width="9.21484375" style="56" customWidth="1"/>
    <col min="17" max="17" width="5.88671875" style="56" hidden="1" customWidth="1"/>
    <col min="18" max="18" width="8.88671875" style="56" hidden="1" customWidth="1"/>
    <col min="19" max="19" width="5.88671875" style="56" hidden="1" customWidth="1"/>
    <col min="20" max="20" width="6.5546875" style="56" hidden="1" customWidth="1"/>
    <col min="21" max="21" width="6.4453125" style="56" bestFit="1" customWidth="1"/>
    <col min="22" max="22" width="1.99609375" style="56" customWidth="1"/>
    <col min="23" max="24" width="6.88671875" style="56" hidden="1" customWidth="1"/>
    <col min="25" max="25" width="5.10546875" style="56" hidden="1" customWidth="1"/>
    <col min="26" max="28" width="7.77734375" style="56" bestFit="1" customWidth="1"/>
    <col min="29" max="30" width="6.10546875" style="56" hidden="1" customWidth="1"/>
    <col min="31" max="31" width="8.10546875" style="56" hidden="1" customWidth="1"/>
    <col min="32" max="32" width="6.10546875" style="56" hidden="1" customWidth="1"/>
    <col min="33" max="33" width="3.88671875" style="56" hidden="1" customWidth="1"/>
    <col min="34" max="16384" width="8.88671875" style="56" customWidth="1"/>
  </cols>
  <sheetData>
    <row r="1" spans="3:30" ht="35.25" customHeight="1">
      <c r="C1" s="105" t="s">
        <v>164</v>
      </c>
      <c r="M1" s="21" t="s">
        <v>201</v>
      </c>
      <c r="O1" s="22" t="s">
        <v>203</v>
      </c>
      <c r="P1" s="65"/>
      <c r="Z1" s="107"/>
      <c r="AA1" s="108"/>
      <c r="AD1" s="109">
        <f>Summary!F5</f>
        <v>42005</v>
      </c>
    </row>
    <row r="2" spans="3:16" ht="11.25">
      <c r="C2" s="105" t="s">
        <v>0</v>
      </c>
      <c r="M2" s="25" t="s">
        <v>202</v>
      </c>
      <c r="O2" s="110">
        <v>12</v>
      </c>
      <c r="P2" s="111" t="s">
        <v>1</v>
      </c>
    </row>
    <row r="3" spans="3:31" ht="11.25">
      <c r="C3" s="112">
        <f>Summary!H5</f>
        <v>42369</v>
      </c>
      <c r="M3" s="29" t="s">
        <v>199</v>
      </c>
      <c r="O3" s="110">
        <v>0</v>
      </c>
      <c r="P3" s="111" t="s">
        <v>3</v>
      </c>
      <c r="AD3" s="56" t="s">
        <v>4</v>
      </c>
      <c r="AE3" s="56" t="s">
        <v>5</v>
      </c>
    </row>
    <row r="4" spans="13:31" ht="11.25">
      <c r="M4" s="30" t="s">
        <v>200</v>
      </c>
      <c r="O4" s="113">
        <v>2015</v>
      </c>
      <c r="P4" s="111" t="s">
        <v>6</v>
      </c>
      <c r="AD4" s="56" t="s">
        <v>7</v>
      </c>
      <c r="AE4" s="56" t="s">
        <v>8</v>
      </c>
    </row>
    <row r="5" spans="15:31" ht="11.25">
      <c r="O5" s="113">
        <v>2016</v>
      </c>
      <c r="P5" s="111" t="s">
        <v>11</v>
      </c>
      <c r="AD5" s="56" t="s">
        <v>12</v>
      </c>
      <c r="AE5" s="56" t="s">
        <v>13</v>
      </c>
    </row>
    <row r="6" spans="30:31" ht="11.25">
      <c r="AD6" s="56" t="s">
        <v>15</v>
      </c>
      <c r="AE6" s="56" t="s">
        <v>16</v>
      </c>
    </row>
    <row r="7" spans="30:31" ht="11.25">
      <c r="AD7" s="56" t="s">
        <v>20</v>
      </c>
      <c r="AE7" s="56" t="s">
        <v>21</v>
      </c>
    </row>
    <row r="8" spans="2:28" ht="11.25">
      <c r="B8" s="65"/>
      <c r="C8" s="65"/>
      <c r="D8" s="65"/>
      <c r="E8" s="65"/>
      <c r="F8" s="65"/>
      <c r="G8" s="65"/>
      <c r="H8" s="65"/>
      <c r="I8" s="65"/>
      <c r="J8" s="114"/>
      <c r="R8" s="57" t="s">
        <v>25</v>
      </c>
      <c r="U8" s="58" t="s">
        <v>17</v>
      </c>
      <c r="W8" s="58" t="s">
        <v>18</v>
      </c>
      <c r="X8" s="58" t="s">
        <v>87</v>
      </c>
      <c r="Z8" s="58" t="s">
        <v>19</v>
      </c>
      <c r="AA8" s="58" t="s">
        <v>19</v>
      </c>
      <c r="AB8" s="58"/>
    </row>
    <row r="9" spans="1:28" ht="11.25">
      <c r="A9" s="58"/>
      <c r="B9" s="58" t="s">
        <v>57</v>
      </c>
      <c r="C9" s="115" t="s">
        <v>58</v>
      </c>
      <c r="D9" s="58" t="s">
        <v>59</v>
      </c>
      <c r="E9" s="58"/>
      <c r="F9" s="116" t="s">
        <v>23</v>
      </c>
      <c r="G9" s="65"/>
      <c r="H9" s="58" t="s">
        <v>57</v>
      </c>
      <c r="I9" s="58"/>
      <c r="J9" s="117" t="s">
        <v>24</v>
      </c>
      <c r="K9" s="58" t="s">
        <v>57</v>
      </c>
      <c r="M9" s="58" t="s">
        <v>57</v>
      </c>
      <c r="N9" s="57" t="s">
        <v>31</v>
      </c>
      <c r="O9" s="115" t="s">
        <v>57</v>
      </c>
      <c r="P9" s="115"/>
      <c r="Q9" s="58" t="s">
        <v>68</v>
      </c>
      <c r="R9" s="57" t="s">
        <v>24</v>
      </c>
      <c r="S9" s="58" t="s">
        <v>17</v>
      </c>
      <c r="T9" s="58" t="s">
        <v>34</v>
      </c>
      <c r="U9" s="58" t="s">
        <v>19</v>
      </c>
      <c r="W9" s="58" t="s">
        <v>86</v>
      </c>
      <c r="X9" s="58" t="s">
        <v>86</v>
      </c>
      <c r="Y9" s="57" t="s">
        <v>27</v>
      </c>
      <c r="Z9" s="58" t="s">
        <v>28</v>
      </c>
      <c r="AA9" s="58" t="s">
        <v>28</v>
      </c>
      <c r="AB9" s="58" t="s">
        <v>38</v>
      </c>
    </row>
    <row r="10" spans="1:33" ht="11.25">
      <c r="A10" s="58"/>
      <c r="B10" s="58" t="s">
        <v>85</v>
      </c>
      <c r="C10" s="115"/>
      <c r="D10" s="58" t="s">
        <v>61</v>
      </c>
      <c r="E10" s="58"/>
      <c r="F10" s="116" t="s">
        <v>29</v>
      </c>
      <c r="G10" s="65"/>
      <c r="H10" s="58" t="s">
        <v>30</v>
      </c>
      <c r="I10" s="58" t="s">
        <v>64</v>
      </c>
      <c r="J10" s="117" t="s">
        <v>65</v>
      </c>
      <c r="K10" s="58" t="s">
        <v>31</v>
      </c>
      <c r="L10" s="56" t="s">
        <v>41</v>
      </c>
      <c r="M10" s="58" t="s">
        <v>31</v>
      </c>
      <c r="N10" s="57" t="s">
        <v>25</v>
      </c>
      <c r="O10" s="58" t="s">
        <v>67</v>
      </c>
      <c r="P10" s="58" t="s">
        <v>69</v>
      </c>
      <c r="Q10" s="58" t="s">
        <v>24</v>
      </c>
      <c r="R10" s="57" t="s">
        <v>43</v>
      </c>
      <c r="S10" s="58" t="s">
        <v>33</v>
      </c>
      <c r="T10" s="58" t="s">
        <v>36</v>
      </c>
      <c r="U10" s="58" t="s">
        <v>32</v>
      </c>
      <c r="V10" s="58"/>
      <c r="W10" s="58" t="s">
        <v>67</v>
      </c>
      <c r="X10" s="58" t="s">
        <v>67</v>
      </c>
      <c r="Y10" s="58" t="s">
        <v>36</v>
      </c>
      <c r="Z10" s="58" t="s">
        <v>37</v>
      </c>
      <c r="AA10" s="58" t="s">
        <v>37</v>
      </c>
      <c r="AB10" s="58" t="s">
        <v>45</v>
      </c>
      <c r="AC10" s="57" t="s">
        <v>4</v>
      </c>
      <c r="AD10" s="57" t="s">
        <v>46</v>
      </c>
      <c r="AE10" s="57" t="s">
        <v>47</v>
      </c>
      <c r="AF10" s="57" t="s">
        <v>15</v>
      </c>
      <c r="AG10" s="57" t="s">
        <v>20</v>
      </c>
    </row>
    <row r="11" spans="1:28" ht="11.25">
      <c r="A11" s="118" t="s">
        <v>53</v>
      </c>
      <c r="B11" s="118" t="s">
        <v>62</v>
      </c>
      <c r="C11" s="119" t="s">
        <v>63</v>
      </c>
      <c r="D11" s="118" t="s">
        <v>24</v>
      </c>
      <c r="E11" s="118" t="s">
        <v>39</v>
      </c>
      <c r="F11" s="120" t="s">
        <v>34</v>
      </c>
      <c r="G11" s="65" t="s">
        <v>49</v>
      </c>
      <c r="H11" s="118" t="s">
        <v>40</v>
      </c>
      <c r="I11" s="118" t="s">
        <v>66</v>
      </c>
      <c r="J11" s="121" t="s">
        <v>67</v>
      </c>
      <c r="K11" s="118" t="s">
        <v>42</v>
      </c>
      <c r="L11" s="122" t="s">
        <v>49</v>
      </c>
      <c r="M11" s="118" t="s">
        <v>42</v>
      </c>
      <c r="N11" s="122" t="s">
        <v>49</v>
      </c>
      <c r="O11" s="118" t="s">
        <v>42</v>
      </c>
      <c r="P11" s="118" t="s">
        <v>67</v>
      </c>
      <c r="Q11" s="118" t="s">
        <v>67</v>
      </c>
      <c r="R11" s="122" t="s">
        <v>49</v>
      </c>
      <c r="S11" s="58" t="s">
        <v>44</v>
      </c>
      <c r="T11" s="118" t="s">
        <v>49</v>
      </c>
      <c r="U11" s="58" t="s">
        <v>37</v>
      </c>
      <c r="V11" s="58"/>
      <c r="W11" s="123">
        <f>AD1</f>
        <v>42005</v>
      </c>
      <c r="X11" s="123">
        <f>+C3</f>
        <v>42369</v>
      </c>
      <c r="Y11" s="58" t="s">
        <v>34</v>
      </c>
      <c r="Z11" s="124">
        <f>+W11</f>
        <v>42005</v>
      </c>
      <c r="AA11" s="124">
        <f>+C3</f>
        <v>42369</v>
      </c>
      <c r="AB11" s="124">
        <f>AA11</f>
        <v>42369</v>
      </c>
    </row>
    <row r="12" ht="11.25"/>
    <row r="13" spans="1:33" ht="11.25">
      <c r="A13" s="57"/>
      <c r="B13" s="57">
        <v>10</v>
      </c>
      <c r="C13" s="59" t="s">
        <v>120</v>
      </c>
      <c r="D13" s="60">
        <v>1989</v>
      </c>
      <c r="E13" s="60">
        <v>10</v>
      </c>
      <c r="F13" s="60">
        <v>0</v>
      </c>
      <c r="G13" s="65"/>
      <c r="H13" s="57" t="s">
        <v>52</v>
      </c>
      <c r="I13" s="57">
        <v>10</v>
      </c>
      <c r="J13" s="114">
        <f aca="true" t="shared" si="0" ref="J13:J55">D13+I13</f>
        <v>1999</v>
      </c>
      <c r="M13" s="63">
        <v>4143.05</v>
      </c>
      <c r="N13" s="64">
        <v>0</v>
      </c>
      <c r="O13" s="63">
        <f aca="true" t="shared" si="1" ref="O13:O55">M13-M13*F13</f>
        <v>4143.05</v>
      </c>
      <c r="P13" s="63">
        <f aca="true" t="shared" si="2" ref="P13:P55">O13/I13/12</f>
        <v>34.525416666666665</v>
      </c>
      <c r="Q13" s="63">
        <f aca="true" t="shared" si="3" ref="Q13:Q55">IF(N13&gt;0,0,IF(OR(AC13&gt;AD13,AE13&lt;AF13),0,IF(AND(AE13&gt;=AF13,AE13&lt;=AD13),P13*((AE13-AF13)*12),IF(AND(AF13&lt;=AC13,AD13&gt;=AC13),((AD13-AC13)*12)*P13,IF(AE13&gt;AD13,12*P13,0)))))</f>
        <v>0</v>
      </c>
      <c r="R13" s="63">
        <f aca="true" t="shared" si="4" ref="R13:R55">IF(N13=0,0,IF(AND(AG13&gt;=AF13,AG13&lt;=AE13),((AG13-AF13)*12)*P13,0))</f>
        <v>0</v>
      </c>
      <c r="S13" s="63">
        <f aca="true" t="shared" si="5" ref="S13:S55">IF(R13&gt;0,R13,Q13)</f>
        <v>0</v>
      </c>
      <c r="T13" s="63">
        <v>1</v>
      </c>
      <c r="U13" s="63">
        <f aca="true" t="shared" si="6" ref="U13:U55">T13*SUM(Q13:R13)</f>
        <v>0</v>
      </c>
      <c r="V13" s="63"/>
      <c r="W13" s="63">
        <f aca="true" t="shared" si="7" ref="W13:W55">IF(AC13&gt;AD13,0,IF(AE13&lt;AF13,O13,IF(AND(AE13&gt;=AF13,AE13&lt;=AD13),(O13-S13),IF(AND(AF13&lt;=AC13,AD13&gt;=AC13),0,IF(AE13&gt;AD13,((AF13-AC13)*12)*P13,0)))))</f>
        <v>4143.05</v>
      </c>
      <c r="X13" s="63">
        <f aca="true" t="shared" si="8" ref="X13:X55">W13*T13</f>
        <v>4143.05</v>
      </c>
      <c r="Y13" s="63">
        <v>1</v>
      </c>
      <c r="Z13" s="63">
        <f aca="true" t="shared" si="9" ref="Z13:Z55">X13*Y13</f>
        <v>4143.05</v>
      </c>
      <c r="AA13" s="63">
        <f aca="true" t="shared" si="10" ref="AA13:AA55">IF(N13&gt;0,0,Z13+U13*Y13)*Y13</f>
        <v>4143.05</v>
      </c>
      <c r="AB13" s="63">
        <f aca="true" t="shared" si="11" ref="AB13:AB55">IF(N13&gt;0,(M13-Z13)/2,IF(AC13&gt;=AF13,(((M13*T13)*Y13)-AA13)/2,((((M13*T13)*Y13)-Z13)+(((M13*T13)*Y13)-AA13))/2))</f>
        <v>0</v>
      </c>
      <c r="AC13" s="65">
        <f aca="true" t="shared" si="12" ref="AC13:AC55">$D13+(($E13-1)/12)</f>
        <v>1989.75</v>
      </c>
      <c r="AD13" s="65">
        <f aca="true" t="shared" si="13" ref="AD13:AD55">($O$5+1)-($O$2/12)</f>
        <v>2016</v>
      </c>
      <c r="AE13" s="65">
        <f aca="true" t="shared" si="14" ref="AE13:AE55">$J13+(($E13-1)/12)</f>
        <v>1999.75</v>
      </c>
      <c r="AF13" s="65">
        <f aca="true" t="shared" si="15" ref="AF13:AF55">$O$4+($O$3/12)</f>
        <v>2015</v>
      </c>
      <c r="AG13" s="65">
        <f aca="true" t="shared" si="16" ref="AG13:AG55">$K13+(($L13-1)/12)</f>
        <v>-0.08333333333333333</v>
      </c>
    </row>
    <row r="14" spans="1:33" ht="11.25">
      <c r="A14" s="57"/>
      <c r="B14" s="57">
        <v>10</v>
      </c>
      <c r="C14" s="59" t="s">
        <v>121</v>
      </c>
      <c r="D14" s="60">
        <v>1989</v>
      </c>
      <c r="E14" s="60">
        <v>12</v>
      </c>
      <c r="F14" s="60">
        <v>0</v>
      </c>
      <c r="G14" s="65"/>
      <c r="H14" s="57" t="s">
        <v>52</v>
      </c>
      <c r="I14" s="57">
        <v>10</v>
      </c>
      <c r="J14" s="114">
        <f t="shared" si="0"/>
        <v>1999</v>
      </c>
      <c r="M14" s="63">
        <v>4143.05</v>
      </c>
      <c r="N14" s="64">
        <v>0</v>
      </c>
      <c r="O14" s="63">
        <f t="shared" si="1"/>
        <v>4143.05</v>
      </c>
      <c r="P14" s="63">
        <f t="shared" si="2"/>
        <v>34.525416666666665</v>
      </c>
      <c r="Q14" s="63">
        <f t="shared" si="3"/>
        <v>0</v>
      </c>
      <c r="R14" s="63">
        <f t="shared" si="4"/>
        <v>0</v>
      </c>
      <c r="S14" s="63">
        <f t="shared" si="5"/>
        <v>0</v>
      </c>
      <c r="T14" s="63">
        <v>1</v>
      </c>
      <c r="U14" s="63">
        <f t="shared" si="6"/>
        <v>0</v>
      </c>
      <c r="V14" s="63"/>
      <c r="W14" s="63">
        <f t="shared" si="7"/>
        <v>4143.05</v>
      </c>
      <c r="X14" s="63">
        <f t="shared" si="8"/>
        <v>4143.05</v>
      </c>
      <c r="Y14" s="63">
        <v>1</v>
      </c>
      <c r="Z14" s="63">
        <f t="shared" si="9"/>
        <v>4143.05</v>
      </c>
      <c r="AA14" s="63">
        <f t="shared" si="10"/>
        <v>4143.05</v>
      </c>
      <c r="AB14" s="63">
        <f t="shared" si="11"/>
        <v>0</v>
      </c>
      <c r="AC14" s="65">
        <f t="shared" si="12"/>
        <v>1989.9166666666667</v>
      </c>
      <c r="AD14" s="65">
        <f t="shared" si="13"/>
        <v>2016</v>
      </c>
      <c r="AE14" s="65">
        <f t="shared" si="14"/>
        <v>1999.9166666666667</v>
      </c>
      <c r="AF14" s="65">
        <f t="shared" si="15"/>
        <v>2015</v>
      </c>
      <c r="AG14" s="65">
        <f t="shared" si="16"/>
        <v>-0.08333333333333333</v>
      </c>
    </row>
    <row r="15" spans="1:33" ht="11.25">
      <c r="A15" s="57"/>
      <c r="B15" s="57">
        <v>15</v>
      </c>
      <c r="C15" s="59" t="s">
        <v>122</v>
      </c>
      <c r="D15" s="60">
        <v>1992</v>
      </c>
      <c r="E15" s="60">
        <v>4</v>
      </c>
      <c r="F15" s="60">
        <v>0</v>
      </c>
      <c r="G15" s="65"/>
      <c r="H15" s="57" t="s">
        <v>52</v>
      </c>
      <c r="I15" s="57">
        <v>10</v>
      </c>
      <c r="J15" s="114">
        <f t="shared" si="0"/>
        <v>2002</v>
      </c>
      <c r="M15" s="63">
        <v>4608.45</v>
      </c>
      <c r="N15" s="127" t="s">
        <v>49</v>
      </c>
      <c r="O15" s="63">
        <f t="shared" si="1"/>
        <v>4608.45</v>
      </c>
      <c r="P15" s="63">
        <f t="shared" si="2"/>
        <v>38.403749999999995</v>
      </c>
      <c r="Q15" s="63">
        <f t="shared" si="3"/>
        <v>0</v>
      </c>
      <c r="R15" s="63">
        <f t="shared" si="4"/>
        <v>0</v>
      </c>
      <c r="S15" s="63">
        <f t="shared" si="5"/>
        <v>0</v>
      </c>
      <c r="T15" s="63">
        <v>1</v>
      </c>
      <c r="U15" s="63">
        <f t="shared" si="6"/>
        <v>0</v>
      </c>
      <c r="V15" s="63"/>
      <c r="W15" s="63">
        <f t="shared" si="7"/>
        <v>4608.45</v>
      </c>
      <c r="X15" s="63">
        <f t="shared" si="8"/>
        <v>4608.45</v>
      </c>
      <c r="Y15" s="63">
        <v>1</v>
      </c>
      <c r="Z15" s="63">
        <f t="shared" si="9"/>
        <v>4608.45</v>
      </c>
      <c r="AA15" s="63">
        <f t="shared" si="10"/>
        <v>0</v>
      </c>
      <c r="AB15" s="63">
        <f t="shared" si="11"/>
        <v>0</v>
      </c>
      <c r="AC15" s="65">
        <f t="shared" si="12"/>
        <v>1992.25</v>
      </c>
      <c r="AD15" s="65">
        <f t="shared" si="13"/>
        <v>2016</v>
      </c>
      <c r="AE15" s="65">
        <f t="shared" si="14"/>
        <v>2002.25</v>
      </c>
      <c r="AF15" s="65">
        <f t="shared" si="15"/>
        <v>2015</v>
      </c>
      <c r="AG15" s="65">
        <f t="shared" si="16"/>
        <v>-0.08333333333333333</v>
      </c>
    </row>
    <row r="16" spans="1:33" ht="11.25">
      <c r="A16" s="125"/>
      <c r="B16" s="57">
        <v>12</v>
      </c>
      <c r="C16" s="59" t="s">
        <v>123</v>
      </c>
      <c r="D16" s="60">
        <v>1992</v>
      </c>
      <c r="E16" s="60">
        <v>6</v>
      </c>
      <c r="F16" s="60">
        <v>0</v>
      </c>
      <c r="G16" s="65"/>
      <c r="H16" s="57" t="s">
        <v>52</v>
      </c>
      <c r="I16" s="57">
        <v>10</v>
      </c>
      <c r="J16" s="114">
        <f t="shared" si="0"/>
        <v>2002</v>
      </c>
      <c r="M16" s="63">
        <v>4961.21</v>
      </c>
      <c r="N16" s="126"/>
      <c r="O16" s="63">
        <f t="shared" si="1"/>
        <v>4961.21</v>
      </c>
      <c r="P16" s="63">
        <f t="shared" si="2"/>
        <v>41.34341666666666</v>
      </c>
      <c r="Q16" s="63">
        <f t="shared" si="3"/>
        <v>0</v>
      </c>
      <c r="R16" s="63">
        <f t="shared" si="4"/>
        <v>0</v>
      </c>
      <c r="S16" s="63">
        <f t="shared" si="5"/>
        <v>0</v>
      </c>
      <c r="T16" s="63">
        <v>1</v>
      </c>
      <c r="U16" s="63">
        <f t="shared" si="6"/>
        <v>0</v>
      </c>
      <c r="V16" s="63"/>
      <c r="W16" s="63">
        <f t="shared" si="7"/>
        <v>4961.21</v>
      </c>
      <c r="X16" s="63">
        <f t="shared" si="8"/>
        <v>4961.21</v>
      </c>
      <c r="Y16" s="63">
        <v>1</v>
      </c>
      <c r="Z16" s="63">
        <f t="shared" si="9"/>
        <v>4961.21</v>
      </c>
      <c r="AA16" s="63">
        <f t="shared" si="10"/>
        <v>4961.21</v>
      </c>
      <c r="AB16" s="63">
        <f t="shared" si="11"/>
        <v>0</v>
      </c>
      <c r="AC16" s="65">
        <f t="shared" si="12"/>
        <v>1992.4166666666667</v>
      </c>
      <c r="AD16" s="65">
        <f t="shared" si="13"/>
        <v>2016</v>
      </c>
      <c r="AE16" s="65">
        <f t="shared" si="14"/>
        <v>2002.4166666666667</v>
      </c>
      <c r="AF16" s="65">
        <f t="shared" si="15"/>
        <v>2015</v>
      </c>
      <c r="AG16" s="65">
        <f t="shared" si="16"/>
        <v>-0.08333333333333333</v>
      </c>
    </row>
    <row r="17" spans="1:33" ht="11.25">
      <c r="A17" s="125"/>
      <c r="B17" s="57">
        <v>25</v>
      </c>
      <c r="C17" s="59" t="s">
        <v>79</v>
      </c>
      <c r="D17" s="60">
        <v>1993</v>
      </c>
      <c r="E17" s="60">
        <v>5</v>
      </c>
      <c r="F17" s="60">
        <v>0</v>
      </c>
      <c r="G17" s="65"/>
      <c r="H17" s="57" t="s">
        <v>52</v>
      </c>
      <c r="I17" s="57">
        <v>10</v>
      </c>
      <c r="J17" s="114">
        <f t="shared" si="0"/>
        <v>2003</v>
      </c>
      <c r="M17" s="63">
        <v>7680.75</v>
      </c>
      <c r="N17" s="126"/>
      <c r="O17" s="63">
        <f t="shared" si="1"/>
        <v>7680.75</v>
      </c>
      <c r="P17" s="63">
        <f t="shared" si="2"/>
        <v>64.00625000000001</v>
      </c>
      <c r="Q17" s="63">
        <f t="shared" si="3"/>
        <v>0</v>
      </c>
      <c r="R17" s="63">
        <f t="shared" si="4"/>
        <v>0</v>
      </c>
      <c r="S17" s="63">
        <f t="shared" si="5"/>
        <v>0</v>
      </c>
      <c r="T17" s="63">
        <v>1</v>
      </c>
      <c r="U17" s="63">
        <f t="shared" si="6"/>
        <v>0</v>
      </c>
      <c r="V17" s="63"/>
      <c r="W17" s="63">
        <f t="shared" si="7"/>
        <v>7680.75</v>
      </c>
      <c r="X17" s="63">
        <f t="shared" si="8"/>
        <v>7680.75</v>
      </c>
      <c r="Y17" s="63">
        <v>1</v>
      </c>
      <c r="Z17" s="63">
        <f t="shared" si="9"/>
        <v>7680.75</v>
      </c>
      <c r="AA17" s="63">
        <f t="shared" si="10"/>
        <v>7680.75</v>
      </c>
      <c r="AB17" s="63">
        <f t="shared" si="11"/>
        <v>0</v>
      </c>
      <c r="AC17" s="65">
        <f t="shared" si="12"/>
        <v>1993.3333333333333</v>
      </c>
      <c r="AD17" s="65">
        <f t="shared" si="13"/>
        <v>2016</v>
      </c>
      <c r="AE17" s="65">
        <f t="shared" si="14"/>
        <v>2003.3333333333333</v>
      </c>
      <c r="AF17" s="65">
        <f t="shared" si="15"/>
        <v>2015</v>
      </c>
      <c r="AG17" s="65">
        <f t="shared" si="16"/>
        <v>-0.08333333333333333</v>
      </c>
    </row>
    <row r="18" spans="1:33" ht="11.25">
      <c r="A18" s="125"/>
      <c r="B18" s="57">
        <v>25</v>
      </c>
      <c r="C18" s="59" t="s">
        <v>79</v>
      </c>
      <c r="D18" s="60">
        <v>1993</v>
      </c>
      <c r="E18" s="60">
        <v>7</v>
      </c>
      <c r="F18" s="60">
        <v>0</v>
      </c>
      <c r="G18" s="65"/>
      <c r="H18" s="57" t="s">
        <v>52</v>
      </c>
      <c r="I18" s="57">
        <v>10</v>
      </c>
      <c r="J18" s="114">
        <f t="shared" si="0"/>
        <v>2003</v>
      </c>
      <c r="M18" s="63">
        <v>7680.75</v>
      </c>
      <c r="N18" s="126"/>
      <c r="O18" s="63">
        <f t="shared" si="1"/>
        <v>7680.75</v>
      </c>
      <c r="P18" s="63">
        <f t="shared" si="2"/>
        <v>64.00625000000001</v>
      </c>
      <c r="Q18" s="63">
        <f t="shared" si="3"/>
        <v>0</v>
      </c>
      <c r="R18" s="63">
        <f t="shared" si="4"/>
        <v>0</v>
      </c>
      <c r="S18" s="63">
        <f t="shared" si="5"/>
        <v>0</v>
      </c>
      <c r="T18" s="63">
        <v>1</v>
      </c>
      <c r="U18" s="63">
        <f t="shared" si="6"/>
        <v>0</v>
      </c>
      <c r="V18" s="63"/>
      <c r="W18" s="63">
        <f t="shared" si="7"/>
        <v>7680.75</v>
      </c>
      <c r="X18" s="63">
        <f t="shared" si="8"/>
        <v>7680.75</v>
      </c>
      <c r="Y18" s="63">
        <v>1</v>
      </c>
      <c r="Z18" s="63">
        <f t="shared" si="9"/>
        <v>7680.75</v>
      </c>
      <c r="AA18" s="63">
        <f t="shared" si="10"/>
        <v>7680.75</v>
      </c>
      <c r="AB18" s="63">
        <f t="shared" si="11"/>
        <v>0</v>
      </c>
      <c r="AC18" s="65">
        <f t="shared" si="12"/>
        <v>1993.5</v>
      </c>
      <c r="AD18" s="65">
        <f t="shared" si="13"/>
        <v>2016</v>
      </c>
      <c r="AE18" s="65">
        <f t="shared" si="14"/>
        <v>2003.5</v>
      </c>
      <c r="AF18" s="65">
        <f t="shared" si="15"/>
        <v>2015</v>
      </c>
      <c r="AG18" s="65">
        <f t="shared" si="16"/>
        <v>-0.08333333333333333</v>
      </c>
    </row>
    <row r="19" spans="1:33" ht="11.25">
      <c r="A19" s="57"/>
      <c r="B19" s="57">
        <v>25</v>
      </c>
      <c r="C19" s="59" t="s">
        <v>124</v>
      </c>
      <c r="D19" s="60">
        <v>1994</v>
      </c>
      <c r="E19" s="60">
        <v>5</v>
      </c>
      <c r="F19" s="60">
        <v>0</v>
      </c>
      <c r="H19" s="57" t="s">
        <v>52</v>
      </c>
      <c r="I19" s="57">
        <v>10</v>
      </c>
      <c r="J19" s="114">
        <f t="shared" si="0"/>
        <v>2004</v>
      </c>
      <c r="M19" s="63">
        <v>6229.07</v>
      </c>
      <c r="N19" s="126"/>
      <c r="O19" s="63">
        <f t="shared" si="1"/>
        <v>6229.07</v>
      </c>
      <c r="P19" s="63">
        <f t="shared" si="2"/>
        <v>51.90891666666666</v>
      </c>
      <c r="Q19" s="63">
        <f t="shared" si="3"/>
        <v>0</v>
      </c>
      <c r="R19" s="63">
        <f t="shared" si="4"/>
        <v>0</v>
      </c>
      <c r="S19" s="63">
        <f t="shared" si="5"/>
        <v>0</v>
      </c>
      <c r="T19" s="63">
        <v>1</v>
      </c>
      <c r="U19" s="63">
        <f t="shared" si="6"/>
        <v>0</v>
      </c>
      <c r="V19" s="63"/>
      <c r="W19" s="63">
        <f t="shared" si="7"/>
        <v>6229.07</v>
      </c>
      <c r="X19" s="63">
        <f t="shared" si="8"/>
        <v>6229.07</v>
      </c>
      <c r="Y19" s="63">
        <v>1</v>
      </c>
      <c r="Z19" s="63">
        <f t="shared" si="9"/>
        <v>6229.07</v>
      </c>
      <c r="AA19" s="63">
        <f t="shared" si="10"/>
        <v>6229.07</v>
      </c>
      <c r="AB19" s="63">
        <f t="shared" si="11"/>
        <v>0</v>
      </c>
      <c r="AC19" s="65">
        <f t="shared" si="12"/>
        <v>1994.3333333333333</v>
      </c>
      <c r="AD19" s="65">
        <f t="shared" si="13"/>
        <v>2016</v>
      </c>
      <c r="AE19" s="65">
        <f t="shared" si="14"/>
        <v>2004.3333333333333</v>
      </c>
      <c r="AF19" s="65">
        <f t="shared" si="15"/>
        <v>2015</v>
      </c>
      <c r="AG19" s="65">
        <f t="shared" si="16"/>
        <v>-0.08333333333333333</v>
      </c>
    </row>
    <row r="20" spans="1:33" ht="11.25">
      <c r="A20" s="125"/>
      <c r="B20" s="57">
        <v>50</v>
      </c>
      <c r="C20" s="59" t="s">
        <v>80</v>
      </c>
      <c r="D20" s="60">
        <v>1995</v>
      </c>
      <c r="E20" s="60">
        <v>8</v>
      </c>
      <c r="F20" s="60">
        <v>0</v>
      </c>
      <c r="H20" s="57" t="s">
        <v>52</v>
      </c>
      <c r="I20" s="57">
        <v>10</v>
      </c>
      <c r="J20" s="114">
        <f t="shared" si="0"/>
        <v>2005</v>
      </c>
      <c r="M20" s="63">
        <v>16670.56</v>
      </c>
      <c r="N20" s="126"/>
      <c r="O20" s="63">
        <f t="shared" si="1"/>
        <v>16670.56</v>
      </c>
      <c r="P20" s="63">
        <f t="shared" si="2"/>
        <v>138.92133333333334</v>
      </c>
      <c r="Q20" s="63">
        <f t="shared" si="3"/>
        <v>0</v>
      </c>
      <c r="R20" s="63">
        <f t="shared" si="4"/>
        <v>0</v>
      </c>
      <c r="S20" s="63">
        <f t="shared" si="5"/>
        <v>0</v>
      </c>
      <c r="T20" s="63">
        <v>1</v>
      </c>
      <c r="U20" s="63">
        <f t="shared" si="6"/>
        <v>0</v>
      </c>
      <c r="V20" s="63"/>
      <c r="W20" s="63">
        <f t="shared" si="7"/>
        <v>16670.56</v>
      </c>
      <c r="X20" s="63">
        <f t="shared" si="8"/>
        <v>16670.56</v>
      </c>
      <c r="Y20" s="63">
        <v>1</v>
      </c>
      <c r="Z20" s="63">
        <f t="shared" si="9"/>
        <v>16670.56</v>
      </c>
      <c r="AA20" s="63">
        <f t="shared" si="10"/>
        <v>16670.56</v>
      </c>
      <c r="AB20" s="63">
        <f t="shared" si="11"/>
        <v>0</v>
      </c>
      <c r="AC20" s="65">
        <f t="shared" si="12"/>
        <v>1995.5833333333333</v>
      </c>
      <c r="AD20" s="65">
        <f t="shared" si="13"/>
        <v>2016</v>
      </c>
      <c r="AE20" s="65">
        <f t="shared" si="14"/>
        <v>2005.5833333333333</v>
      </c>
      <c r="AF20" s="65">
        <f t="shared" si="15"/>
        <v>2015</v>
      </c>
      <c r="AG20" s="65">
        <f t="shared" si="16"/>
        <v>-0.08333333333333333</v>
      </c>
    </row>
    <row r="21" spans="1:33" ht="11.25">
      <c r="A21" s="125"/>
      <c r="B21" s="57">
        <v>20</v>
      </c>
      <c r="C21" s="59" t="s">
        <v>81</v>
      </c>
      <c r="D21" s="60">
        <v>1996</v>
      </c>
      <c r="E21" s="60">
        <v>3</v>
      </c>
      <c r="F21" s="60">
        <v>0</v>
      </c>
      <c r="H21" s="57" t="s">
        <v>52</v>
      </c>
      <c r="I21" s="57">
        <v>10</v>
      </c>
      <c r="J21" s="114">
        <f t="shared" si="0"/>
        <v>2006</v>
      </c>
      <c r="M21" s="63">
        <v>5439.89</v>
      </c>
      <c r="N21" s="126"/>
      <c r="O21" s="63">
        <f t="shared" si="1"/>
        <v>5439.89</v>
      </c>
      <c r="P21" s="63">
        <f t="shared" si="2"/>
        <v>45.33241666666667</v>
      </c>
      <c r="Q21" s="63">
        <f t="shared" si="3"/>
        <v>0</v>
      </c>
      <c r="R21" s="63">
        <f t="shared" si="4"/>
        <v>0</v>
      </c>
      <c r="S21" s="63">
        <f t="shared" si="5"/>
        <v>0</v>
      </c>
      <c r="T21" s="63">
        <v>1</v>
      </c>
      <c r="U21" s="63">
        <f t="shared" si="6"/>
        <v>0</v>
      </c>
      <c r="V21" s="63"/>
      <c r="W21" s="63">
        <f t="shared" si="7"/>
        <v>5439.89</v>
      </c>
      <c r="X21" s="63">
        <f t="shared" si="8"/>
        <v>5439.89</v>
      </c>
      <c r="Y21" s="63">
        <v>1</v>
      </c>
      <c r="Z21" s="63">
        <f t="shared" si="9"/>
        <v>5439.89</v>
      </c>
      <c r="AA21" s="63">
        <f t="shared" si="10"/>
        <v>5439.89</v>
      </c>
      <c r="AB21" s="63">
        <f t="shared" si="11"/>
        <v>0</v>
      </c>
      <c r="AC21" s="65">
        <f t="shared" si="12"/>
        <v>1996.1666666666667</v>
      </c>
      <c r="AD21" s="65">
        <f t="shared" si="13"/>
        <v>2016</v>
      </c>
      <c r="AE21" s="65">
        <f t="shared" si="14"/>
        <v>2006.1666666666667</v>
      </c>
      <c r="AF21" s="65">
        <f t="shared" si="15"/>
        <v>2015</v>
      </c>
      <c r="AG21" s="65">
        <f t="shared" si="16"/>
        <v>-0.08333333333333333</v>
      </c>
    </row>
    <row r="22" spans="1:33" ht="11.25">
      <c r="A22" s="125"/>
      <c r="B22" s="57">
        <v>50</v>
      </c>
      <c r="C22" s="59" t="s">
        <v>126</v>
      </c>
      <c r="D22" s="60">
        <v>1997</v>
      </c>
      <c r="E22" s="60">
        <v>4</v>
      </c>
      <c r="F22" s="60">
        <v>0</v>
      </c>
      <c r="H22" s="57" t="s">
        <v>52</v>
      </c>
      <c r="I22" s="57">
        <v>10</v>
      </c>
      <c r="J22" s="114">
        <f t="shared" si="0"/>
        <v>2007</v>
      </c>
      <c r="M22" s="63">
        <v>18282.24</v>
      </c>
      <c r="N22" s="126"/>
      <c r="O22" s="63">
        <f t="shared" si="1"/>
        <v>18282.24</v>
      </c>
      <c r="P22" s="63">
        <f t="shared" si="2"/>
        <v>152.352</v>
      </c>
      <c r="Q22" s="63">
        <f t="shared" si="3"/>
        <v>0</v>
      </c>
      <c r="R22" s="63">
        <f t="shared" si="4"/>
        <v>0</v>
      </c>
      <c r="S22" s="63">
        <f t="shared" si="5"/>
        <v>0</v>
      </c>
      <c r="T22" s="63">
        <v>1</v>
      </c>
      <c r="U22" s="63">
        <f t="shared" si="6"/>
        <v>0</v>
      </c>
      <c r="V22" s="63"/>
      <c r="W22" s="63">
        <f t="shared" si="7"/>
        <v>18282.24</v>
      </c>
      <c r="X22" s="63">
        <f t="shared" si="8"/>
        <v>18282.24</v>
      </c>
      <c r="Y22" s="63">
        <v>1</v>
      </c>
      <c r="Z22" s="63">
        <f t="shared" si="9"/>
        <v>18282.24</v>
      </c>
      <c r="AA22" s="63">
        <f t="shared" si="10"/>
        <v>18282.24</v>
      </c>
      <c r="AB22" s="63">
        <f t="shared" si="11"/>
        <v>0</v>
      </c>
      <c r="AC22" s="65">
        <f t="shared" si="12"/>
        <v>1997.25</v>
      </c>
      <c r="AD22" s="65">
        <f t="shared" si="13"/>
        <v>2016</v>
      </c>
      <c r="AE22" s="65">
        <f t="shared" si="14"/>
        <v>2007.25</v>
      </c>
      <c r="AF22" s="65">
        <f t="shared" si="15"/>
        <v>2015</v>
      </c>
      <c r="AG22" s="65">
        <f t="shared" si="16"/>
        <v>-0.08333333333333333</v>
      </c>
    </row>
    <row r="23" spans="1:33" ht="11.25">
      <c r="A23" s="125"/>
      <c r="B23" s="57">
        <v>10</v>
      </c>
      <c r="C23" s="59" t="s">
        <v>127</v>
      </c>
      <c r="D23" s="60">
        <v>1998</v>
      </c>
      <c r="E23" s="60">
        <v>9</v>
      </c>
      <c r="F23" s="60">
        <v>0</v>
      </c>
      <c r="H23" s="57" t="s">
        <v>52</v>
      </c>
      <c r="I23" s="57">
        <v>10</v>
      </c>
      <c r="J23" s="114">
        <f t="shared" si="0"/>
        <v>2008</v>
      </c>
      <c r="M23" s="63">
        <v>6597.22</v>
      </c>
      <c r="N23" s="126"/>
      <c r="O23" s="63">
        <f t="shared" si="1"/>
        <v>6597.22</v>
      </c>
      <c r="P23" s="63">
        <f t="shared" si="2"/>
        <v>54.97683333333333</v>
      </c>
      <c r="Q23" s="63">
        <f t="shared" si="3"/>
        <v>0</v>
      </c>
      <c r="R23" s="63">
        <f t="shared" si="4"/>
        <v>0</v>
      </c>
      <c r="S23" s="63">
        <f t="shared" si="5"/>
        <v>0</v>
      </c>
      <c r="T23" s="63">
        <v>1</v>
      </c>
      <c r="U23" s="63">
        <f t="shared" si="6"/>
        <v>0</v>
      </c>
      <c r="V23" s="63"/>
      <c r="W23" s="63">
        <f t="shared" si="7"/>
        <v>6597.22</v>
      </c>
      <c r="X23" s="63">
        <f t="shared" si="8"/>
        <v>6597.22</v>
      </c>
      <c r="Y23" s="63">
        <v>1</v>
      </c>
      <c r="Z23" s="63">
        <f t="shared" si="9"/>
        <v>6597.22</v>
      </c>
      <c r="AA23" s="63">
        <f t="shared" si="10"/>
        <v>6597.22</v>
      </c>
      <c r="AB23" s="63">
        <f t="shared" si="11"/>
        <v>0</v>
      </c>
      <c r="AC23" s="65">
        <f t="shared" si="12"/>
        <v>1998.6666666666667</v>
      </c>
      <c r="AD23" s="65">
        <f t="shared" si="13"/>
        <v>2016</v>
      </c>
      <c r="AE23" s="65">
        <f t="shared" si="14"/>
        <v>2008.6666666666667</v>
      </c>
      <c r="AF23" s="65">
        <f t="shared" si="15"/>
        <v>2015</v>
      </c>
      <c r="AG23" s="65">
        <f t="shared" si="16"/>
        <v>-0.08333333333333333</v>
      </c>
    </row>
    <row r="24" spans="1:33" ht="11.25">
      <c r="A24" s="125"/>
      <c r="B24" s="57">
        <v>10</v>
      </c>
      <c r="C24" s="59" t="s">
        <v>128</v>
      </c>
      <c r="D24" s="60">
        <v>1998</v>
      </c>
      <c r="E24" s="60">
        <v>9</v>
      </c>
      <c r="F24" s="60">
        <v>0</v>
      </c>
      <c r="H24" s="57" t="s">
        <v>52</v>
      </c>
      <c r="I24" s="57">
        <v>10</v>
      </c>
      <c r="J24" s="114">
        <f t="shared" si="0"/>
        <v>2008</v>
      </c>
      <c r="M24" s="63">
        <v>7527.3</v>
      </c>
      <c r="N24" s="126"/>
      <c r="O24" s="63">
        <f t="shared" si="1"/>
        <v>7527.3</v>
      </c>
      <c r="P24" s="63">
        <f t="shared" si="2"/>
        <v>62.7275</v>
      </c>
      <c r="Q24" s="63">
        <f t="shared" si="3"/>
        <v>0</v>
      </c>
      <c r="R24" s="63">
        <f t="shared" si="4"/>
        <v>0</v>
      </c>
      <c r="S24" s="63">
        <f t="shared" si="5"/>
        <v>0</v>
      </c>
      <c r="T24" s="63">
        <v>1</v>
      </c>
      <c r="U24" s="63">
        <f t="shared" si="6"/>
        <v>0</v>
      </c>
      <c r="V24" s="63"/>
      <c r="W24" s="63">
        <f t="shared" si="7"/>
        <v>7527.3</v>
      </c>
      <c r="X24" s="63">
        <f t="shared" si="8"/>
        <v>7527.3</v>
      </c>
      <c r="Y24" s="63">
        <v>1</v>
      </c>
      <c r="Z24" s="63">
        <f t="shared" si="9"/>
        <v>7527.3</v>
      </c>
      <c r="AA24" s="63">
        <f t="shared" si="10"/>
        <v>7527.3</v>
      </c>
      <c r="AB24" s="63">
        <f t="shared" si="11"/>
        <v>0</v>
      </c>
      <c r="AC24" s="65">
        <f t="shared" si="12"/>
        <v>1998.6666666666667</v>
      </c>
      <c r="AD24" s="65">
        <f t="shared" si="13"/>
        <v>2016</v>
      </c>
      <c r="AE24" s="65">
        <f t="shared" si="14"/>
        <v>2008.6666666666667</v>
      </c>
      <c r="AF24" s="65">
        <f t="shared" si="15"/>
        <v>2015</v>
      </c>
      <c r="AG24" s="65">
        <f t="shared" si="16"/>
        <v>-0.08333333333333333</v>
      </c>
    </row>
    <row r="25" spans="1:33" ht="11.25">
      <c r="A25" s="125"/>
      <c r="B25" s="57">
        <v>20</v>
      </c>
      <c r="C25" s="59" t="s">
        <v>126</v>
      </c>
      <c r="D25" s="60">
        <v>1999</v>
      </c>
      <c r="E25" s="60">
        <v>7</v>
      </c>
      <c r="F25" s="60">
        <v>0</v>
      </c>
      <c r="H25" s="57" t="s">
        <v>52</v>
      </c>
      <c r="I25" s="57">
        <v>10</v>
      </c>
      <c r="J25" s="114">
        <f t="shared" si="0"/>
        <v>2009</v>
      </c>
      <c r="M25" s="63">
        <v>5740.8</v>
      </c>
      <c r="N25" s="126"/>
      <c r="O25" s="63">
        <f t="shared" si="1"/>
        <v>5740.8</v>
      </c>
      <c r="P25" s="63">
        <f t="shared" si="2"/>
        <v>47.84</v>
      </c>
      <c r="Q25" s="63">
        <f t="shared" si="3"/>
        <v>0</v>
      </c>
      <c r="R25" s="63">
        <f t="shared" si="4"/>
        <v>0</v>
      </c>
      <c r="S25" s="63">
        <f t="shared" si="5"/>
        <v>0</v>
      </c>
      <c r="T25" s="63">
        <v>1</v>
      </c>
      <c r="U25" s="63">
        <f t="shared" si="6"/>
        <v>0</v>
      </c>
      <c r="V25" s="63"/>
      <c r="W25" s="63">
        <f t="shared" si="7"/>
        <v>5740.8</v>
      </c>
      <c r="X25" s="63">
        <f t="shared" si="8"/>
        <v>5740.8</v>
      </c>
      <c r="Y25" s="63">
        <v>1</v>
      </c>
      <c r="Z25" s="63">
        <f t="shared" si="9"/>
        <v>5740.8</v>
      </c>
      <c r="AA25" s="63">
        <f t="shared" si="10"/>
        <v>5740.8</v>
      </c>
      <c r="AB25" s="63">
        <f t="shared" si="11"/>
        <v>0</v>
      </c>
      <c r="AC25" s="65">
        <f t="shared" si="12"/>
        <v>1999.5</v>
      </c>
      <c r="AD25" s="65">
        <f t="shared" si="13"/>
        <v>2016</v>
      </c>
      <c r="AE25" s="65">
        <f t="shared" si="14"/>
        <v>2009.5</v>
      </c>
      <c r="AF25" s="65">
        <f t="shared" si="15"/>
        <v>2015</v>
      </c>
      <c r="AG25" s="65">
        <f t="shared" si="16"/>
        <v>-0.08333333333333333</v>
      </c>
    </row>
    <row r="26" spans="1:33" ht="11.25">
      <c r="A26" s="125"/>
      <c r="B26" s="57">
        <v>15</v>
      </c>
      <c r="C26" s="59" t="s">
        <v>125</v>
      </c>
      <c r="D26" s="60">
        <v>2000</v>
      </c>
      <c r="E26" s="60">
        <v>9</v>
      </c>
      <c r="F26" s="60">
        <v>0</v>
      </c>
      <c r="H26" s="57" t="s">
        <v>52</v>
      </c>
      <c r="I26" s="57">
        <v>10</v>
      </c>
      <c r="J26" s="114">
        <f t="shared" si="0"/>
        <v>2010</v>
      </c>
      <c r="M26" s="63">
        <v>4391.8</v>
      </c>
      <c r="N26" s="126"/>
      <c r="O26" s="63">
        <f t="shared" si="1"/>
        <v>4391.8</v>
      </c>
      <c r="P26" s="63">
        <f t="shared" si="2"/>
        <v>36.598333333333336</v>
      </c>
      <c r="Q26" s="63">
        <f t="shared" si="3"/>
        <v>0</v>
      </c>
      <c r="R26" s="63">
        <f t="shared" si="4"/>
        <v>0</v>
      </c>
      <c r="S26" s="63">
        <f t="shared" si="5"/>
        <v>0</v>
      </c>
      <c r="T26" s="63">
        <v>1</v>
      </c>
      <c r="U26" s="63">
        <f t="shared" si="6"/>
        <v>0</v>
      </c>
      <c r="V26" s="63"/>
      <c r="W26" s="63">
        <f t="shared" si="7"/>
        <v>4391.8</v>
      </c>
      <c r="X26" s="63">
        <f t="shared" si="8"/>
        <v>4391.8</v>
      </c>
      <c r="Y26" s="63">
        <v>1</v>
      </c>
      <c r="Z26" s="63">
        <f t="shared" si="9"/>
        <v>4391.8</v>
      </c>
      <c r="AA26" s="63">
        <f t="shared" si="10"/>
        <v>4391.8</v>
      </c>
      <c r="AB26" s="63">
        <f t="shared" si="11"/>
        <v>0</v>
      </c>
      <c r="AC26" s="65">
        <f t="shared" si="12"/>
        <v>2000.6666666666667</v>
      </c>
      <c r="AD26" s="65">
        <f t="shared" si="13"/>
        <v>2016</v>
      </c>
      <c r="AE26" s="65">
        <f t="shared" si="14"/>
        <v>2010.6666666666667</v>
      </c>
      <c r="AF26" s="65">
        <f t="shared" si="15"/>
        <v>2015</v>
      </c>
      <c r="AG26" s="65">
        <f t="shared" si="16"/>
        <v>-0.08333333333333333</v>
      </c>
    </row>
    <row r="27" spans="1:33" ht="11.25">
      <c r="A27" s="125"/>
      <c r="B27" s="57">
        <v>7</v>
      </c>
      <c r="C27" s="59" t="s">
        <v>129</v>
      </c>
      <c r="D27" s="60">
        <v>2001</v>
      </c>
      <c r="E27" s="60">
        <v>10</v>
      </c>
      <c r="F27" s="60">
        <v>0</v>
      </c>
      <c r="H27" s="57" t="s">
        <v>52</v>
      </c>
      <c r="I27" s="57">
        <v>10</v>
      </c>
      <c r="J27" s="114">
        <f t="shared" si="0"/>
        <v>2011</v>
      </c>
      <c r="M27" s="63">
        <v>2248.12</v>
      </c>
      <c r="N27" s="126"/>
      <c r="O27" s="63">
        <f t="shared" si="1"/>
        <v>2248.12</v>
      </c>
      <c r="P27" s="63">
        <f t="shared" si="2"/>
        <v>18.734333333333332</v>
      </c>
      <c r="Q27" s="63">
        <f t="shared" si="3"/>
        <v>0</v>
      </c>
      <c r="R27" s="63">
        <f t="shared" si="4"/>
        <v>0</v>
      </c>
      <c r="S27" s="63">
        <f t="shared" si="5"/>
        <v>0</v>
      </c>
      <c r="T27" s="63">
        <v>1</v>
      </c>
      <c r="U27" s="63">
        <f t="shared" si="6"/>
        <v>0</v>
      </c>
      <c r="V27" s="63"/>
      <c r="W27" s="63">
        <f t="shared" si="7"/>
        <v>2248.12</v>
      </c>
      <c r="X27" s="63">
        <f t="shared" si="8"/>
        <v>2248.12</v>
      </c>
      <c r="Y27" s="63">
        <v>1</v>
      </c>
      <c r="Z27" s="63">
        <f t="shared" si="9"/>
        <v>2248.12</v>
      </c>
      <c r="AA27" s="63">
        <f t="shared" si="10"/>
        <v>2248.12</v>
      </c>
      <c r="AB27" s="63">
        <f t="shared" si="11"/>
        <v>0</v>
      </c>
      <c r="AC27" s="65">
        <f t="shared" si="12"/>
        <v>2001.75</v>
      </c>
      <c r="AD27" s="65">
        <f t="shared" si="13"/>
        <v>2016</v>
      </c>
      <c r="AE27" s="65">
        <f t="shared" si="14"/>
        <v>2011.75</v>
      </c>
      <c r="AF27" s="65">
        <f t="shared" si="15"/>
        <v>2015</v>
      </c>
      <c r="AG27" s="65">
        <f t="shared" si="16"/>
        <v>-0.08333333333333333</v>
      </c>
    </row>
    <row r="28" spans="1:33" ht="11.25">
      <c r="A28" s="125"/>
      <c r="B28" s="57">
        <v>7</v>
      </c>
      <c r="C28" s="59" t="s">
        <v>130</v>
      </c>
      <c r="D28" s="60">
        <v>2001</v>
      </c>
      <c r="E28" s="60">
        <v>10</v>
      </c>
      <c r="F28" s="60">
        <v>0</v>
      </c>
      <c r="H28" s="57" t="s">
        <v>52</v>
      </c>
      <c r="I28" s="57">
        <v>10</v>
      </c>
      <c r="J28" s="114">
        <f t="shared" si="0"/>
        <v>2011</v>
      </c>
      <c r="M28" s="63">
        <v>2430.4</v>
      </c>
      <c r="N28" s="126"/>
      <c r="O28" s="63">
        <f t="shared" si="1"/>
        <v>2430.4</v>
      </c>
      <c r="P28" s="63">
        <f t="shared" si="2"/>
        <v>20.253333333333334</v>
      </c>
      <c r="Q28" s="63">
        <f t="shared" si="3"/>
        <v>0</v>
      </c>
      <c r="R28" s="63">
        <f t="shared" si="4"/>
        <v>0</v>
      </c>
      <c r="S28" s="63">
        <f t="shared" si="5"/>
        <v>0</v>
      </c>
      <c r="T28" s="63">
        <v>1</v>
      </c>
      <c r="U28" s="63">
        <f t="shared" si="6"/>
        <v>0</v>
      </c>
      <c r="V28" s="63"/>
      <c r="W28" s="63">
        <f t="shared" si="7"/>
        <v>2430.4</v>
      </c>
      <c r="X28" s="63">
        <f t="shared" si="8"/>
        <v>2430.4</v>
      </c>
      <c r="Y28" s="63">
        <v>1</v>
      </c>
      <c r="Z28" s="63">
        <f t="shared" si="9"/>
        <v>2430.4</v>
      </c>
      <c r="AA28" s="63">
        <f t="shared" si="10"/>
        <v>2430.4</v>
      </c>
      <c r="AB28" s="63">
        <f t="shared" si="11"/>
        <v>0</v>
      </c>
      <c r="AC28" s="65">
        <f t="shared" si="12"/>
        <v>2001.75</v>
      </c>
      <c r="AD28" s="65">
        <f t="shared" si="13"/>
        <v>2016</v>
      </c>
      <c r="AE28" s="65">
        <f t="shared" si="14"/>
        <v>2011.75</v>
      </c>
      <c r="AF28" s="65">
        <f t="shared" si="15"/>
        <v>2015</v>
      </c>
      <c r="AG28" s="65">
        <f t="shared" si="16"/>
        <v>-0.08333333333333333</v>
      </c>
    </row>
    <row r="29" spans="1:33" ht="11.25">
      <c r="A29" s="125"/>
      <c r="B29" s="57">
        <v>4</v>
      </c>
      <c r="C29" s="59" t="s">
        <v>131</v>
      </c>
      <c r="D29" s="60">
        <v>2001</v>
      </c>
      <c r="E29" s="60">
        <v>10</v>
      </c>
      <c r="F29" s="60">
        <v>0</v>
      </c>
      <c r="H29" s="57" t="s">
        <v>52</v>
      </c>
      <c r="I29" s="57">
        <v>10</v>
      </c>
      <c r="J29" s="114">
        <f t="shared" si="0"/>
        <v>2011</v>
      </c>
      <c r="M29" s="63">
        <v>1996.4</v>
      </c>
      <c r="N29" s="126"/>
      <c r="O29" s="63">
        <f t="shared" si="1"/>
        <v>1996.4</v>
      </c>
      <c r="P29" s="63">
        <f t="shared" si="2"/>
        <v>16.636666666666667</v>
      </c>
      <c r="Q29" s="63">
        <f t="shared" si="3"/>
        <v>0</v>
      </c>
      <c r="R29" s="63">
        <f t="shared" si="4"/>
        <v>0</v>
      </c>
      <c r="S29" s="63">
        <f t="shared" si="5"/>
        <v>0</v>
      </c>
      <c r="T29" s="63">
        <v>1</v>
      </c>
      <c r="U29" s="63">
        <f t="shared" si="6"/>
        <v>0</v>
      </c>
      <c r="V29" s="63"/>
      <c r="W29" s="63">
        <f t="shared" si="7"/>
        <v>1996.4</v>
      </c>
      <c r="X29" s="63">
        <f t="shared" si="8"/>
        <v>1996.4</v>
      </c>
      <c r="Y29" s="63">
        <v>1</v>
      </c>
      <c r="Z29" s="63">
        <f t="shared" si="9"/>
        <v>1996.4</v>
      </c>
      <c r="AA29" s="63">
        <f t="shared" si="10"/>
        <v>1996.4</v>
      </c>
      <c r="AB29" s="63">
        <f t="shared" si="11"/>
        <v>0</v>
      </c>
      <c r="AC29" s="65">
        <f t="shared" si="12"/>
        <v>2001.75</v>
      </c>
      <c r="AD29" s="65">
        <f t="shared" si="13"/>
        <v>2016</v>
      </c>
      <c r="AE29" s="65">
        <f t="shared" si="14"/>
        <v>2011.75</v>
      </c>
      <c r="AF29" s="65">
        <f t="shared" si="15"/>
        <v>2015</v>
      </c>
      <c r="AG29" s="65">
        <f t="shared" si="16"/>
        <v>-0.08333333333333333</v>
      </c>
    </row>
    <row r="30" spans="1:33" ht="11.25">
      <c r="A30" s="125"/>
      <c r="B30" s="57">
        <v>6</v>
      </c>
      <c r="C30" s="59" t="s">
        <v>125</v>
      </c>
      <c r="D30" s="60">
        <v>2002</v>
      </c>
      <c r="E30" s="60">
        <v>8</v>
      </c>
      <c r="F30" s="60">
        <v>0</v>
      </c>
      <c r="H30" s="57" t="s">
        <v>52</v>
      </c>
      <c r="I30" s="57">
        <v>10</v>
      </c>
      <c r="J30" s="114">
        <f t="shared" si="0"/>
        <v>2012</v>
      </c>
      <c r="M30" s="63">
        <v>1844.16</v>
      </c>
      <c r="N30" s="126"/>
      <c r="O30" s="63">
        <f t="shared" si="1"/>
        <v>1844.16</v>
      </c>
      <c r="P30" s="63">
        <f t="shared" si="2"/>
        <v>15.368</v>
      </c>
      <c r="Q30" s="63">
        <f t="shared" si="3"/>
        <v>0</v>
      </c>
      <c r="R30" s="63">
        <f t="shared" si="4"/>
        <v>0</v>
      </c>
      <c r="S30" s="63">
        <f t="shared" si="5"/>
        <v>0</v>
      </c>
      <c r="T30" s="63">
        <v>1</v>
      </c>
      <c r="U30" s="63">
        <f t="shared" si="6"/>
        <v>0</v>
      </c>
      <c r="V30" s="63"/>
      <c r="W30" s="63">
        <f t="shared" si="7"/>
        <v>1844.16</v>
      </c>
      <c r="X30" s="63">
        <f t="shared" si="8"/>
        <v>1844.16</v>
      </c>
      <c r="Y30" s="63">
        <v>1</v>
      </c>
      <c r="Z30" s="63">
        <f t="shared" si="9"/>
        <v>1844.16</v>
      </c>
      <c r="AA30" s="63">
        <f t="shared" si="10"/>
        <v>1844.16</v>
      </c>
      <c r="AB30" s="63">
        <f t="shared" si="11"/>
        <v>0</v>
      </c>
      <c r="AC30" s="65">
        <f t="shared" si="12"/>
        <v>2002.5833333333333</v>
      </c>
      <c r="AD30" s="65">
        <f t="shared" si="13"/>
        <v>2016</v>
      </c>
      <c r="AE30" s="65">
        <f t="shared" si="14"/>
        <v>2012.5833333333333</v>
      </c>
      <c r="AF30" s="65">
        <f t="shared" si="15"/>
        <v>2015</v>
      </c>
      <c r="AG30" s="65">
        <f t="shared" si="16"/>
        <v>-0.08333333333333333</v>
      </c>
    </row>
    <row r="31" spans="1:33" ht="11.25">
      <c r="A31" s="125"/>
      <c r="B31" s="57">
        <v>4</v>
      </c>
      <c r="C31" s="59" t="s">
        <v>125</v>
      </c>
      <c r="D31" s="60">
        <v>2002</v>
      </c>
      <c r="E31" s="60">
        <v>8</v>
      </c>
      <c r="F31" s="60">
        <v>0</v>
      </c>
      <c r="H31" s="57" t="s">
        <v>52</v>
      </c>
      <c r="I31" s="57">
        <v>10</v>
      </c>
      <c r="J31" s="114">
        <f t="shared" si="0"/>
        <v>2012</v>
      </c>
      <c r="M31" s="63">
        <v>1229.44</v>
      </c>
      <c r="N31" s="126"/>
      <c r="O31" s="63">
        <f t="shared" si="1"/>
        <v>1229.44</v>
      </c>
      <c r="P31" s="63">
        <f t="shared" si="2"/>
        <v>10.245333333333333</v>
      </c>
      <c r="Q31" s="63">
        <f t="shared" si="3"/>
        <v>0</v>
      </c>
      <c r="R31" s="63">
        <f t="shared" si="4"/>
        <v>0</v>
      </c>
      <c r="S31" s="63">
        <f t="shared" si="5"/>
        <v>0</v>
      </c>
      <c r="T31" s="63">
        <v>1</v>
      </c>
      <c r="U31" s="63">
        <f t="shared" si="6"/>
        <v>0</v>
      </c>
      <c r="V31" s="63"/>
      <c r="W31" s="63">
        <f t="shared" si="7"/>
        <v>1229.44</v>
      </c>
      <c r="X31" s="63">
        <f t="shared" si="8"/>
        <v>1229.44</v>
      </c>
      <c r="Y31" s="63">
        <v>1</v>
      </c>
      <c r="Z31" s="63">
        <f t="shared" si="9"/>
        <v>1229.44</v>
      </c>
      <c r="AA31" s="63">
        <f t="shared" si="10"/>
        <v>1229.44</v>
      </c>
      <c r="AB31" s="63">
        <f t="shared" si="11"/>
        <v>0</v>
      </c>
      <c r="AC31" s="65">
        <f t="shared" si="12"/>
        <v>2002.5833333333333</v>
      </c>
      <c r="AD31" s="65">
        <f t="shared" si="13"/>
        <v>2016</v>
      </c>
      <c r="AE31" s="65">
        <f t="shared" si="14"/>
        <v>2012.5833333333333</v>
      </c>
      <c r="AF31" s="65">
        <f t="shared" si="15"/>
        <v>2015</v>
      </c>
      <c r="AG31" s="65">
        <f t="shared" si="16"/>
        <v>-0.08333333333333333</v>
      </c>
    </row>
    <row r="32" spans="1:33" ht="11.25">
      <c r="A32" s="125"/>
      <c r="B32" s="57">
        <v>5</v>
      </c>
      <c r="C32" s="59" t="s">
        <v>126</v>
      </c>
      <c r="D32" s="60">
        <v>2002</v>
      </c>
      <c r="E32" s="60">
        <v>8</v>
      </c>
      <c r="F32" s="60">
        <v>0</v>
      </c>
      <c r="H32" s="57" t="s">
        <v>52</v>
      </c>
      <c r="I32" s="57">
        <v>10</v>
      </c>
      <c r="J32" s="114">
        <f t="shared" si="0"/>
        <v>2012</v>
      </c>
      <c r="M32" s="63">
        <v>1808.8</v>
      </c>
      <c r="N32" s="126"/>
      <c r="O32" s="63">
        <f t="shared" si="1"/>
        <v>1808.8</v>
      </c>
      <c r="P32" s="63">
        <f t="shared" si="2"/>
        <v>15.073333333333332</v>
      </c>
      <c r="Q32" s="63">
        <f t="shared" si="3"/>
        <v>0</v>
      </c>
      <c r="R32" s="63">
        <f t="shared" si="4"/>
        <v>0</v>
      </c>
      <c r="S32" s="63">
        <f t="shared" si="5"/>
        <v>0</v>
      </c>
      <c r="T32" s="63">
        <v>1</v>
      </c>
      <c r="U32" s="63">
        <f t="shared" si="6"/>
        <v>0</v>
      </c>
      <c r="V32" s="63"/>
      <c r="W32" s="63">
        <f t="shared" si="7"/>
        <v>1808.8</v>
      </c>
      <c r="X32" s="63">
        <f t="shared" si="8"/>
        <v>1808.8</v>
      </c>
      <c r="Y32" s="63">
        <v>1</v>
      </c>
      <c r="Z32" s="63">
        <f t="shared" si="9"/>
        <v>1808.8</v>
      </c>
      <c r="AA32" s="63">
        <f t="shared" si="10"/>
        <v>1808.8</v>
      </c>
      <c r="AB32" s="63">
        <f t="shared" si="11"/>
        <v>0</v>
      </c>
      <c r="AC32" s="65">
        <f t="shared" si="12"/>
        <v>2002.5833333333333</v>
      </c>
      <c r="AD32" s="65">
        <f t="shared" si="13"/>
        <v>2016</v>
      </c>
      <c r="AE32" s="65">
        <f t="shared" si="14"/>
        <v>2012.5833333333333</v>
      </c>
      <c r="AF32" s="65">
        <f t="shared" si="15"/>
        <v>2015</v>
      </c>
      <c r="AG32" s="65">
        <f t="shared" si="16"/>
        <v>-0.08333333333333333</v>
      </c>
    </row>
    <row r="33" spans="1:33" ht="11.25">
      <c r="A33" s="125"/>
      <c r="B33" s="57">
        <v>10</v>
      </c>
      <c r="C33" s="59" t="s">
        <v>125</v>
      </c>
      <c r="D33" s="60">
        <v>2003</v>
      </c>
      <c r="E33" s="60">
        <v>12</v>
      </c>
      <c r="F33" s="60">
        <v>0</v>
      </c>
      <c r="H33" s="57" t="s">
        <v>52</v>
      </c>
      <c r="I33" s="57">
        <v>10</v>
      </c>
      <c r="J33" s="114">
        <f t="shared" si="0"/>
        <v>2013</v>
      </c>
      <c r="M33" s="63">
        <v>3258.56</v>
      </c>
      <c r="N33" s="126"/>
      <c r="O33" s="63">
        <f t="shared" si="1"/>
        <v>3258.56</v>
      </c>
      <c r="P33" s="63">
        <f t="shared" si="2"/>
        <v>27.154666666666667</v>
      </c>
      <c r="Q33" s="63">
        <f t="shared" si="3"/>
        <v>0</v>
      </c>
      <c r="R33" s="63">
        <f t="shared" si="4"/>
        <v>0</v>
      </c>
      <c r="S33" s="63">
        <f t="shared" si="5"/>
        <v>0</v>
      </c>
      <c r="T33" s="63">
        <v>1</v>
      </c>
      <c r="U33" s="63">
        <f t="shared" si="6"/>
        <v>0</v>
      </c>
      <c r="V33" s="63"/>
      <c r="W33" s="63">
        <f t="shared" si="7"/>
        <v>3258.56</v>
      </c>
      <c r="X33" s="63">
        <f t="shared" si="8"/>
        <v>3258.56</v>
      </c>
      <c r="Y33" s="63">
        <v>1</v>
      </c>
      <c r="Z33" s="63">
        <f t="shared" si="9"/>
        <v>3258.56</v>
      </c>
      <c r="AA33" s="63">
        <f t="shared" si="10"/>
        <v>3258.56</v>
      </c>
      <c r="AB33" s="63">
        <f t="shared" si="11"/>
        <v>0</v>
      </c>
      <c r="AC33" s="65">
        <f t="shared" si="12"/>
        <v>2003.9166666666667</v>
      </c>
      <c r="AD33" s="65">
        <f t="shared" si="13"/>
        <v>2016</v>
      </c>
      <c r="AE33" s="65">
        <f t="shared" si="14"/>
        <v>2013.9166666666667</v>
      </c>
      <c r="AF33" s="65">
        <f t="shared" si="15"/>
        <v>2015</v>
      </c>
      <c r="AG33" s="65">
        <f t="shared" si="16"/>
        <v>-0.08333333333333333</v>
      </c>
    </row>
    <row r="34" spans="1:33" ht="11.25">
      <c r="A34" s="125"/>
      <c r="B34" s="57">
        <v>5</v>
      </c>
      <c r="C34" s="59" t="s">
        <v>126</v>
      </c>
      <c r="D34" s="60">
        <v>2003</v>
      </c>
      <c r="E34" s="60">
        <v>9</v>
      </c>
      <c r="F34" s="60">
        <v>0</v>
      </c>
      <c r="H34" s="57" t="s">
        <v>52</v>
      </c>
      <c r="I34" s="57">
        <v>10</v>
      </c>
      <c r="J34" s="114">
        <f t="shared" si="0"/>
        <v>2013</v>
      </c>
      <c r="M34" s="63">
        <v>1898.56</v>
      </c>
      <c r="N34" s="126"/>
      <c r="O34" s="63">
        <f t="shared" si="1"/>
        <v>1898.56</v>
      </c>
      <c r="P34" s="63">
        <f t="shared" si="2"/>
        <v>15.821333333333333</v>
      </c>
      <c r="Q34" s="63">
        <f t="shared" si="3"/>
        <v>0</v>
      </c>
      <c r="R34" s="63">
        <f t="shared" si="4"/>
        <v>0</v>
      </c>
      <c r="S34" s="63">
        <f t="shared" si="5"/>
        <v>0</v>
      </c>
      <c r="T34" s="63">
        <v>1</v>
      </c>
      <c r="U34" s="63">
        <f t="shared" si="6"/>
        <v>0</v>
      </c>
      <c r="V34" s="63"/>
      <c r="W34" s="63">
        <f t="shared" si="7"/>
        <v>1898.56</v>
      </c>
      <c r="X34" s="63">
        <f t="shared" si="8"/>
        <v>1898.56</v>
      </c>
      <c r="Y34" s="63">
        <v>1</v>
      </c>
      <c r="Z34" s="63">
        <f t="shared" si="9"/>
        <v>1898.56</v>
      </c>
      <c r="AA34" s="63">
        <f t="shared" si="10"/>
        <v>1898.56</v>
      </c>
      <c r="AB34" s="63">
        <f t="shared" si="11"/>
        <v>0</v>
      </c>
      <c r="AC34" s="65">
        <f t="shared" si="12"/>
        <v>2003.6666666666667</v>
      </c>
      <c r="AD34" s="65">
        <f t="shared" si="13"/>
        <v>2016</v>
      </c>
      <c r="AE34" s="65">
        <f t="shared" si="14"/>
        <v>2013.6666666666667</v>
      </c>
      <c r="AF34" s="65">
        <f t="shared" si="15"/>
        <v>2015</v>
      </c>
      <c r="AG34" s="65">
        <f t="shared" si="16"/>
        <v>-0.08333333333333333</v>
      </c>
    </row>
    <row r="35" spans="1:33" ht="11.25">
      <c r="A35" s="125"/>
      <c r="B35" s="57">
        <v>5</v>
      </c>
      <c r="C35" s="59" t="s">
        <v>132</v>
      </c>
      <c r="D35" s="60">
        <v>2003</v>
      </c>
      <c r="E35" s="60">
        <v>7</v>
      </c>
      <c r="F35" s="60">
        <v>0</v>
      </c>
      <c r="H35" s="57" t="s">
        <v>52</v>
      </c>
      <c r="I35" s="57">
        <v>10</v>
      </c>
      <c r="J35" s="114">
        <f t="shared" si="0"/>
        <v>2013</v>
      </c>
      <c r="M35" s="63">
        <v>2357.6</v>
      </c>
      <c r="N35" s="126"/>
      <c r="O35" s="63">
        <f t="shared" si="1"/>
        <v>2357.6</v>
      </c>
      <c r="P35" s="63">
        <f t="shared" si="2"/>
        <v>19.646666666666665</v>
      </c>
      <c r="Q35" s="63">
        <f t="shared" si="3"/>
        <v>0</v>
      </c>
      <c r="R35" s="63">
        <f t="shared" si="4"/>
        <v>0</v>
      </c>
      <c r="S35" s="63">
        <f t="shared" si="5"/>
        <v>0</v>
      </c>
      <c r="T35" s="63">
        <v>1</v>
      </c>
      <c r="U35" s="63">
        <f t="shared" si="6"/>
        <v>0</v>
      </c>
      <c r="V35" s="63"/>
      <c r="W35" s="63">
        <f t="shared" si="7"/>
        <v>2357.6</v>
      </c>
      <c r="X35" s="63">
        <f t="shared" si="8"/>
        <v>2357.6</v>
      </c>
      <c r="Y35" s="63">
        <v>1</v>
      </c>
      <c r="Z35" s="63">
        <f t="shared" si="9"/>
        <v>2357.6</v>
      </c>
      <c r="AA35" s="63">
        <f t="shared" si="10"/>
        <v>2357.6</v>
      </c>
      <c r="AB35" s="63">
        <f t="shared" si="11"/>
        <v>0</v>
      </c>
      <c r="AC35" s="65">
        <f t="shared" si="12"/>
        <v>2003.5</v>
      </c>
      <c r="AD35" s="65">
        <f t="shared" si="13"/>
        <v>2016</v>
      </c>
      <c r="AE35" s="65">
        <f t="shared" si="14"/>
        <v>2013.5</v>
      </c>
      <c r="AF35" s="65">
        <f t="shared" si="15"/>
        <v>2015</v>
      </c>
      <c r="AG35" s="65">
        <f t="shared" si="16"/>
        <v>-0.08333333333333333</v>
      </c>
    </row>
    <row r="36" spans="1:33" ht="11.25">
      <c r="A36" s="125"/>
      <c r="B36" s="57">
        <v>20</v>
      </c>
      <c r="C36" s="59" t="s">
        <v>133</v>
      </c>
      <c r="D36" s="60">
        <v>2005</v>
      </c>
      <c r="E36" s="60">
        <v>7</v>
      </c>
      <c r="F36" s="60">
        <v>0</v>
      </c>
      <c r="H36" s="57" t="s">
        <v>52</v>
      </c>
      <c r="I36" s="57">
        <v>10</v>
      </c>
      <c r="J36" s="114">
        <f t="shared" si="0"/>
        <v>2015</v>
      </c>
      <c r="M36" s="63">
        <v>8268.8</v>
      </c>
      <c r="N36" s="126"/>
      <c r="O36" s="63">
        <f t="shared" si="1"/>
        <v>8268.8</v>
      </c>
      <c r="P36" s="63">
        <f t="shared" si="2"/>
        <v>68.90666666666665</v>
      </c>
      <c r="Q36" s="63">
        <f t="shared" si="3"/>
        <v>413.43999999999994</v>
      </c>
      <c r="R36" s="63">
        <f t="shared" si="4"/>
        <v>0</v>
      </c>
      <c r="S36" s="63">
        <f t="shared" si="5"/>
        <v>413.43999999999994</v>
      </c>
      <c r="T36" s="63">
        <v>1</v>
      </c>
      <c r="U36" s="63">
        <f t="shared" si="6"/>
        <v>413.43999999999994</v>
      </c>
      <c r="V36" s="63"/>
      <c r="W36" s="63">
        <f t="shared" si="7"/>
        <v>7855.36</v>
      </c>
      <c r="X36" s="63">
        <f t="shared" si="8"/>
        <v>7855.36</v>
      </c>
      <c r="Y36" s="63">
        <v>1</v>
      </c>
      <c r="Z36" s="63">
        <f t="shared" si="9"/>
        <v>7855.36</v>
      </c>
      <c r="AA36" s="63">
        <f t="shared" si="10"/>
        <v>8268.8</v>
      </c>
      <c r="AB36" s="63">
        <f t="shared" si="11"/>
        <v>206.7199999999998</v>
      </c>
      <c r="AC36" s="65">
        <f t="shared" si="12"/>
        <v>2005.5</v>
      </c>
      <c r="AD36" s="65">
        <f t="shared" si="13"/>
        <v>2016</v>
      </c>
      <c r="AE36" s="65">
        <f t="shared" si="14"/>
        <v>2015.5</v>
      </c>
      <c r="AF36" s="65">
        <f t="shared" si="15"/>
        <v>2015</v>
      </c>
      <c r="AG36" s="65">
        <f t="shared" si="16"/>
        <v>-0.08333333333333333</v>
      </c>
    </row>
    <row r="37" spans="1:33" ht="11.25">
      <c r="A37" s="125"/>
      <c r="B37" s="57">
        <v>5</v>
      </c>
      <c r="C37" s="59" t="s">
        <v>134</v>
      </c>
      <c r="D37" s="60">
        <v>2005</v>
      </c>
      <c r="E37" s="60">
        <v>7</v>
      </c>
      <c r="F37" s="60">
        <v>0</v>
      </c>
      <c r="H37" s="57" t="s">
        <v>52</v>
      </c>
      <c r="I37" s="57">
        <v>10</v>
      </c>
      <c r="J37" s="114">
        <f t="shared" si="0"/>
        <v>2015</v>
      </c>
      <c r="M37" s="63">
        <v>2148.8</v>
      </c>
      <c r="N37" s="126"/>
      <c r="O37" s="63">
        <f t="shared" si="1"/>
        <v>2148.8</v>
      </c>
      <c r="P37" s="63">
        <f t="shared" si="2"/>
        <v>17.90666666666667</v>
      </c>
      <c r="Q37" s="63">
        <f t="shared" si="3"/>
        <v>107.44000000000003</v>
      </c>
      <c r="R37" s="63">
        <f t="shared" si="4"/>
        <v>0</v>
      </c>
      <c r="S37" s="63">
        <f t="shared" si="5"/>
        <v>107.44000000000003</v>
      </c>
      <c r="T37" s="63">
        <v>1</v>
      </c>
      <c r="U37" s="63">
        <f t="shared" si="6"/>
        <v>107.44000000000003</v>
      </c>
      <c r="V37" s="63"/>
      <c r="W37" s="63">
        <f t="shared" si="7"/>
        <v>2041.3600000000001</v>
      </c>
      <c r="X37" s="63">
        <f t="shared" si="8"/>
        <v>2041.3600000000001</v>
      </c>
      <c r="Y37" s="63">
        <v>1</v>
      </c>
      <c r="Z37" s="63">
        <f t="shared" si="9"/>
        <v>2041.3600000000001</v>
      </c>
      <c r="AA37" s="63">
        <f t="shared" si="10"/>
        <v>2148.8</v>
      </c>
      <c r="AB37" s="63">
        <f t="shared" si="11"/>
        <v>53.72000000000003</v>
      </c>
      <c r="AC37" s="65">
        <f t="shared" si="12"/>
        <v>2005.5</v>
      </c>
      <c r="AD37" s="65">
        <f t="shared" si="13"/>
        <v>2016</v>
      </c>
      <c r="AE37" s="65">
        <f t="shared" si="14"/>
        <v>2015.5</v>
      </c>
      <c r="AF37" s="65">
        <f t="shared" si="15"/>
        <v>2015</v>
      </c>
      <c r="AG37" s="65">
        <f t="shared" si="16"/>
        <v>-0.08333333333333333</v>
      </c>
    </row>
    <row r="38" spans="1:33" ht="11.25">
      <c r="A38" s="125"/>
      <c r="B38" s="57">
        <v>10</v>
      </c>
      <c r="C38" s="59" t="s">
        <v>138</v>
      </c>
      <c r="D38" s="60">
        <v>2005</v>
      </c>
      <c r="E38" s="60">
        <v>12</v>
      </c>
      <c r="F38" s="60">
        <v>0</v>
      </c>
      <c r="H38" s="57" t="s">
        <v>52</v>
      </c>
      <c r="I38" s="57">
        <v>10</v>
      </c>
      <c r="J38" s="114">
        <f t="shared" si="0"/>
        <v>2015</v>
      </c>
      <c r="M38" s="63">
        <v>5222.4</v>
      </c>
      <c r="N38" s="126"/>
      <c r="O38" s="63">
        <f t="shared" si="1"/>
        <v>5222.4</v>
      </c>
      <c r="P38" s="63">
        <f t="shared" si="2"/>
        <v>43.52</v>
      </c>
      <c r="Q38" s="63">
        <f t="shared" si="3"/>
        <v>478.7200000000396</v>
      </c>
      <c r="R38" s="63">
        <f t="shared" si="4"/>
        <v>0</v>
      </c>
      <c r="S38" s="63">
        <f t="shared" si="5"/>
        <v>478.7200000000396</v>
      </c>
      <c r="T38" s="63">
        <v>1</v>
      </c>
      <c r="U38" s="63">
        <f t="shared" si="6"/>
        <v>478.7200000000396</v>
      </c>
      <c r="V38" s="63"/>
      <c r="W38" s="63">
        <f t="shared" si="7"/>
        <v>4743.67999999996</v>
      </c>
      <c r="X38" s="63">
        <f t="shared" si="8"/>
        <v>4743.67999999996</v>
      </c>
      <c r="Y38" s="63">
        <v>1</v>
      </c>
      <c r="Z38" s="63">
        <f t="shared" si="9"/>
        <v>4743.67999999996</v>
      </c>
      <c r="AA38" s="63">
        <f t="shared" si="10"/>
        <v>5222.4</v>
      </c>
      <c r="AB38" s="63">
        <f t="shared" si="11"/>
        <v>239.36000000001968</v>
      </c>
      <c r="AC38" s="65">
        <f t="shared" si="12"/>
        <v>2005.9166666666667</v>
      </c>
      <c r="AD38" s="65">
        <f t="shared" si="13"/>
        <v>2016</v>
      </c>
      <c r="AE38" s="65">
        <f t="shared" si="14"/>
        <v>2015.9166666666667</v>
      </c>
      <c r="AF38" s="65">
        <f t="shared" si="15"/>
        <v>2015</v>
      </c>
      <c r="AG38" s="65">
        <f t="shared" si="16"/>
        <v>-0.08333333333333333</v>
      </c>
    </row>
    <row r="39" spans="1:33" ht="11.25">
      <c r="A39" s="125"/>
      <c r="B39" s="57">
        <v>10</v>
      </c>
      <c r="C39" s="59" t="s">
        <v>136</v>
      </c>
      <c r="D39" s="60">
        <v>2005</v>
      </c>
      <c r="E39" s="60">
        <v>11</v>
      </c>
      <c r="F39" s="60">
        <v>0</v>
      </c>
      <c r="H39" s="57" t="s">
        <v>52</v>
      </c>
      <c r="I39" s="57">
        <v>10</v>
      </c>
      <c r="J39" s="114">
        <f t="shared" si="0"/>
        <v>2015</v>
      </c>
      <c r="M39" s="63">
        <v>5222.4</v>
      </c>
      <c r="N39" s="126"/>
      <c r="O39" s="63">
        <f t="shared" si="1"/>
        <v>5222.4</v>
      </c>
      <c r="P39" s="63">
        <f t="shared" si="2"/>
        <v>43.52</v>
      </c>
      <c r="Q39" s="63">
        <f t="shared" si="3"/>
        <v>435.1999999999604</v>
      </c>
      <c r="R39" s="63">
        <f t="shared" si="4"/>
        <v>0</v>
      </c>
      <c r="S39" s="63">
        <f t="shared" si="5"/>
        <v>435.1999999999604</v>
      </c>
      <c r="T39" s="63">
        <v>1</v>
      </c>
      <c r="U39" s="63">
        <f t="shared" si="6"/>
        <v>435.1999999999604</v>
      </c>
      <c r="V39" s="63"/>
      <c r="W39" s="63">
        <f t="shared" si="7"/>
        <v>4787.200000000039</v>
      </c>
      <c r="X39" s="63">
        <f t="shared" si="8"/>
        <v>4787.200000000039</v>
      </c>
      <c r="Y39" s="63">
        <v>1</v>
      </c>
      <c r="Z39" s="63">
        <f t="shared" si="9"/>
        <v>4787.200000000039</v>
      </c>
      <c r="AA39" s="63">
        <f t="shared" si="10"/>
        <v>5222.4</v>
      </c>
      <c r="AB39" s="63">
        <f t="shared" si="11"/>
        <v>217.59999999998035</v>
      </c>
      <c r="AC39" s="65">
        <f t="shared" si="12"/>
        <v>2005.8333333333333</v>
      </c>
      <c r="AD39" s="65">
        <f t="shared" si="13"/>
        <v>2016</v>
      </c>
      <c r="AE39" s="65">
        <f t="shared" si="14"/>
        <v>2015.8333333333333</v>
      </c>
      <c r="AF39" s="65">
        <f t="shared" si="15"/>
        <v>2015</v>
      </c>
      <c r="AG39" s="65">
        <f t="shared" si="16"/>
        <v>-0.08333333333333333</v>
      </c>
    </row>
    <row r="40" spans="1:33" ht="11.25">
      <c r="A40" s="125"/>
      <c r="B40" s="57">
        <v>5</v>
      </c>
      <c r="C40" s="59" t="s">
        <v>137</v>
      </c>
      <c r="D40" s="60">
        <v>2005</v>
      </c>
      <c r="E40" s="60">
        <v>11</v>
      </c>
      <c r="F40" s="60">
        <v>0</v>
      </c>
      <c r="H40" s="57" t="s">
        <v>52</v>
      </c>
      <c r="I40" s="57">
        <v>10</v>
      </c>
      <c r="J40" s="114">
        <f t="shared" si="0"/>
        <v>2015</v>
      </c>
      <c r="M40" s="63">
        <v>2904.96</v>
      </c>
      <c r="N40" s="126"/>
      <c r="O40" s="63">
        <f t="shared" si="1"/>
        <v>2904.96</v>
      </c>
      <c r="P40" s="63">
        <f t="shared" si="2"/>
        <v>24.208</v>
      </c>
      <c r="Q40" s="63">
        <f t="shared" si="3"/>
        <v>242.07999999997796</v>
      </c>
      <c r="R40" s="63">
        <f t="shared" si="4"/>
        <v>0</v>
      </c>
      <c r="S40" s="63">
        <f t="shared" si="5"/>
        <v>242.07999999997796</v>
      </c>
      <c r="T40" s="63">
        <v>1</v>
      </c>
      <c r="U40" s="63">
        <f t="shared" si="6"/>
        <v>242.07999999997796</v>
      </c>
      <c r="V40" s="63"/>
      <c r="W40" s="63">
        <f t="shared" si="7"/>
        <v>2662.880000000022</v>
      </c>
      <c r="X40" s="63">
        <f t="shared" si="8"/>
        <v>2662.880000000022</v>
      </c>
      <c r="Y40" s="63">
        <v>1</v>
      </c>
      <c r="Z40" s="63">
        <f t="shared" si="9"/>
        <v>2662.880000000022</v>
      </c>
      <c r="AA40" s="63">
        <f t="shared" si="10"/>
        <v>2904.96</v>
      </c>
      <c r="AB40" s="63">
        <f t="shared" si="11"/>
        <v>121.03999999998905</v>
      </c>
      <c r="AC40" s="65">
        <f t="shared" si="12"/>
        <v>2005.8333333333333</v>
      </c>
      <c r="AD40" s="65">
        <f t="shared" si="13"/>
        <v>2016</v>
      </c>
      <c r="AE40" s="65">
        <f t="shared" si="14"/>
        <v>2015.8333333333333</v>
      </c>
      <c r="AF40" s="65">
        <f t="shared" si="15"/>
        <v>2015</v>
      </c>
      <c r="AG40" s="65">
        <f t="shared" si="16"/>
        <v>-0.08333333333333333</v>
      </c>
    </row>
    <row r="41" spans="1:33" ht="11.25">
      <c r="A41" s="125"/>
      <c r="B41" s="57">
        <v>4</v>
      </c>
      <c r="C41" s="59" t="s">
        <v>135</v>
      </c>
      <c r="D41" s="60">
        <v>2005</v>
      </c>
      <c r="E41" s="60">
        <v>7</v>
      </c>
      <c r="F41" s="60">
        <v>0</v>
      </c>
      <c r="H41" s="57" t="s">
        <v>52</v>
      </c>
      <c r="I41" s="57">
        <v>10</v>
      </c>
      <c r="J41" s="114">
        <f t="shared" si="0"/>
        <v>2015</v>
      </c>
      <c r="M41" s="63">
        <v>4186.62</v>
      </c>
      <c r="N41" s="126"/>
      <c r="O41" s="63">
        <f t="shared" si="1"/>
        <v>4186.62</v>
      </c>
      <c r="P41" s="63">
        <f t="shared" si="2"/>
        <v>34.8885</v>
      </c>
      <c r="Q41" s="63">
        <f t="shared" si="3"/>
        <v>209.33100000000002</v>
      </c>
      <c r="R41" s="63">
        <f t="shared" si="4"/>
        <v>0</v>
      </c>
      <c r="S41" s="63">
        <f t="shared" si="5"/>
        <v>209.33100000000002</v>
      </c>
      <c r="T41" s="63">
        <v>1</v>
      </c>
      <c r="U41" s="63">
        <f t="shared" si="6"/>
        <v>209.33100000000002</v>
      </c>
      <c r="V41" s="63"/>
      <c r="W41" s="63">
        <f t="shared" si="7"/>
        <v>3977.2889999999998</v>
      </c>
      <c r="X41" s="63">
        <f t="shared" si="8"/>
        <v>3977.2889999999998</v>
      </c>
      <c r="Y41" s="63">
        <v>1</v>
      </c>
      <c r="Z41" s="63">
        <f t="shared" si="9"/>
        <v>3977.2889999999998</v>
      </c>
      <c r="AA41" s="63">
        <f t="shared" si="10"/>
        <v>4186.62</v>
      </c>
      <c r="AB41" s="63">
        <f t="shared" si="11"/>
        <v>104.66550000000007</v>
      </c>
      <c r="AC41" s="65">
        <f t="shared" si="12"/>
        <v>2005.5</v>
      </c>
      <c r="AD41" s="65">
        <f t="shared" si="13"/>
        <v>2016</v>
      </c>
      <c r="AE41" s="65">
        <f t="shared" si="14"/>
        <v>2015.5</v>
      </c>
      <c r="AF41" s="65">
        <f t="shared" si="15"/>
        <v>2015</v>
      </c>
      <c r="AG41" s="65">
        <f t="shared" si="16"/>
        <v>-0.08333333333333333</v>
      </c>
    </row>
    <row r="42" spans="1:33" ht="11.25">
      <c r="A42" s="125"/>
      <c r="B42" s="57">
        <v>10</v>
      </c>
      <c r="C42" s="59" t="s">
        <v>168</v>
      </c>
      <c r="D42" s="60">
        <v>2006</v>
      </c>
      <c r="E42" s="60">
        <v>12</v>
      </c>
      <c r="F42" s="60">
        <v>0</v>
      </c>
      <c r="H42" s="57" t="s">
        <v>52</v>
      </c>
      <c r="I42" s="57">
        <v>10</v>
      </c>
      <c r="J42" s="114">
        <f t="shared" si="0"/>
        <v>2016</v>
      </c>
      <c r="M42" s="63">
        <v>4308.48</v>
      </c>
      <c r="N42" s="126"/>
      <c r="O42" s="63">
        <f t="shared" si="1"/>
        <v>4308.48</v>
      </c>
      <c r="P42" s="63">
        <f t="shared" si="2"/>
        <v>35.903999999999996</v>
      </c>
      <c r="Q42" s="63">
        <f t="shared" si="3"/>
        <v>430.84799999999996</v>
      </c>
      <c r="R42" s="63">
        <f t="shared" si="4"/>
        <v>0</v>
      </c>
      <c r="S42" s="63">
        <f t="shared" si="5"/>
        <v>430.84799999999996</v>
      </c>
      <c r="T42" s="63">
        <v>1</v>
      </c>
      <c r="U42" s="63">
        <f t="shared" si="6"/>
        <v>430.84799999999996</v>
      </c>
      <c r="V42" s="63"/>
      <c r="W42" s="63">
        <f t="shared" si="7"/>
        <v>3482.687999999967</v>
      </c>
      <c r="X42" s="63">
        <f t="shared" si="8"/>
        <v>3482.687999999967</v>
      </c>
      <c r="Y42" s="63">
        <v>1</v>
      </c>
      <c r="Z42" s="63">
        <f t="shared" si="9"/>
        <v>3482.687999999967</v>
      </c>
      <c r="AA42" s="63">
        <f t="shared" si="10"/>
        <v>3913.535999999967</v>
      </c>
      <c r="AB42" s="63">
        <f t="shared" si="11"/>
        <v>610.3680000000327</v>
      </c>
      <c r="AC42" s="65">
        <f t="shared" si="12"/>
        <v>2006.9166666666667</v>
      </c>
      <c r="AD42" s="65">
        <f t="shared" si="13"/>
        <v>2016</v>
      </c>
      <c r="AE42" s="65">
        <f t="shared" si="14"/>
        <v>2016.9166666666667</v>
      </c>
      <c r="AF42" s="65">
        <f t="shared" si="15"/>
        <v>2015</v>
      </c>
      <c r="AG42" s="65">
        <f t="shared" si="16"/>
        <v>-0.08333333333333333</v>
      </c>
    </row>
    <row r="43" spans="1:33" ht="11.25">
      <c r="A43" s="125"/>
      <c r="B43" s="57">
        <v>22</v>
      </c>
      <c r="C43" s="59" t="s">
        <v>167</v>
      </c>
      <c r="D43" s="60">
        <v>2006</v>
      </c>
      <c r="E43" s="60">
        <v>12</v>
      </c>
      <c r="F43" s="60">
        <v>0</v>
      </c>
      <c r="H43" s="57" t="s">
        <v>52</v>
      </c>
      <c r="I43" s="57">
        <v>10</v>
      </c>
      <c r="J43" s="114">
        <f t="shared" si="0"/>
        <v>2016</v>
      </c>
      <c r="M43" s="63">
        <v>10340.35</v>
      </c>
      <c r="N43" s="126"/>
      <c r="O43" s="63">
        <f t="shared" si="1"/>
        <v>10340.35</v>
      </c>
      <c r="P43" s="63">
        <f t="shared" si="2"/>
        <v>86.16958333333334</v>
      </c>
      <c r="Q43" s="63">
        <f t="shared" si="3"/>
        <v>1034.035</v>
      </c>
      <c r="R43" s="63">
        <f t="shared" si="4"/>
        <v>0</v>
      </c>
      <c r="S43" s="63">
        <f t="shared" si="5"/>
        <v>1034.035</v>
      </c>
      <c r="T43" s="63">
        <v>1</v>
      </c>
      <c r="U43" s="63">
        <f t="shared" si="6"/>
        <v>1034.035</v>
      </c>
      <c r="V43" s="63"/>
      <c r="W43" s="63">
        <f t="shared" si="7"/>
        <v>8358.449583333255</v>
      </c>
      <c r="X43" s="63">
        <f t="shared" si="8"/>
        <v>8358.449583333255</v>
      </c>
      <c r="Y43" s="63">
        <v>1</v>
      </c>
      <c r="Z43" s="63">
        <f t="shared" si="9"/>
        <v>8358.449583333255</v>
      </c>
      <c r="AA43" s="63">
        <f t="shared" si="10"/>
        <v>9392.484583333255</v>
      </c>
      <c r="AB43" s="63">
        <f t="shared" si="11"/>
        <v>1464.8829166667456</v>
      </c>
      <c r="AC43" s="65">
        <f t="shared" si="12"/>
        <v>2006.9166666666667</v>
      </c>
      <c r="AD43" s="65">
        <f t="shared" si="13"/>
        <v>2016</v>
      </c>
      <c r="AE43" s="65">
        <f t="shared" si="14"/>
        <v>2016.9166666666667</v>
      </c>
      <c r="AF43" s="65">
        <f t="shared" si="15"/>
        <v>2015</v>
      </c>
      <c r="AG43" s="65">
        <f t="shared" si="16"/>
        <v>-0.08333333333333333</v>
      </c>
    </row>
    <row r="44" spans="1:33" ht="11.25">
      <c r="A44" s="125"/>
      <c r="B44" s="57">
        <v>5</v>
      </c>
      <c r="C44" s="59" t="s">
        <v>137</v>
      </c>
      <c r="D44" s="60">
        <v>2006</v>
      </c>
      <c r="E44" s="60">
        <v>3</v>
      </c>
      <c r="F44" s="60">
        <v>0</v>
      </c>
      <c r="H44" s="57" t="s">
        <v>52</v>
      </c>
      <c r="I44" s="57">
        <v>10</v>
      </c>
      <c r="J44" s="114">
        <f t="shared" si="0"/>
        <v>2016</v>
      </c>
      <c r="M44" s="63">
        <v>2970.24</v>
      </c>
      <c r="N44" s="126"/>
      <c r="O44" s="63">
        <f t="shared" si="1"/>
        <v>2970.24</v>
      </c>
      <c r="P44" s="63">
        <f t="shared" si="2"/>
        <v>24.752</v>
      </c>
      <c r="Q44" s="63">
        <f t="shared" si="3"/>
        <v>297.024</v>
      </c>
      <c r="R44" s="63">
        <f t="shared" si="4"/>
        <v>0</v>
      </c>
      <c r="S44" s="63">
        <f t="shared" si="5"/>
        <v>297.024</v>
      </c>
      <c r="T44" s="63">
        <v>1</v>
      </c>
      <c r="U44" s="63">
        <f t="shared" si="6"/>
        <v>297.024</v>
      </c>
      <c r="V44" s="63"/>
      <c r="W44" s="63">
        <f t="shared" si="7"/>
        <v>2623.7119999999773</v>
      </c>
      <c r="X44" s="63">
        <f t="shared" si="8"/>
        <v>2623.7119999999773</v>
      </c>
      <c r="Y44" s="63">
        <v>1</v>
      </c>
      <c r="Z44" s="63">
        <f t="shared" si="9"/>
        <v>2623.7119999999773</v>
      </c>
      <c r="AA44" s="63">
        <f t="shared" si="10"/>
        <v>2920.735999999977</v>
      </c>
      <c r="AB44" s="63">
        <f t="shared" si="11"/>
        <v>198.0160000000226</v>
      </c>
      <c r="AC44" s="65">
        <f t="shared" si="12"/>
        <v>2006.1666666666667</v>
      </c>
      <c r="AD44" s="65">
        <f t="shared" si="13"/>
        <v>2016</v>
      </c>
      <c r="AE44" s="65">
        <f t="shared" si="14"/>
        <v>2016.1666666666667</v>
      </c>
      <c r="AF44" s="65">
        <f t="shared" si="15"/>
        <v>2015</v>
      </c>
      <c r="AG44" s="65">
        <f t="shared" si="16"/>
        <v>-0.08333333333333333</v>
      </c>
    </row>
    <row r="45" spans="1:33" ht="11.25">
      <c r="A45" s="125"/>
      <c r="B45" s="57">
        <v>5</v>
      </c>
      <c r="C45" s="59" t="s">
        <v>137</v>
      </c>
      <c r="D45" s="60">
        <v>2007</v>
      </c>
      <c r="E45" s="60">
        <v>5</v>
      </c>
      <c r="F45" s="60">
        <v>0</v>
      </c>
      <c r="H45" s="57" t="s">
        <v>52</v>
      </c>
      <c r="I45" s="57">
        <v>10</v>
      </c>
      <c r="J45" s="114">
        <f t="shared" si="0"/>
        <v>2017</v>
      </c>
      <c r="M45" s="63">
        <v>2885.85</v>
      </c>
      <c r="N45" s="126"/>
      <c r="O45" s="63">
        <f t="shared" si="1"/>
        <v>2885.85</v>
      </c>
      <c r="P45" s="63">
        <f t="shared" si="2"/>
        <v>24.04875</v>
      </c>
      <c r="Q45" s="63">
        <f t="shared" si="3"/>
        <v>288.585</v>
      </c>
      <c r="R45" s="63">
        <f t="shared" si="4"/>
        <v>0</v>
      </c>
      <c r="S45" s="63">
        <f t="shared" si="5"/>
        <v>288.585</v>
      </c>
      <c r="T45" s="63">
        <v>1</v>
      </c>
      <c r="U45" s="63">
        <f t="shared" si="6"/>
        <v>288.585</v>
      </c>
      <c r="V45" s="63"/>
      <c r="W45" s="63">
        <f t="shared" si="7"/>
        <v>2212.4850000000215</v>
      </c>
      <c r="X45" s="63">
        <f t="shared" si="8"/>
        <v>2212.4850000000215</v>
      </c>
      <c r="Y45" s="63">
        <v>1</v>
      </c>
      <c r="Z45" s="63">
        <f t="shared" si="9"/>
        <v>2212.4850000000215</v>
      </c>
      <c r="AA45" s="63">
        <f t="shared" si="10"/>
        <v>2501.0700000000215</v>
      </c>
      <c r="AB45" s="63">
        <f t="shared" si="11"/>
        <v>529.0724999999784</v>
      </c>
      <c r="AC45" s="65">
        <f t="shared" si="12"/>
        <v>2007.3333333333333</v>
      </c>
      <c r="AD45" s="65">
        <f t="shared" si="13"/>
        <v>2016</v>
      </c>
      <c r="AE45" s="65">
        <f t="shared" si="14"/>
        <v>2017.3333333333333</v>
      </c>
      <c r="AF45" s="65">
        <f t="shared" si="15"/>
        <v>2015</v>
      </c>
      <c r="AG45" s="65">
        <f t="shared" si="16"/>
        <v>-0.08333333333333333</v>
      </c>
    </row>
    <row r="46" spans="1:33" ht="11.25">
      <c r="A46" s="125"/>
      <c r="B46" s="57">
        <v>15</v>
      </c>
      <c r="C46" s="59" t="s">
        <v>135</v>
      </c>
      <c r="D46" s="60">
        <v>2007</v>
      </c>
      <c r="E46" s="60">
        <v>6</v>
      </c>
      <c r="F46" s="60">
        <v>0</v>
      </c>
      <c r="H46" s="57" t="s">
        <v>52</v>
      </c>
      <c r="I46" s="57">
        <v>10</v>
      </c>
      <c r="J46" s="114">
        <f t="shared" si="0"/>
        <v>2017</v>
      </c>
      <c r="M46" s="63">
        <f>4867.83+7301.75</f>
        <v>12169.58</v>
      </c>
      <c r="N46" s="126"/>
      <c r="O46" s="63">
        <f t="shared" si="1"/>
        <v>12169.58</v>
      </c>
      <c r="P46" s="63">
        <f t="shared" si="2"/>
        <v>101.41316666666667</v>
      </c>
      <c r="Q46" s="63">
        <f t="shared" si="3"/>
        <v>1216.958</v>
      </c>
      <c r="R46" s="63">
        <f t="shared" si="4"/>
        <v>0</v>
      </c>
      <c r="S46" s="63">
        <f t="shared" si="5"/>
        <v>1216.958</v>
      </c>
      <c r="T46" s="63">
        <v>1</v>
      </c>
      <c r="U46" s="63">
        <f t="shared" si="6"/>
        <v>1216.958</v>
      </c>
      <c r="V46" s="63"/>
      <c r="W46" s="63">
        <f t="shared" si="7"/>
        <v>9228.598166666574</v>
      </c>
      <c r="X46" s="63">
        <f t="shared" si="8"/>
        <v>9228.598166666574</v>
      </c>
      <c r="Y46" s="63">
        <v>1</v>
      </c>
      <c r="Z46" s="63">
        <f t="shared" si="9"/>
        <v>9228.598166666574</v>
      </c>
      <c r="AA46" s="63">
        <f t="shared" si="10"/>
        <v>10445.556166666574</v>
      </c>
      <c r="AB46" s="63">
        <f t="shared" si="11"/>
        <v>2332.5028333334258</v>
      </c>
      <c r="AC46" s="65">
        <f t="shared" si="12"/>
        <v>2007.4166666666667</v>
      </c>
      <c r="AD46" s="65">
        <f t="shared" si="13"/>
        <v>2016</v>
      </c>
      <c r="AE46" s="65">
        <f t="shared" si="14"/>
        <v>2017.4166666666667</v>
      </c>
      <c r="AF46" s="65">
        <f t="shared" si="15"/>
        <v>2015</v>
      </c>
      <c r="AG46" s="65">
        <f t="shared" si="16"/>
        <v>-0.08333333333333333</v>
      </c>
    </row>
    <row r="47" spans="1:33" ht="11.25">
      <c r="A47" s="125"/>
      <c r="B47" s="57">
        <v>5</v>
      </c>
      <c r="C47" s="59" t="s">
        <v>168</v>
      </c>
      <c r="D47" s="60">
        <v>2008</v>
      </c>
      <c r="E47" s="60">
        <v>10</v>
      </c>
      <c r="F47" s="60">
        <v>0</v>
      </c>
      <c r="H47" s="57" t="s">
        <v>52</v>
      </c>
      <c r="I47" s="57">
        <v>10</v>
      </c>
      <c r="J47" s="114">
        <f t="shared" si="0"/>
        <v>2018</v>
      </c>
      <c r="M47" s="63">
        <v>2475.2</v>
      </c>
      <c r="N47" s="126"/>
      <c r="O47" s="63">
        <f t="shared" si="1"/>
        <v>2475.2</v>
      </c>
      <c r="P47" s="63">
        <f t="shared" si="2"/>
        <v>20.626666666666665</v>
      </c>
      <c r="Q47" s="63">
        <f t="shared" si="3"/>
        <v>247.51999999999998</v>
      </c>
      <c r="R47" s="63">
        <f t="shared" si="4"/>
        <v>0</v>
      </c>
      <c r="S47" s="63">
        <f t="shared" si="5"/>
        <v>247.51999999999998</v>
      </c>
      <c r="T47" s="63">
        <v>1</v>
      </c>
      <c r="U47" s="63">
        <f t="shared" si="6"/>
        <v>247.51999999999998</v>
      </c>
      <c r="V47" s="63"/>
      <c r="W47" s="63">
        <f t="shared" si="7"/>
        <v>1547</v>
      </c>
      <c r="X47" s="63">
        <f t="shared" si="8"/>
        <v>1547</v>
      </c>
      <c r="Y47" s="63">
        <v>1</v>
      </c>
      <c r="Z47" s="63">
        <f t="shared" si="9"/>
        <v>1547</v>
      </c>
      <c r="AA47" s="63">
        <f t="shared" si="10"/>
        <v>1794.52</v>
      </c>
      <c r="AB47" s="63">
        <f t="shared" si="11"/>
        <v>804.4399999999998</v>
      </c>
      <c r="AC47" s="65">
        <f t="shared" si="12"/>
        <v>2008.75</v>
      </c>
      <c r="AD47" s="65">
        <f t="shared" si="13"/>
        <v>2016</v>
      </c>
      <c r="AE47" s="65">
        <f t="shared" si="14"/>
        <v>2018.75</v>
      </c>
      <c r="AF47" s="65">
        <f t="shared" si="15"/>
        <v>2015</v>
      </c>
      <c r="AG47" s="65">
        <f t="shared" si="16"/>
        <v>-0.08333333333333333</v>
      </c>
    </row>
    <row r="48" spans="1:33" ht="11.25">
      <c r="A48" s="125"/>
      <c r="B48" s="57">
        <v>3</v>
      </c>
      <c r="C48" s="59" t="s">
        <v>138</v>
      </c>
      <c r="D48" s="60">
        <v>2008</v>
      </c>
      <c r="E48" s="60">
        <v>10</v>
      </c>
      <c r="F48" s="60">
        <v>0</v>
      </c>
      <c r="H48" s="57" t="s">
        <v>52</v>
      </c>
      <c r="I48" s="57">
        <v>10</v>
      </c>
      <c r="J48" s="114">
        <f t="shared" si="0"/>
        <v>2018</v>
      </c>
      <c r="M48" s="63">
        <v>1566.72</v>
      </c>
      <c r="N48" s="126"/>
      <c r="O48" s="63">
        <f t="shared" si="1"/>
        <v>1566.72</v>
      </c>
      <c r="P48" s="63">
        <f t="shared" si="2"/>
        <v>13.056</v>
      </c>
      <c r="Q48" s="63">
        <f t="shared" si="3"/>
        <v>156.672</v>
      </c>
      <c r="R48" s="63">
        <f t="shared" si="4"/>
        <v>0</v>
      </c>
      <c r="S48" s="63">
        <f t="shared" si="5"/>
        <v>156.672</v>
      </c>
      <c r="T48" s="63">
        <v>1</v>
      </c>
      <c r="U48" s="63">
        <f t="shared" si="6"/>
        <v>156.672</v>
      </c>
      <c r="V48" s="63"/>
      <c r="W48" s="63">
        <f t="shared" si="7"/>
        <v>979.1999999999999</v>
      </c>
      <c r="X48" s="63">
        <f t="shared" si="8"/>
        <v>979.1999999999999</v>
      </c>
      <c r="Y48" s="63">
        <v>1</v>
      </c>
      <c r="Z48" s="63">
        <f t="shared" si="9"/>
        <v>979.1999999999999</v>
      </c>
      <c r="AA48" s="63">
        <f t="shared" si="10"/>
        <v>1135.8719999999998</v>
      </c>
      <c r="AB48" s="63">
        <f t="shared" si="11"/>
        <v>509.18400000000014</v>
      </c>
      <c r="AC48" s="65">
        <f t="shared" si="12"/>
        <v>2008.75</v>
      </c>
      <c r="AD48" s="65">
        <f t="shared" si="13"/>
        <v>2016</v>
      </c>
      <c r="AE48" s="65">
        <f t="shared" si="14"/>
        <v>2018.75</v>
      </c>
      <c r="AF48" s="65">
        <f t="shared" si="15"/>
        <v>2015</v>
      </c>
      <c r="AG48" s="65">
        <f t="shared" si="16"/>
        <v>-0.08333333333333333</v>
      </c>
    </row>
    <row r="49" spans="1:33" ht="11.25">
      <c r="A49" s="125"/>
      <c r="B49" s="57">
        <v>5</v>
      </c>
      <c r="C49" s="59" t="s">
        <v>177</v>
      </c>
      <c r="D49" s="60">
        <v>2008</v>
      </c>
      <c r="E49" s="60">
        <v>10</v>
      </c>
      <c r="F49" s="60">
        <v>0</v>
      </c>
      <c r="H49" s="57" t="s">
        <v>52</v>
      </c>
      <c r="I49" s="57">
        <v>10</v>
      </c>
      <c r="J49" s="114">
        <f t="shared" si="0"/>
        <v>2018</v>
      </c>
      <c r="M49" s="63">
        <v>2872.32</v>
      </c>
      <c r="N49" s="126"/>
      <c r="O49" s="63">
        <f t="shared" si="1"/>
        <v>2872.32</v>
      </c>
      <c r="P49" s="63">
        <f t="shared" si="2"/>
        <v>23.936000000000003</v>
      </c>
      <c r="Q49" s="63">
        <f t="shared" si="3"/>
        <v>287.232</v>
      </c>
      <c r="R49" s="63">
        <f t="shared" si="4"/>
        <v>0</v>
      </c>
      <c r="S49" s="63">
        <f t="shared" si="5"/>
        <v>287.232</v>
      </c>
      <c r="T49" s="63">
        <v>1</v>
      </c>
      <c r="U49" s="63">
        <f t="shared" si="6"/>
        <v>287.232</v>
      </c>
      <c r="V49" s="63"/>
      <c r="W49" s="63">
        <f t="shared" si="7"/>
        <v>1795.2000000000003</v>
      </c>
      <c r="X49" s="63">
        <f t="shared" si="8"/>
        <v>1795.2000000000003</v>
      </c>
      <c r="Y49" s="63">
        <v>1</v>
      </c>
      <c r="Z49" s="63">
        <f t="shared" si="9"/>
        <v>1795.2000000000003</v>
      </c>
      <c r="AA49" s="63">
        <f t="shared" si="10"/>
        <v>2082.4320000000002</v>
      </c>
      <c r="AB49" s="63">
        <f t="shared" si="11"/>
        <v>933.5039999999999</v>
      </c>
      <c r="AC49" s="65">
        <f t="shared" si="12"/>
        <v>2008.75</v>
      </c>
      <c r="AD49" s="65">
        <f t="shared" si="13"/>
        <v>2016</v>
      </c>
      <c r="AE49" s="65">
        <f t="shared" si="14"/>
        <v>2018.75</v>
      </c>
      <c r="AF49" s="65">
        <f t="shared" si="15"/>
        <v>2015</v>
      </c>
      <c r="AG49" s="65">
        <f t="shared" si="16"/>
        <v>-0.08333333333333333</v>
      </c>
    </row>
    <row r="50" spans="1:33" ht="11.25">
      <c r="A50" s="125"/>
      <c r="B50" s="57">
        <v>2</v>
      </c>
      <c r="C50" s="59" t="s">
        <v>175</v>
      </c>
      <c r="D50" s="60">
        <v>2008</v>
      </c>
      <c r="E50" s="60">
        <v>9</v>
      </c>
      <c r="F50" s="60">
        <v>0</v>
      </c>
      <c r="H50" s="57" t="s">
        <v>52</v>
      </c>
      <c r="I50" s="57">
        <v>10</v>
      </c>
      <c r="J50" s="114">
        <f t="shared" si="0"/>
        <v>2018</v>
      </c>
      <c r="M50" s="63">
        <v>1490.56</v>
      </c>
      <c r="N50" s="126"/>
      <c r="O50" s="63">
        <f t="shared" si="1"/>
        <v>1490.56</v>
      </c>
      <c r="P50" s="63">
        <f t="shared" si="2"/>
        <v>12.421333333333331</v>
      </c>
      <c r="Q50" s="63">
        <f t="shared" si="3"/>
        <v>149.05599999999998</v>
      </c>
      <c r="R50" s="63">
        <f t="shared" si="4"/>
        <v>0</v>
      </c>
      <c r="S50" s="63">
        <f t="shared" si="5"/>
        <v>149.05599999999998</v>
      </c>
      <c r="T50" s="63">
        <v>1</v>
      </c>
      <c r="U50" s="63">
        <f t="shared" si="6"/>
        <v>149.05599999999998</v>
      </c>
      <c r="V50" s="63"/>
      <c r="W50" s="63">
        <f t="shared" si="7"/>
        <v>944.0213333333219</v>
      </c>
      <c r="X50" s="63">
        <f t="shared" si="8"/>
        <v>944.0213333333219</v>
      </c>
      <c r="Y50" s="63">
        <v>1</v>
      </c>
      <c r="Z50" s="63">
        <f t="shared" si="9"/>
        <v>944.0213333333219</v>
      </c>
      <c r="AA50" s="63">
        <f t="shared" si="10"/>
        <v>1093.0773333333218</v>
      </c>
      <c r="AB50" s="63">
        <f t="shared" si="11"/>
        <v>472.0106666666781</v>
      </c>
      <c r="AC50" s="65">
        <f t="shared" si="12"/>
        <v>2008.6666666666667</v>
      </c>
      <c r="AD50" s="65">
        <f t="shared" si="13"/>
        <v>2016</v>
      </c>
      <c r="AE50" s="65">
        <f t="shared" si="14"/>
        <v>2018.6666666666667</v>
      </c>
      <c r="AF50" s="65">
        <f t="shared" si="15"/>
        <v>2015</v>
      </c>
      <c r="AG50" s="65">
        <f t="shared" si="16"/>
        <v>-0.08333333333333333</v>
      </c>
    </row>
    <row r="51" spans="1:33" ht="11.25">
      <c r="A51" s="125"/>
      <c r="B51" s="57">
        <v>2</v>
      </c>
      <c r="C51" s="59" t="s">
        <v>135</v>
      </c>
      <c r="D51" s="60">
        <v>2008</v>
      </c>
      <c r="E51" s="60">
        <v>9</v>
      </c>
      <c r="F51" s="60">
        <v>0</v>
      </c>
      <c r="H51" s="57" t="s">
        <v>52</v>
      </c>
      <c r="I51" s="57">
        <v>10</v>
      </c>
      <c r="J51" s="114">
        <f t="shared" si="0"/>
        <v>2018</v>
      </c>
      <c r="M51" s="63">
        <v>1991.04</v>
      </c>
      <c r="N51" s="126"/>
      <c r="O51" s="63">
        <f t="shared" si="1"/>
        <v>1991.04</v>
      </c>
      <c r="P51" s="63">
        <f t="shared" si="2"/>
        <v>16.592</v>
      </c>
      <c r="Q51" s="63">
        <f t="shared" si="3"/>
        <v>199.10399999999998</v>
      </c>
      <c r="R51" s="63">
        <f t="shared" si="4"/>
        <v>0</v>
      </c>
      <c r="S51" s="63">
        <f t="shared" si="5"/>
        <v>199.10399999999998</v>
      </c>
      <c r="T51" s="63">
        <v>1</v>
      </c>
      <c r="U51" s="63">
        <f t="shared" si="6"/>
        <v>199.10399999999998</v>
      </c>
      <c r="V51" s="63"/>
      <c r="W51" s="63">
        <f t="shared" si="7"/>
        <v>1260.9919999999847</v>
      </c>
      <c r="X51" s="63">
        <f t="shared" si="8"/>
        <v>1260.9919999999847</v>
      </c>
      <c r="Y51" s="63">
        <v>1</v>
      </c>
      <c r="Z51" s="63">
        <f t="shared" si="9"/>
        <v>1260.9919999999847</v>
      </c>
      <c r="AA51" s="63">
        <f t="shared" si="10"/>
        <v>1460.0959999999848</v>
      </c>
      <c r="AB51" s="63">
        <f t="shared" si="11"/>
        <v>630.4960000000152</v>
      </c>
      <c r="AC51" s="65">
        <f t="shared" si="12"/>
        <v>2008.6666666666667</v>
      </c>
      <c r="AD51" s="65">
        <f t="shared" si="13"/>
        <v>2016</v>
      </c>
      <c r="AE51" s="65">
        <f t="shared" si="14"/>
        <v>2018.6666666666667</v>
      </c>
      <c r="AF51" s="65">
        <f t="shared" si="15"/>
        <v>2015</v>
      </c>
      <c r="AG51" s="65">
        <f t="shared" si="16"/>
        <v>-0.08333333333333333</v>
      </c>
    </row>
    <row r="52" spans="1:33" ht="11.25">
      <c r="A52" s="125"/>
      <c r="B52" s="57">
        <v>10</v>
      </c>
      <c r="C52" s="59" t="s">
        <v>168</v>
      </c>
      <c r="D52" s="60">
        <v>2010</v>
      </c>
      <c r="E52" s="60">
        <v>6</v>
      </c>
      <c r="F52" s="60">
        <v>0</v>
      </c>
      <c r="H52" s="57" t="s">
        <v>52</v>
      </c>
      <c r="I52" s="57">
        <v>10</v>
      </c>
      <c r="J52" s="114">
        <f t="shared" si="0"/>
        <v>2020</v>
      </c>
      <c r="M52" s="63">
        <v>4109.68</v>
      </c>
      <c r="N52" s="126"/>
      <c r="O52" s="63">
        <f t="shared" si="1"/>
        <v>4109.68</v>
      </c>
      <c r="P52" s="63">
        <f t="shared" si="2"/>
        <v>34.24733333333334</v>
      </c>
      <c r="Q52" s="63">
        <f t="shared" si="3"/>
        <v>410.9680000000001</v>
      </c>
      <c r="R52" s="63">
        <f t="shared" si="4"/>
        <v>0</v>
      </c>
      <c r="S52" s="63">
        <f t="shared" si="5"/>
        <v>410.9680000000001</v>
      </c>
      <c r="T52" s="63">
        <v>1</v>
      </c>
      <c r="U52" s="63">
        <f t="shared" si="6"/>
        <v>410.9680000000001</v>
      </c>
      <c r="V52" s="63"/>
      <c r="W52" s="63">
        <f t="shared" si="7"/>
        <v>1883.6033333333023</v>
      </c>
      <c r="X52" s="63">
        <f t="shared" si="8"/>
        <v>1883.6033333333023</v>
      </c>
      <c r="Y52" s="63">
        <v>1</v>
      </c>
      <c r="Z52" s="63">
        <f t="shared" si="9"/>
        <v>1883.6033333333023</v>
      </c>
      <c r="AA52" s="63">
        <f t="shared" si="10"/>
        <v>2294.5713333333024</v>
      </c>
      <c r="AB52" s="63">
        <f t="shared" si="11"/>
        <v>2020.5926666666978</v>
      </c>
      <c r="AC52" s="65">
        <f t="shared" si="12"/>
        <v>2010.4166666666667</v>
      </c>
      <c r="AD52" s="65">
        <f t="shared" si="13"/>
        <v>2016</v>
      </c>
      <c r="AE52" s="65">
        <f t="shared" si="14"/>
        <v>2020.4166666666667</v>
      </c>
      <c r="AF52" s="65">
        <f t="shared" si="15"/>
        <v>2015</v>
      </c>
      <c r="AG52" s="65">
        <f t="shared" si="16"/>
        <v>-0.08333333333333333</v>
      </c>
    </row>
    <row r="53" spans="1:33" ht="11.25">
      <c r="A53" s="125"/>
      <c r="B53" s="57">
        <v>9</v>
      </c>
      <c r="C53" s="59" t="s">
        <v>138</v>
      </c>
      <c r="D53" s="60">
        <v>2010</v>
      </c>
      <c r="E53" s="60">
        <v>6</v>
      </c>
      <c r="F53" s="60">
        <v>0</v>
      </c>
      <c r="H53" s="57" t="s">
        <v>52</v>
      </c>
      <c r="I53" s="57">
        <v>10</v>
      </c>
      <c r="J53" s="114">
        <f t="shared" si="0"/>
        <v>2020</v>
      </c>
      <c r="M53" s="63">
        <v>4033.17</v>
      </c>
      <c r="N53" s="126"/>
      <c r="O53" s="63">
        <f t="shared" si="1"/>
        <v>4033.17</v>
      </c>
      <c r="P53" s="63">
        <f t="shared" si="2"/>
        <v>33.60975</v>
      </c>
      <c r="Q53" s="63">
        <f t="shared" si="3"/>
        <v>403.317</v>
      </c>
      <c r="R53" s="63">
        <f t="shared" si="4"/>
        <v>0</v>
      </c>
      <c r="S53" s="63">
        <f t="shared" si="5"/>
        <v>403.317</v>
      </c>
      <c r="T53" s="63">
        <v>1</v>
      </c>
      <c r="U53" s="63">
        <f t="shared" si="6"/>
        <v>403.317</v>
      </c>
      <c r="V53" s="63"/>
      <c r="W53" s="63">
        <f t="shared" si="7"/>
        <v>1848.5362499999694</v>
      </c>
      <c r="X53" s="63">
        <f t="shared" si="8"/>
        <v>1848.5362499999694</v>
      </c>
      <c r="Y53" s="63">
        <v>1</v>
      </c>
      <c r="Z53" s="63">
        <f t="shared" si="9"/>
        <v>1848.5362499999694</v>
      </c>
      <c r="AA53" s="63">
        <f t="shared" si="10"/>
        <v>2251.853249999969</v>
      </c>
      <c r="AB53" s="63">
        <f t="shared" si="11"/>
        <v>1982.9752500000309</v>
      </c>
      <c r="AC53" s="65">
        <f t="shared" si="12"/>
        <v>2010.4166666666667</v>
      </c>
      <c r="AD53" s="65">
        <f t="shared" si="13"/>
        <v>2016</v>
      </c>
      <c r="AE53" s="65">
        <f t="shared" si="14"/>
        <v>2020.4166666666667</v>
      </c>
      <c r="AF53" s="65">
        <f t="shared" si="15"/>
        <v>2015</v>
      </c>
      <c r="AG53" s="65">
        <f t="shared" si="16"/>
        <v>-0.08333333333333333</v>
      </c>
    </row>
    <row r="54" spans="1:33" ht="11.25">
      <c r="A54" s="125"/>
      <c r="B54" s="57">
        <v>16</v>
      </c>
      <c r="C54" s="59" t="s">
        <v>135</v>
      </c>
      <c r="D54" s="60">
        <v>2010</v>
      </c>
      <c r="E54" s="60">
        <v>5</v>
      </c>
      <c r="F54" s="60">
        <v>0</v>
      </c>
      <c r="H54" s="57" t="s">
        <v>52</v>
      </c>
      <c r="I54" s="57">
        <v>10</v>
      </c>
      <c r="J54" s="114">
        <f t="shared" si="0"/>
        <v>2020</v>
      </c>
      <c r="M54" s="63">
        <v>13640.64</v>
      </c>
      <c r="N54" s="126"/>
      <c r="O54" s="63">
        <f t="shared" si="1"/>
        <v>13640.64</v>
      </c>
      <c r="P54" s="63">
        <f t="shared" si="2"/>
        <v>113.67199999999998</v>
      </c>
      <c r="Q54" s="63">
        <f t="shared" si="3"/>
        <v>1364.0639999999999</v>
      </c>
      <c r="R54" s="63">
        <f t="shared" si="4"/>
        <v>0</v>
      </c>
      <c r="S54" s="63">
        <f t="shared" si="5"/>
        <v>1364.0639999999999</v>
      </c>
      <c r="T54" s="63">
        <v>1</v>
      </c>
      <c r="U54" s="63">
        <f t="shared" si="6"/>
        <v>1364.0639999999999</v>
      </c>
      <c r="V54" s="63"/>
      <c r="W54" s="63">
        <f t="shared" si="7"/>
        <v>6365.632000000102</v>
      </c>
      <c r="X54" s="63">
        <f t="shared" si="8"/>
        <v>6365.632000000102</v>
      </c>
      <c r="Y54" s="63">
        <v>1</v>
      </c>
      <c r="Z54" s="63">
        <f t="shared" si="9"/>
        <v>6365.632000000102</v>
      </c>
      <c r="AA54" s="63">
        <f t="shared" si="10"/>
        <v>7729.696000000102</v>
      </c>
      <c r="AB54" s="63">
        <f t="shared" si="11"/>
        <v>6592.975999999897</v>
      </c>
      <c r="AC54" s="65">
        <f t="shared" si="12"/>
        <v>2010.3333333333333</v>
      </c>
      <c r="AD54" s="65">
        <f t="shared" si="13"/>
        <v>2016</v>
      </c>
      <c r="AE54" s="65">
        <f t="shared" si="14"/>
        <v>2020.3333333333333</v>
      </c>
      <c r="AF54" s="65">
        <f t="shared" si="15"/>
        <v>2015</v>
      </c>
      <c r="AG54" s="65">
        <f t="shared" si="16"/>
        <v>-0.08333333333333333</v>
      </c>
    </row>
    <row r="55" spans="1:33" ht="11.25">
      <c r="A55" s="125">
        <v>126249</v>
      </c>
      <c r="B55" s="57">
        <v>30</v>
      </c>
      <c r="C55" s="59" t="s">
        <v>221</v>
      </c>
      <c r="D55" s="60">
        <v>2015</v>
      </c>
      <c r="E55" s="60">
        <v>6</v>
      </c>
      <c r="F55" s="60">
        <v>0</v>
      </c>
      <c r="H55" s="57" t="s">
        <v>52</v>
      </c>
      <c r="I55" s="57">
        <v>10</v>
      </c>
      <c r="J55" s="114">
        <f t="shared" si="0"/>
        <v>2025</v>
      </c>
      <c r="M55" s="63">
        <v>14342.34</v>
      </c>
      <c r="N55" s="126"/>
      <c r="O55" s="63">
        <f t="shared" si="1"/>
        <v>14342.34</v>
      </c>
      <c r="P55" s="63">
        <f t="shared" si="2"/>
        <v>119.5195</v>
      </c>
      <c r="Q55" s="63">
        <f t="shared" si="3"/>
        <v>836.6364999998913</v>
      </c>
      <c r="R55" s="63">
        <f t="shared" si="4"/>
        <v>0</v>
      </c>
      <c r="S55" s="63">
        <f t="shared" si="5"/>
        <v>836.6364999998913</v>
      </c>
      <c r="T55" s="63">
        <v>1</v>
      </c>
      <c r="U55" s="63">
        <f t="shared" si="6"/>
        <v>836.6364999998913</v>
      </c>
      <c r="V55" s="63"/>
      <c r="W55" s="63">
        <f t="shared" si="7"/>
        <v>0</v>
      </c>
      <c r="X55" s="63">
        <f t="shared" si="8"/>
        <v>0</v>
      </c>
      <c r="Y55" s="63">
        <v>1</v>
      </c>
      <c r="Z55" s="63">
        <f t="shared" si="9"/>
        <v>0</v>
      </c>
      <c r="AA55" s="63">
        <f t="shared" si="10"/>
        <v>836.6364999998913</v>
      </c>
      <c r="AB55" s="63">
        <f t="shared" si="11"/>
        <v>6752.851750000054</v>
      </c>
      <c r="AC55" s="65">
        <f t="shared" si="12"/>
        <v>2015.4166666666667</v>
      </c>
      <c r="AD55" s="65">
        <f t="shared" si="13"/>
        <v>2016</v>
      </c>
      <c r="AE55" s="65">
        <f t="shared" si="14"/>
        <v>2025.4166666666667</v>
      </c>
      <c r="AF55" s="65">
        <f t="shared" si="15"/>
        <v>2015</v>
      </c>
      <c r="AG55" s="65">
        <f t="shared" si="16"/>
        <v>-0.08333333333333333</v>
      </c>
    </row>
    <row r="56" spans="1:33" ht="11.25">
      <c r="A56" s="125"/>
      <c r="B56" s="57"/>
      <c r="C56" s="59"/>
      <c r="D56" s="60"/>
      <c r="E56" s="60"/>
      <c r="F56" s="60"/>
      <c r="H56" s="57"/>
      <c r="I56" s="57"/>
      <c r="J56" s="114"/>
      <c r="M56" s="63"/>
      <c r="N56" s="126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5"/>
      <c r="AD56" s="65"/>
      <c r="AE56" s="65"/>
      <c r="AF56" s="65"/>
      <c r="AG56" s="65"/>
    </row>
    <row r="57" spans="1:33" ht="11.25">
      <c r="A57" s="125"/>
      <c r="B57" s="57"/>
      <c r="C57" s="59"/>
      <c r="D57" s="60"/>
      <c r="E57" s="60"/>
      <c r="F57" s="60"/>
      <c r="H57" s="57"/>
      <c r="I57" s="57"/>
      <c r="J57" s="114"/>
      <c r="M57" s="63"/>
      <c r="N57" s="126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5"/>
      <c r="AD57" s="65"/>
      <c r="AE57" s="65"/>
      <c r="AF57" s="65"/>
      <c r="AG57" s="65"/>
    </row>
    <row r="58" spans="1:33" ht="12" thickBot="1">
      <c r="A58" s="163"/>
      <c r="B58" s="164">
        <f>SUM(B13:B57)</f>
        <v>543</v>
      </c>
      <c r="C58" s="165" t="s">
        <v>218</v>
      </c>
      <c r="D58" s="165"/>
      <c r="E58" s="166"/>
      <c r="F58" s="166"/>
      <c r="G58" s="167"/>
      <c r="H58" s="168"/>
      <c r="I58" s="169"/>
      <c r="J58" s="170"/>
      <c r="K58" s="167"/>
      <c r="L58" s="167"/>
      <c r="M58" s="171">
        <f>SUM(M13:M57)</f>
        <v>230318.33</v>
      </c>
      <c r="N58" s="172"/>
      <c r="O58" s="171">
        <f>SUM(O13:O57)</f>
        <v>230318.33</v>
      </c>
      <c r="P58" s="171">
        <f>SUM(P13:P57)</f>
        <v>1919.3194166666667</v>
      </c>
      <c r="Q58" s="171">
        <f>SUM(Q13:Q57)</f>
        <v>9208.230499999869</v>
      </c>
      <c r="R58" s="171">
        <f>SUM(R13:R57)</f>
        <v>0</v>
      </c>
      <c r="S58" s="171">
        <f>SUM(S13:S57)</f>
        <v>9208.230499999869</v>
      </c>
      <c r="T58" s="171"/>
      <c r="U58" s="171">
        <f>SUM(U13:U57)</f>
        <v>9208.230499999869</v>
      </c>
      <c r="V58" s="171"/>
      <c r="W58" s="171">
        <f aca="true" t="shared" si="17" ref="W58:AB58">SUM(W13:W57)</f>
        <v>191766.0666666665</v>
      </c>
      <c r="X58" s="171">
        <f t="shared" si="17"/>
        <v>191766.0666666665</v>
      </c>
      <c r="Y58" s="171">
        <f t="shared" si="17"/>
        <v>43</v>
      </c>
      <c r="Z58" s="171">
        <f t="shared" si="17"/>
        <v>191766.0666666665</v>
      </c>
      <c r="AA58" s="171">
        <f t="shared" si="17"/>
        <v>196365.84716666632</v>
      </c>
      <c r="AB58" s="171">
        <f t="shared" si="17"/>
        <v>26776.978083333568</v>
      </c>
      <c r="AC58" s="130"/>
      <c r="AD58" s="65"/>
      <c r="AE58" s="65"/>
      <c r="AF58" s="65"/>
      <c r="AG58" s="65"/>
    </row>
    <row r="59" spans="1:33" ht="11.25">
      <c r="A59" s="154"/>
      <c r="B59" s="155"/>
      <c r="C59" s="156"/>
      <c r="D59" s="156"/>
      <c r="E59" s="157"/>
      <c r="F59" s="157"/>
      <c r="G59" s="152"/>
      <c r="H59" s="155"/>
      <c r="I59" s="158"/>
      <c r="J59" s="159"/>
      <c r="K59" s="152"/>
      <c r="L59" s="152"/>
      <c r="M59" s="160"/>
      <c r="N59" s="161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65"/>
      <c r="AD59" s="65"/>
      <c r="AE59" s="65"/>
      <c r="AF59" s="65"/>
      <c r="AG59" s="65"/>
    </row>
    <row r="60" spans="1:33" ht="11.25">
      <c r="A60" s="125"/>
      <c r="B60" s="57"/>
      <c r="C60" s="115" t="s">
        <v>139</v>
      </c>
      <c r="D60" s="115"/>
      <c r="E60" s="60"/>
      <c r="F60" s="60"/>
      <c r="H60" s="57"/>
      <c r="I60" s="128"/>
      <c r="J60" s="114"/>
      <c r="M60" s="129"/>
      <c r="N60" s="126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5"/>
      <c r="AD60" s="65"/>
      <c r="AE60" s="65"/>
      <c r="AF60" s="65"/>
      <c r="AG60" s="65"/>
    </row>
    <row r="61" spans="1:33" ht="11.25">
      <c r="A61" s="57"/>
      <c r="B61" s="57">
        <v>2</v>
      </c>
      <c r="C61" s="59" t="s">
        <v>140</v>
      </c>
      <c r="D61" s="60">
        <v>1985</v>
      </c>
      <c r="E61" s="60">
        <v>8</v>
      </c>
      <c r="F61" s="60">
        <v>0</v>
      </c>
      <c r="H61" s="57" t="s">
        <v>52</v>
      </c>
      <c r="I61" s="57">
        <v>8</v>
      </c>
      <c r="J61" s="114">
        <f aca="true" t="shared" si="18" ref="J61:J84">D61+I61</f>
        <v>1993</v>
      </c>
      <c r="M61" s="63">
        <v>4830</v>
      </c>
      <c r="N61" s="126"/>
      <c r="O61" s="63">
        <f aca="true" t="shared" si="19" ref="O61:O84">M61-M61*F61</f>
        <v>4830</v>
      </c>
      <c r="P61" s="63">
        <f aca="true" t="shared" si="20" ref="P61:P84">O61/I61/12</f>
        <v>50.3125</v>
      </c>
      <c r="Q61" s="63">
        <f aca="true" t="shared" si="21" ref="Q61:Q84">IF(N61&gt;0,0,IF(OR(AC61&gt;AD61,AE61&lt;AF61),0,IF(AND(AE61&gt;=AF61,AE61&lt;=AD61),P61*((AE61-AF61)*12),IF(AND(AF61&lt;=AC61,AD61&gt;=AC61),((AD61-AC61)*12)*P61,IF(AE61&gt;AD61,12*P61,0)))))</f>
        <v>0</v>
      </c>
      <c r="R61" s="63">
        <f aca="true" t="shared" si="22" ref="R61:R84">IF(N61=0,0,IF(AND(AG61&gt;=AF61,AG61&lt;=AE61),((AG61-AF61)*12)*P61,0))</f>
        <v>0</v>
      </c>
      <c r="S61" s="63">
        <f aca="true" t="shared" si="23" ref="S61:S84">IF(R61&gt;0,R61,Q61)</f>
        <v>0</v>
      </c>
      <c r="T61" s="63">
        <v>1</v>
      </c>
      <c r="U61" s="63">
        <f aca="true" t="shared" si="24" ref="U61:U84">T61*SUM(Q61:R61)</f>
        <v>0</v>
      </c>
      <c r="V61" s="63"/>
      <c r="W61" s="63">
        <f aca="true" t="shared" si="25" ref="W61:W84">IF(AC61&gt;AD61,0,IF(AE61&lt;AF61,O61,IF(AND(AE61&gt;=AF61,AE61&lt;=AD61),(O61-S61),IF(AND(AF61&lt;=AC61,AD61&gt;=AC61),0,IF(AE61&gt;AD61,((AF61-AC61)*12)*P61,0)))))</f>
        <v>4830</v>
      </c>
      <c r="X61" s="63">
        <f aca="true" t="shared" si="26" ref="X61:X84">W61*T61</f>
        <v>4830</v>
      </c>
      <c r="Y61" s="63">
        <v>1</v>
      </c>
      <c r="Z61" s="63">
        <f aca="true" t="shared" si="27" ref="Z61:Z84">X61*Y61</f>
        <v>4830</v>
      </c>
      <c r="AA61" s="63">
        <f aca="true" t="shared" si="28" ref="AA61:AA84">IF(N61&gt;0,0,Z61+U61*Y61)*Y61</f>
        <v>4830</v>
      </c>
      <c r="AB61" s="63">
        <f aca="true" t="shared" si="29" ref="AB61:AB84">IF(N61&gt;0,(M61-Z61)/2,IF(AC61&gt;=AF61,(((M61*T61)*Y61)-AA61)/2,((((M61*T61)*Y61)-Z61)+(((M61*T61)*Y61)-AA61))/2))</f>
        <v>0</v>
      </c>
      <c r="AC61" s="65">
        <f aca="true" t="shared" si="30" ref="AC61:AC84">$D61+(($E61-1)/12)</f>
        <v>1985.5833333333333</v>
      </c>
      <c r="AD61" s="65">
        <f aca="true" t="shared" si="31" ref="AD61:AD84">($O$5+1)-($O$2/12)</f>
        <v>2016</v>
      </c>
      <c r="AE61" s="65">
        <f aca="true" t="shared" si="32" ref="AE61:AE84">$J61+(($E61-1)/12)</f>
        <v>1993.5833333333333</v>
      </c>
      <c r="AF61" s="65">
        <f aca="true" t="shared" si="33" ref="AF61:AF84">$O$4+($O$3/12)</f>
        <v>2015</v>
      </c>
      <c r="AG61" s="65">
        <f aca="true" t="shared" si="34" ref="AG61:AG84">$K61+(($L61-1)/12)</f>
        <v>-0.08333333333333333</v>
      </c>
    </row>
    <row r="62" spans="1:33" ht="11.25">
      <c r="A62" s="57"/>
      <c r="B62" s="57">
        <v>2</v>
      </c>
      <c r="C62" s="59" t="s">
        <v>141</v>
      </c>
      <c r="D62" s="60">
        <v>1988</v>
      </c>
      <c r="E62" s="60">
        <v>3</v>
      </c>
      <c r="F62" s="60">
        <v>0</v>
      </c>
      <c r="H62" s="57" t="s">
        <v>52</v>
      </c>
      <c r="I62" s="57">
        <v>10</v>
      </c>
      <c r="J62" s="114">
        <f t="shared" si="18"/>
        <v>1998</v>
      </c>
      <c r="M62" s="63">
        <v>6600.5</v>
      </c>
      <c r="N62" s="126"/>
      <c r="O62" s="63">
        <f t="shared" si="19"/>
        <v>6600.5</v>
      </c>
      <c r="P62" s="63">
        <f t="shared" si="20"/>
        <v>55.00416666666666</v>
      </c>
      <c r="Q62" s="63">
        <f t="shared" si="21"/>
        <v>0</v>
      </c>
      <c r="R62" s="63">
        <f t="shared" si="22"/>
        <v>0</v>
      </c>
      <c r="S62" s="63">
        <f t="shared" si="23"/>
        <v>0</v>
      </c>
      <c r="T62" s="63">
        <v>1</v>
      </c>
      <c r="U62" s="63">
        <f t="shared" si="24"/>
        <v>0</v>
      </c>
      <c r="V62" s="63"/>
      <c r="W62" s="63">
        <f t="shared" si="25"/>
        <v>6600.5</v>
      </c>
      <c r="X62" s="63">
        <f t="shared" si="26"/>
        <v>6600.5</v>
      </c>
      <c r="Y62" s="63">
        <v>1</v>
      </c>
      <c r="Z62" s="63">
        <f t="shared" si="27"/>
        <v>6600.5</v>
      </c>
      <c r="AA62" s="63">
        <f t="shared" si="28"/>
        <v>6600.5</v>
      </c>
      <c r="AB62" s="63">
        <f t="shared" si="29"/>
        <v>0</v>
      </c>
      <c r="AC62" s="65">
        <f t="shared" si="30"/>
        <v>1988.1666666666667</v>
      </c>
      <c r="AD62" s="65">
        <f t="shared" si="31"/>
        <v>2016</v>
      </c>
      <c r="AE62" s="65">
        <f t="shared" si="32"/>
        <v>1998.1666666666667</v>
      </c>
      <c r="AF62" s="65">
        <f t="shared" si="33"/>
        <v>2015</v>
      </c>
      <c r="AG62" s="65">
        <f t="shared" si="34"/>
        <v>-0.08333333333333333</v>
      </c>
    </row>
    <row r="63" spans="1:33" ht="11.25">
      <c r="A63" s="125"/>
      <c r="B63" s="57">
        <v>4</v>
      </c>
      <c r="C63" s="59" t="s">
        <v>142</v>
      </c>
      <c r="D63" s="60">
        <v>1992</v>
      </c>
      <c r="E63" s="60">
        <v>9</v>
      </c>
      <c r="F63" s="60">
        <v>0</v>
      </c>
      <c r="H63" s="57" t="s">
        <v>52</v>
      </c>
      <c r="I63" s="57">
        <v>10</v>
      </c>
      <c r="J63" s="114">
        <f t="shared" si="18"/>
        <v>2002</v>
      </c>
      <c r="M63" s="63">
        <v>14137.82</v>
      </c>
      <c r="N63" s="126"/>
      <c r="O63" s="63">
        <f t="shared" si="19"/>
        <v>14137.82</v>
      </c>
      <c r="P63" s="63">
        <f t="shared" si="20"/>
        <v>117.81516666666666</v>
      </c>
      <c r="Q63" s="63">
        <f t="shared" si="21"/>
        <v>0</v>
      </c>
      <c r="R63" s="63">
        <f t="shared" si="22"/>
        <v>0</v>
      </c>
      <c r="S63" s="63">
        <f t="shared" si="23"/>
        <v>0</v>
      </c>
      <c r="T63" s="63">
        <v>1</v>
      </c>
      <c r="U63" s="63">
        <f t="shared" si="24"/>
        <v>0</v>
      </c>
      <c r="V63" s="63"/>
      <c r="W63" s="63">
        <f t="shared" si="25"/>
        <v>14137.82</v>
      </c>
      <c r="X63" s="63">
        <f t="shared" si="26"/>
        <v>14137.82</v>
      </c>
      <c r="Y63" s="63">
        <v>1</v>
      </c>
      <c r="Z63" s="63">
        <f t="shared" si="27"/>
        <v>14137.82</v>
      </c>
      <c r="AA63" s="63">
        <f t="shared" si="28"/>
        <v>14137.82</v>
      </c>
      <c r="AB63" s="63">
        <f t="shared" si="29"/>
        <v>0</v>
      </c>
      <c r="AC63" s="65">
        <f t="shared" si="30"/>
        <v>1992.6666666666667</v>
      </c>
      <c r="AD63" s="65">
        <f t="shared" si="31"/>
        <v>2016</v>
      </c>
      <c r="AE63" s="65">
        <f t="shared" si="32"/>
        <v>2002.6666666666667</v>
      </c>
      <c r="AF63" s="65">
        <f t="shared" si="33"/>
        <v>2015</v>
      </c>
      <c r="AG63" s="65">
        <f t="shared" si="34"/>
        <v>-0.08333333333333333</v>
      </c>
    </row>
    <row r="64" spans="1:33" ht="11.25">
      <c r="A64" s="125"/>
      <c r="B64" s="57">
        <v>4</v>
      </c>
      <c r="C64" s="59" t="s">
        <v>142</v>
      </c>
      <c r="D64" s="60">
        <v>1992</v>
      </c>
      <c r="E64" s="60">
        <v>10</v>
      </c>
      <c r="F64" s="60">
        <v>0</v>
      </c>
      <c r="H64" s="57" t="s">
        <v>52</v>
      </c>
      <c r="I64" s="57">
        <v>10</v>
      </c>
      <c r="J64" s="114">
        <f t="shared" si="18"/>
        <v>2002</v>
      </c>
      <c r="M64" s="63">
        <v>14137.82</v>
      </c>
      <c r="N64" s="126"/>
      <c r="O64" s="63">
        <f t="shared" si="19"/>
        <v>14137.82</v>
      </c>
      <c r="P64" s="63">
        <f t="shared" si="20"/>
        <v>117.81516666666666</v>
      </c>
      <c r="Q64" s="63">
        <f t="shared" si="21"/>
        <v>0</v>
      </c>
      <c r="R64" s="63">
        <f t="shared" si="22"/>
        <v>0</v>
      </c>
      <c r="S64" s="63">
        <f t="shared" si="23"/>
        <v>0</v>
      </c>
      <c r="T64" s="63">
        <v>1</v>
      </c>
      <c r="U64" s="63">
        <f t="shared" si="24"/>
        <v>0</v>
      </c>
      <c r="V64" s="63"/>
      <c r="W64" s="63">
        <f t="shared" si="25"/>
        <v>14137.82</v>
      </c>
      <c r="X64" s="63">
        <f t="shared" si="26"/>
        <v>14137.82</v>
      </c>
      <c r="Y64" s="63">
        <v>1</v>
      </c>
      <c r="Z64" s="63">
        <f t="shared" si="27"/>
        <v>14137.82</v>
      </c>
      <c r="AA64" s="63">
        <f t="shared" si="28"/>
        <v>14137.82</v>
      </c>
      <c r="AB64" s="63">
        <f t="shared" si="29"/>
        <v>0</v>
      </c>
      <c r="AC64" s="65">
        <f t="shared" si="30"/>
        <v>1992.75</v>
      </c>
      <c r="AD64" s="65">
        <f t="shared" si="31"/>
        <v>2016</v>
      </c>
      <c r="AE64" s="65">
        <f t="shared" si="32"/>
        <v>2002.75</v>
      </c>
      <c r="AF64" s="65">
        <f t="shared" si="33"/>
        <v>2015</v>
      </c>
      <c r="AG64" s="65">
        <f t="shared" si="34"/>
        <v>-0.08333333333333333</v>
      </c>
    </row>
    <row r="65" spans="1:33" ht="11.25">
      <c r="A65" s="125"/>
      <c r="B65" s="57">
        <v>2</v>
      </c>
      <c r="C65" s="59" t="s">
        <v>142</v>
      </c>
      <c r="D65" s="60">
        <v>1992</v>
      </c>
      <c r="E65" s="60">
        <v>10</v>
      </c>
      <c r="F65" s="60">
        <v>0</v>
      </c>
      <c r="H65" s="57" t="s">
        <v>52</v>
      </c>
      <c r="I65" s="57">
        <v>10</v>
      </c>
      <c r="J65" s="114">
        <f t="shared" si="18"/>
        <v>2002</v>
      </c>
      <c r="M65" s="63">
        <v>7068.91</v>
      </c>
      <c r="N65" s="126"/>
      <c r="O65" s="63">
        <f t="shared" si="19"/>
        <v>7068.91</v>
      </c>
      <c r="P65" s="63">
        <f t="shared" si="20"/>
        <v>58.90758333333333</v>
      </c>
      <c r="Q65" s="63">
        <f t="shared" si="21"/>
        <v>0</v>
      </c>
      <c r="R65" s="63">
        <f t="shared" si="22"/>
        <v>0</v>
      </c>
      <c r="S65" s="63">
        <f t="shared" si="23"/>
        <v>0</v>
      </c>
      <c r="T65" s="63">
        <v>1</v>
      </c>
      <c r="U65" s="63">
        <f t="shared" si="24"/>
        <v>0</v>
      </c>
      <c r="V65" s="63"/>
      <c r="W65" s="63">
        <f t="shared" si="25"/>
        <v>7068.91</v>
      </c>
      <c r="X65" s="63">
        <f t="shared" si="26"/>
        <v>7068.91</v>
      </c>
      <c r="Y65" s="63">
        <v>1</v>
      </c>
      <c r="Z65" s="63">
        <f t="shared" si="27"/>
        <v>7068.91</v>
      </c>
      <c r="AA65" s="63">
        <f t="shared" si="28"/>
        <v>7068.91</v>
      </c>
      <c r="AB65" s="63">
        <f t="shared" si="29"/>
        <v>0</v>
      </c>
      <c r="AC65" s="65">
        <f t="shared" si="30"/>
        <v>1992.75</v>
      </c>
      <c r="AD65" s="65">
        <f t="shared" si="31"/>
        <v>2016</v>
      </c>
      <c r="AE65" s="65">
        <f t="shared" si="32"/>
        <v>2002.75</v>
      </c>
      <c r="AF65" s="65">
        <f t="shared" si="33"/>
        <v>2015</v>
      </c>
      <c r="AG65" s="65">
        <f t="shared" si="34"/>
        <v>-0.08333333333333333</v>
      </c>
    </row>
    <row r="66" spans="1:33" ht="11.25">
      <c r="A66" s="125"/>
      <c r="B66" s="57">
        <v>2</v>
      </c>
      <c r="C66" s="59" t="s">
        <v>143</v>
      </c>
      <c r="D66" s="60">
        <v>1994</v>
      </c>
      <c r="E66" s="60">
        <v>4</v>
      </c>
      <c r="F66" s="60">
        <v>0</v>
      </c>
      <c r="H66" s="57" t="s">
        <v>52</v>
      </c>
      <c r="I66" s="57">
        <v>10</v>
      </c>
      <c r="J66" s="114">
        <f t="shared" si="18"/>
        <v>2004</v>
      </c>
      <c r="M66" s="63">
        <v>6503.76</v>
      </c>
      <c r="N66" s="126"/>
      <c r="O66" s="63">
        <f t="shared" si="19"/>
        <v>6503.76</v>
      </c>
      <c r="P66" s="63">
        <f t="shared" si="20"/>
        <v>54.198</v>
      </c>
      <c r="Q66" s="63">
        <f t="shared" si="21"/>
        <v>0</v>
      </c>
      <c r="R66" s="63">
        <f t="shared" si="22"/>
        <v>0</v>
      </c>
      <c r="S66" s="63">
        <f t="shared" si="23"/>
        <v>0</v>
      </c>
      <c r="T66" s="63">
        <v>1</v>
      </c>
      <c r="U66" s="63">
        <f t="shared" si="24"/>
        <v>0</v>
      </c>
      <c r="V66" s="63"/>
      <c r="W66" s="63">
        <f t="shared" si="25"/>
        <v>6503.76</v>
      </c>
      <c r="X66" s="63">
        <f t="shared" si="26"/>
        <v>6503.76</v>
      </c>
      <c r="Y66" s="63">
        <v>1</v>
      </c>
      <c r="Z66" s="63">
        <f t="shared" si="27"/>
        <v>6503.76</v>
      </c>
      <c r="AA66" s="63">
        <f t="shared" si="28"/>
        <v>6503.76</v>
      </c>
      <c r="AB66" s="63">
        <f t="shared" si="29"/>
        <v>0</v>
      </c>
      <c r="AC66" s="65">
        <f t="shared" si="30"/>
        <v>1994.25</v>
      </c>
      <c r="AD66" s="65">
        <f t="shared" si="31"/>
        <v>2016</v>
      </c>
      <c r="AE66" s="65">
        <f t="shared" si="32"/>
        <v>2004.25</v>
      </c>
      <c r="AF66" s="65">
        <f t="shared" si="33"/>
        <v>2015</v>
      </c>
      <c r="AG66" s="65">
        <f t="shared" si="34"/>
        <v>-0.08333333333333333</v>
      </c>
    </row>
    <row r="67" spans="1:33" ht="11.25">
      <c r="A67" s="57"/>
      <c r="B67" s="57">
        <v>2</v>
      </c>
      <c r="C67" s="59" t="s">
        <v>143</v>
      </c>
      <c r="D67" s="60">
        <v>1994</v>
      </c>
      <c r="E67" s="60">
        <v>7</v>
      </c>
      <c r="F67" s="60">
        <v>0</v>
      </c>
      <c r="H67" s="57" t="s">
        <v>52</v>
      </c>
      <c r="I67" s="57">
        <v>10</v>
      </c>
      <c r="J67" s="114">
        <f t="shared" si="18"/>
        <v>2004</v>
      </c>
      <c r="M67" s="63">
        <v>6264.67</v>
      </c>
      <c r="N67" s="126"/>
      <c r="O67" s="63">
        <f t="shared" si="19"/>
        <v>6264.67</v>
      </c>
      <c r="P67" s="63">
        <f t="shared" si="20"/>
        <v>52.20558333333333</v>
      </c>
      <c r="Q67" s="63">
        <f t="shared" si="21"/>
        <v>0</v>
      </c>
      <c r="R67" s="63">
        <f t="shared" si="22"/>
        <v>0</v>
      </c>
      <c r="S67" s="63">
        <f t="shared" si="23"/>
        <v>0</v>
      </c>
      <c r="T67" s="63">
        <v>1</v>
      </c>
      <c r="U67" s="63">
        <f t="shared" si="24"/>
        <v>0</v>
      </c>
      <c r="V67" s="63"/>
      <c r="W67" s="63">
        <f t="shared" si="25"/>
        <v>6264.67</v>
      </c>
      <c r="X67" s="63">
        <f t="shared" si="26"/>
        <v>6264.67</v>
      </c>
      <c r="Y67" s="63">
        <v>1</v>
      </c>
      <c r="Z67" s="63">
        <f t="shared" si="27"/>
        <v>6264.67</v>
      </c>
      <c r="AA67" s="63">
        <f t="shared" si="28"/>
        <v>6264.67</v>
      </c>
      <c r="AB67" s="63">
        <f t="shared" si="29"/>
        <v>0</v>
      </c>
      <c r="AC67" s="65">
        <f t="shared" si="30"/>
        <v>1994.5</v>
      </c>
      <c r="AD67" s="65">
        <f t="shared" si="31"/>
        <v>2016</v>
      </c>
      <c r="AE67" s="65">
        <f t="shared" si="32"/>
        <v>2004.5</v>
      </c>
      <c r="AF67" s="65">
        <f t="shared" si="33"/>
        <v>2015</v>
      </c>
      <c r="AG67" s="65">
        <f t="shared" si="34"/>
        <v>-0.08333333333333333</v>
      </c>
    </row>
    <row r="68" spans="1:33" ht="11.25">
      <c r="A68" s="57"/>
      <c r="B68" s="57">
        <v>2</v>
      </c>
      <c r="C68" s="59" t="s">
        <v>82</v>
      </c>
      <c r="D68" s="60">
        <v>1994</v>
      </c>
      <c r="E68" s="60">
        <v>7</v>
      </c>
      <c r="F68" s="60">
        <v>0</v>
      </c>
      <c r="H68" s="57" t="s">
        <v>52</v>
      </c>
      <c r="I68" s="57">
        <v>10</v>
      </c>
      <c r="J68" s="114">
        <f t="shared" si="18"/>
        <v>2004</v>
      </c>
      <c r="M68" s="63">
        <v>6972.5</v>
      </c>
      <c r="N68" s="126"/>
      <c r="O68" s="63">
        <f t="shared" si="19"/>
        <v>6972.5</v>
      </c>
      <c r="P68" s="63">
        <f t="shared" si="20"/>
        <v>58.104166666666664</v>
      </c>
      <c r="Q68" s="63">
        <f t="shared" si="21"/>
        <v>0</v>
      </c>
      <c r="R68" s="63">
        <f t="shared" si="22"/>
        <v>0</v>
      </c>
      <c r="S68" s="63">
        <f t="shared" si="23"/>
        <v>0</v>
      </c>
      <c r="T68" s="63">
        <v>1</v>
      </c>
      <c r="U68" s="63">
        <f t="shared" si="24"/>
        <v>0</v>
      </c>
      <c r="V68" s="63"/>
      <c r="W68" s="63">
        <f t="shared" si="25"/>
        <v>6972.5</v>
      </c>
      <c r="X68" s="63">
        <f t="shared" si="26"/>
        <v>6972.5</v>
      </c>
      <c r="Y68" s="63">
        <v>1</v>
      </c>
      <c r="Z68" s="63">
        <f t="shared" si="27"/>
        <v>6972.5</v>
      </c>
      <c r="AA68" s="63">
        <f t="shared" si="28"/>
        <v>6972.5</v>
      </c>
      <c r="AB68" s="63">
        <f t="shared" si="29"/>
        <v>0</v>
      </c>
      <c r="AC68" s="65">
        <f t="shared" si="30"/>
        <v>1994.5</v>
      </c>
      <c r="AD68" s="65">
        <f t="shared" si="31"/>
        <v>2016</v>
      </c>
      <c r="AE68" s="65">
        <f t="shared" si="32"/>
        <v>2004.5</v>
      </c>
      <c r="AF68" s="65">
        <f t="shared" si="33"/>
        <v>2015</v>
      </c>
      <c r="AG68" s="65">
        <f t="shared" si="34"/>
        <v>-0.08333333333333333</v>
      </c>
    </row>
    <row r="69" spans="1:33" ht="11.25">
      <c r="A69" s="57"/>
      <c r="B69" s="57">
        <v>2</v>
      </c>
      <c r="C69" s="59" t="s">
        <v>82</v>
      </c>
      <c r="D69" s="60">
        <v>1994</v>
      </c>
      <c r="E69" s="60">
        <v>8</v>
      </c>
      <c r="F69" s="60">
        <v>0</v>
      </c>
      <c r="H69" s="57" t="s">
        <v>52</v>
      </c>
      <c r="I69" s="57">
        <v>10</v>
      </c>
      <c r="J69" s="114">
        <f t="shared" si="18"/>
        <v>2004</v>
      </c>
      <c r="M69" s="63">
        <v>7106.29</v>
      </c>
      <c r="N69" s="126"/>
      <c r="O69" s="63">
        <f t="shared" si="19"/>
        <v>7106.29</v>
      </c>
      <c r="P69" s="63">
        <f t="shared" si="20"/>
        <v>59.21908333333334</v>
      </c>
      <c r="Q69" s="63">
        <f t="shared" si="21"/>
        <v>0</v>
      </c>
      <c r="R69" s="63">
        <f t="shared" si="22"/>
        <v>0</v>
      </c>
      <c r="S69" s="63">
        <f t="shared" si="23"/>
        <v>0</v>
      </c>
      <c r="T69" s="63">
        <v>1</v>
      </c>
      <c r="U69" s="63">
        <f t="shared" si="24"/>
        <v>0</v>
      </c>
      <c r="V69" s="63"/>
      <c r="W69" s="63">
        <f t="shared" si="25"/>
        <v>7106.29</v>
      </c>
      <c r="X69" s="63">
        <f t="shared" si="26"/>
        <v>7106.29</v>
      </c>
      <c r="Y69" s="63">
        <v>1</v>
      </c>
      <c r="Z69" s="63">
        <f t="shared" si="27"/>
        <v>7106.29</v>
      </c>
      <c r="AA69" s="63">
        <f t="shared" si="28"/>
        <v>7106.29</v>
      </c>
      <c r="AB69" s="63">
        <f t="shared" si="29"/>
        <v>0</v>
      </c>
      <c r="AC69" s="65">
        <f t="shared" si="30"/>
        <v>1994.5833333333333</v>
      </c>
      <c r="AD69" s="65">
        <f t="shared" si="31"/>
        <v>2016</v>
      </c>
      <c r="AE69" s="65">
        <f t="shared" si="32"/>
        <v>2004.5833333333333</v>
      </c>
      <c r="AF69" s="65">
        <f t="shared" si="33"/>
        <v>2015</v>
      </c>
      <c r="AG69" s="65">
        <f t="shared" si="34"/>
        <v>-0.08333333333333333</v>
      </c>
    </row>
    <row r="70" spans="1:33" ht="11.25">
      <c r="A70" s="125">
        <v>114318</v>
      </c>
      <c r="B70" s="57">
        <v>4</v>
      </c>
      <c r="C70" s="59" t="s">
        <v>219</v>
      </c>
      <c r="D70" s="60">
        <v>1994</v>
      </c>
      <c r="E70" s="60">
        <v>8</v>
      </c>
      <c r="F70" s="60">
        <v>0</v>
      </c>
      <c r="H70" s="57" t="s">
        <v>52</v>
      </c>
      <c r="I70" s="57">
        <v>10</v>
      </c>
      <c r="J70" s="114">
        <f t="shared" si="18"/>
        <v>2004</v>
      </c>
      <c r="M70" s="63">
        <v>828.69</v>
      </c>
      <c r="N70" s="126"/>
      <c r="O70" s="63">
        <f t="shared" si="19"/>
        <v>828.69</v>
      </c>
      <c r="P70" s="63">
        <f t="shared" si="20"/>
        <v>6.90575</v>
      </c>
      <c r="Q70" s="63">
        <f t="shared" si="21"/>
        <v>0</v>
      </c>
      <c r="R70" s="63">
        <f t="shared" si="22"/>
        <v>0</v>
      </c>
      <c r="S70" s="63">
        <f t="shared" si="23"/>
        <v>0</v>
      </c>
      <c r="T70" s="63">
        <v>1</v>
      </c>
      <c r="U70" s="63">
        <f t="shared" si="24"/>
        <v>0</v>
      </c>
      <c r="V70" s="63"/>
      <c r="W70" s="63">
        <f t="shared" si="25"/>
        <v>828.69</v>
      </c>
      <c r="X70" s="63">
        <f t="shared" si="26"/>
        <v>828.69</v>
      </c>
      <c r="Y70" s="63">
        <v>1</v>
      </c>
      <c r="Z70" s="63">
        <f t="shared" si="27"/>
        <v>828.69</v>
      </c>
      <c r="AA70" s="63">
        <f t="shared" si="28"/>
        <v>828.69</v>
      </c>
      <c r="AB70" s="63">
        <f t="shared" si="29"/>
        <v>0</v>
      </c>
      <c r="AC70" s="65">
        <f t="shared" si="30"/>
        <v>1994.5833333333333</v>
      </c>
      <c r="AD70" s="65">
        <f t="shared" si="31"/>
        <v>2016</v>
      </c>
      <c r="AE70" s="65">
        <f t="shared" si="32"/>
        <v>2004.5833333333333</v>
      </c>
      <c r="AF70" s="65">
        <f t="shared" si="33"/>
        <v>2015</v>
      </c>
      <c r="AG70" s="65">
        <f t="shared" si="34"/>
        <v>-0.08333333333333333</v>
      </c>
    </row>
    <row r="71" spans="1:33" ht="11.25">
      <c r="A71" s="125"/>
      <c r="B71" s="57">
        <v>2</v>
      </c>
      <c r="C71" s="59" t="s">
        <v>145</v>
      </c>
      <c r="D71" s="60">
        <v>1996</v>
      </c>
      <c r="E71" s="60">
        <v>2</v>
      </c>
      <c r="F71" s="60">
        <v>0</v>
      </c>
      <c r="H71" s="57" t="s">
        <v>52</v>
      </c>
      <c r="I71" s="57">
        <v>10</v>
      </c>
      <c r="J71" s="114">
        <f t="shared" si="18"/>
        <v>2006</v>
      </c>
      <c r="M71" s="63">
        <v>6957.42</v>
      </c>
      <c r="N71" s="126"/>
      <c r="O71" s="63">
        <f t="shared" si="19"/>
        <v>6957.42</v>
      </c>
      <c r="P71" s="63">
        <f t="shared" si="20"/>
        <v>57.9785</v>
      </c>
      <c r="Q71" s="63">
        <f t="shared" si="21"/>
        <v>0</v>
      </c>
      <c r="R71" s="63">
        <f t="shared" si="22"/>
        <v>0</v>
      </c>
      <c r="S71" s="63">
        <f t="shared" si="23"/>
        <v>0</v>
      </c>
      <c r="T71" s="63">
        <v>1</v>
      </c>
      <c r="U71" s="63">
        <f t="shared" si="24"/>
        <v>0</v>
      </c>
      <c r="V71" s="63"/>
      <c r="W71" s="63">
        <f t="shared" si="25"/>
        <v>6957.42</v>
      </c>
      <c r="X71" s="63">
        <f t="shared" si="26"/>
        <v>6957.42</v>
      </c>
      <c r="Y71" s="63">
        <v>1</v>
      </c>
      <c r="Z71" s="63">
        <f t="shared" si="27"/>
        <v>6957.42</v>
      </c>
      <c r="AA71" s="63">
        <f t="shared" si="28"/>
        <v>6957.42</v>
      </c>
      <c r="AB71" s="63">
        <f t="shared" si="29"/>
        <v>0</v>
      </c>
      <c r="AC71" s="65">
        <f t="shared" si="30"/>
        <v>1996.0833333333333</v>
      </c>
      <c r="AD71" s="65">
        <f t="shared" si="31"/>
        <v>2016</v>
      </c>
      <c r="AE71" s="65">
        <f t="shared" si="32"/>
        <v>2006.0833333333333</v>
      </c>
      <c r="AF71" s="65">
        <f t="shared" si="33"/>
        <v>2015</v>
      </c>
      <c r="AG71" s="65">
        <f t="shared" si="34"/>
        <v>-0.08333333333333333</v>
      </c>
    </row>
    <row r="72" spans="1:33" ht="11.25">
      <c r="A72" s="125"/>
      <c r="B72" s="57">
        <v>2</v>
      </c>
      <c r="C72" s="59" t="s">
        <v>144</v>
      </c>
      <c r="D72" s="60">
        <v>1996</v>
      </c>
      <c r="E72" s="60">
        <v>2</v>
      </c>
      <c r="F72" s="60">
        <v>0</v>
      </c>
      <c r="H72" s="57" t="s">
        <v>52</v>
      </c>
      <c r="I72" s="57">
        <v>10</v>
      </c>
      <c r="J72" s="114">
        <f t="shared" si="18"/>
        <v>2006</v>
      </c>
      <c r="M72" s="63">
        <v>7892.61</v>
      </c>
      <c r="N72" s="126"/>
      <c r="O72" s="63">
        <f t="shared" si="19"/>
        <v>7892.61</v>
      </c>
      <c r="P72" s="63">
        <f t="shared" si="20"/>
        <v>65.77175</v>
      </c>
      <c r="Q72" s="63">
        <f t="shared" si="21"/>
        <v>0</v>
      </c>
      <c r="R72" s="63">
        <f t="shared" si="22"/>
        <v>0</v>
      </c>
      <c r="S72" s="63">
        <f t="shared" si="23"/>
        <v>0</v>
      </c>
      <c r="T72" s="63">
        <v>1</v>
      </c>
      <c r="U72" s="63">
        <f t="shared" si="24"/>
        <v>0</v>
      </c>
      <c r="V72" s="63"/>
      <c r="W72" s="63">
        <f t="shared" si="25"/>
        <v>7892.61</v>
      </c>
      <c r="X72" s="63">
        <f t="shared" si="26"/>
        <v>7892.61</v>
      </c>
      <c r="Y72" s="63">
        <v>1</v>
      </c>
      <c r="Z72" s="63">
        <f t="shared" si="27"/>
        <v>7892.61</v>
      </c>
      <c r="AA72" s="63">
        <f t="shared" si="28"/>
        <v>7892.61</v>
      </c>
      <c r="AB72" s="63">
        <f t="shared" si="29"/>
        <v>0</v>
      </c>
      <c r="AC72" s="65">
        <f t="shared" si="30"/>
        <v>1996.0833333333333</v>
      </c>
      <c r="AD72" s="65">
        <f t="shared" si="31"/>
        <v>2016</v>
      </c>
      <c r="AE72" s="65">
        <f t="shared" si="32"/>
        <v>2006.0833333333333</v>
      </c>
      <c r="AF72" s="65">
        <f t="shared" si="33"/>
        <v>2015</v>
      </c>
      <c r="AG72" s="65">
        <f t="shared" si="34"/>
        <v>-0.08333333333333333</v>
      </c>
    </row>
    <row r="73" spans="1:33" ht="11.25">
      <c r="A73" s="125"/>
      <c r="B73" s="57">
        <v>1</v>
      </c>
      <c r="C73" s="59" t="s">
        <v>144</v>
      </c>
      <c r="D73" s="60">
        <v>1996</v>
      </c>
      <c r="E73" s="60">
        <v>5</v>
      </c>
      <c r="F73" s="60">
        <v>0</v>
      </c>
      <c r="H73" s="57" t="s">
        <v>52</v>
      </c>
      <c r="I73" s="57">
        <v>10</v>
      </c>
      <c r="J73" s="114">
        <f t="shared" si="18"/>
        <v>2006</v>
      </c>
      <c r="M73" s="63">
        <v>3257.05</v>
      </c>
      <c r="N73" s="126"/>
      <c r="O73" s="63">
        <f t="shared" si="19"/>
        <v>3257.05</v>
      </c>
      <c r="P73" s="63">
        <f t="shared" si="20"/>
        <v>27.142083333333336</v>
      </c>
      <c r="Q73" s="63">
        <f t="shared" si="21"/>
        <v>0</v>
      </c>
      <c r="R73" s="63">
        <f t="shared" si="22"/>
        <v>0</v>
      </c>
      <c r="S73" s="63">
        <f t="shared" si="23"/>
        <v>0</v>
      </c>
      <c r="T73" s="63">
        <v>1</v>
      </c>
      <c r="U73" s="63">
        <f t="shared" si="24"/>
        <v>0</v>
      </c>
      <c r="V73" s="63"/>
      <c r="W73" s="63">
        <f t="shared" si="25"/>
        <v>3257.05</v>
      </c>
      <c r="X73" s="63">
        <f t="shared" si="26"/>
        <v>3257.05</v>
      </c>
      <c r="Y73" s="63">
        <v>1</v>
      </c>
      <c r="Z73" s="63">
        <f t="shared" si="27"/>
        <v>3257.05</v>
      </c>
      <c r="AA73" s="63">
        <f t="shared" si="28"/>
        <v>3257.05</v>
      </c>
      <c r="AB73" s="63">
        <f t="shared" si="29"/>
        <v>0</v>
      </c>
      <c r="AC73" s="65">
        <f t="shared" si="30"/>
        <v>1996.3333333333333</v>
      </c>
      <c r="AD73" s="65">
        <f t="shared" si="31"/>
        <v>2016</v>
      </c>
      <c r="AE73" s="65">
        <f t="shared" si="32"/>
        <v>2006.3333333333333</v>
      </c>
      <c r="AF73" s="65">
        <f t="shared" si="33"/>
        <v>2015</v>
      </c>
      <c r="AG73" s="65">
        <f t="shared" si="34"/>
        <v>-0.08333333333333333</v>
      </c>
    </row>
    <row r="74" spans="1:33" ht="11.25">
      <c r="A74" s="125"/>
      <c r="B74" s="57">
        <v>2</v>
      </c>
      <c r="C74" s="59" t="s">
        <v>146</v>
      </c>
      <c r="D74" s="60">
        <v>1997</v>
      </c>
      <c r="E74" s="60">
        <v>3</v>
      </c>
      <c r="F74" s="60">
        <v>0</v>
      </c>
      <c r="H74" s="57" t="s">
        <v>52</v>
      </c>
      <c r="I74" s="57">
        <v>10</v>
      </c>
      <c r="J74" s="114">
        <f t="shared" si="18"/>
        <v>2007</v>
      </c>
      <c r="M74" s="63">
        <v>9443.52</v>
      </c>
      <c r="N74" s="126"/>
      <c r="O74" s="63">
        <f t="shared" si="19"/>
        <v>9443.52</v>
      </c>
      <c r="P74" s="63">
        <f t="shared" si="20"/>
        <v>78.69600000000001</v>
      </c>
      <c r="Q74" s="63">
        <f t="shared" si="21"/>
        <v>0</v>
      </c>
      <c r="R74" s="63">
        <f t="shared" si="22"/>
        <v>0</v>
      </c>
      <c r="S74" s="63">
        <f t="shared" si="23"/>
        <v>0</v>
      </c>
      <c r="T74" s="63">
        <v>1</v>
      </c>
      <c r="U74" s="63">
        <f t="shared" si="24"/>
        <v>0</v>
      </c>
      <c r="V74" s="63"/>
      <c r="W74" s="63">
        <f t="shared" si="25"/>
        <v>9443.52</v>
      </c>
      <c r="X74" s="63">
        <f t="shared" si="26"/>
        <v>9443.52</v>
      </c>
      <c r="Y74" s="63">
        <v>1</v>
      </c>
      <c r="Z74" s="63">
        <f t="shared" si="27"/>
        <v>9443.52</v>
      </c>
      <c r="AA74" s="63">
        <f t="shared" si="28"/>
        <v>9443.52</v>
      </c>
      <c r="AB74" s="63">
        <f t="shared" si="29"/>
        <v>0</v>
      </c>
      <c r="AC74" s="65">
        <f t="shared" si="30"/>
        <v>1997.1666666666667</v>
      </c>
      <c r="AD74" s="65">
        <f t="shared" si="31"/>
        <v>2016</v>
      </c>
      <c r="AE74" s="65">
        <f t="shared" si="32"/>
        <v>2007.1666666666667</v>
      </c>
      <c r="AF74" s="65">
        <f t="shared" si="33"/>
        <v>2015</v>
      </c>
      <c r="AG74" s="65">
        <f t="shared" si="34"/>
        <v>-0.08333333333333333</v>
      </c>
    </row>
    <row r="75" spans="1:33" ht="11.25">
      <c r="A75" s="125"/>
      <c r="B75" s="57">
        <v>4</v>
      </c>
      <c r="C75" s="59" t="s">
        <v>147</v>
      </c>
      <c r="D75" s="60">
        <v>1997</v>
      </c>
      <c r="E75" s="60">
        <v>7</v>
      </c>
      <c r="F75" s="60">
        <v>0</v>
      </c>
      <c r="H75" s="57" t="s">
        <v>52</v>
      </c>
      <c r="I75" s="57">
        <v>10</v>
      </c>
      <c r="J75" s="114">
        <f t="shared" si="18"/>
        <v>2007</v>
      </c>
      <c r="M75" s="63">
        <v>17967.4</v>
      </c>
      <c r="N75" s="126"/>
      <c r="O75" s="63">
        <f t="shared" si="19"/>
        <v>17967.4</v>
      </c>
      <c r="P75" s="63">
        <f t="shared" si="20"/>
        <v>149.72833333333335</v>
      </c>
      <c r="Q75" s="63">
        <f t="shared" si="21"/>
        <v>0</v>
      </c>
      <c r="R75" s="63">
        <f t="shared" si="22"/>
        <v>0</v>
      </c>
      <c r="S75" s="63">
        <f t="shared" si="23"/>
        <v>0</v>
      </c>
      <c r="T75" s="63">
        <v>1</v>
      </c>
      <c r="U75" s="63">
        <f t="shared" si="24"/>
        <v>0</v>
      </c>
      <c r="V75" s="63"/>
      <c r="W75" s="63">
        <f t="shared" si="25"/>
        <v>17967.4</v>
      </c>
      <c r="X75" s="63">
        <f t="shared" si="26"/>
        <v>17967.4</v>
      </c>
      <c r="Y75" s="63">
        <v>1</v>
      </c>
      <c r="Z75" s="63">
        <f t="shared" si="27"/>
        <v>17967.4</v>
      </c>
      <c r="AA75" s="63">
        <f t="shared" si="28"/>
        <v>17967.4</v>
      </c>
      <c r="AB75" s="63">
        <f t="shared" si="29"/>
        <v>0</v>
      </c>
      <c r="AC75" s="65">
        <f t="shared" si="30"/>
        <v>1997.5</v>
      </c>
      <c r="AD75" s="65">
        <f t="shared" si="31"/>
        <v>2016</v>
      </c>
      <c r="AE75" s="65">
        <f t="shared" si="32"/>
        <v>2007.5</v>
      </c>
      <c r="AF75" s="65">
        <f t="shared" si="33"/>
        <v>2015</v>
      </c>
      <c r="AG75" s="65">
        <f t="shared" si="34"/>
        <v>-0.08333333333333333</v>
      </c>
    </row>
    <row r="76" spans="1:33" ht="11.25">
      <c r="A76" s="125"/>
      <c r="B76" s="57">
        <v>5</v>
      </c>
      <c r="C76" s="59" t="s">
        <v>148</v>
      </c>
      <c r="D76" s="60">
        <v>2001</v>
      </c>
      <c r="E76" s="60">
        <v>5</v>
      </c>
      <c r="F76" s="60">
        <v>0</v>
      </c>
      <c r="H76" s="57" t="s">
        <v>52</v>
      </c>
      <c r="I76" s="57">
        <v>10</v>
      </c>
      <c r="J76" s="114">
        <f t="shared" si="18"/>
        <v>2011</v>
      </c>
      <c r="M76" s="63">
        <v>19367.25</v>
      </c>
      <c r="N76" s="126"/>
      <c r="O76" s="63">
        <f t="shared" si="19"/>
        <v>19367.25</v>
      </c>
      <c r="P76" s="63">
        <f t="shared" si="20"/>
        <v>161.39374999999998</v>
      </c>
      <c r="Q76" s="63">
        <f t="shared" si="21"/>
        <v>0</v>
      </c>
      <c r="R76" s="63">
        <f t="shared" si="22"/>
        <v>0</v>
      </c>
      <c r="S76" s="63">
        <f t="shared" si="23"/>
        <v>0</v>
      </c>
      <c r="T76" s="63">
        <v>1</v>
      </c>
      <c r="U76" s="63">
        <f t="shared" si="24"/>
        <v>0</v>
      </c>
      <c r="V76" s="63"/>
      <c r="W76" s="63">
        <f t="shared" si="25"/>
        <v>19367.25</v>
      </c>
      <c r="X76" s="63">
        <f t="shared" si="26"/>
        <v>19367.25</v>
      </c>
      <c r="Y76" s="63">
        <v>1</v>
      </c>
      <c r="Z76" s="63">
        <f t="shared" si="27"/>
        <v>19367.25</v>
      </c>
      <c r="AA76" s="63">
        <f t="shared" si="28"/>
        <v>19367.25</v>
      </c>
      <c r="AB76" s="63">
        <f t="shared" si="29"/>
        <v>0</v>
      </c>
      <c r="AC76" s="65">
        <f t="shared" si="30"/>
        <v>2001.3333333333333</v>
      </c>
      <c r="AD76" s="65">
        <f t="shared" si="31"/>
        <v>2016</v>
      </c>
      <c r="AE76" s="65">
        <f t="shared" si="32"/>
        <v>2011.3333333333333</v>
      </c>
      <c r="AF76" s="65">
        <f t="shared" si="33"/>
        <v>2015</v>
      </c>
      <c r="AG76" s="65">
        <f t="shared" si="34"/>
        <v>-0.08333333333333333</v>
      </c>
    </row>
    <row r="77" spans="1:33" ht="11.25">
      <c r="A77" s="125"/>
      <c r="B77" s="57">
        <v>2</v>
      </c>
      <c r="C77" s="59" t="s">
        <v>149</v>
      </c>
      <c r="D77" s="60">
        <v>2002</v>
      </c>
      <c r="E77" s="60">
        <v>8</v>
      </c>
      <c r="F77" s="60">
        <v>0</v>
      </c>
      <c r="H77" s="57" t="s">
        <v>52</v>
      </c>
      <c r="I77" s="57">
        <v>10</v>
      </c>
      <c r="J77" s="114">
        <f t="shared" si="18"/>
        <v>2012</v>
      </c>
      <c r="M77" s="63">
        <v>6745.6</v>
      </c>
      <c r="N77" s="126"/>
      <c r="O77" s="63">
        <f t="shared" si="19"/>
        <v>6745.6</v>
      </c>
      <c r="P77" s="63">
        <f t="shared" si="20"/>
        <v>56.21333333333334</v>
      </c>
      <c r="Q77" s="63">
        <f t="shared" si="21"/>
        <v>0</v>
      </c>
      <c r="R77" s="63">
        <f t="shared" si="22"/>
        <v>0</v>
      </c>
      <c r="S77" s="63">
        <f t="shared" si="23"/>
        <v>0</v>
      </c>
      <c r="T77" s="63">
        <v>1</v>
      </c>
      <c r="U77" s="63">
        <f t="shared" si="24"/>
        <v>0</v>
      </c>
      <c r="V77" s="63"/>
      <c r="W77" s="63">
        <f t="shared" si="25"/>
        <v>6745.6</v>
      </c>
      <c r="X77" s="63">
        <f t="shared" si="26"/>
        <v>6745.6</v>
      </c>
      <c r="Y77" s="63">
        <v>1</v>
      </c>
      <c r="Z77" s="63">
        <f t="shared" si="27"/>
        <v>6745.6</v>
      </c>
      <c r="AA77" s="63">
        <f t="shared" si="28"/>
        <v>6745.6</v>
      </c>
      <c r="AB77" s="63">
        <f t="shared" si="29"/>
        <v>0</v>
      </c>
      <c r="AC77" s="65">
        <f t="shared" si="30"/>
        <v>2002.5833333333333</v>
      </c>
      <c r="AD77" s="65">
        <f t="shared" si="31"/>
        <v>2016</v>
      </c>
      <c r="AE77" s="65">
        <f t="shared" si="32"/>
        <v>2012.5833333333333</v>
      </c>
      <c r="AF77" s="65">
        <f t="shared" si="33"/>
        <v>2015</v>
      </c>
      <c r="AG77" s="65">
        <f t="shared" si="34"/>
        <v>-0.08333333333333333</v>
      </c>
    </row>
    <row r="78" spans="1:33" ht="11.25">
      <c r="A78" s="125"/>
      <c r="B78" s="57">
        <v>2</v>
      </c>
      <c r="C78" s="59" t="s">
        <v>150</v>
      </c>
      <c r="D78" s="60">
        <v>2002</v>
      </c>
      <c r="E78" s="60">
        <v>9</v>
      </c>
      <c r="F78" s="60">
        <v>0</v>
      </c>
      <c r="H78" s="57" t="s">
        <v>52</v>
      </c>
      <c r="I78" s="57">
        <v>10</v>
      </c>
      <c r="J78" s="114">
        <f t="shared" si="18"/>
        <v>2012</v>
      </c>
      <c r="M78" s="63">
        <v>6353.92</v>
      </c>
      <c r="N78" s="126"/>
      <c r="O78" s="63">
        <f t="shared" si="19"/>
        <v>6353.92</v>
      </c>
      <c r="P78" s="63">
        <f t="shared" si="20"/>
        <v>52.949333333333335</v>
      </c>
      <c r="Q78" s="63">
        <f t="shared" si="21"/>
        <v>0</v>
      </c>
      <c r="R78" s="63">
        <f t="shared" si="22"/>
        <v>0</v>
      </c>
      <c r="S78" s="63">
        <f t="shared" si="23"/>
        <v>0</v>
      </c>
      <c r="T78" s="63">
        <v>1</v>
      </c>
      <c r="U78" s="63">
        <f t="shared" si="24"/>
        <v>0</v>
      </c>
      <c r="V78" s="63"/>
      <c r="W78" s="63">
        <f t="shared" si="25"/>
        <v>6353.92</v>
      </c>
      <c r="X78" s="63">
        <f t="shared" si="26"/>
        <v>6353.92</v>
      </c>
      <c r="Y78" s="63">
        <v>1</v>
      </c>
      <c r="Z78" s="63">
        <f t="shared" si="27"/>
        <v>6353.92</v>
      </c>
      <c r="AA78" s="63">
        <f t="shared" si="28"/>
        <v>6353.92</v>
      </c>
      <c r="AB78" s="63">
        <f t="shared" si="29"/>
        <v>0</v>
      </c>
      <c r="AC78" s="65">
        <f t="shared" si="30"/>
        <v>2002.6666666666667</v>
      </c>
      <c r="AD78" s="65">
        <f t="shared" si="31"/>
        <v>2016</v>
      </c>
      <c r="AE78" s="65">
        <f t="shared" si="32"/>
        <v>2012.6666666666667</v>
      </c>
      <c r="AF78" s="65">
        <f t="shared" si="33"/>
        <v>2015</v>
      </c>
      <c r="AG78" s="65">
        <f t="shared" si="34"/>
        <v>-0.08333333333333333</v>
      </c>
    </row>
    <row r="79" spans="1:33" ht="11.25">
      <c r="A79" s="125"/>
      <c r="B79" s="57">
        <v>2</v>
      </c>
      <c r="C79" s="59" t="s">
        <v>151</v>
      </c>
      <c r="D79" s="60">
        <v>2003</v>
      </c>
      <c r="E79" s="60">
        <v>5</v>
      </c>
      <c r="F79" s="60">
        <v>0</v>
      </c>
      <c r="H79" s="57" t="s">
        <v>52</v>
      </c>
      <c r="I79" s="57">
        <v>10</v>
      </c>
      <c r="J79" s="114">
        <f t="shared" si="18"/>
        <v>2013</v>
      </c>
      <c r="M79" s="63">
        <v>8878.3</v>
      </c>
      <c r="N79" s="126"/>
      <c r="O79" s="63">
        <f t="shared" si="19"/>
        <v>8878.3</v>
      </c>
      <c r="P79" s="63">
        <f t="shared" si="20"/>
        <v>73.98583333333333</v>
      </c>
      <c r="Q79" s="63">
        <f t="shared" si="21"/>
        <v>0</v>
      </c>
      <c r="R79" s="63">
        <f t="shared" si="22"/>
        <v>0</v>
      </c>
      <c r="S79" s="63">
        <f t="shared" si="23"/>
        <v>0</v>
      </c>
      <c r="T79" s="63">
        <v>1</v>
      </c>
      <c r="U79" s="63">
        <f t="shared" si="24"/>
        <v>0</v>
      </c>
      <c r="V79" s="63"/>
      <c r="W79" s="63">
        <f t="shared" si="25"/>
        <v>8878.3</v>
      </c>
      <c r="X79" s="63">
        <f t="shared" si="26"/>
        <v>8878.3</v>
      </c>
      <c r="Y79" s="63">
        <v>1</v>
      </c>
      <c r="Z79" s="63">
        <f t="shared" si="27"/>
        <v>8878.3</v>
      </c>
      <c r="AA79" s="63">
        <f t="shared" si="28"/>
        <v>8878.3</v>
      </c>
      <c r="AB79" s="63">
        <f t="shared" si="29"/>
        <v>0</v>
      </c>
      <c r="AC79" s="65">
        <f t="shared" si="30"/>
        <v>2003.3333333333333</v>
      </c>
      <c r="AD79" s="65">
        <f t="shared" si="31"/>
        <v>2016</v>
      </c>
      <c r="AE79" s="65">
        <f t="shared" si="32"/>
        <v>2013.3333333333333</v>
      </c>
      <c r="AF79" s="65">
        <f t="shared" si="33"/>
        <v>2015</v>
      </c>
      <c r="AG79" s="65">
        <f t="shared" si="34"/>
        <v>-0.08333333333333333</v>
      </c>
    </row>
    <row r="80" spans="1:33" ht="11.25">
      <c r="A80" s="125"/>
      <c r="B80" s="57">
        <v>5</v>
      </c>
      <c r="C80" s="59" t="s">
        <v>83</v>
      </c>
      <c r="D80" s="60">
        <v>2005</v>
      </c>
      <c r="E80" s="60">
        <v>7</v>
      </c>
      <c r="F80" s="60">
        <v>0</v>
      </c>
      <c r="H80" s="57" t="s">
        <v>52</v>
      </c>
      <c r="I80" s="57">
        <v>10</v>
      </c>
      <c r="J80" s="114">
        <f t="shared" si="18"/>
        <v>2015</v>
      </c>
      <c r="M80" s="63">
        <v>26933.44</v>
      </c>
      <c r="N80" s="126"/>
      <c r="O80" s="63">
        <f t="shared" si="19"/>
        <v>26933.44</v>
      </c>
      <c r="P80" s="63">
        <f t="shared" si="20"/>
        <v>224.44533333333334</v>
      </c>
      <c r="Q80" s="63">
        <f t="shared" si="21"/>
        <v>1346.672</v>
      </c>
      <c r="R80" s="63">
        <f t="shared" si="22"/>
        <v>0</v>
      </c>
      <c r="S80" s="63">
        <f t="shared" si="23"/>
        <v>1346.672</v>
      </c>
      <c r="T80" s="63">
        <v>1</v>
      </c>
      <c r="U80" s="63">
        <f t="shared" si="24"/>
        <v>1346.672</v>
      </c>
      <c r="V80" s="63"/>
      <c r="W80" s="63">
        <f t="shared" si="25"/>
        <v>25586.768</v>
      </c>
      <c r="X80" s="63">
        <f t="shared" si="26"/>
        <v>25586.768</v>
      </c>
      <c r="Y80" s="63">
        <v>1</v>
      </c>
      <c r="Z80" s="63">
        <f t="shared" si="27"/>
        <v>25586.768</v>
      </c>
      <c r="AA80" s="63">
        <f t="shared" si="28"/>
        <v>26933.44</v>
      </c>
      <c r="AB80" s="63">
        <f t="shared" si="29"/>
        <v>673.3359999999993</v>
      </c>
      <c r="AC80" s="65">
        <f t="shared" si="30"/>
        <v>2005.5</v>
      </c>
      <c r="AD80" s="65">
        <f t="shared" si="31"/>
        <v>2016</v>
      </c>
      <c r="AE80" s="65">
        <f t="shared" si="32"/>
        <v>2015.5</v>
      </c>
      <c r="AF80" s="65">
        <f t="shared" si="33"/>
        <v>2015</v>
      </c>
      <c r="AG80" s="65">
        <f t="shared" si="34"/>
        <v>-0.08333333333333333</v>
      </c>
    </row>
    <row r="81" spans="1:33" ht="11.25">
      <c r="A81" s="125"/>
      <c r="B81" s="57">
        <v>5</v>
      </c>
      <c r="C81" s="59" t="s">
        <v>150</v>
      </c>
      <c r="D81" s="60">
        <v>2006</v>
      </c>
      <c r="E81" s="60">
        <v>3</v>
      </c>
      <c r="F81" s="60">
        <v>0</v>
      </c>
      <c r="H81" s="57" t="s">
        <v>52</v>
      </c>
      <c r="I81" s="57">
        <v>10</v>
      </c>
      <c r="J81" s="114">
        <f t="shared" si="18"/>
        <v>2016</v>
      </c>
      <c r="M81" s="63">
        <v>25704</v>
      </c>
      <c r="N81" s="126"/>
      <c r="O81" s="63">
        <f t="shared" si="19"/>
        <v>25704</v>
      </c>
      <c r="P81" s="63">
        <f t="shared" si="20"/>
        <v>214.20000000000002</v>
      </c>
      <c r="Q81" s="63">
        <f t="shared" si="21"/>
        <v>2570.4</v>
      </c>
      <c r="R81" s="63">
        <f t="shared" si="22"/>
        <v>0</v>
      </c>
      <c r="S81" s="63">
        <f t="shared" si="23"/>
        <v>2570.4</v>
      </c>
      <c r="T81" s="63">
        <v>1</v>
      </c>
      <c r="U81" s="63">
        <f t="shared" si="24"/>
        <v>2570.4</v>
      </c>
      <c r="V81" s="63"/>
      <c r="W81" s="63">
        <f t="shared" si="25"/>
        <v>22705.199999999808</v>
      </c>
      <c r="X81" s="63">
        <f t="shared" si="26"/>
        <v>22705.199999999808</v>
      </c>
      <c r="Y81" s="63">
        <v>1</v>
      </c>
      <c r="Z81" s="63">
        <f t="shared" si="27"/>
        <v>22705.199999999808</v>
      </c>
      <c r="AA81" s="63">
        <f t="shared" si="28"/>
        <v>25275.59999999981</v>
      </c>
      <c r="AB81" s="63">
        <f t="shared" si="29"/>
        <v>1713.6000000001914</v>
      </c>
      <c r="AC81" s="65">
        <f t="shared" si="30"/>
        <v>2006.1666666666667</v>
      </c>
      <c r="AD81" s="65">
        <f t="shared" si="31"/>
        <v>2016</v>
      </c>
      <c r="AE81" s="65">
        <f t="shared" si="32"/>
        <v>2016.1666666666667</v>
      </c>
      <c r="AF81" s="65">
        <f t="shared" si="33"/>
        <v>2015</v>
      </c>
      <c r="AG81" s="65">
        <f t="shared" si="34"/>
        <v>-0.08333333333333333</v>
      </c>
    </row>
    <row r="82" spans="1:33" ht="11.25">
      <c r="A82" s="125"/>
      <c r="B82" s="57">
        <v>5</v>
      </c>
      <c r="C82" s="59" t="s">
        <v>83</v>
      </c>
      <c r="D82" s="60">
        <v>2007</v>
      </c>
      <c r="E82" s="60">
        <v>8</v>
      </c>
      <c r="F82" s="60">
        <v>0</v>
      </c>
      <c r="H82" s="57" t="s">
        <v>52</v>
      </c>
      <c r="I82" s="57">
        <v>10</v>
      </c>
      <c r="J82" s="114">
        <f t="shared" si="18"/>
        <v>2017</v>
      </c>
      <c r="M82" s="63">
        <v>25704</v>
      </c>
      <c r="N82" s="126"/>
      <c r="O82" s="63">
        <f t="shared" si="19"/>
        <v>25704</v>
      </c>
      <c r="P82" s="63">
        <f t="shared" si="20"/>
        <v>214.20000000000002</v>
      </c>
      <c r="Q82" s="63">
        <f t="shared" si="21"/>
        <v>2570.4</v>
      </c>
      <c r="R82" s="63">
        <f t="shared" si="22"/>
        <v>0</v>
      </c>
      <c r="S82" s="63">
        <f t="shared" si="23"/>
        <v>2570.4</v>
      </c>
      <c r="T82" s="63">
        <v>1</v>
      </c>
      <c r="U82" s="63">
        <f t="shared" si="24"/>
        <v>2570.4</v>
      </c>
      <c r="V82" s="63"/>
      <c r="W82" s="63">
        <f t="shared" si="25"/>
        <v>19063.800000000196</v>
      </c>
      <c r="X82" s="63">
        <f t="shared" si="26"/>
        <v>19063.800000000196</v>
      </c>
      <c r="Y82" s="63">
        <v>1</v>
      </c>
      <c r="Z82" s="63">
        <f t="shared" si="27"/>
        <v>19063.800000000196</v>
      </c>
      <c r="AA82" s="63">
        <f t="shared" si="28"/>
        <v>21634.200000000197</v>
      </c>
      <c r="AB82" s="63">
        <f t="shared" si="29"/>
        <v>5354.999999999804</v>
      </c>
      <c r="AC82" s="65">
        <f t="shared" si="30"/>
        <v>2007.5833333333333</v>
      </c>
      <c r="AD82" s="65">
        <f t="shared" si="31"/>
        <v>2016</v>
      </c>
      <c r="AE82" s="65">
        <f t="shared" si="32"/>
        <v>2017.5833333333333</v>
      </c>
      <c r="AF82" s="65">
        <f t="shared" si="33"/>
        <v>2015</v>
      </c>
      <c r="AG82" s="65">
        <f t="shared" si="34"/>
        <v>-0.08333333333333333</v>
      </c>
    </row>
    <row r="83" spans="1:33" ht="11.25">
      <c r="A83" s="125"/>
      <c r="B83" s="57">
        <v>5</v>
      </c>
      <c r="C83" s="59" t="s">
        <v>83</v>
      </c>
      <c r="D83" s="60">
        <v>2008</v>
      </c>
      <c r="E83" s="60">
        <v>1</v>
      </c>
      <c r="F83" s="60">
        <v>0</v>
      </c>
      <c r="H83" s="57" t="s">
        <v>52</v>
      </c>
      <c r="I83" s="57">
        <v>10</v>
      </c>
      <c r="J83" s="114">
        <f t="shared" si="18"/>
        <v>2018</v>
      </c>
      <c r="M83" s="63">
        <f>10759.32+16138.98</f>
        <v>26898.3</v>
      </c>
      <c r="N83" s="126"/>
      <c r="O83" s="63">
        <f t="shared" si="19"/>
        <v>26898.3</v>
      </c>
      <c r="P83" s="63">
        <f t="shared" si="20"/>
        <v>224.1525</v>
      </c>
      <c r="Q83" s="63">
        <f t="shared" si="21"/>
        <v>2689.83</v>
      </c>
      <c r="R83" s="63">
        <f t="shared" si="22"/>
        <v>0</v>
      </c>
      <c r="S83" s="63">
        <f t="shared" si="23"/>
        <v>2689.83</v>
      </c>
      <c r="T83" s="63">
        <v>1</v>
      </c>
      <c r="U83" s="63">
        <f t="shared" si="24"/>
        <v>2689.83</v>
      </c>
      <c r="V83" s="63"/>
      <c r="W83" s="63">
        <f t="shared" si="25"/>
        <v>18828.81</v>
      </c>
      <c r="X83" s="63">
        <f t="shared" si="26"/>
        <v>18828.81</v>
      </c>
      <c r="Y83" s="63">
        <v>1</v>
      </c>
      <c r="Z83" s="63">
        <f t="shared" si="27"/>
        <v>18828.81</v>
      </c>
      <c r="AA83" s="63">
        <f t="shared" si="28"/>
        <v>21518.64</v>
      </c>
      <c r="AB83" s="63">
        <f t="shared" si="29"/>
        <v>6724.574999999999</v>
      </c>
      <c r="AC83" s="65">
        <f t="shared" si="30"/>
        <v>2008</v>
      </c>
      <c r="AD83" s="65">
        <f t="shared" si="31"/>
        <v>2016</v>
      </c>
      <c r="AE83" s="65">
        <f t="shared" si="32"/>
        <v>2018</v>
      </c>
      <c r="AF83" s="65">
        <f t="shared" si="33"/>
        <v>2015</v>
      </c>
      <c r="AG83" s="65">
        <f t="shared" si="34"/>
        <v>-0.08333333333333333</v>
      </c>
    </row>
    <row r="84" spans="1:33" ht="11.25">
      <c r="A84" s="125"/>
      <c r="B84" s="57">
        <v>3</v>
      </c>
      <c r="C84" s="59" t="s">
        <v>182</v>
      </c>
      <c r="D84" s="60">
        <v>2010</v>
      </c>
      <c r="E84" s="60">
        <v>12</v>
      </c>
      <c r="F84" s="60">
        <v>0</v>
      </c>
      <c r="H84" s="57" t="s">
        <v>52</v>
      </c>
      <c r="I84" s="57">
        <v>10</v>
      </c>
      <c r="J84" s="114">
        <f t="shared" si="18"/>
        <v>2020</v>
      </c>
      <c r="M84" s="63">
        <f>15520.6+7760.3</f>
        <v>23280.9</v>
      </c>
      <c r="N84" s="126"/>
      <c r="O84" s="63">
        <f t="shared" si="19"/>
        <v>23280.9</v>
      </c>
      <c r="P84" s="63">
        <f t="shared" si="20"/>
        <v>194.00750000000002</v>
      </c>
      <c r="Q84" s="63">
        <f t="shared" si="21"/>
        <v>2328.09</v>
      </c>
      <c r="R84" s="63">
        <f t="shared" si="22"/>
        <v>0</v>
      </c>
      <c r="S84" s="63">
        <f t="shared" si="23"/>
        <v>2328.09</v>
      </c>
      <c r="T84" s="63">
        <v>1</v>
      </c>
      <c r="U84" s="63">
        <f t="shared" si="24"/>
        <v>2328.09</v>
      </c>
      <c r="V84" s="63"/>
      <c r="W84" s="63">
        <f t="shared" si="25"/>
        <v>9506.367499999824</v>
      </c>
      <c r="X84" s="63">
        <f t="shared" si="26"/>
        <v>9506.367499999824</v>
      </c>
      <c r="Y84" s="63">
        <v>1</v>
      </c>
      <c r="Z84" s="63">
        <f t="shared" si="27"/>
        <v>9506.367499999824</v>
      </c>
      <c r="AA84" s="63">
        <f t="shared" si="28"/>
        <v>11834.457499999824</v>
      </c>
      <c r="AB84" s="63">
        <f t="shared" si="29"/>
        <v>12610.487500000178</v>
      </c>
      <c r="AC84" s="65">
        <f t="shared" si="30"/>
        <v>2010.9166666666667</v>
      </c>
      <c r="AD84" s="65">
        <f t="shared" si="31"/>
        <v>2016</v>
      </c>
      <c r="AE84" s="65">
        <f t="shared" si="32"/>
        <v>2020.9166666666667</v>
      </c>
      <c r="AF84" s="65">
        <f t="shared" si="33"/>
        <v>2015</v>
      </c>
      <c r="AG84" s="65">
        <f t="shared" si="34"/>
        <v>-0.08333333333333333</v>
      </c>
    </row>
    <row r="85" spans="1:33" ht="11.25">
      <c r="A85" s="125"/>
      <c r="B85" s="57"/>
      <c r="C85" s="59"/>
      <c r="D85" s="60"/>
      <c r="E85" s="60"/>
      <c r="F85" s="60"/>
      <c r="H85" s="57"/>
      <c r="I85" s="57"/>
      <c r="J85" s="114"/>
      <c r="M85" s="63"/>
      <c r="N85" s="126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5"/>
      <c r="AD85" s="65"/>
      <c r="AE85" s="65"/>
      <c r="AF85" s="65"/>
      <c r="AG85" s="65"/>
    </row>
    <row r="86" spans="1:28" ht="12" thickBot="1">
      <c r="A86" s="163"/>
      <c r="B86" s="164">
        <f>SUM(B61:B85)</f>
        <v>71</v>
      </c>
      <c r="C86" s="165" t="s">
        <v>226</v>
      </c>
      <c r="D86" s="165"/>
      <c r="E86" s="166"/>
      <c r="F86" s="166"/>
      <c r="G86" s="167"/>
      <c r="H86" s="168"/>
      <c r="I86" s="169"/>
      <c r="J86" s="174"/>
      <c r="K86" s="167"/>
      <c r="L86" s="167"/>
      <c r="M86" s="171">
        <f>SUM(M61:M85)</f>
        <v>289834.67000000004</v>
      </c>
      <c r="N86" s="172"/>
      <c r="O86" s="171">
        <f>SUM(O61:O85)</f>
        <v>289834.67000000004</v>
      </c>
      <c r="P86" s="171">
        <f>SUM(P61:P85)</f>
        <v>2425.351416666667</v>
      </c>
      <c r="Q86" s="171">
        <f>SUM(Q61:Q85)</f>
        <v>11505.392</v>
      </c>
      <c r="R86" s="171">
        <f>SUM(R61:R85)</f>
        <v>0</v>
      </c>
      <c r="S86" s="171">
        <f>SUM(S61:S85)</f>
        <v>11505.392</v>
      </c>
      <c r="T86" s="171"/>
      <c r="U86" s="171">
        <f>SUM(U61:U85)</f>
        <v>11505.392</v>
      </c>
      <c r="V86" s="171"/>
      <c r="W86" s="171">
        <f>SUM(W13:W85)</f>
        <v>640537.108833333</v>
      </c>
      <c r="X86" s="171">
        <f>SUM(X13:X85)</f>
        <v>640537.108833333</v>
      </c>
      <c r="Y86" s="171"/>
      <c r="Z86" s="171">
        <f>SUM(Z61:Z85)</f>
        <v>257004.97549999985</v>
      </c>
      <c r="AA86" s="171">
        <f>SUM(AA61:AA85)</f>
        <v>268510.3674999999</v>
      </c>
      <c r="AB86" s="171">
        <f>SUM(AB61:AB85)</f>
        <v>27076.99850000017</v>
      </c>
    </row>
    <row r="87" spans="1:28" ht="11.25">
      <c r="A87" s="154"/>
      <c r="B87" s="155"/>
      <c r="C87" s="156"/>
      <c r="D87" s="156"/>
      <c r="E87" s="157"/>
      <c r="F87" s="157"/>
      <c r="G87" s="152"/>
      <c r="H87" s="155"/>
      <c r="I87" s="158"/>
      <c r="J87" s="173"/>
      <c r="K87" s="152"/>
      <c r="L87" s="152"/>
      <c r="M87" s="160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</row>
    <row r="88" spans="1:28" ht="12" thickBot="1">
      <c r="A88" s="175"/>
      <c r="B88" s="176"/>
      <c r="C88" s="177" t="s">
        <v>227</v>
      </c>
      <c r="D88" s="177"/>
      <c r="E88" s="178"/>
      <c r="F88" s="178"/>
      <c r="G88" s="179"/>
      <c r="H88" s="176"/>
      <c r="I88" s="180"/>
      <c r="J88" s="181"/>
      <c r="K88" s="179"/>
      <c r="L88" s="179"/>
      <c r="M88" s="182">
        <f>M86+M58</f>
        <v>520153</v>
      </c>
      <c r="N88" s="183"/>
      <c r="O88" s="182">
        <f>O86+O58</f>
        <v>520153</v>
      </c>
      <c r="P88" s="182">
        <f>P86+P58</f>
        <v>4344.670833333334</v>
      </c>
      <c r="Q88" s="182">
        <f>Q86+Q58</f>
        <v>20713.622499999867</v>
      </c>
      <c r="R88" s="182">
        <f>R86+R58</f>
        <v>0</v>
      </c>
      <c r="S88" s="182">
        <f>S86+S58</f>
        <v>20713.622499999867</v>
      </c>
      <c r="T88" s="183"/>
      <c r="U88" s="182">
        <f>U86+U58</f>
        <v>20713.622499999867</v>
      </c>
      <c r="V88" s="183"/>
      <c r="W88" s="183"/>
      <c r="X88" s="183"/>
      <c r="Y88" s="183"/>
      <c r="Z88" s="182">
        <f>Z86+Z58</f>
        <v>448771.04216666636</v>
      </c>
      <c r="AA88" s="182">
        <f>AA86+AA58</f>
        <v>464876.21466666623</v>
      </c>
      <c r="AB88" s="182">
        <f>AB86+AB58</f>
        <v>53853.97658333374</v>
      </c>
    </row>
    <row r="89" spans="1:33" ht="12" thickTop="1">
      <c r="A89" s="154"/>
      <c r="B89" s="155"/>
      <c r="C89" s="156"/>
      <c r="D89" s="156"/>
      <c r="E89" s="157"/>
      <c r="F89" s="157"/>
      <c r="G89" s="152"/>
      <c r="H89" s="155"/>
      <c r="I89" s="158"/>
      <c r="J89" s="159"/>
      <c r="K89" s="152"/>
      <c r="L89" s="152"/>
      <c r="M89" s="160"/>
      <c r="N89" s="161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65"/>
      <c r="AD89" s="65"/>
      <c r="AE89" s="65"/>
      <c r="AF89" s="65"/>
      <c r="AG89" s="65"/>
    </row>
    <row r="90" spans="1:33" ht="11.25">
      <c r="A90" s="125"/>
      <c r="B90" s="57"/>
      <c r="C90" s="115" t="s">
        <v>71</v>
      </c>
      <c r="D90" s="115"/>
      <c r="E90" s="60"/>
      <c r="F90" s="60"/>
      <c r="H90" s="57"/>
      <c r="I90" s="128"/>
      <c r="J90" s="114"/>
      <c r="M90" s="129"/>
      <c r="N90" s="126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5"/>
      <c r="AD90" s="65"/>
      <c r="AE90" s="65"/>
      <c r="AF90" s="65"/>
      <c r="AG90" s="65"/>
    </row>
    <row r="91" spans="1:46" ht="11.25">
      <c r="A91" s="57" t="s">
        <v>72</v>
      </c>
      <c r="B91" s="57">
        <v>5</v>
      </c>
      <c r="C91" s="59" t="s">
        <v>152</v>
      </c>
      <c r="D91" s="60">
        <v>1991</v>
      </c>
      <c r="E91" s="60">
        <v>12</v>
      </c>
      <c r="F91" s="60">
        <v>0</v>
      </c>
      <c r="H91" s="57" t="s">
        <v>52</v>
      </c>
      <c r="I91" s="57">
        <v>10</v>
      </c>
      <c r="J91" s="114">
        <f aca="true" t="shared" si="35" ref="J91:J98">D91+I91</f>
        <v>2001</v>
      </c>
      <c r="M91" s="63">
        <v>2995.12</v>
      </c>
      <c r="N91" s="126"/>
      <c r="O91" s="63">
        <f aca="true" t="shared" si="36" ref="O91:O98">M91-M91*F91</f>
        <v>2995.12</v>
      </c>
      <c r="P91" s="63">
        <f>O91/I91/12</f>
        <v>24.959333333333333</v>
      </c>
      <c r="Q91" s="63">
        <f>IF(N91&gt;0,0,IF(OR(AC91&gt;AD91,AE91&lt;AF91),0,IF(AND(AE91&gt;=AF91,AE91&lt;=AD91),P91*((AE91-AF91)*12),IF(AND(AF91&lt;=AC91,AD91&gt;=AC91),((AD91-AC91)*12)*P91,IF(AE91&gt;AD91,12*P91,0)))))</f>
        <v>0</v>
      </c>
      <c r="R91" s="63">
        <f>IF(N91=0,0,IF(AND(AG91&gt;=AF91,AG91&lt;=AE91),((AG91-AF91)*12)*P91,0))</f>
        <v>0</v>
      </c>
      <c r="S91" s="63">
        <f>IF(R91&gt;0,R91,Q91)</f>
        <v>0</v>
      </c>
      <c r="T91" s="63">
        <v>1</v>
      </c>
      <c r="U91" s="63">
        <f>T91*SUM(Q91:R91)</f>
        <v>0</v>
      </c>
      <c r="V91" s="63"/>
      <c r="W91" s="63">
        <f>IF(AC91&gt;AD91,0,IF(AE91&lt;AF91,O91,IF(AND(AE91&gt;=AF91,AE91&lt;=AD91),(O91-S91),IF(AND(AF91&lt;=AC91,AD91&gt;=AC91),0,IF(AE91&gt;AD91,((AF91-AC91)*12)*P91,0)))))</f>
        <v>2995.12</v>
      </c>
      <c r="X91" s="63">
        <f>W91*T91</f>
        <v>2995.12</v>
      </c>
      <c r="Y91" s="63">
        <v>1</v>
      </c>
      <c r="Z91" s="63">
        <f>X91*Y91</f>
        <v>2995.12</v>
      </c>
      <c r="AA91" s="63">
        <f>IF(N91&gt;0,0,Z91+U91*Y91)*Y91</f>
        <v>2995.12</v>
      </c>
      <c r="AB91" s="63">
        <f>IF(N91&gt;0,(M91-Z91)/2,IF(AC91&gt;=AF91,(((M91*T91)*Y91)-AA91)/2,((((M91*T91)*Y91)-Z91)+(((M91*T91)*Y91)-AA91))/2))</f>
        <v>0</v>
      </c>
      <c r="AC91" s="65">
        <f>$D91+(($E91-1)/12)</f>
        <v>1991.9166666666667</v>
      </c>
      <c r="AD91" s="65">
        <f>($O$5+1)-($O$2/12)</f>
        <v>2016</v>
      </c>
      <c r="AE91" s="65">
        <f>$J91+(($E91-1)/12)</f>
        <v>2001.9166666666667</v>
      </c>
      <c r="AF91" s="65">
        <f>$O$4+($O$3/12)</f>
        <v>2015</v>
      </c>
      <c r="AG91" s="65">
        <f>$K91+(($L91-1)/12)</f>
        <v>-0.08333333333333333</v>
      </c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</row>
    <row r="92" spans="1:46" ht="11.25">
      <c r="A92" s="57" t="s">
        <v>72</v>
      </c>
      <c r="B92" s="57">
        <v>25</v>
      </c>
      <c r="C92" s="59" t="s">
        <v>153</v>
      </c>
      <c r="D92" s="60">
        <v>1994</v>
      </c>
      <c r="E92" s="60">
        <v>6</v>
      </c>
      <c r="F92" s="60">
        <v>0</v>
      </c>
      <c r="H92" s="57" t="s">
        <v>52</v>
      </c>
      <c r="I92" s="57">
        <v>10</v>
      </c>
      <c r="J92" s="114">
        <f t="shared" si="35"/>
        <v>2004</v>
      </c>
      <c r="M92" s="63">
        <v>8092.5</v>
      </c>
      <c r="N92" s="126"/>
      <c r="O92" s="63">
        <f t="shared" si="36"/>
        <v>8092.5</v>
      </c>
      <c r="P92" s="63">
        <f>O92/I92/12</f>
        <v>67.4375</v>
      </c>
      <c r="Q92" s="63">
        <f>IF(N92&gt;0,0,IF(OR(AC92&gt;AD92,AE92&lt;AF92),0,IF(AND(AE92&gt;=AF92,AE92&lt;=AD92),P92*((AE92-AF92)*12),IF(AND(AF92&lt;=AC92,AD92&gt;=AC92),((AD92-AC92)*12)*P92,IF(AE92&gt;AD92,12*P92,0)))))</f>
        <v>0</v>
      </c>
      <c r="R92" s="63">
        <f>IF(N92=0,0,IF(AND(AG92&gt;=AF92,AG92&lt;=AE92),((AG92-AF92)*12)*P92,0))</f>
        <v>0</v>
      </c>
      <c r="S92" s="63">
        <f>IF(R92&gt;0,R92,Q92)</f>
        <v>0</v>
      </c>
      <c r="T92" s="63">
        <v>1</v>
      </c>
      <c r="U92" s="63">
        <f>T92*SUM(Q92:R92)</f>
        <v>0</v>
      </c>
      <c r="V92" s="63"/>
      <c r="W92" s="63">
        <f>IF(AC92&gt;AD92,0,IF(AE92&lt;AF92,O92,IF(AND(AE92&gt;=AF92,AE92&lt;=AD92),(O92-S92),IF(AND(AF92&lt;=AC92,AD92&gt;=AC92),0,IF(AE92&gt;AD92,((AF92-AC92)*12)*P92,0)))))</f>
        <v>8092.5</v>
      </c>
      <c r="X92" s="63">
        <f>W92*T92</f>
        <v>8092.5</v>
      </c>
      <c r="Y92" s="63">
        <v>1</v>
      </c>
      <c r="Z92" s="63">
        <f>X92*Y92</f>
        <v>8092.5</v>
      </c>
      <c r="AA92" s="63">
        <f>IF(N92&gt;0,0,Z92+U92*Y92)*Y92</f>
        <v>8092.5</v>
      </c>
      <c r="AB92" s="63">
        <f>IF(N92&gt;0,(M92-Z92)/2,IF(AC92&gt;=AF92,(((M92*T92)*Y92)-AA92)/2,((((M92*T92)*Y92)-Z92)+(((M92*T92)*Y92)-AA92))/2))</f>
        <v>0</v>
      </c>
      <c r="AC92" s="65">
        <f>$D92+(($E92-1)/12)</f>
        <v>1994.4166666666667</v>
      </c>
      <c r="AD92" s="65">
        <f>($O$5+1)-($O$2/12)</f>
        <v>2016</v>
      </c>
      <c r="AE92" s="65">
        <f>$J92+(($E92-1)/12)</f>
        <v>2004.4166666666667</v>
      </c>
      <c r="AF92" s="65">
        <f>$O$4+($O$3/12)</f>
        <v>2015</v>
      </c>
      <c r="AG92" s="65">
        <f>$K92+(($L92-1)/12)</f>
        <v>-0.08333333333333333</v>
      </c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</row>
    <row r="93" spans="1:46" ht="11.25">
      <c r="A93" s="57" t="s">
        <v>72</v>
      </c>
      <c r="B93" s="57">
        <v>25</v>
      </c>
      <c r="C93" s="59" t="s">
        <v>154</v>
      </c>
      <c r="D93" s="60">
        <v>1994</v>
      </c>
      <c r="E93" s="60">
        <v>8</v>
      </c>
      <c r="F93" s="60">
        <v>0</v>
      </c>
      <c r="H93" s="57" t="s">
        <v>52</v>
      </c>
      <c r="I93" s="57">
        <v>10</v>
      </c>
      <c r="J93" s="114">
        <f t="shared" si="35"/>
        <v>2004</v>
      </c>
      <c r="M93" s="63">
        <v>8092.5</v>
      </c>
      <c r="N93" s="126"/>
      <c r="O93" s="63">
        <f t="shared" si="36"/>
        <v>8092.5</v>
      </c>
      <c r="P93" s="63">
        <f>O93/I93/12</f>
        <v>67.4375</v>
      </c>
      <c r="Q93" s="63">
        <f>IF(N93&gt;0,0,IF(OR(AC93&gt;AD93,AE93&lt;AF93),0,IF(AND(AE93&gt;=AF93,AE93&lt;=AD93),P93*((AE93-AF93)*12),IF(AND(AF93&lt;=AC93,AD93&gt;=AC93),((AD93-AC93)*12)*P93,IF(AE93&gt;AD93,12*P93,0)))))</f>
        <v>0</v>
      </c>
      <c r="R93" s="63">
        <f>IF(N93=0,0,IF(AND(AG93&gt;=AF93,AG93&lt;=AE93),((AG93-AF93)*12)*P93,0))</f>
        <v>0</v>
      </c>
      <c r="S93" s="63">
        <f>IF(R93&gt;0,R93,Q93)</f>
        <v>0</v>
      </c>
      <c r="T93" s="63">
        <v>1</v>
      </c>
      <c r="U93" s="63">
        <f>T93*SUM(Q93:R93)</f>
        <v>0</v>
      </c>
      <c r="V93" s="63"/>
      <c r="W93" s="63">
        <f>IF(AC93&gt;AD93,0,IF(AE93&lt;AF93,O93,IF(AND(AE93&gt;=AF93,AE93&lt;=AD93),(O93-S93),IF(AND(AF93&lt;=AC93,AD93&gt;=AC93),0,IF(AE93&gt;AD93,((AF93-AC93)*12)*P93,0)))))</f>
        <v>8092.5</v>
      </c>
      <c r="X93" s="63">
        <f>W93*T93</f>
        <v>8092.5</v>
      </c>
      <c r="Y93" s="63">
        <v>1</v>
      </c>
      <c r="Z93" s="63">
        <f>X93*Y93</f>
        <v>8092.5</v>
      </c>
      <c r="AA93" s="63">
        <f>IF(N93&gt;0,0,Z93+U93*Y93)*Y93</f>
        <v>8092.5</v>
      </c>
      <c r="AB93" s="63">
        <f>IF(N93&gt;0,(M93-Z93)/2,IF(AC93&gt;=AF93,(((M93*T93)*Y93)-AA93)/2,((((M93*T93)*Y93)-Z93)+(((M93*T93)*Y93)-AA93))/2))</f>
        <v>0</v>
      </c>
      <c r="AC93" s="65">
        <f>$D93+(($E93-1)/12)</f>
        <v>1994.5833333333333</v>
      </c>
      <c r="AD93" s="65">
        <f>($O$5+1)-($O$2/12)</f>
        <v>2016</v>
      </c>
      <c r="AE93" s="65">
        <f>$J93+(($E93-1)/12)</f>
        <v>2004.5833333333333</v>
      </c>
      <c r="AF93" s="65">
        <f>$O$4+($O$3/12)</f>
        <v>2015</v>
      </c>
      <c r="AG93" s="65">
        <f>$K93+(($L93-1)/12)</f>
        <v>-0.08333333333333333</v>
      </c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</row>
    <row r="94" spans="1:33" ht="11.25">
      <c r="A94" s="125"/>
      <c r="B94" s="57"/>
      <c r="C94" s="115"/>
      <c r="D94" s="60"/>
      <c r="E94" s="60"/>
      <c r="F94" s="60"/>
      <c r="H94" s="57"/>
      <c r="I94" s="57"/>
      <c r="J94" s="114"/>
      <c r="M94" s="63"/>
      <c r="N94" s="126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5"/>
      <c r="AD94" s="65"/>
      <c r="AE94" s="65"/>
      <c r="AF94" s="65"/>
      <c r="AG94" s="65"/>
    </row>
    <row r="95" spans="1:33" s="138" customFormat="1" ht="12" thickBot="1">
      <c r="A95" s="193"/>
      <c r="B95" s="164">
        <f>SUM(B91:B94)</f>
        <v>55</v>
      </c>
      <c r="C95" s="165" t="s">
        <v>155</v>
      </c>
      <c r="D95" s="165"/>
      <c r="E95" s="194"/>
      <c r="F95" s="194"/>
      <c r="G95" s="195"/>
      <c r="H95" s="164"/>
      <c r="I95" s="169"/>
      <c r="J95" s="196"/>
      <c r="K95" s="195"/>
      <c r="L95" s="195"/>
      <c r="M95" s="171">
        <f>SUM(M91:M94)</f>
        <v>19180.12</v>
      </c>
      <c r="N95" s="197"/>
      <c r="O95" s="171">
        <f>SUM(O91:O94)</f>
        <v>19180.12</v>
      </c>
      <c r="P95" s="171">
        <f aca="true" t="shared" si="37" ref="P95:U95">SUM(P91:P94)</f>
        <v>159.83433333333335</v>
      </c>
      <c r="Q95" s="171">
        <f t="shared" si="37"/>
        <v>0</v>
      </c>
      <c r="R95" s="171">
        <f t="shared" si="37"/>
        <v>0</v>
      </c>
      <c r="S95" s="171">
        <f t="shared" si="37"/>
        <v>0</v>
      </c>
      <c r="T95" s="171"/>
      <c r="U95" s="171">
        <f t="shared" si="37"/>
        <v>0</v>
      </c>
      <c r="V95" s="171"/>
      <c r="W95" s="171"/>
      <c r="X95" s="171"/>
      <c r="Y95" s="171"/>
      <c r="Z95" s="171">
        <f>SUM(Z91:Z94)</f>
        <v>19180.12</v>
      </c>
      <c r="AA95" s="171">
        <f>SUM(AA91:AA94)</f>
        <v>19180.12</v>
      </c>
      <c r="AB95" s="171">
        <f>SUM(AB91:AB94)</f>
        <v>0</v>
      </c>
      <c r="AC95" s="130"/>
      <c r="AD95" s="130"/>
      <c r="AE95" s="130"/>
      <c r="AF95" s="130"/>
      <c r="AG95" s="130"/>
    </row>
    <row r="96" spans="1:33" ht="11.25">
      <c r="A96" s="154"/>
      <c r="B96" s="155"/>
      <c r="C96" s="156"/>
      <c r="D96" s="156"/>
      <c r="E96" s="157"/>
      <c r="F96" s="157"/>
      <c r="G96" s="152"/>
      <c r="H96" s="155"/>
      <c r="I96" s="158"/>
      <c r="J96" s="159"/>
      <c r="K96" s="152"/>
      <c r="L96" s="152"/>
      <c r="M96" s="160"/>
      <c r="N96" s="161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65"/>
      <c r="AD96" s="65"/>
      <c r="AE96" s="65"/>
      <c r="AF96" s="65"/>
      <c r="AG96" s="65"/>
    </row>
    <row r="97" spans="1:33" ht="11.25">
      <c r="A97" s="57"/>
      <c r="B97" s="57"/>
      <c r="C97" s="115" t="s">
        <v>73</v>
      </c>
      <c r="D97" s="115"/>
      <c r="E97" s="60"/>
      <c r="F97" s="60"/>
      <c r="H97" s="57"/>
      <c r="I97" s="128"/>
      <c r="J97" s="114"/>
      <c r="M97" s="129"/>
      <c r="N97" s="126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5"/>
      <c r="AD97" s="65"/>
      <c r="AE97" s="65"/>
      <c r="AF97" s="65"/>
      <c r="AG97" s="65"/>
    </row>
    <row r="98" spans="1:33" s="139" customFormat="1" ht="11.25">
      <c r="A98" s="57"/>
      <c r="B98" s="140">
        <f>14600</f>
        <v>14600</v>
      </c>
      <c r="C98" s="59" t="s">
        <v>165</v>
      </c>
      <c r="D98" s="60">
        <v>2005</v>
      </c>
      <c r="E98" s="57">
        <v>3</v>
      </c>
      <c r="F98" s="60">
        <v>0</v>
      </c>
      <c r="G98" s="56"/>
      <c r="H98" s="57" t="s">
        <v>52</v>
      </c>
      <c r="I98" s="131">
        <v>10</v>
      </c>
      <c r="J98" s="114">
        <f t="shared" si="35"/>
        <v>2015</v>
      </c>
      <c r="K98" s="56"/>
      <c r="L98" s="56"/>
      <c r="M98" s="184">
        <f>(575187.44+27187.44+329.57)</f>
        <v>602704.4499999998</v>
      </c>
      <c r="N98" s="126"/>
      <c r="O98" s="63">
        <f t="shared" si="36"/>
        <v>602704.4499999998</v>
      </c>
      <c r="P98" s="63">
        <f aca="true" t="shared" si="38" ref="P98:P103">O98/I98/12</f>
        <v>5022.537083333332</v>
      </c>
      <c r="Q98" s="63">
        <f aca="true" t="shared" si="39" ref="Q98:Q103">IF(N98&gt;0,0,IF(OR(AC98&gt;AD98,AE98&lt;AF98),0,IF(AND(AE98&gt;=AF98,AE98&lt;=AD98),P98*((AE98-AF98)*12),IF(AND(AF98&lt;=AC98,AD98&gt;=AC98),((AD98-AC98)*12)*P98,IF(AE98&gt;AD98,12*P98,0)))))</f>
        <v>10045.074166671231</v>
      </c>
      <c r="R98" s="63">
        <f aca="true" t="shared" si="40" ref="R98:R103">IF(N98=0,0,IF(AND(AG98&gt;=AF98,AG98&lt;=AE98),((AG98-AF98)*12)*P98,0))</f>
        <v>0</v>
      </c>
      <c r="S98" s="63">
        <f aca="true" t="shared" si="41" ref="S98:S103">IF(R98&gt;0,R98,Q98)</f>
        <v>10045.074166671231</v>
      </c>
      <c r="T98" s="63">
        <v>1</v>
      </c>
      <c r="U98" s="63">
        <f aca="true" t="shared" si="42" ref="U98:U103">T98*SUM(Q98:R98)</f>
        <v>10045.074166671231</v>
      </c>
      <c r="V98" s="63"/>
      <c r="W98" s="63">
        <f aca="true" t="shared" si="43" ref="W98:W103">IF(AC98&gt;AD98,0,IF(AE98&lt;AF98,O98,IF(AND(AE98&gt;=AF98,AE98&lt;=AD98),(O98-S98),IF(AND(AF98&lt;=AC98,AD98&gt;=AC98),0,IF(AE98&gt;AD98,((AF98-AC98)*12)*P98,0)))))</f>
        <v>592659.3758333286</v>
      </c>
      <c r="X98" s="63">
        <f aca="true" t="shared" si="44" ref="X98:X103">W98*T98</f>
        <v>592659.3758333286</v>
      </c>
      <c r="Y98" s="63">
        <v>1</v>
      </c>
      <c r="Z98" s="63">
        <f aca="true" t="shared" si="45" ref="Z98:Z103">X98*Y98</f>
        <v>592659.3758333286</v>
      </c>
      <c r="AA98" s="63">
        <f aca="true" t="shared" si="46" ref="AA98:AA103">IF(N98&gt;0,0,Z98+U98*Y98)*Y98</f>
        <v>602704.4499999998</v>
      </c>
      <c r="AB98" s="63">
        <f aca="true" t="shared" si="47" ref="AB98:AB103">IF(N98&gt;0,(M98-Z98)/2,IF(AC98&gt;=AF98,(((M98*T98)*Y98)-AA98)/2,((((M98*T98)*Y98)-Z98)+(((M98*T98)*Y98)-AA98))/2))</f>
        <v>5022.537083335628</v>
      </c>
      <c r="AC98" s="65">
        <f aca="true" t="shared" si="48" ref="AC98:AC106">$D98+(($E98-1)/12)</f>
        <v>2005.1666666666667</v>
      </c>
      <c r="AD98" s="65">
        <f aca="true" t="shared" si="49" ref="AD98:AD106">($O$5+1)-($O$2/12)</f>
        <v>2016</v>
      </c>
      <c r="AE98" s="65">
        <f aca="true" t="shared" si="50" ref="AE98:AE106">$J98+(($E98-1)/12)</f>
        <v>2015.1666666666667</v>
      </c>
      <c r="AF98" s="65">
        <f aca="true" t="shared" si="51" ref="AF98:AF106">$O$4+($O$3/12)</f>
        <v>2015</v>
      </c>
      <c r="AG98" s="65">
        <f aca="true" t="shared" si="52" ref="AG98:AG106">$K98+(($L98-1)/12)</f>
        <v>-0.08333333333333333</v>
      </c>
    </row>
    <row r="99" spans="1:33" s="139" customFormat="1" ht="11.25">
      <c r="A99" s="125"/>
      <c r="B99" s="140">
        <f>182-16</f>
        <v>166</v>
      </c>
      <c r="C99" s="59" t="s">
        <v>165</v>
      </c>
      <c r="D99" s="60">
        <v>2006</v>
      </c>
      <c r="E99" s="60">
        <v>7</v>
      </c>
      <c r="F99" s="60">
        <v>0</v>
      </c>
      <c r="G99" s="56"/>
      <c r="H99" s="57" t="s">
        <v>52</v>
      </c>
      <c r="I99" s="131">
        <v>10</v>
      </c>
      <c r="J99" s="114">
        <f aca="true" t="shared" si="53" ref="J99:J106">D99+I99</f>
        <v>2016</v>
      </c>
      <c r="K99" s="56"/>
      <c r="L99" s="56"/>
      <c r="M99" s="63">
        <f>11503.42-721.78</f>
        <v>10781.64</v>
      </c>
      <c r="N99" s="126"/>
      <c r="O99" s="63">
        <f aca="true" t="shared" si="54" ref="O99:O106">M99-M99*F99</f>
        <v>10781.64</v>
      </c>
      <c r="P99" s="63">
        <f t="shared" si="38"/>
        <v>89.847</v>
      </c>
      <c r="Q99" s="63">
        <f t="shared" si="39"/>
        <v>1078.164</v>
      </c>
      <c r="R99" s="63">
        <f t="shared" si="40"/>
        <v>0</v>
      </c>
      <c r="S99" s="63">
        <f t="shared" si="41"/>
        <v>1078.164</v>
      </c>
      <c r="T99" s="63">
        <v>1</v>
      </c>
      <c r="U99" s="63">
        <f t="shared" si="42"/>
        <v>1078.164</v>
      </c>
      <c r="V99" s="63"/>
      <c r="W99" s="63">
        <f t="shared" si="43"/>
        <v>9164.394</v>
      </c>
      <c r="X99" s="63">
        <f t="shared" si="44"/>
        <v>9164.394</v>
      </c>
      <c r="Y99" s="63">
        <v>1</v>
      </c>
      <c r="Z99" s="63">
        <f t="shared" si="45"/>
        <v>9164.394</v>
      </c>
      <c r="AA99" s="63">
        <f t="shared" si="46"/>
        <v>10242.558</v>
      </c>
      <c r="AB99" s="63">
        <f t="shared" si="47"/>
        <v>1078.1639999999989</v>
      </c>
      <c r="AC99" s="65">
        <f t="shared" si="48"/>
        <v>2006.5</v>
      </c>
      <c r="AD99" s="65">
        <f t="shared" si="49"/>
        <v>2016</v>
      </c>
      <c r="AE99" s="65">
        <f t="shared" si="50"/>
        <v>2016.5</v>
      </c>
      <c r="AF99" s="65">
        <f t="shared" si="51"/>
        <v>2015</v>
      </c>
      <c r="AG99" s="65">
        <f t="shared" si="52"/>
        <v>-0.08333333333333333</v>
      </c>
    </row>
    <row r="100" spans="1:33" s="139" customFormat="1" ht="11.25">
      <c r="A100" s="125"/>
      <c r="B100" s="56">
        <v>255</v>
      </c>
      <c r="C100" s="59" t="s">
        <v>166</v>
      </c>
      <c r="D100" s="60">
        <v>2006</v>
      </c>
      <c r="E100" s="57">
        <v>7</v>
      </c>
      <c r="F100" s="57">
        <v>0</v>
      </c>
      <c r="G100" s="56"/>
      <c r="H100" s="57" t="s">
        <v>52</v>
      </c>
      <c r="I100" s="131">
        <v>10</v>
      </c>
      <c r="J100" s="114">
        <f t="shared" si="53"/>
        <v>2016</v>
      </c>
      <c r="K100" s="56"/>
      <c r="L100" s="56"/>
      <c r="M100" s="63">
        <v>14484</v>
      </c>
      <c r="N100" s="126"/>
      <c r="O100" s="63">
        <f t="shared" si="54"/>
        <v>14484</v>
      </c>
      <c r="P100" s="63">
        <f t="shared" si="38"/>
        <v>120.7</v>
      </c>
      <c r="Q100" s="63">
        <f t="shared" si="39"/>
        <v>1448.4</v>
      </c>
      <c r="R100" s="63">
        <f t="shared" si="40"/>
        <v>0</v>
      </c>
      <c r="S100" s="63">
        <f t="shared" si="41"/>
        <v>1448.4</v>
      </c>
      <c r="T100" s="63">
        <v>1</v>
      </c>
      <c r="U100" s="63">
        <f t="shared" si="42"/>
        <v>1448.4</v>
      </c>
      <c r="V100" s="63"/>
      <c r="W100" s="63">
        <f t="shared" si="43"/>
        <v>12311.4</v>
      </c>
      <c r="X100" s="63">
        <f t="shared" si="44"/>
        <v>12311.4</v>
      </c>
      <c r="Y100" s="63">
        <v>1</v>
      </c>
      <c r="Z100" s="63">
        <f t="shared" si="45"/>
        <v>12311.4</v>
      </c>
      <c r="AA100" s="63">
        <f t="shared" si="46"/>
        <v>13759.8</v>
      </c>
      <c r="AB100" s="63">
        <f t="shared" si="47"/>
        <v>1448.4000000000005</v>
      </c>
      <c r="AC100" s="65">
        <f t="shared" si="48"/>
        <v>2006.5</v>
      </c>
      <c r="AD100" s="65">
        <f t="shared" si="49"/>
        <v>2016</v>
      </c>
      <c r="AE100" s="65">
        <f t="shared" si="50"/>
        <v>2016.5</v>
      </c>
      <c r="AF100" s="65">
        <f t="shared" si="51"/>
        <v>2015</v>
      </c>
      <c r="AG100" s="65">
        <f t="shared" si="52"/>
        <v>-0.08333333333333333</v>
      </c>
    </row>
    <row r="101" spans="1:33" s="139" customFormat="1" ht="11.25">
      <c r="A101" s="125"/>
      <c r="B101" s="140">
        <v>486</v>
      </c>
      <c r="C101" s="59" t="s">
        <v>165</v>
      </c>
      <c r="D101" s="60">
        <v>2009</v>
      </c>
      <c r="E101" s="60">
        <v>6</v>
      </c>
      <c r="F101" s="60">
        <v>0</v>
      </c>
      <c r="G101" s="56"/>
      <c r="H101" s="57" t="s">
        <v>52</v>
      </c>
      <c r="I101" s="131">
        <v>10</v>
      </c>
      <c r="J101" s="114">
        <f t="shared" si="53"/>
        <v>2019</v>
      </c>
      <c r="K101" s="56"/>
      <c r="L101" s="56"/>
      <c r="M101" s="63">
        <v>23659.56</v>
      </c>
      <c r="N101" s="126"/>
      <c r="O101" s="63">
        <f t="shared" si="54"/>
        <v>23659.56</v>
      </c>
      <c r="P101" s="63">
        <f t="shared" si="38"/>
        <v>197.163</v>
      </c>
      <c r="Q101" s="63">
        <f t="shared" si="39"/>
        <v>2365.956</v>
      </c>
      <c r="R101" s="63">
        <f t="shared" si="40"/>
        <v>0</v>
      </c>
      <c r="S101" s="63">
        <f t="shared" si="41"/>
        <v>2365.956</v>
      </c>
      <c r="T101" s="63">
        <v>1</v>
      </c>
      <c r="U101" s="63">
        <f t="shared" si="42"/>
        <v>2365.956</v>
      </c>
      <c r="V101" s="63"/>
      <c r="W101" s="63">
        <f t="shared" si="43"/>
        <v>13209.920999999822</v>
      </c>
      <c r="X101" s="63">
        <f t="shared" si="44"/>
        <v>13209.920999999822</v>
      </c>
      <c r="Y101" s="63">
        <v>1</v>
      </c>
      <c r="Z101" s="63">
        <f t="shared" si="45"/>
        <v>13209.920999999822</v>
      </c>
      <c r="AA101" s="63">
        <f t="shared" si="46"/>
        <v>15575.876999999822</v>
      </c>
      <c r="AB101" s="63">
        <f t="shared" si="47"/>
        <v>9266.661000000178</v>
      </c>
      <c r="AC101" s="65">
        <f t="shared" si="48"/>
        <v>2009.4166666666667</v>
      </c>
      <c r="AD101" s="65">
        <f t="shared" si="49"/>
        <v>2016</v>
      </c>
      <c r="AE101" s="65">
        <f t="shared" si="50"/>
        <v>2019.4166666666667</v>
      </c>
      <c r="AF101" s="65">
        <f t="shared" si="51"/>
        <v>2015</v>
      </c>
      <c r="AG101" s="65">
        <f t="shared" si="52"/>
        <v>-0.08333333333333333</v>
      </c>
    </row>
    <row r="102" spans="1:33" s="139" customFormat="1" ht="11.25">
      <c r="A102" s="125"/>
      <c r="B102" s="140">
        <f>486+486</f>
        <v>972</v>
      </c>
      <c r="C102" s="59" t="s">
        <v>165</v>
      </c>
      <c r="D102" s="60">
        <v>2010</v>
      </c>
      <c r="E102" s="60">
        <v>11</v>
      </c>
      <c r="F102" s="60">
        <v>0</v>
      </c>
      <c r="G102" s="56"/>
      <c r="H102" s="57" t="s">
        <v>52</v>
      </c>
      <c r="I102" s="131">
        <v>10</v>
      </c>
      <c r="J102" s="114">
        <f t="shared" si="53"/>
        <v>2020</v>
      </c>
      <c r="K102" s="56"/>
      <c r="L102" s="56"/>
      <c r="M102" s="63">
        <f>23340.85+23340.85</f>
        <v>46681.7</v>
      </c>
      <c r="N102" s="126"/>
      <c r="O102" s="63">
        <f t="shared" si="54"/>
        <v>46681.7</v>
      </c>
      <c r="P102" s="63">
        <f t="shared" si="38"/>
        <v>389.01416666666665</v>
      </c>
      <c r="Q102" s="63">
        <f t="shared" si="39"/>
        <v>4668.17</v>
      </c>
      <c r="R102" s="63">
        <f t="shared" si="40"/>
        <v>0</v>
      </c>
      <c r="S102" s="63">
        <f t="shared" si="41"/>
        <v>4668.17</v>
      </c>
      <c r="T102" s="63">
        <v>1</v>
      </c>
      <c r="U102" s="63">
        <f t="shared" si="42"/>
        <v>4668.17</v>
      </c>
      <c r="V102" s="63"/>
      <c r="W102" s="63">
        <f t="shared" si="43"/>
        <v>19450.708333333685</v>
      </c>
      <c r="X102" s="63">
        <f t="shared" si="44"/>
        <v>19450.708333333685</v>
      </c>
      <c r="Y102" s="63">
        <v>1</v>
      </c>
      <c r="Z102" s="63">
        <f t="shared" si="45"/>
        <v>19450.708333333685</v>
      </c>
      <c r="AA102" s="63">
        <f t="shared" si="46"/>
        <v>24118.878333333683</v>
      </c>
      <c r="AB102" s="63">
        <f t="shared" si="47"/>
        <v>24896.906666666313</v>
      </c>
      <c r="AC102" s="65">
        <f t="shared" si="48"/>
        <v>2010.8333333333333</v>
      </c>
      <c r="AD102" s="65">
        <f t="shared" si="49"/>
        <v>2016</v>
      </c>
      <c r="AE102" s="65">
        <f t="shared" si="50"/>
        <v>2020.8333333333333</v>
      </c>
      <c r="AF102" s="65">
        <f t="shared" si="51"/>
        <v>2015</v>
      </c>
      <c r="AG102" s="65">
        <f t="shared" si="52"/>
        <v>-0.08333333333333333</v>
      </c>
    </row>
    <row r="103" spans="1:33" s="139" customFormat="1" ht="11.25">
      <c r="A103" s="125"/>
      <c r="B103" s="140">
        <v>624</v>
      </c>
      <c r="C103" s="59" t="s">
        <v>165</v>
      </c>
      <c r="D103" s="60">
        <v>2011</v>
      </c>
      <c r="E103" s="60">
        <v>4</v>
      </c>
      <c r="F103" s="60">
        <v>0</v>
      </c>
      <c r="G103" s="56"/>
      <c r="H103" s="57" t="s">
        <v>52</v>
      </c>
      <c r="I103" s="131">
        <v>10</v>
      </c>
      <c r="J103" s="114">
        <f t="shared" si="53"/>
        <v>2021</v>
      </c>
      <c r="K103" s="56"/>
      <c r="L103" s="56"/>
      <c r="M103" s="63">
        <v>32802.68</v>
      </c>
      <c r="N103" s="126"/>
      <c r="O103" s="63">
        <f t="shared" si="54"/>
        <v>32802.68</v>
      </c>
      <c r="P103" s="63">
        <f t="shared" si="38"/>
        <v>273.35566666666665</v>
      </c>
      <c r="Q103" s="63">
        <f t="shared" si="39"/>
        <v>3280.268</v>
      </c>
      <c r="R103" s="63">
        <f t="shared" si="40"/>
        <v>0</v>
      </c>
      <c r="S103" s="63">
        <f t="shared" si="41"/>
        <v>3280.268</v>
      </c>
      <c r="T103" s="63">
        <v>1</v>
      </c>
      <c r="U103" s="63">
        <f t="shared" si="42"/>
        <v>3280.268</v>
      </c>
      <c r="V103" s="63"/>
      <c r="W103" s="63">
        <f t="shared" si="43"/>
        <v>12301.005</v>
      </c>
      <c r="X103" s="63">
        <f t="shared" si="44"/>
        <v>12301.005</v>
      </c>
      <c r="Y103" s="63">
        <v>1</v>
      </c>
      <c r="Z103" s="63">
        <f t="shared" si="45"/>
        <v>12301.005</v>
      </c>
      <c r="AA103" s="63">
        <f t="shared" si="46"/>
        <v>15581.273</v>
      </c>
      <c r="AB103" s="63">
        <f t="shared" si="47"/>
        <v>18861.541</v>
      </c>
      <c r="AC103" s="65">
        <f t="shared" si="48"/>
        <v>2011.25</v>
      </c>
      <c r="AD103" s="65">
        <f t="shared" si="49"/>
        <v>2016</v>
      </c>
      <c r="AE103" s="65">
        <f t="shared" si="50"/>
        <v>2021.25</v>
      </c>
      <c r="AF103" s="65">
        <f t="shared" si="51"/>
        <v>2015</v>
      </c>
      <c r="AG103" s="65">
        <f t="shared" si="52"/>
        <v>-0.08333333333333333</v>
      </c>
    </row>
    <row r="104" spans="1:33" s="139" customFormat="1" ht="11.25">
      <c r="A104" s="125"/>
      <c r="B104" s="140">
        <v>486</v>
      </c>
      <c r="C104" s="59" t="s">
        <v>165</v>
      </c>
      <c r="D104" s="60">
        <v>2012</v>
      </c>
      <c r="E104" s="60">
        <v>9</v>
      </c>
      <c r="F104" s="60">
        <v>0</v>
      </c>
      <c r="G104" s="56"/>
      <c r="H104" s="185" t="s">
        <v>52</v>
      </c>
      <c r="I104" s="186">
        <v>10</v>
      </c>
      <c r="J104" s="187">
        <f t="shared" si="53"/>
        <v>2022</v>
      </c>
      <c r="K104" s="56"/>
      <c r="L104" s="56"/>
      <c r="M104" s="63">
        <v>25116.76</v>
      </c>
      <c r="N104" s="126"/>
      <c r="O104" s="63">
        <f t="shared" si="54"/>
        <v>25116.76</v>
      </c>
      <c r="P104" s="63">
        <f>O104/I104/12</f>
        <v>209.30633333333333</v>
      </c>
      <c r="Q104" s="63">
        <f>IF(N104&gt;0,0,IF(OR(AC104&gt;AD104,AE104&lt;AF104),0,IF(AND(AE104&gt;=AF104,AE104&lt;=AD104),P104*((AE104-AF104)*12),IF(AND(AF104&lt;=AC104,AD104&gt;=AC104),((AD104-AC104)*12)*P104,IF(AE104&gt;AD104,12*P104,0)))))</f>
        <v>2511.676</v>
      </c>
      <c r="R104" s="63">
        <f>IF(N104=0,0,IF(AND(AG104&gt;=AF104,AG104&lt;=AE104),((AG104-AF104)*12)*P104,0))</f>
        <v>0</v>
      </c>
      <c r="S104" s="63">
        <f>IF(R104&gt;0,R104,Q104)</f>
        <v>2511.676</v>
      </c>
      <c r="T104" s="63">
        <v>1</v>
      </c>
      <c r="U104" s="63">
        <f>T104*SUM(Q104:R104)</f>
        <v>2511.676</v>
      </c>
      <c r="V104" s="63"/>
      <c r="W104" s="63">
        <f>IF(AC104&gt;AD104,0,IF(AE104&lt;AF104,O104,IF(AND(AE104&gt;=AF104,AE104&lt;=AD104),(O104-S104),IF(AND(AF104&lt;=AC104,AD104&gt;=AC104),0,IF(AE104&gt;AD104,((AF104-AC104)*12)*P104,0)))))</f>
        <v>5860.577333333143</v>
      </c>
      <c r="X104" s="63">
        <f>W104*T104</f>
        <v>5860.577333333143</v>
      </c>
      <c r="Y104" s="63">
        <v>1</v>
      </c>
      <c r="Z104" s="63">
        <f>X104*Y104</f>
        <v>5860.577333333143</v>
      </c>
      <c r="AA104" s="63">
        <f>IF(N104&gt;0,0,Z104+U104*Y104)*Y104</f>
        <v>8372.253333333143</v>
      </c>
      <c r="AB104" s="63">
        <f>IF(N104&gt;0,(M104-Z104)/2,IF(AC104&gt;=AF104,(((M104*T104)*Y104)-AA104)/2,((((M104*T104)*Y104)-Z104)+(((M104*T104)*Y104)-AA104))/2))</f>
        <v>18000.344666666857</v>
      </c>
      <c r="AC104" s="65">
        <f t="shared" si="48"/>
        <v>2012.6666666666667</v>
      </c>
      <c r="AD104" s="65">
        <f t="shared" si="49"/>
        <v>2016</v>
      </c>
      <c r="AE104" s="65">
        <f t="shared" si="50"/>
        <v>2022.6666666666667</v>
      </c>
      <c r="AF104" s="65">
        <f t="shared" si="51"/>
        <v>2015</v>
      </c>
      <c r="AG104" s="65">
        <f t="shared" si="52"/>
        <v>-0.08333333333333333</v>
      </c>
    </row>
    <row r="105" spans="1:33" s="139" customFormat="1" ht="11.25">
      <c r="A105" s="125">
        <v>106540</v>
      </c>
      <c r="B105" s="140">
        <v>486</v>
      </c>
      <c r="C105" s="59" t="s">
        <v>165</v>
      </c>
      <c r="D105" s="60">
        <v>2013</v>
      </c>
      <c r="E105" s="60">
        <v>8</v>
      </c>
      <c r="F105" s="60">
        <v>0</v>
      </c>
      <c r="G105" s="56"/>
      <c r="H105" s="185" t="s">
        <v>52</v>
      </c>
      <c r="I105" s="186">
        <v>10</v>
      </c>
      <c r="J105" s="187">
        <f t="shared" si="53"/>
        <v>2023</v>
      </c>
      <c r="K105" s="56"/>
      <c r="L105" s="56"/>
      <c r="M105" s="63">
        <v>26316.8</v>
      </c>
      <c r="N105" s="126"/>
      <c r="O105" s="63">
        <f t="shared" si="54"/>
        <v>26316.8</v>
      </c>
      <c r="P105" s="63">
        <f>O105/I105/12</f>
        <v>219.30666666666664</v>
      </c>
      <c r="Q105" s="63">
        <f>IF(N105&gt;0,0,IF(OR(AC105&gt;AD105,AE105&lt;AF105),0,IF(AND(AE105&gt;=AF105,AE105&lt;=AD105),P105*((AE105-AF105)*12),IF(AND(AF105&lt;=AC105,AD105&gt;=AC105),((AD105-AC105)*12)*P105,IF(AE105&gt;AD105,12*P105,0)))))</f>
        <v>2631.68</v>
      </c>
      <c r="R105" s="63">
        <f>IF(N105=0,0,IF(AND(AG105&gt;=AF105,AG105&lt;=AE105),((AG105-AF105)*12)*P105,0))</f>
        <v>0</v>
      </c>
      <c r="S105" s="63">
        <f>IF(R105&gt;0,R105,Q105)</f>
        <v>2631.68</v>
      </c>
      <c r="T105" s="63">
        <v>1</v>
      </c>
      <c r="U105" s="63">
        <f>T105*SUM(Q105:R105)</f>
        <v>2631.68</v>
      </c>
      <c r="V105" s="63"/>
      <c r="W105" s="63">
        <f>IF(AC105&gt;AD105,0,IF(AE105&lt;AF105,O105,IF(AND(AE105&gt;=AF105,AE105&lt;=AD105),(O105-S105),IF(AND(AF105&lt;=AC105,AD105&gt;=AC105),0,IF(AE105&gt;AD105,((AF105-AC105)*12)*P105,0)))))</f>
        <v>3728.2133333335323</v>
      </c>
      <c r="X105" s="63">
        <f>W105*T105</f>
        <v>3728.2133333335323</v>
      </c>
      <c r="Y105" s="63">
        <v>1</v>
      </c>
      <c r="Z105" s="63">
        <f>X105*Y105</f>
        <v>3728.2133333335323</v>
      </c>
      <c r="AA105" s="63">
        <f>IF(N105&gt;0,0,Z105+U105*Y105)*Y105</f>
        <v>6359.893333333532</v>
      </c>
      <c r="AB105" s="63">
        <f>IF(N105&gt;0,(M105-Z105)/2,IF(AC105&gt;=AF105,(((M105*T105)*Y105)-AA105)/2,((((M105*T105)*Y105)-Z105)+(((M105*T105)*Y105)-AA105))/2))</f>
        <v>21272.746666666466</v>
      </c>
      <c r="AC105" s="65">
        <f t="shared" si="48"/>
        <v>2013.5833333333333</v>
      </c>
      <c r="AD105" s="65">
        <f t="shared" si="49"/>
        <v>2016</v>
      </c>
      <c r="AE105" s="65">
        <f t="shared" si="50"/>
        <v>2023.5833333333333</v>
      </c>
      <c r="AF105" s="65">
        <f t="shared" si="51"/>
        <v>2015</v>
      </c>
      <c r="AG105" s="65">
        <f t="shared" si="52"/>
        <v>-0.08333333333333333</v>
      </c>
    </row>
    <row r="106" spans="1:33" s="139" customFormat="1" ht="11.25">
      <c r="A106" s="125">
        <v>112431</v>
      </c>
      <c r="B106" s="140">
        <v>243</v>
      </c>
      <c r="C106" s="59" t="s">
        <v>165</v>
      </c>
      <c r="D106" s="60">
        <v>2014</v>
      </c>
      <c r="E106" s="60">
        <v>4</v>
      </c>
      <c r="F106" s="60">
        <v>0</v>
      </c>
      <c r="G106" s="56"/>
      <c r="H106" s="185" t="s">
        <v>52</v>
      </c>
      <c r="I106" s="186">
        <v>10</v>
      </c>
      <c r="J106" s="187">
        <f t="shared" si="53"/>
        <v>2024</v>
      </c>
      <c r="K106" s="56"/>
      <c r="L106" s="56"/>
      <c r="M106" s="63">
        <v>14367.99</v>
      </c>
      <c r="N106" s="126"/>
      <c r="O106" s="63">
        <f t="shared" si="54"/>
        <v>14367.99</v>
      </c>
      <c r="P106" s="63">
        <f>O106/I106/12</f>
        <v>119.73325</v>
      </c>
      <c r="Q106" s="63">
        <f>IF(N106&gt;0,0,IF(OR(AC106&gt;AD106,AE106&lt;AF106),0,IF(AND(AE106&gt;=AF106,AE106&lt;=AD106),P106*((AE106-AF106)*12),IF(AND(AF106&lt;=AC106,AD106&gt;=AC106),((AD106-AC106)*12)*P106,IF(AE106&gt;AD106,12*P106,0)))))</f>
        <v>1436.799</v>
      </c>
      <c r="R106" s="63">
        <f>IF(N106=0,0,IF(AND(AG106&gt;=AF106,AG106&lt;=AE106),((AG106-AF106)*12)*P106,0))</f>
        <v>0</v>
      </c>
      <c r="S106" s="63">
        <f>IF(R106&gt;0,R106,Q106)</f>
        <v>1436.799</v>
      </c>
      <c r="T106" s="63">
        <v>1</v>
      </c>
      <c r="U106" s="63">
        <f>T106*SUM(Q106:R106)</f>
        <v>1436.799</v>
      </c>
      <c r="V106" s="63"/>
      <c r="W106" s="63">
        <f>IF(AC106&gt;AD106,0,IF(AE106&lt;AF106,O106,IF(AND(AE106&gt;=AF106,AE106&lt;=AD106),(O106-S106),IF(AND(AF106&lt;=AC106,AD106&gt;=AC106),0,IF(AE106&gt;AD106,((AF106-AC106)*12)*P106,0)))))</f>
        <v>1077.59925</v>
      </c>
      <c r="X106" s="63">
        <f>W106*T106</f>
        <v>1077.59925</v>
      </c>
      <c r="Y106" s="63">
        <v>1</v>
      </c>
      <c r="Z106" s="63">
        <f>X106*Y106</f>
        <v>1077.59925</v>
      </c>
      <c r="AA106" s="63">
        <f>IF(N106&gt;0,0,Z106+U106*Y106)*Y106</f>
        <v>2514.39825</v>
      </c>
      <c r="AB106" s="63">
        <f>IF(N106&gt;0,(M106-Z106)/2,IF(AC106&gt;=AF106,(((M106*T106)*Y106)-AA106)/2,((((M106*T106)*Y106)-Z106)+(((M106*T106)*Y106)-AA106))/2))</f>
        <v>12571.99125</v>
      </c>
      <c r="AC106" s="65">
        <f t="shared" si="48"/>
        <v>2014.25</v>
      </c>
      <c r="AD106" s="65">
        <f t="shared" si="49"/>
        <v>2016</v>
      </c>
      <c r="AE106" s="65">
        <f t="shared" si="50"/>
        <v>2024.25</v>
      </c>
      <c r="AF106" s="65">
        <f t="shared" si="51"/>
        <v>2015</v>
      </c>
      <c r="AG106" s="65">
        <f t="shared" si="52"/>
        <v>-0.08333333333333333</v>
      </c>
    </row>
    <row r="107" spans="1:33" ht="11.25">
      <c r="A107" s="125"/>
      <c r="B107" s="140"/>
      <c r="C107" s="59"/>
      <c r="D107" s="60"/>
      <c r="E107" s="60"/>
      <c r="F107" s="188"/>
      <c r="G107" s="188"/>
      <c r="H107" s="188"/>
      <c r="I107" s="188"/>
      <c r="J107" s="188"/>
      <c r="K107" s="188"/>
      <c r="L107" s="188"/>
      <c r="M107" s="189"/>
      <c r="N107" s="126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5"/>
      <c r="AD107" s="65"/>
      <c r="AE107" s="65"/>
      <c r="AF107" s="65"/>
      <c r="AG107" s="65"/>
    </row>
    <row r="108" spans="1:28" s="138" customFormat="1" ht="12" thickBot="1">
      <c r="A108" s="195"/>
      <c r="B108" s="198">
        <f>SUM(B98:B107)</f>
        <v>18318</v>
      </c>
      <c r="C108" s="165" t="s">
        <v>228</v>
      </c>
      <c r="D108" s="166"/>
      <c r="E108" s="168"/>
      <c r="F108" s="168"/>
      <c r="G108" s="195"/>
      <c r="H108" s="195"/>
      <c r="I108" s="195"/>
      <c r="J108" s="200"/>
      <c r="K108" s="195"/>
      <c r="L108" s="195"/>
      <c r="M108" s="197">
        <f>SUM(M98:M107)</f>
        <v>796915.58</v>
      </c>
      <c r="N108" s="197"/>
      <c r="O108" s="197">
        <f aca="true" t="shared" si="55" ref="O108:AB108">SUM(O98:O107)</f>
        <v>796915.58</v>
      </c>
      <c r="P108" s="197">
        <f t="shared" si="55"/>
        <v>6640.963166666665</v>
      </c>
      <c r="Q108" s="197">
        <f t="shared" si="55"/>
        <v>29466.18716667123</v>
      </c>
      <c r="R108" s="197">
        <f t="shared" si="55"/>
        <v>0</v>
      </c>
      <c r="S108" s="197">
        <f t="shared" si="55"/>
        <v>29466.18716667123</v>
      </c>
      <c r="T108" s="197"/>
      <c r="U108" s="197">
        <f t="shared" si="55"/>
        <v>29466.18716667123</v>
      </c>
      <c r="V108" s="197"/>
      <c r="W108" s="197">
        <f t="shared" si="55"/>
        <v>669763.1940833287</v>
      </c>
      <c r="X108" s="197">
        <f t="shared" si="55"/>
        <v>669763.1940833287</v>
      </c>
      <c r="Y108" s="197"/>
      <c r="Z108" s="197">
        <f t="shared" si="55"/>
        <v>669763.1940833287</v>
      </c>
      <c r="AA108" s="197">
        <f t="shared" si="55"/>
        <v>699229.3812500001</v>
      </c>
      <c r="AB108" s="197">
        <f t="shared" si="55"/>
        <v>112419.29233333544</v>
      </c>
    </row>
    <row r="109" spans="1:28" ht="11.25">
      <c r="A109" s="190"/>
      <c r="B109" s="152"/>
      <c r="C109" s="152"/>
      <c r="D109" s="152"/>
      <c r="E109" s="152"/>
      <c r="F109" s="191"/>
      <c r="G109" s="152"/>
      <c r="H109" s="152"/>
      <c r="I109" s="152"/>
      <c r="J109" s="153"/>
      <c r="K109" s="152"/>
      <c r="L109" s="152"/>
      <c r="M109" s="161"/>
      <c r="N109" s="161"/>
      <c r="O109" s="161"/>
      <c r="P109" s="161"/>
      <c r="Q109" s="192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</row>
    <row r="110" spans="1:28" ht="11.25">
      <c r="A110" s="143"/>
      <c r="F110" s="58"/>
      <c r="M110" s="126"/>
      <c r="N110" s="126"/>
      <c r="O110" s="126"/>
      <c r="P110" s="126"/>
      <c r="Q110" s="144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</row>
    <row r="111" spans="1:28" ht="12" thickBot="1">
      <c r="A111" s="203"/>
      <c r="B111" s="179"/>
      <c r="C111" s="180" t="s">
        <v>229</v>
      </c>
      <c r="D111" s="179"/>
      <c r="E111" s="179"/>
      <c r="F111" s="204"/>
      <c r="G111" s="179"/>
      <c r="H111" s="179"/>
      <c r="I111" s="179"/>
      <c r="J111" s="205"/>
      <c r="K111" s="179"/>
      <c r="L111" s="179"/>
      <c r="M111" s="206">
        <f>M108+M95+M88</f>
        <v>1336248.7</v>
      </c>
      <c r="N111" s="183"/>
      <c r="O111" s="206">
        <f>O108+O95+O88</f>
        <v>1336248.7</v>
      </c>
      <c r="P111" s="206">
        <f>P108+P95+P88</f>
        <v>11145.46833333333</v>
      </c>
      <c r="Q111" s="206">
        <f>Q108+Q95+Q88</f>
        <v>50179.80966667109</v>
      </c>
      <c r="R111" s="206">
        <f>R108+R95+R88</f>
        <v>0</v>
      </c>
      <c r="S111" s="206">
        <f>S108+S95+S88</f>
        <v>50179.80966667109</v>
      </c>
      <c r="T111" s="183"/>
      <c r="U111" s="206">
        <f>U108+U95+U88</f>
        <v>50179.80966667109</v>
      </c>
      <c r="V111" s="183"/>
      <c r="W111" s="206">
        <f>W108+W95+W88</f>
        <v>669763.1940833287</v>
      </c>
      <c r="X111" s="206">
        <f>X108+X95+X88</f>
        <v>669763.1940833287</v>
      </c>
      <c r="Y111" s="183"/>
      <c r="Z111" s="206">
        <f>Z108+Z95+Z88</f>
        <v>1137714.356249995</v>
      </c>
      <c r="AA111" s="206">
        <f>AA108+AA95+AA88</f>
        <v>1183285.7159166662</v>
      </c>
      <c r="AB111" s="206">
        <f>AB108+AB95+AB88</f>
        <v>166273.26891666919</v>
      </c>
    </row>
    <row r="112" spans="1:28" ht="12" thickTop="1">
      <c r="A112" s="190"/>
      <c r="B112" s="191"/>
      <c r="C112" s="191"/>
      <c r="D112" s="191"/>
      <c r="E112" s="191"/>
      <c r="F112" s="19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</row>
    <row r="113" spans="1:17" ht="11.25">
      <c r="A113" s="143"/>
      <c r="B113" s="58"/>
      <c r="C113" s="58"/>
      <c r="D113" s="58"/>
      <c r="E113" s="58"/>
      <c r="F113" s="58"/>
      <c r="G113" s="141"/>
      <c r="H113" s="141"/>
      <c r="I113" s="141"/>
      <c r="J113" s="141"/>
      <c r="K113" s="141"/>
      <c r="L113" s="141"/>
      <c r="M113" s="141"/>
      <c r="N113" s="141"/>
      <c r="O113" s="141"/>
      <c r="P113" s="146"/>
      <c r="Q113" s="145"/>
    </row>
    <row r="114" spans="1:17" ht="11.25">
      <c r="A114" s="143"/>
      <c r="B114" s="58"/>
      <c r="C114" s="58"/>
      <c r="D114" s="58"/>
      <c r="E114" s="58"/>
      <c r="F114" s="58"/>
      <c r="G114" s="141"/>
      <c r="H114" s="141"/>
      <c r="I114" s="141"/>
      <c r="J114" s="141"/>
      <c r="K114" s="141"/>
      <c r="L114" s="141"/>
      <c r="M114" s="141"/>
      <c r="N114" s="141"/>
      <c r="O114" s="141"/>
      <c r="P114" s="146"/>
      <c r="Q114" s="145"/>
    </row>
    <row r="115" spans="1:17" ht="11.25">
      <c r="A115" s="143"/>
      <c r="B115" s="58"/>
      <c r="C115" s="58"/>
      <c r="D115" s="58"/>
      <c r="E115" s="58"/>
      <c r="F115" s="58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5"/>
    </row>
    <row r="116" spans="1:17" ht="11.25">
      <c r="A116" s="143"/>
      <c r="B116" s="58"/>
      <c r="C116" s="58"/>
      <c r="D116" s="58"/>
      <c r="E116" s="58"/>
      <c r="F116" s="58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5"/>
    </row>
    <row r="117" spans="1:17" ht="11.25">
      <c r="A117" s="143"/>
      <c r="F117" s="151"/>
      <c r="Q117" s="145"/>
    </row>
    <row r="118" spans="2:16" ht="11.25">
      <c r="B118" s="152"/>
      <c r="C118" s="152"/>
      <c r="D118" s="152"/>
      <c r="E118" s="152"/>
      <c r="F118" s="152"/>
      <c r="G118" s="152"/>
      <c r="H118" s="152"/>
      <c r="I118" s="152"/>
      <c r="J118" s="153"/>
      <c r="K118" s="152"/>
      <c r="L118" s="152"/>
      <c r="M118" s="152"/>
      <c r="N118" s="152"/>
      <c r="O118" s="152"/>
      <c r="P118" s="152"/>
    </row>
  </sheetData>
  <sheetProtection/>
  <printOptions/>
  <pageMargins left="0.75" right="0.75" top="1" bottom="1" header="0.5" footer="0.5"/>
  <pageSetup fitToHeight="3" fitToWidth="1" horizontalDpi="600" verticalDpi="600" orientation="landscape" scale="81" r:id="rId3"/>
  <colBreaks count="1" manualBreakCount="1">
    <brk id="2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PageLayoutView="0" workbookViewId="0" topLeftCell="A1">
      <selection activeCell="I28" sqref="I28"/>
    </sheetView>
  </sheetViews>
  <sheetFormatPr defaultColWidth="8.88671875" defaultRowHeight="15.75"/>
  <cols>
    <col min="1" max="1" width="5.4453125" style="56" customWidth="1"/>
    <col min="2" max="2" width="5.77734375" style="56" bestFit="1" customWidth="1"/>
    <col min="3" max="3" width="16.99609375" style="56" customWidth="1"/>
    <col min="4" max="4" width="6.99609375" style="56" customWidth="1"/>
    <col min="5" max="5" width="3.21484375" style="57" customWidth="1"/>
    <col min="6" max="6" width="5.3359375" style="56" customWidth="1"/>
    <col min="7" max="7" width="1.66796875" style="56" customWidth="1"/>
    <col min="8" max="8" width="5.77734375" style="56" customWidth="1"/>
    <col min="9" max="9" width="5.99609375" style="56" customWidth="1"/>
    <col min="10" max="10" width="5.77734375" style="131" customWidth="1"/>
    <col min="11" max="12" width="8.88671875" style="56" hidden="1" customWidth="1"/>
    <col min="13" max="13" width="10.3359375" style="56" bestFit="1" customWidth="1"/>
    <col min="14" max="14" width="6.21484375" style="56" hidden="1" customWidth="1"/>
    <col min="15" max="15" width="7.10546875" style="56" customWidth="1"/>
    <col min="16" max="16" width="7.88671875" style="56" customWidth="1"/>
    <col min="17" max="17" width="5.88671875" style="56" hidden="1" customWidth="1"/>
    <col min="18" max="18" width="6.21484375" style="56" hidden="1" customWidth="1"/>
    <col min="19" max="19" width="5.88671875" style="56" hidden="1" customWidth="1"/>
    <col min="20" max="20" width="3.4453125" style="56" hidden="1" customWidth="1"/>
    <col min="21" max="21" width="6.4453125" style="56" bestFit="1" customWidth="1"/>
    <col min="22" max="22" width="3.6640625" style="56" bestFit="1" customWidth="1"/>
    <col min="23" max="24" width="6.88671875" style="56" hidden="1" customWidth="1"/>
    <col min="25" max="25" width="5.10546875" style="56" hidden="1" customWidth="1"/>
    <col min="26" max="27" width="6.88671875" style="56" bestFit="1" customWidth="1"/>
    <col min="28" max="28" width="7.77734375" style="56" bestFit="1" customWidth="1"/>
    <col min="29" max="30" width="6.10546875" style="56" hidden="1" customWidth="1"/>
    <col min="31" max="31" width="8.4453125" style="56" hidden="1" customWidth="1"/>
    <col min="32" max="32" width="6.10546875" style="56" hidden="1" customWidth="1"/>
    <col min="33" max="33" width="3.88671875" style="56" hidden="1" customWidth="1"/>
    <col min="34" max="34" width="0" style="56" hidden="1" customWidth="1"/>
    <col min="35" max="16384" width="8.88671875" style="56" customWidth="1"/>
  </cols>
  <sheetData>
    <row r="1" spans="3:30" ht="45">
      <c r="C1" s="105" t="s">
        <v>164</v>
      </c>
      <c r="M1" s="21" t="s">
        <v>201</v>
      </c>
      <c r="O1" s="22" t="s">
        <v>203</v>
      </c>
      <c r="P1" s="65"/>
      <c r="Z1" s="107"/>
      <c r="AA1" s="108"/>
      <c r="AD1" s="109">
        <f>Summary!F5</f>
        <v>42005</v>
      </c>
    </row>
    <row r="2" spans="3:16" ht="11.25">
      <c r="C2" s="105" t="s">
        <v>0</v>
      </c>
      <c r="M2" s="25" t="s">
        <v>202</v>
      </c>
      <c r="O2" s="110">
        <v>12</v>
      </c>
      <c r="P2" s="111" t="s">
        <v>1</v>
      </c>
    </row>
    <row r="3" spans="3:31" ht="11.25">
      <c r="C3" s="112">
        <f>Summary!H5</f>
        <v>42369</v>
      </c>
      <c r="M3" s="29" t="s">
        <v>199</v>
      </c>
      <c r="O3" s="110">
        <v>0</v>
      </c>
      <c r="P3" s="111" t="s">
        <v>3</v>
      </c>
      <c r="AD3" s="56" t="s">
        <v>4</v>
      </c>
      <c r="AE3" s="56" t="s">
        <v>5</v>
      </c>
    </row>
    <row r="4" spans="13:31" ht="11.25">
      <c r="M4" s="30" t="s">
        <v>200</v>
      </c>
      <c r="O4" s="113">
        <v>2015</v>
      </c>
      <c r="P4" s="111" t="s">
        <v>6</v>
      </c>
      <c r="AD4" s="56" t="s">
        <v>7</v>
      </c>
      <c r="AE4" s="56" t="s">
        <v>8</v>
      </c>
    </row>
    <row r="5" spans="15:31" ht="11.25">
      <c r="O5" s="113">
        <v>2016</v>
      </c>
      <c r="P5" s="111" t="s">
        <v>11</v>
      </c>
      <c r="AD5" s="56" t="s">
        <v>12</v>
      </c>
      <c r="AE5" s="56" t="s">
        <v>13</v>
      </c>
    </row>
    <row r="6" spans="30:31" ht="11.25">
      <c r="AD6" s="56" t="s">
        <v>15</v>
      </c>
      <c r="AE6" s="56" t="s">
        <v>16</v>
      </c>
    </row>
    <row r="7" spans="30:31" ht="11.25">
      <c r="AD7" s="56" t="s">
        <v>20</v>
      </c>
      <c r="AE7" s="56" t="s">
        <v>21</v>
      </c>
    </row>
    <row r="8" spans="2:28" ht="11.25">
      <c r="B8" s="65"/>
      <c r="C8" s="65"/>
      <c r="D8" s="65"/>
      <c r="E8" s="207"/>
      <c r="F8" s="65"/>
      <c r="G8" s="65"/>
      <c r="H8" s="65"/>
      <c r="I8" s="65"/>
      <c r="R8" s="57" t="s">
        <v>25</v>
      </c>
      <c r="U8" s="58" t="s">
        <v>17</v>
      </c>
      <c r="W8" s="58" t="s">
        <v>18</v>
      </c>
      <c r="X8" s="58" t="s">
        <v>87</v>
      </c>
      <c r="Z8" s="58" t="s">
        <v>19</v>
      </c>
      <c r="AA8" s="58" t="s">
        <v>19</v>
      </c>
      <c r="AB8" s="58"/>
    </row>
    <row r="9" spans="1:28" ht="11.25">
      <c r="A9" s="58"/>
      <c r="B9" s="58" t="s">
        <v>57</v>
      </c>
      <c r="C9" s="115" t="s">
        <v>58</v>
      </c>
      <c r="D9" s="58" t="s">
        <v>59</v>
      </c>
      <c r="E9" s="58"/>
      <c r="F9" s="116" t="s">
        <v>23</v>
      </c>
      <c r="G9" s="65"/>
      <c r="H9" s="58" t="s">
        <v>57</v>
      </c>
      <c r="I9" s="58"/>
      <c r="J9" s="117" t="s">
        <v>24</v>
      </c>
      <c r="K9" s="58" t="s">
        <v>57</v>
      </c>
      <c r="M9" s="58" t="s">
        <v>57</v>
      </c>
      <c r="N9" s="57" t="s">
        <v>31</v>
      </c>
      <c r="O9" s="115" t="s">
        <v>57</v>
      </c>
      <c r="P9" s="115"/>
      <c r="Q9" s="58" t="s">
        <v>68</v>
      </c>
      <c r="R9" s="57" t="s">
        <v>24</v>
      </c>
      <c r="S9" s="58" t="s">
        <v>17</v>
      </c>
      <c r="T9" s="58" t="s">
        <v>34</v>
      </c>
      <c r="U9" s="58" t="s">
        <v>19</v>
      </c>
      <c r="W9" s="58" t="s">
        <v>86</v>
      </c>
      <c r="X9" s="58" t="s">
        <v>86</v>
      </c>
      <c r="Y9" s="57" t="s">
        <v>27</v>
      </c>
      <c r="Z9" s="58" t="s">
        <v>28</v>
      </c>
      <c r="AA9" s="58" t="s">
        <v>28</v>
      </c>
      <c r="AB9" s="58" t="s">
        <v>38</v>
      </c>
    </row>
    <row r="10" spans="1:33" ht="11.25">
      <c r="A10" s="58"/>
      <c r="B10" s="58" t="s">
        <v>85</v>
      </c>
      <c r="C10" s="115"/>
      <c r="D10" s="58" t="s">
        <v>61</v>
      </c>
      <c r="E10" s="58"/>
      <c r="F10" s="116" t="s">
        <v>29</v>
      </c>
      <c r="G10" s="65"/>
      <c r="H10" s="58" t="s">
        <v>30</v>
      </c>
      <c r="I10" s="58" t="s">
        <v>64</v>
      </c>
      <c r="J10" s="117" t="s">
        <v>65</v>
      </c>
      <c r="K10" s="58" t="s">
        <v>31</v>
      </c>
      <c r="L10" s="56" t="s">
        <v>41</v>
      </c>
      <c r="M10" s="58" t="s">
        <v>31</v>
      </c>
      <c r="N10" s="57" t="s">
        <v>25</v>
      </c>
      <c r="O10" s="58" t="s">
        <v>67</v>
      </c>
      <c r="P10" s="58" t="s">
        <v>69</v>
      </c>
      <c r="Q10" s="58" t="s">
        <v>24</v>
      </c>
      <c r="R10" s="57" t="s">
        <v>43</v>
      </c>
      <c r="S10" s="58" t="s">
        <v>33</v>
      </c>
      <c r="T10" s="58" t="s">
        <v>36</v>
      </c>
      <c r="U10" s="58" t="s">
        <v>32</v>
      </c>
      <c r="V10" s="58"/>
      <c r="W10" s="58" t="s">
        <v>67</v>
      </c>
      <c r="X10" s="58" t="s">
        <v>67</v>
      </c>
      <c r="Y10" s="58" t="s">
        <v>36</v>
      </c>
      <c r="Z10" s="58" t="s">
        <v>37</v>
      </c>
      <c r="AA10" s="58" t="s">
        <v>37</v>
      </c>
      <c r="AB10" s="58" t="s">
        <v>45</v>
      </c>
      <c r="AC10" s="57" t="s">
        <v>4</v>
      </c>
      <c r="AD10" s="57" t="s">
        <v>46</v>
      </c>
      <c r="AE10" s="57" t="s">
        <v>47</v>
      </c>
      <c r="AF10" s="57" t="s">
        <v>15</v>
      </c>
      <c r="AG10" s="57" t="s">
        <v>20</v>
      </c>
    </row>
    <row r="11" spans="1:28" ht="11.25">
      <c r="A11" s="118" t="s">
        <v>53</v>
      </c>
      <c r="B11" s="118" t="s">
        <v>62</v>
      </c>
      <c r="C11" s="119" t="s">
        <v>63</v>
      </c>
      <c r="D11" s="118" t="s">
        <v>24</v>
      </c>
      <c r="E11" s="118" t="s">
        <v>39</v>
      </c>
      <c r="F11" s="120" t="s">
        <v>34</v>
      </c>
      <c r="G11" s="65" t="s">
        <v>49</v>
      </c>
      <c r="H11" s="118" t="s">
        <v>40</v>
      </c>
      <c r="I11" s="118" t="s">
        <v>66</v>
      </c>
      <c r="J11" s="121" t="s">
        <v>67</v>
      </c>
      <c r="K11" s="118" t="s">
        <v>42</v>
      </c>
      <c r="L11" s="122" t="s">
        <v>49</v>
      </c>
      <c r="M11" s="118" t="s">
        <v>42</v>
      </c>
      <c r="N11" s="122" t="s">
        <v>49</v>
      </c>
      <c r="O11" s="118" t="s">
        <v>42</v>
      </c>
      <c r="P11" s="118" t="s">
        <v>67</v>
      </c>
      <c r="Q11" s="118" t="s">
        <v>67</v>
      </c>
      <c r="R11" s="122" t="s">
        <v>49</v>
      </c>
      <c r="S11" s="58" t="s">
        <v>44</v>
      </c>
      <c r="T11" s="118" t="s">
        <v>49</v>
      </c>
      <c r="U11" s="58" t="s">
        <v>37</v>
      </c>
      <c r="V11" s="58"/>
      <c r="W11" s="123">
        <f>AD1</f>
        <v>42005</v>
      </c>
      <c r="X11" s="123">
        <f>+C3</f>
        <v>42369</v>
      </c>
      <c r="Y11" s="58" t="s">
        <v>34</v>
      </c>
      <c r="Z11" s="124">
        <f>+W11</f>
        <v>42005</v>
      </c>
      <c r="AA11" s="124">
        <f>+C3</f>
        <v>42369</v>
      </c>
      <c r="AB11" s="124">
        <f>AA11</f>
        <v>42369</v>
      </c>
    </row>
    <row r="12" spans="1:33" ht="11.25">
      <c r="A12" s="57" t="s">
        <v>77</v>
      </c>
      <c r="B12" s="57">
        <v>864</v>
      </c>
      <c r="C12" s="59" t="s">
        <v>156</v>
      </c>
      <c r="D12" s="60">
        <v>2005</v>
      </c>
      <c r="E12" s="208">
        <v>5</v>
      </c>
      <c r="F12" s="60">
        <v>0</v>
      </c>
      <c r="G12" s="65"/>
      <c r="H12" s="57" t="s">
        <v>52</v>
      </c>
      <c r="I12" s="57">
        <v>5</v>
      </c>
      <c r="J12" s="131">
        <f aca="true" t="shared" si="0" ref="J12:J26">D12+I12</f>
        <v>2010</v>
      </c>
      <c r="M12" s="63">
        <v>38541.32</v>
      </c>
      <c r="N12" s="64">
        <v>0</v>
      </c>
      <c r="O12" s="63">
        <f aca="true" t="shared" si="1" ref="O12:O26">M12-M12*F12</f>
        <v>38541.32</v>
      </c>
      <c r="P12" s="63">
        <f aca="true" t="shared" si="2" ref="P12:P26">O12/I12/12</f>
        <v>642.3553333333333</v>
      </c>
      <c r="Q12" s="63">
        <f aca="true" t="shared" si="3" ref="Q12:Q25">IF(N12&gt;0,0,IF(OR(AC12&gt;AD12,AE12&lt;AF12),0,IF(AND(AE12&gt;=AF12,AE12&lt;=AD12),P12*((AE12-AF12)*12),IF(AND(AF12&lt;=AC12,AD12&gt;=AC12),((AD12-AC12)*12)*P12,IF(AE12&gt;AD12,12*P12,0)))))</f>
        <v>0</v>
      </c>
      <c r="R12" s="63">
        <f aca="true" t="shared" si="4" ref="R12:R25">IF(N12=0,0,IF(AND(AG12&gt;=AF12,AG12&lt;=AE12),((AG12-AF12)*12)*P12,0))</f>
        <v>0</v>
      </c>
      <c r="S12" s="63">
        <f aca="true" t="shared" si="5" ref="S12:S25">IF(R12&gt;0,R12,Q12)</f>
        <v>0</v>
      </c>
      <c r="T12" s="63">
        <v>1</v>
      </c>
      <c r="U12" s="63">
        <f aca="true" t="shared" si="6" ref="U12:U25">T12*SUM(Q12:R12)</f>
        <v>0</v>
      </c>
      <c r="V12" s="63"/>
      <c r="W12" s="63">
        <f aca="true" t="shared" si="7" ref="W12:W25">IF(AC12&gt;AD12,0,IF(AE12&lt;AF12,O12,IF(AND(AE12&gt;=AF12,AE12&lt;=AD12),(O12-S12),IF(AND(AF12&lt;=AC12,AD12&gt;=AC12),0,IF(AE12&gt;AD12,((AF12-AC12)*12)*P12,0)))))</f>
        <v>38541.32</v>
      </c>
      <c r="X12" s="63">
        <f aca="true" t="shared" si="8" ref="X12:X25">W12*T12</f>
        <v>38541.32</v>
      </c>
      <c r="Y12" s="63">
        <v>1</v>
      </c>
      <c r="Z12" s="63">
        <f aca="true" t="shared" si="9" ref="Z12:Z25">X12*Y12</f>
        <v>38541.32</v>
      </c>
      <c r="AA12" s="63">
        <f aca="true" t="shared" si="10" ref="AA12:AA25">IF(N12&gt;0,0,Z12+U12*Y12)*Y12</f>
        <v>38541.32</v>
      </c>
      <c r="AB12" s="63">
        <f aca="true" t="shared" si="11" ref="AB12:AB25">IF(N12&gt;0,(M12-Z12)/2,IF(AC12&gt;=AF12,(((M12*T12)*Y12)-AA12)/2,((((M12*T12)*Y12)-Z12)+(((M12*T12)*Y12)-AA12))/2))</f>
        <v>0</v>
      </c>
      <c r="AC12" s="65">
        <f aca="true" t="shared" si="12" ref="AC12:AC26">$D12+(($E12-1)/12)</f>
        <v>2005.3333333333333</v>
      </c>
      <c r="AD12" s="65">
        <f aca="true" t="shared" si="13" ref="AD12:AD26">($O$5+1)-($O$2/12)</f>
        <v>2016</v>
      </c>
      <c r="AE12" s="65">
        <f aca="true" t="shared" si="14" ref="AE12:AE26">$J12+(($E12-1)/12)</f>
        <v>2010.3333333333333</v>
      </c>
      <c r="AF12" s="65">
        <f aca="true" t="shared" si="15" ref="AF12:AF26">$O$4+($O$3/12)</f>
        <v>2015</v>
      </c>
      <c r="AG12" s="65">
        <f aca="true" t="shared" si="16" ref="AG12:AG26">$K12+(($L12-1)/12)</f>
        <v>-0.08333333333333333</v>
      </c>
    </row>
    <row r="13" spans="1:33" ht="11.25">
      <c r="A13" s="57" t="s">
        <v>77</v>
      </c>
      <c r="B13" s="57">
        <f>432+432</f>
        <v>864</v>
      </c>
      <c r="C13" s="59" t="s">
        <v>156</v>
      </c>
      <c r="D13" s="60">
        <v>2006</v>
      </c>
      <c r="E13" s="208">
        <v>5</v>
      </c>
      <c r="F13" s="60">
        <v>0</v>
      </c>
      <c r="G13" s="65"/>
      <c r="H13" s="57" t="s">
        <v>52</v>
      </c>
      <c r="I13" s="57">
        <v>5</v>
      </c>
      <c r="J13" s="131">
        <f t="shared" si="0"/>
        <v>2011</v>
      </c>
      <c r="M13" s="63">
        <f>23461.41+23284.6</f>
        <v>46746.009999999995</v>
      </c>
      <c r="N13" s="64">
        <v>0</v>
      </c>
      <c r="O13" s="63">
        <f t="shared" si="1"/>
        <v>46746.009999999995</v>
      </c>
      <c r="P13" s="63">
        <f t="shared" si="2"/>
        <v>779.1001666666666</v>
      </c>
      <c r="Q13" s="63">
        <f t="shared" si="3"/>
        <v>0</v>
      </c>
      <c r="R13" s="63">
        <f t="shared" si="4"/>
        <v>0</v>
      </c>
      <c r="S13" s="63">
        <f t="shared" si="5"/>
        <v>0</v>
      </c>
      <c r="T13" s="63">
        <v>1</v>
      </c>
      <c r="U13" s="63">
        <f t="shared" si="6"/>
        <v>0</v>
      </c>
      <c r="V13" s="63"/>
      <c r="W13" s="63">
        <f t="shared" si="7"/>
        <v>46746.009999999995</v>
      </c>
      <c r="X13" s="63">
        <f t="shared" si="8"/>
        <v>46746.009999999995</v>
      </c>
      <c r="Y13" s="63">
        <v>1</v>
      </c>
      <c r="Z13" s="63">
        <f t="shared" si="9"/>
        <v>46746.009999999995</v>
      </c>
      <c r="AA13" s="63">
        <f t="shared" si="10"/>
        <v>46746.009999999995</v>
      </c>
      <c r="AB13" s="63">
        <f t="shared" si="11"/>
        <v>0</v>
      </c>
      <c r="AC13" s="65">
        <f t="shared" si="12"/>
        <v>2006.3333333333333</v>
      </c>
      <c r="AD13" s="65">
        <f t="shared" si="13"/>
        <v>2016</v>
      </c>
      <c r="AE13" s="65">
        <f t="shared" si="14"/>
        <v>2011.3333333333333</v>
      </c>
      <c r="AF13" s="65">
        <f t="shared" si="15"/>
        <v>2015</v>
      </c>
      <c r="AG13" s="65">
        <f t="shared" si="16"/>
        <v>-0.08333333333333333</v>
      </c>
    </row>
    <row r="14" spans="1:33" ht="11.25">
      <c r="A14" s="57" t="s">
        <v>77</v>
      </c>
      <c r="B14" s="57">
        <f>432+432</f>
        <v>864</v>
      </c>
      <c r="C14" s="59" t="s">
        <v>156</v>
      </c>
      <c r="D14" s="60">
        <v>2006</v>
      </c>
      <c r="E14" s="208">
        <v>7</v>
      </c>
      <c r="F14" s="60">
        <v>0</v>
      </c>
      <c r="G14" s="65"/>
      <c r="H14" s="57" t="s">
        <v>52</v>
      </c>
      <c r="I14" s="57">
        <v>5</v>
      </c>
      <c r="J14" s="131">
        <f t="shared" si="0"/>
        <v>2011</v>
      </c>
      <c r="M14" s="63">
        <v>35666.82</v>
      </c>
      <c r="N14" s="64">
        <v>0</v>
      </c>
      <c r="O14" s="63">
        <f t="shared" si="1"/>
        <v>35666.82</v>
      </c>
      <c r="P14" s="63">
        <f t="shared" si="2"/>
        <v>594.447</v>
      </c>
      <c r="Q14" s="63">
        <f t="shared" si="3"/>
        <v>0</v>
      </c>
      <c r="R14" s="63">
        <f t="shared" si="4"/>
        <v>0</v>
      </c>
      <c r="S14" s="63">
        <f t="shared" si="5"/>
        <v>0</v>
      </c>
      <c r="T14" s="63">
        <v>1</v>
      </c>
      <c r="U14" s="63">
        <f t="shared" si="6"/>
        <v>0</v>
      </c>
      <c r="V14" s="63"/>
      <c r="W14" s="63">
        <f t="shared" si="7"/>
        <v>35666.82</v>
      </c>
      <c r="X14" s="63">
        <f t="shared" si="8"/>
        <v>35666.82</v>
      </c>
      <c r="Y14" s="63">
        <v>1</v>
      </c>
      <c r="Z14" s="63">
        <f t="shared" si="9"/>
        <v>35666.82</v>
      </c>
      <c r="AA14" s="63">
        <f t="shared" si="10"/>
        <v>35666.82</v>
      </c>
      <c r="AB14" s="63">
        <f t="shared" si="11"/>
        <v>0</v>
      </c>
      <c r="AC14" s="65">
        <f t="shared" si="12"/>
        <v>2006.5</v>
      </c>
      <c r="AD14" s="65">
        <f t="shared" si="13"/>
        <v>2016</v>
      </c>
      <c r="AE14" s="65">
        <f t="shared" si="14"/>
        <v>2011.5</v>
      </c>
      <c r="AF14" s="65">
        <f t="shared" si="15"/>
        <v>2015</v>
      </c>
      <c r="AG14" s="65">
        <f t="shared" si="16"/>
        <v>-0.08333333333333333</v>
      </c>
    </row>
    <row r="15" spans="1:33" ht="11.25">
      <c r="A15" s="57" t="s">
        <v>77</v>
      </c>
      <c r="B15" s="57">
        <v>486</v>
      </c>
      <c r="C15" s="59" t="s">
        <v>156</v>
      </c>
      <c r="D15" s="60">
        <v>2007</v>
      </c>
      <c r="E15" s="208">
        <v>5</v>
      </c>
      <c r="F15" s="60">
        <v>0</v>
      </c>
      <c r="G15" s="65"/>
      <c r="H15" s="57" t="s">
        <v>52</v>
      </c>
      <c r="I15" s="57">
        <v>5</v>
      </c>
      <c r="J15" s="131">
        <f t="shared" si="0"/>
        <v>2012</v>
      </c>
      <c r="M15" s="63">
        <v>26554.73</v>
      </c>
      <c r="N15" s="64">
        <v>0</v>
      </c>
      <c r="O15" s="63">
        <f t="shared" si="1"/>
        <v>26554.73</v>
      </c>
      <c r="P15" s="63">
        <f t="shared" si="2"/>
        <v>442.5788333333333</v>
      </c>
      <c r="Q15" s="63">
        <f t="shared" si="3"/>
        <v>0</v>
      </c>
      <c r="R15" s="63">
        <f t="shared" si="4"/>
        <v>0</v>
      </c>
      <c r="S15" s="63">
        <f t="shared" si="5"/>
        <v>0</v>
      </c>
      <c r="T15" s="63">
        <v>1</v>
      </c>
      <c r="U15" s="63">
        <f t="shared" si="6"/>
        <v>0</v>
      </c>
      <c r="V15" s="63"/>
      <c r="W15" s="63">
        <f t="shared" si="7"/>
        <v>26554.73</v>
      </c>
      <c r="X15" s="63">
        <f t="shared" si="8"/>
        <v>26554.73</v>
      </c>
      <c r="Y15" s="63">
        <v>1</v>
      </c>
      <c r="Z15" s="63">
        <f t="shared" si="9"/>
        <v>26554.73</v>
      </c>
      <c r="AA15" s="63">
        <f t="shared" si="10"/>
        <v>26554.73</v>
      </c>
      <c r="AB15" s="63">
        <f t="shared" si="11"/>
        <v>0</v>
      </c>
      <c r="AC15" s="65">
        <f t="shared" si="12"/>
        <v>2007.3333333333333</v>
      </c>
      <c r="AD15" s="65">
        <f t="shared" si="13"/>
        <v>2016</v>
      </c>
      <c r="AE15" s="65">
        <f t="shared" si="14"/>
        <v>2012.3333333333333</v>
      </c>
      <c r="AF15" s="65">
        <f t="shared" si="15"/>
        <v>2015</v>
      </c>
      <c r="AG15" s="65">
        <f t="shared" si="16"/>
        <v>-0.08333333333333333</v>
      </c>
    </row>
    <row r="16" spans="1:33" ht="11.25">
      <c r="A16" s="57" t="s">
        <v>77</v>
      </c>
      <c r="B16" s="57">
        <f>486+486</f>
        <v>972</v>
      </c>
      <c r="C16" s="59" t="s">
        <v>156</v>
      </c>
      <c r="D16" s="60">
        <v>2007</v>
      </c>
      <c r="E16" s="208">
        <v>6</v>
      </c>
      <c r="F16" s="60">
        <v>0</v>
      </c>
      <c r="G16" s="65"/>
      <c r="H16" s="57" t="s">
        <v>52</v>
      </c>
      <c r="I16" s="57">
        <v>5</v>
      </c>
      <c r="J16" s="131">
        <f t="shared" si="0"/>
        <v>2012</v>
      </c>
      <c r="M16" s="63">
        <f>26258.62+26258.62</f>
        <v>52517.24</v>
      </c>
      <c r="N16" s="64">
        <v>0</v>
      </c>
      <c r="O16" s="63">
        <f t="shared" si="1"/>
        <v>52517.24</v>
      </c>
      <c r="P16" s="63">
        <f t="shared" si="2"/>
        <v>875.2873333333333</v>
      </c>
      <c r="Q16" s="63">
        <f t="shared" si="3"/>
        <v>0</v>
      </c>
      <c r="R16" s="63">
        <f t="shared" si="4"/>
        <v>0</v>
      </c>
      <c r="S16" s="63">
        <f t="shared" si="5"/>
        <v>0</v>
      </c>
      <c r="T16" s="63">
        <v>1</v>
      </c>
      <c r="U16" s="63">
        <f t="shared" si="6"/>
        <v>0</v>
      </c>
      <c r="V16" s="63"/>
      <c r="W16" s="63">
        <f t="shared" si="7"/>
        <v>52517.24</v>
      </c>
      <c r="X16" s="63">
        <f t="shared" si="8"/>
        <v>52517.24</v>
      </c>
      <c r="Y16" s="63">
        <v>1</v>
      </c>
      <c r="Z16" s="63">
        <f t="shared" si="9"/>
        <v>52517.24</v>
      </c>
      <c r="AA16" s="63">
        <f t="shared" si="10"/>
        <v>52517.24</v>
      </c>
      <c r="AB16" s="63">
        <f t="shared" si="11"/>
        <v>0</v>
      </c>
      <c r="AC16" s="65">
        <f t="shared" si="12"/>
        <v>2007.4166666666667</v>
      </c>
      <c r="AD16" s="65">
        <f t="shared" si="13"/>
        <v>2016</v>
      </c>
      <c r="AE16" s="65">
        <f t="shared" si="14"/>
        <v>2012.4166666666667</v>
      </c>
      <c r="AF16" s="65">
        <f t="shared" si="15"/>
        <v>2015</v>
      </c>
      <c r="AG16" s="65">
        <f t="shared" si="16"/>
        <v>-0.08333333333333333</v>
      </c>
    </row>
    <row r="17" spans="1:33" ht="11.25">
      <c r="A17" s="57" t="s">
        <v>77</v>
      </c>
      <c r="B17" s="57">
        <v>486</v>
      </c>
      <c r="C17" s="59" t="s">
        <v>156</v>
      </c>
      <c r="D17" s="60">
        <v>2007</v>
      </c>
      <c r="E17" s="208">
        <v>7</v>
      </c>
      <c r="F17" s="60">
        <v>0</v>
      </c>
      <c r="G17" s="65"/>
      <c r="H17" s="57" t="s">
        <v>52</v>
      </c>
      <c r="I17" s="57">
        <v>5</v>
      </c>
      <c r="J17" s="131">
        <f t="shared" si="0"/>
        <v>2012</v>
      </c>
      <c r="M17" s="63">
        <v>24439.65</v>
      </c>
      <c r="N17" s="64">
        <v>0</v>
      </c>
      <c r="O17" s="63">
        <f t="shared" si="1"/>
        <v>24439.65</v>
      </c>
      <c r="P17" s="63">
        <f t="shared" si="2"/>
        <v>407.32750000000004</v>
      </c>
      <c r="Q17" s="63">
        <f t="shared" si="3"/>
        <v>0</v>
      </c>
      <c r="R17" s="63">
        <f t="shared" si="4"/>
        <v>0</v>
      </c>
      <c r="S17" s="63">
        <f t="shared" si="5"/>
        <v>0</v>
      </c>
      <c r="T17" s="63">
        <v>1</v>
      </c>
      <c r="U17" s="63">
        <f t="shared" si="6"/>
        <v>0</v>
      </c>
      <c r="V17" s="63"/>
      <c r="W17" s="63">
        <f t="shared" si="7"/>
        <v>24439.65</v>
      </c>
      <c r="X17" s="63">
        <f t="shared" si="8"/>
        <v>24439.65</v>
      </c>
      <c r="Y17" s="63">
        <v>1</v>
      </c>
      <c r="Z17" s="63">
        <f t="shared" si="9"/>
        <v>24439.65</v>
      </c>
      <c r="AA17" s="63">
        <f t="shared" si="10"/>
        <v>24439.65</v>
      </c>
      <c r="AB17" s="63">
        <f t="shared" si="11"/>
        <v>0</v>
      </c>
      <c r="AC17" s="65">
        <f t="shared" si="12"/>
        <v>2007.5</v>
      </c>
      <c r="AD17" s="65">
        <f t="shared" si="13"/>
        <v>2016</v>
      </c>
      <c r="AE17" s="65">
        <f t="shared" si="14"/>
        <v>2012.5</v>
      </c>
      <c r="AF17" s="65">
        <f t="shared" si="15"/>
        <v>2015</v>
      </c>
      <c r="AG17" s="65">
        <f t="shared" si="16"/>
        <v>-0.08333333333333333</v>
      </c>
    </row>
    <row r="18" spans="1:33" ht="11.25">
      <c r="A18" s="57" t="s">
        <v>77</v>
      </c>
      <c r="B18" s="57">
        <f>486+486</f>
        <v>972</v>
      </c>
      <c r="C18" s="59" t="s">
        <v>156</v>
      </c>
      <c r="D18" s="60">
        <v>2008</v>
      </c>
      <c r="E18" s="208">
        <v>8</v>
      </c>
      <c r="F18" s="60">
        <v>0</v>
      </c>
      <c r="G18" s="65"/>
      <c r="H18" s="57" t="s">
        <v>52</v>
      </c>
      <c r="I18" s="57">
        <v>5</v>
      </c>
      <c r="J18" s="131">
        <f t="shared" si="0"/>
        <v>2013</v>
      </c>
      <c r="M18" s="63">
        <f>28400.13+28400.13</f>
        <v>56800.26</v>
      </c>
      <c r="N18" s="64">
        <v>0</v>
      </c>
      <c r="O18" s="63">
        <f t="shared" si="1"/>
        <v>56800.26</v>
      </c>
      <c r="P18" s="63">
        <f t="shared" si="2"/>
        <v>946.6709999999999</v>
      </c>
      <c r="Q18" s="63">
        <f t="shared" si="3"/>
        <v>0</v>
      </c>
      <c r="R18" s="63">
        <f t="shared" si="4"/>
        <v>0</v>
      </c>
      <c r="S18" s="63">
        <f t="shared" si="5"/>
        <v>0</v>
      </c>
      <c r="T18" s="63">
        <v>1</v>
      </c>
      <c r="U18" s="63">
        <f t="shared" si="6"/>
        <v>0</v>
      </c>
      <c r="V18" s="63"/>
      <c r="W18" s="63">
        <f t="shared" si="7"/>
        <v>56800.26</v>
      </c>
      <c r="X18" s="63">
        <f t="shared" si="8"/>
        <v>56800.26</v>
      </c>
      <c r="Y18" s="63">
        <v>1</v>
      </c>
      <c r="Z18" s="63">
        <f t="shared" si="9"/>
        <v>56800.26</v>
      </c>
      <c r="AA18" s="63">
        <f t="shared" si="10"/>
        <v>56800.26</v>
      </c>
      <c r="AB18" s="63">
        <f t="shared" si="11"/>
        <v>0</v>
      </c>
      <c r="AC18" s="65">
        <f t="shared" si="12"/>
        <v>2008.5833333333333</v>
      </c>
      <c r="AD18" s="65">
        <f t="shared" si="13"/>
        <v>2016</v>
      </c>
      <c r="AE18" s="65">
        <f t="shared" si="14"/>
        <v>2013.5833333333333</v>
      </c>
      <c r="AF18" s="65">
        <f t="shared" si="15"/>
        <v>2015</v>
      </c>
      <c r="AG18" s="65">
        <f t="shared" si="16"/>
        <v>-0.08333333333333333</v>
      </c>
    </row>
    <row r="19" spans="1:33" ht="11.25">
      <c r="A19" s="57" t="s">
        <v>77</v>
      </c>
      <c r="B19" s="57">
        <v>624</v>
      </c>
      <c r="C19" s="59" t="s">
        <v>156</v>
      </c>
      <c r="D19" s="60">
        <v>2009</v>
      </c>
      <c r="E19" s="208">
        <v>9</v>
      </c>
      <c r="F19" s="60">
        <v>0</v>
      </c>
      <c r="G19" s="65"/>
      <c r="H19" s="57" t="s">
        <v>52</v>
      </c>
      <c r="I19" s="57">
        <v>5</v>
      </c>
      <c r="J19" s="131">
        <f t="shared" si="0"/>
        <v>2014</v>
      </c>
      <c r="M19" s="63">
        <v>29186.16</v>
      </c>
      <c r="N19" s="64">
        <v>0</v>
      </c>
      <c r="O19" s="63">
        <f t="shared" si="1"/>
        <v>29186.16</v>
      </c>
      <c r="P19" s="63">
        <f t="shared" si="2"/>
        <v>486.436</v>
      </c>
      <c r="Q19" s="63">
        <f t="shared" si="3"/>
        <v>0</v>
      </c>
      <c r="R19" s="63">
        <f t="shared" si="4"/>
        <v>0</v>
      </c>
      <c r="S19" s="63">
        <f t="shared" si="5"/>
        <v>0</v>
      </c>
      <c r="T19" s="63">
        <v>1</v>
      </c>
      <c r="U19" s="63">
        <f t="shared" si="6"/>
        <v>0</v>
      </c>
      <c r="V19" s="63"/>
      <c r="W19" s="63">
        <f t="shared" si="7"/>
        <v>29186.16</v>
      </c>
      <c r="X19" s="63">
        <f t="shared" si="8"/>
        <v>29186.16</v>
      </c>
      <c r="Y19" s="63">
        <v>1</v>
      </c>
      <c r="Z19" s="63">
        <f t="shared" si="9"/>
        <v>29186.16</v>
      </c>
      <c r="AA19" s="63">
        <f t="shared" si="10"/>
        <v>29186.16</v>
      </c>
      <c r="AB19" s="63">
        <f t="shared" si="11"/>
        <v>0</v>
      </c>
      <c r="AC19" s="65">
        <f t="shared" si="12"/>
        <v>2009.6666666666667</v>
      </c>
      <c r="AD19" s="65">
        <f t="shared" si="13"/>
        <v>2016</v>
      </c>
      <c r="AE19" s="65">
        <f t="shared" si="14"/>
        <v>2014.6666666666667</v>
      </c>
      <c r="AF19" s="65">
        <f t="shared" si="15"/>
        <v>2015</v>
      </c>
      <c r="AG19" s="65">
        <f t="shared" si="16"/>
        <v>-0.08333333333333333</v>
      </c>
    </row>
    <row r="20" spans="1:33" ht="11.25">
      <c r="A20" s="57" t="s">
        <v>77</v>
      </c>
      <c r="B20" s="57">
        <v>486</v>
      </c>
      <c r="C20" s="59" t="s">
        <v>156</v>
      </c>
      <c r="D20" s="60">
        <v>2010</v>
      </c>
      <c r="E20" s="208">
        <v>7</v>
      </c>
      <c r="F20" s="60">
        <v>0</v>
      </c>
      <c r="G20" s="65"/>
      <c r="H20" s="57" t="s">
        <v>52</v>
      </c>
      <c r="I20" s="209">
        <v>7</v>
      </c>
      <c r="J20" s="131">
        <f t="shared" si="0"/>
        <v>2017</v>
      </c>
      <c r="M20" s="63">
        <v>24211.15</v>
      </c>
      <c r="N20" s="64">
        <v>0</v>
      </c>
      <c r="O20" s="63">
        <f t="shared" si="1"/>
        <v>24211.15</v>
      </c>
      <c r="P20" s="63">
        <f t="shared" si="2"/>
        <v>288.2279761904762</v>
      </c>
      <c r="Q20" s="63">
        <f t="shared" si="3"/>
        <v>3458.7357142857145</v>
      </c>
      <c r="R20" s="63">
        <f t="shared" si="4"/>
        <v>0</v>
      </c>
      <c r="S20" s="63">
        <f t="shared" si="5"/>
        <v>3458.7357142857145</v>
      </c>
      <c r="T20" s="63">
        <v>1</v>
      </c>
      <c r="U20" s="63">
        <f t="shared" si="6"/>
        <v>3458.7357142857145</v>
      </c>
      <c r="V20" s="63"/>
      <c r="W20" s="63">
        <f t="shared" si="7"/>
        <v>15564.310714285717</v>
      </c>
      <c r="X20" s="63">
        <f t="shared" si="8"/>
        <v>15564.310714285717</v>
      </c>
      <c r="Y20" s="63">
        <v>1</v>
      </c>
      <c r="Z20" s="63">
        <f t="shared" si="9"/>
        <v>15564.310714285717</v>
      </c>
      <c r="AA20" s="63">
        <f t="shared" si="10"/>
        <v>19023.046428571433</v>
      </c>
      <c r="AB20" s="63">
        <f t="shared" si="11"/>
        <v>6917.471428571426</v>
      </c>
      <c r="AC20" s="65">
        <f t="shared" si="12"/>
        <v>2010.5</v>
      </c>
      <c r="AD20" s="65">
        <f t="shared" si="13"/>
        <v>2016</v>
      </c>
      <c r="AE20" s="65">
        <f t="shared" si="14"/>
        <v>2017.5</v>
      </c>
      <c r="AF20" s="65">
        <f t="shared" si="15"/>
        <v>2015</v>
      </c>
      <c r="AG20" s="65">
        <f t="shared" si="16"/>
        <v>-0.08333333333333333</v>
      </c>
    </row>
    <row r="21" spans="1:33" ht="11.25">
      <c r="A21" s="57" t="s">
        <v>77</v>
      </c>
      <c r="B21" s="57">
        <v>624</v>
      </c>
      <c r="C21" s="59" t="s">
        <v>156</v>
      </c>
      <c r="D21" s="60">
        <v>2011</v>
      </c>
      <c r="E21" s="208">
        <v>4</v>
      </c>
      <c r="F21" s="60">
        <v>0</v>
      </c>
      <c r="G21" s="65"/>
      <c r="H21" s="185" t="s">
        <v>52</v>
      </c>
      <c r="I21" s="210">
        <v>7</v>
      </c>
      <c r="J21" s="186">
        <f t="shared" si="0"/>
        <v>2018</v>
      </c>
      <c r="M21" s="63">
        <v>32802.68</v>
      </c>
      <c r="N21" s="64">
        <v>0</v>
      </c>
      <c r="O21" s="63">
        <f t="shared" si="1"/>
        <v>32802.68</v>
      </c>
      <c r="P21" s="63">
        <f t="shared" si="2"/>
        <v>390.5080952380952</v>
      </c>
      <c r="Q21" s="63">
        <f t="shared" si="3"/>
        <v>4686.097142857143</v>
      </c>
      <c r="R21" s="63">
        <f t="shared" si="4"/>
        <v>0</v>
      </c>
      <c r="S21" s="63">
        <f t="shared" si="5"/>
        <v>4686.097142857143</v>
      </c>
      <c r="T21" s="63">
        <v>1</v>
      </c>
      <c r="U21" s="63">
        <f t="shared" si="6"/>
        <v>4686.097142857143</v>
      </c>
      <c r="V21" s="63"/>
      <c r="W21" s="63">
        <f t="shared" si="7"/>
        <v>17572.864285714284</v>
      </c>
      <c r="X21" s="63">
        <f t="shared" si="8"/>
        <v>17572.864285714284</v>
      </c>
      <c r="Y21" s="63">
        <v>1</v>
      </c>
      <c r="Z21" s="63">
        <f t="shared" si="9"/>
        <v>17572.864285714284</v>
      </c>
      <c r="AA21" s="63">
        <f t="shared" si="10"/>
        <v>22258.961428571427</v>
      </c>
      <c r="AB21" s="63">
        <f t="shared" si="11"/>
        <v>12886.767142857145</v>
      </c>
      <c r="AC21" s="65">
        <f t="shared" si="12"/>
        <v>2011.25</v>
      </c>
      <c r="AD21" s="65">
        <f t="shared" si="13"/>
        <v>2016</v>
      </c>
      <c r="AE21" s="65">
        <f t="shared" si="14"/>
        <v>2018.25</v>
      </c>
      <c r="AF21" s="65">
        <f t="shared" si="15"/>
        <v>2015</v>
      </c>
      <c r="AG21" s="65">
        <f t="shared" si="16"/>
        <v>-0.08333333333333333</v>
      </c>
    </row>
    <row r="22" spans="1:33" ht="11.25">
      <c r="A22" s="57" t="s">
        <v>77</v>
      </c>
      <c r="B22" s="57">
        <v>243</v>
      </c>
      <c r="C22" s="59" t="s">
        <v>156</v>
      </c>
      <c r="D22" s="60">
        <v>2014</v>
      </c>
      <c r="E22" s="208">
        <v>4</v>
      </c>
      <c r="F22" s="60">
        <v>0</v>
      </c>
      <c r="G22" s="65"/>
      <c r="H22" s="185" t="s">
        <v>52</v>
      </c>
      <c r="I22" s="185">
        <v>7</v>
      </c>
      <c r="J22" s="186">
        <f t="shared" si="0"/>
        <v>2021</v>
      </c>
      <c r="M22" s="63">
        <v>13865.54</v>
      </c>
      <c r="N22" s="64"/>
      <c r="O22" s="63">
        <f t="shared" si="1"/>
        <v>13865.54</v>
      </c>
      <c r="P22" s="63">
        <f t="shared" si="2"/>
        <v>165.06595238095238</v>
      </c>
      <c r="Q22" s="63">
        <f t="shared" si="3"/>
        <v>1980.7914285714287</v>
      </c>
      <c r="R22" s="63">
        <f t="shared" si="4"/>
        <v>0</v>
      </c>
      <c r="S22" s="63">
        <f t="shared" si="5"/>
        <v>1980.7914285714287</v>
      </c>
      <c r="T22" s="63">
        <v>1</v>
      </c>
      <c r="U22" s="63">
        <f t="shared" si="6"/>
        <v>1980.7914285714287</v>
      </c>
      <c r="V22" s="63"/>
      <c r="W22" s="63">
        <f t="shared" si="7"/>
        <v>1485.5935714285715</v>
      </c>
      <c r="X22" s="63">
        <f t="shared" si="8"/>
        <v>1485.5935714285715</v>
      </c>
      <c r="Y22" s="63">
        <v>1</v>
      </c>
      <c r="Z22" s="63">
        <f t="shared" si="9"/>
        <v>1485.5935714285715</v>
      </c>
      <c r="AA22" s="63">
        <f t="shared" si="10"/>
        <v>3466.385</v>
      </c>
      <c r="AB22" s="63">
        <f t="shared" si="11"/>
        <v>11389.550714285715</v>
      </c>
      <c r="AC22" s="65">
        <f t="shared" si="12"/>
        <v>2014.25</v>
      </c>
      <c r="AD22" s="65">
        <f t="shared" si="13"/>
        <v>2016</v>
      </c>
      <c r="AE22" s="65">
        <f t="shared" si="14"/>
        <v>2021.25</v>
      </c>
      <c r="AF22" s="65">
        <f t="shared" si="15"/>
        <v>2015</v>
      </c>
      <c r="AG22" s="65">
        <f t="shared" si="16"/>
        <v>-0.08333333333333333</v>
      </c>
    </row>
    <row r="23" spans="1:33" ht="11.25">
      <c r="A23" s="57" t="s">
        <v>77</v>
      </c>
      <c r="B23" s="57">
        <v>486</v>
      </c>
      <c r="C23" s="59" t="s">
        <v>156</v>
      </c>
      <c r="D23" s="60">
        <v>2014</v>
      </c>
      <c r="E23" s="208">
        <v>5</v>
      </c>
      <c r="F23" s="60">
        <v>0</v>
      </c>
      <c r="G23" s="65"/>
      <c r="H23" s="185" t="s">
        <v>52</v>
      </c>
      <c r="I23" s="185">
        <v>7</v>
      </c>
      <c r="J23" s="186">
        <f t="shared" si="0"/>
        <v>2021</v>
      </c>
      <c r="M23" s="63">
        <v>28330.85</v>
      </c>
      <c r="N23" s="64"/>
      <c r="O23" s="63">
        <f t="shared" si="1"/>
        <v>28330.85</v>
      </c>
      <c r="P23" s="63">
        <f t="shared" si="2"/>
        <v>337.2720238095238</v>
      </c>
      <c r="Q23" s="63">
        <f t="shared" si="3"/>
        <v>4047.2642857142855</v>
      </c>
      <c r="R23" s="63">
        <f t="shared" si="4"/>
        <v>0</v>
      </c>
      <c r="S23" s="63">
        <f t="shared" si="5"/>
        <v>4047.2642857142855</v>
      </c>
      <c r="T23" s="63">
        <v>1</v>
      </c>
      <c r="U23" s="63">
        <f t="shared" si="6"/>
        <v>4047.2642857142855</v>
      </c>
      <c r="V23" s="63"/>
      <c r="W23" s="63">
        <f t="shared" si="7"/>
        <v>2698.176190476497</v>
      </c>
      <c r="X23" s="63">
        <f t="shared" si="8"/>
        <v>2698.176190476497</v>
      </c>
      <c r="Y23" s="63">
        <v>1</v>
      </c>
      <c r="Z23" s="63">
        <f t="shared" si="9"/>
        <v>2698.176190476497</v>
      </c>
      <c r="AA23" s="63">
        <f t="shared" si="10"/>
        <v>6745.440476190783</v>
      </c>
      <c r="AB23" s="63">
        <f t="shared" si="11"/>
        <v>23609.04166666636</v>
      </c>
      <c r="AC23" s="65">
        <f t="shared" si="12"/>
        <v>2014.3333333333333</v>
      </c>
      <c r="AD23" s="65">
        <f t="shared" si="13"/>
        <v>2016</v>
      </c>
      <c r="AE23" s="65">
        <f t="shared" si="14"/>
        <v>2021.3333333333333</v>
      </c>
      <c r="AF23" s="65">
        <f t="shared" si="15"/>
        <v>2015</v>
      </c>
      <c r="AG23" s="65">
        <f t="shared" si="16"/>
        <v>-0.08333333333333333</v>
      </c>
    </row>
    <row r="24" spans="1:33" ht="11.25">
      <c r="A24" s="57" t="s">
        <v>77</v>
      </c>
      <c r="B24" s="57">
        <v>348</v>
      </c>
      <c r="C24" s="59" t="s">
        <v>156</v>
      </c>
      <c r="D24" s="60">
        <v>2015</v>
      </c>
      <c r="E24" s="208">
        <v>4</v>
      </c>
      <c r="F24" s="60">
        <v>0</v>
      </c>
      <c r="G24" s="65"/>
      <c r="H24" s="185" t="s">
        <v>52</v>
      </c>
      <c r="I24" s="185">
        <v>7</v>
      </c>
      <c r="J24" s="186">
        <f t="shared" si="0"/>
        <v>2022</v>
      </c>
      <c r="M24" s="63">
        <v>19406.59</v>
      </c>
      <c r="N24" s="64"/>
      <c r="O24" s="63">
        <f t="shared" si="1"/>
        <v>19406.59</v>
      </c>
      <c r="P24" s="63">
        <f t="shared" si="2"/>
        <v>231.03083333333333</v>
      </c>
      <c r="Q24" s="63">
        <f t="shared" si="3"/>
        <v>2079.2775</v>
      </c>
      <c r="R24" s="63">
        <f t="shared" si="4"/>
        <v>0</v>
      </c>
      <c r="S24" s="63">
        <f t="shared" si="5"/>
        <v>2079.2775</v>
      </c>
      <c r="T24" s="63">
        <v>1</v>
      </c>
      <c r="U24" s="63">
        <f t="shared" si="6"/>
        <v>2079.2775</v>
      </c>
      <c r="V24" s="63"/>
      <c r="W24" s="63">
        <f t="shared" si="7"/>
        <v>0</v>
      </c>
      <c r="X24" s="63">
        <f t="shared" si="8"/>
        <v>0</v>
      </c>
      <c r="Y24" s="63">
        <v>1</v>
      </c>
      <c r="Z24" s="63">
        <f t="shared" si="9"/>
        <v>0</v>
      </c>
      <c r="AA24" s="63">
        <f t="shared" si="10"/>
        <v>2079.2775</v>
      </c>
      <c r="AB24" s="63">
        <f t="shared" si="11"/>
        <v>8663.65625</v>
      </c>
      <c r="AC24" s="65">
        <f t="shared" si="12"/>
        <v>2015.25</v>
      </c>
      <c r="AD24" s="65">
        <f t="shared" si="13"/>
        <v>2016</v>
      </c>
      <c r="AE24" s="65">
        <f t="shared" si="14"/>
        <v>2022.25</v>
      </c>
      <c r="AF24" s="65">
        <f t="shared" si="15"/>
        <v>2015</v>
      </c>
      <c r="AG24" s="65">
        <f t="shared" si="16"/>
        <v>-0.08333333333333333</v>
      </c>
    </row>
    <row r="25" spans="1:33" ht="11.25">
      <c r="A25" s="57" t="s">
        <v>77</v>
      </c>
      <c r="B25" s="57">
        <v>486</v>
      </c>
      <c r="C25" s="59" t="s">
        <v>156</v>
      </c>
      <c r="D25" s="60">
        <v>2015</v>
      </c>
      <c r="E25" s="208">
        <v>4</v>
      </c>
      <c r="F25" s="60">
        <v>0</v>
      </c>
      <c r="G25" s="65"/>
      <c r="H25" s="185" t="s">
        <v>52</v>
      </c>
      <c r="I25" s="185">
        <v>7</v>
      </c>
      <c r="J25" s="186">
        <f t="shared" si="0"/>
        <v>2022</v>
      </c>
      <c r="M25" s="63">
        <v>26191.29</v>
      </c>
      <c r="N25" s="64"/>
      <c r="O25" s="63">
        <f t="shared" si="1"/>
        <v>26191.29</v>
      </c>
      <c r="P25" s="63">
        <f t="shared" si="2"/>
        <v>311.80107142857145</v>
      </c>
      <c r="Q25" s="63">
        <f t="shared" si="3"/>
        <v>2806.209642857143</v>
      </c>
      <c r="R25" s="63">
        <f t="shared" si="4"/>
        <v>0</v>
      </c>
      <c r="S25" s="63">
        <f t="shared" si="5"/>
        <v>2806.209642857143</v>
      </c>
      <c r="T25" s="63">
        <v>1</v>
      </c>
      <c r="U25" s="63">
        <f t="shared" si="6"/>
        <v>2806.209642857143</v>
      </c>
      <c r="V25" s="63"/>
      <c r="W25" s="63">
        <f t="shared" si="7"/>
        <v>0</v>
      </c>
      <c r="X25" s="63">
        <f t="shared" si="8"/>
        <v>0</v>
      </c>
      <c r="Y25" s="63">
        <v>1</v>
      </c>
      <c r="Z25" s="63">
        <f t="shared" si="9"/>
        <v>0</v>
      </c>
      <c r="AA25" s="63">
        <f t="shared" si="10"/>
        <v>2806.209642857143</v>
      </c>
      <c r="AB25" s="63">
        <f t="shared" si="11"/>
        <v>11692.54017857143</v>
      </c>
      <c r="AC25" s="65">
        <f t="shared" si="12"/>
        <v>2015.25</v>
      </c>
      <c r="AD25" s="65">
        <f t="shared" si="13"/>
        <v>2016</v>
      </c>
      <c r="AE25" s="65">
        <f t="shared" si="14"/>
        <v>2022.25</v>
      </c>
      <c r="AF25" s="65">
        <f t="shared" si="15"/>
        <v>2015</v>
      </c>
      <c r="AG25" s="65">
        <f t="shared" si="16"/>
        <v>-0.08333333333333333</v>
      </c>
    </row>
    <row r="26" spans="1:33" ht="11.25">
      <c r="A26" s="57" t="s">
        <v>77</v>
      </c>
      <c r="B26" s="57">
        <v>333</v>
      </c>
      <c r="C26" s="59" t="s">
        <v>156</v>
      </c>
      <c r="D26" s="60">
        <v>2015</v>
      </c>
      <c r="E26" s="208">
        <v>11</v>
      </c>
      <c r="F26" s="60">
        <v>0</v>
      </c>
      <c r="G26" s="65"/>
      <c r="H26" s="185" t="s">
        <v>52</v>
      </c>
      <c r="I26" s="185">
        <v>7</v>
      </c>
      <c r="J26" s="186">
        <f t="shared" si="0"/>
        <v>2022</v>
      </c>
      <c r="M26" s="63">
        <v>19105.13</v>
      </c>
      <c r="N26" s="64"/>
      <c r="O26" s="63">
        <f t="shared" si="1"/>
        <v>19105.13</v>
      </c>
      <c r="P26" s="63">
        <f t="shared" si="2"/>
        <v>227.44202380952382</v>
      </c>
      <c r="Q26" s="63">
        <f>IF(N26&gt;0,0,IF(OR(AC26&gt;AD26,AE26&lt;AF26),0,IF(AND(AE26&gt;=AF26,AE26&lt;=AD26),P26*((AE26-AF26)*12),IF(AND(AF26&lt;=AC26,AD26&gt;=AC26),((AD26-AC26)*12)*P26,IF(AE26&gt;AD26,12*P26,0)))))</f>
        <v>454.8840476192545</v>
      </c>
      <c r="R26" s="63">
        <f>IF(N26=0,0,IF(AND(AG26&gt;=AF26,AG26&lt;=AE26),((AG26-AF26)*12)*P26,0))</f>
        <v>0</v>
      </c>
      <c r="S26" s="63">
        <f>IF(R26&gt;0,R26,Q26)</f>
        <v>454.8840476192545</v>
      </c>
      <c r="T26" s="63">
        <v>1</v>
      </c>
      <c r="U26" s="63">
        <f>T26*SUM(Q26:R26)</f>
        <v>454.8840476192545</v>
      </c>
      <c r="V26" s="63"/>
      <c r="W26" s="63">
        <f>IF(AC26&gt;AD26,0,IF(AE26&lt;AF26,O26,IF(AND(AE26&gt;=AF26,AE26&lt;=AD26),(O26-S26),IF(AND(AF26&lt;=AC26,AD26&gt;=AC26),0,IF(AE26&gt;AD26,((AF26-AC26)*12)*P26,0)))))</f>
        <v>0</v>
      </c>
      <c r="X26" s="63">
        <f>W26*T26</f>
        <v>0</v>
      </c>
      <c r="Y26" s="63">
        <v>1</v>
      </c>
      <c r="Z26" s="63">
        <f>X26*Y26</f>
        <v>0</v>
      </c>
      <c r="AA26" s="63">
        <f>IF(N26&gt;0,0,Z26+U26*Y26)*Y26</f>
        <v>454.8840476192545</v>
      </c>
      <c r="AB26" s="63">
        <f>IF(N26&gt;0,(M26-Z26)/2,IF(AC26&gt;=AF26,(((M26*T26)*Y26)-AA26)/2,((((M26*T26)*Y26)-Z26)+(((M26*T26)*Y26)-AA26))/2))</f>
        <v>9325.122976190374</v>
      </c>
      <c r="AC26" s="65">
        <f t="shared" si="12"/>
        <v>2015.8333333333333</v>
      </c>
      <c r="AD26" s="65">
        <f t="shared" si="13"/>
        <v>2016</v>
      </c>
      <c r="AE26" s="65">
        <f t="shared" si="14"/>
        <v>2022.8333333333333</v>
      </c>
      <c r="AF26" s="65">
        <f t="shared" si="15"/>
        <v>2015</v>
      </c>
      <c r="AG26" s="65">
        <f t="shared" si="16"/>
        <v>-0.08333333333333333</v>
      </c>
    </row>
    <row r="27" spans="1:33" ht="11.25">
      <c r="A27" s="57"/>
      <c r="B27" s="57"/>
      <c r="C27" s="59"/>
      <c r="D27" s="60"/>
      <c r="E27" s="208"/>
      <c r="F27" s="57"/>
      <c r="G27" s="57"/>
      <c r="H27" s="57"/>
      <c r="I27" s="57"/>
      <c r="J27" s="57"/>
      <c r="K27" s="57"/>
      <c r="L27" s="57"/>
      <c r="M27" s="211"/>
      <c r="N27" s="64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5"/>
      <c r="AD27" s="65"/>
      <c r="AE27" s="65"/>
      <c r="AF27" s="65"/>
      <c r="AG27" s="65"/>
    </row>
    <row r="28" spans="1:33" ht="12" thickBot="1">
      <c r="A28" s="168"/>
      <c r="B28" s="232">
        <f>SUM(B12:B27)</f>
        <v>9138</v>
      </c>
      <c r="C28" s="165" t="s">
        <v>78</v>
      </c>
      <c r="D28" s="233"/>
      <c r="E28" s="164"/>
      <c r="F28" s="166"/>
      <c r="G28" s="234"/>
      <c r="H28" s="168"/>
      <c r="I28" s="165"/>
      <c r="J28" s="174"/>
      <c r="K28" s="167"/>
      <c r="L28" s="167"/>
      <c r="M28" s="171">
        <f>SUM(M12:M27)</f>
        <v>474365.4199999999</v>
      </c>
      <c r="N28" s="235"/>
      <c r="O28" s="171">
        <f>SUM(O12:O27)</f>
        <v>474365.4199999999</v>
      </c>
      <c r="P28" s="171">
        <f>SUM(P12:P27)</f>
        <v>7125.551142857142</v>
      </c>
      <c r="Q28" s="171">
        <f>SUM(Q12:Q27)</f>
        <v>19513.25976190497</v>
      </c>
      <c r="R28" s="171">
        <f>SUM(R12:R27)</f>
        <v>0</v>
      </c>
      <c r="S28" s="171">
        <f>SUM(S12:S27)</f>
        <v>19513.25976190497</v>
      </c>
      <c r="T28" s="171"/>
      <c r="U28" s="171">
        <f>SUM(U12:U27)</f>
        <v>19513.25976190497</v>
      </c>
      <c r="V28" s="171">
        <f>SUM(V12:V27)</f>
        <v>0</v>
      </c>
      <c r="W28" s="171">
        <f>SUM(W12:W27)</f>
        <v>347773.134761905</v>
      </c>
      <c r="X28" s="171">
        <f>SUM(X12:X27)</f>
        <v>347773.134761905</v>
      </c>
      <c r="Y28" s="171"/>
      <c r="Z28" s="171">
        <f>SUM(Z12:Z27)</f>
        <v>347773.134761905</v>
      </c>
      <c r="AA28" s="171">
        <f>SUM(AA12:AA27)</f>
        <v>367286.39452381</v>
      </c>
      <c r="AB28" s="171">
        <f>SUM(AB12:AB27)</f>
        <v>84484.15035714244</v>
      </c>
      <c r="AC28" s="65"/>
      <c r="AD28" s="65"/>
      <c r="AE28" s="65"/>
      <c r="AF28" s="65"/>
      <c r="AG28" s="65"/>
    </row>
    <row r="29" spans="1:33" ht="11.25">
      <c r="A29" s="155"/>
      <c r="B29" s="228"/>
      <c r="C29" s="155"/>
      <c r="D29" s="157"/>
      <c r="E29" s="155"/>
      <c r="F29" s="157"/>
      <c r="G29" s="229"/>
      <c r="H29" s="155"/>
      <c r="I29" s="155"/>
      <c r="J29" s="173"/>
      <c r="K29" s="152"/>
      <c r="L29" s="152"/>
      <c r="M29" s="230"/>
      <c r="N29" s="231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65"/>
      <c r="AD29" s="65"/>
      <c r="AE29" s="65"/>
      <c r="AF29" s="65"/>
      <c r="AG29" s="65"/>
    </row>
    <row r="30" spans="1:33" ht="11.25">
      <c r="A30" s="57"/>
      <c r="B30" s="57"/>
      <c r="C30" s="115" t="s">
        <v>88</v>
      </c>
      <c r="D30" s="60"/>
      <c r="F30" s="60"/>
      <c r="G30" s="65"/>
      <c r="H30" s="57"/>
      <c r="I30" s="57"/>
      <c r="M30" s="211"/>
      <c r="N30" s="64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5"/>
      <c r="AD30" s="65"/>
      <c r="AE30" s="65"/>
      <c r="AF30" s="65"/>
      <c r="AG30" s="65"/>
    </row>
    <row r="31" spans="1:33" ht="11.25">
      <c r="A31" s="57" t="s">
        <v>72</v>
      </c>
      <c r="B31" s="57">
        <v>100</v>
      </c>
      <c r="C31" s="59" t="s">
        <v>89</v>
      </c>
      <c r="D31" s="60">
        <v>1993</v>
      </c>
      <c r="E31" s="208">
        <v>6</v>
      </c>
      <c r="F31" s="60">
        <v>0</v>
      </c>
      <c r="H31" s="57" t="s">
        <v>52</v>
      </c>
      <c r="I31" s="57">
        <v>5</v>
      </c>
      <c r="J31" s="131">
        <f>D31+I31</f>
        <v>1998</v>
      </c>
      <c r="M31" s="63">
        <v>5551.7</v>
      </c>
      <c r="N31" s="64">
        <v>0</v>
      </c>
      <c r="O31" s="63">
        <f>M31-M31*F31</f>
        <v>5551.7</v>
      </c>
      <c r="P31" s="63">
        <f>O31/I31/12</f>
        <v>92.52833333333332</v>
      </c>
      <c r="Q31" s="63">
        <f>IF(N31&gt;0,0,IF(OR(AC31&gt;AD31,AE31&lt;AF31),0,IF(AND(AE31&gt;=AF31,AE31&lt;=AD31),P31*((AE31-AF31)*12),IF(AND(AF31&lt;=AC31,AD31&gt;=AC31),((AD31-AC31)*12)*P31,IF(AE31&gt;AD31,12*P31,0)))))</f>
        <v>0</v>
      </c>
      <c r="R31" s="63">
        <f>IF(N31=0,0,IF(AND(AG31&gt;=AF31,AG31&lt;=AE31),((AG31-AF31)*12)*P31,0))</f>
        <v>0</v>
      </c>
      <c r="S31" s="63">
        <f>IF(R31&gt;0,R31,Q31)</f>
        <v>0</v>
      </c>
      <c r="T31" s="63">
        <v>1</v>
      </c>
      <c r="U31" s="63">
        <f>T31*SUM(Q31:R31)</f>
        <v>0</v>
      </c>
      <c r="V31" s="63"/>
      <c r="W31" s="63">
        <f>IF(AC31&gt;AD31,0,IF(AE31&lt;AF31,O31,IF(AND(AE31&gt;=AF31,AE31&lt;=AD31),(O31-S31),IF(AND(AF31&lt;=AC31,AD31&gt;=AC31),0,IF(AE31&gt;AD31,((AF31-AC31)*12)*P31,0)))))</f>
        <v>5551.7</v>
      </c>
      <c r="X31" s="63">
        <f>W31*T31</f>
        <v>5551.7</v>
      </c>
      <c r="Y31" s="63">
        <v>1</v>
      </c>
      <c r="Z31" s="63">
        <f>X31*Y31</f>
        <v>5551.7</v>
      </c>
      <c r="AA31" s="63">
        <f>IF(N31&gt;0,0,Z31+U31*Y31)*Y31</f>
        <v>5551.7</v>
      </c>
      <c r="AB31" s="63">
        <f>IF(N31&gt;0,(M31-Z31)/2,IF(AC31&gt;=AF31,(((M31*T31)*Y31)-AA31)/2,((((M31*T31)*Y31)-Z31)+(((M31*T31)*Y31)-AA31))/2))</f>
        <v>0</v>
      </c>
      <c r="AC31" s="65">
        <f>$D31+(($E31-1)/12)</f>
        <v>1993.4166666666667</v>
      </c>
      <c r="AD31" s="65">
        <f>($O$5+1)-($O$2/12)</f>
        <v>2016</v>
      </c>
      <c r="AE31" s="65">
        <f>$J31+(($E31-1)/12)</f>
        <v>1998.4166666666667</v>
      </c>
      <c r="AF31" s="65">
        <f>$O$4+($O$3/12)</f>
        <v>2015</v>
      </c>
      <c r="AG31" s="65">
        <f>$K31+(($L31-1)/12)</f>
        <v>-0.08333333333333333</v>
      </c>
    </row>
    <row r="32" spans="1:33" ht="11.25">
      <c r="A32" s="57"/>
      <c r="B32" s="57" t="s">
        <v>57</v>
      </c>
      <c r="C32" s="57"/>
      <c r="D32" s="60"/>
      <c r="F32" s="60"/>
      <c r="H32" s="57"/>
      <c r="I32" s="57"/>
      <c r="M32" s="212"/>
      <c r="N32" s="6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5"/>
      <c r="AD32" s="65"/>
      <c r="AE32" s="65"/>
      <c r="AF32" s="65"/>
      <c r="AG32" s="65"/>
    </row>
    <row r="33" spans="1:33" ht="12" thickBot="1">
      <c r="A33" s="168"/>
      <c r="B33" s="164">
        <f>SUM(B31:B32)</f>
        <v>100</v>
      </c>
      <c r="C33" s="199" t="s">
        <v>155</v>
      </c>
      <c r="D33" s="238"/>
      <c r="E33" s="166"/>
      <c r="F33" s="166"/>
      <c r="G33" s="167"/>
      <c r="H33" s="168"/>
      <c r="I33" s="168"/>
      <c r="J33" s="174"/>
      <c r="K33" s="167"/>
      <c r="L33" s="167"/>
      <c r="M33" s="171">
        <f>SUM(M31:M32)</f>
        <v>5551.7</v>
      </c>
      <c r="N33" s="235"/>
      <c r="O33" s="171">
        <f>SUM(O31:O32)</f>
        <v>5551.7</v>
      </c>
      <c r="P33" s="171">
        <f>SUM(P31:P32)</f>
        <v>92.52833333333332</v>
      </c>
      <c r="Q33" s="171">
        <f>SUM(Q31:Q32)</f>
        <v>0</v>
      </c>
      <c r="R33" s="239"/>
      <c r="S33" s="239"/>
      <c r="T33" s="239"/>
      <c r="U33" s="171">
        <f>SUM(U31:U32)</f>
        <v>0</v>
      </c>
      <c r="V33" s="239"/>
      <c r="W33" s="239"/>
      <c r="X33" s="239"/>
      <c r="Y33" s="239"/>
      <c r="Z33" s="171">
        <f>SUM(Z31:Z32)</f>
        <v>5551.7</v>
      </c>
      <c r="AA33" s="171">
        <f>SUM(AA31:AA32)</f>
        <v>5551.7</v>
      </c>
      <c r="AB33" s="171">
        <f>SUM(AB31:AB32)</f>
        <v>0</v>
      </c>
      <c r="AC33" s="213"/>
      <c r="AD33" s="65"/>
      <c r="AE33" s="65"/>
      <c r="AF33" s="65"/>
      <c r="AG33" s="65"/>
    </row>
    <row r="34" spans="1:33" ht="11.25">
      <c r="A34" s="155"/>
      <c r="B34" s="155"/>
      <c r="C34" s="155"/>
      <c r="D34" s="236"/>
      <c r="E34" s="236"/>
      <c r="F34" s="157"/>
      <c r="G34" s="152"/>
      <c r="H34" s="155"/>
      <c r="I34" s="155"/>
      <c r="J34" s="173"/>
      <c r="K34" s="152"/>
      <c r="L34" s="152"/>
      <c r="M34" s="237"/>
      <c r="N34" s="161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65"/>
      <c r="AD34" s="65"/>
      <c r="AE34" s="65"/>
      <c r="AF34" s="65"/>
      <c r="AG34" s="65"/>
    </row>
    <row r="35" spans="1:33" ht="12" thickBot="1">
      <c r="A35" s="176"/>
      <c r="B35" s="241">
        <f>B28+B33</f>
        <v>9238</v>
      </c>
      <c r="C35" s="177" t="s">
        <v>84</v>
      </c>
      <c r="D35" s="242"/>
      <c r="E35" s="242"/>
      <c r="F35" s="178"/>
      <c r="G35" s="179"/>
      <c r="H35" s="176"/>
      <c r="I35" s="176"/>
      <c r="J35" s="181"/>
      <c r="K35" s="179"/>
      <c r="L35" s="179"/>
      <c r="M35" s="182">
        <f>M33+M28</f>
        <v>479917.11999999994</v>
      </c>
      <c r="N35" s="183"/>
      <c r="O35" s="182">
        <f>O33+O28</f>
        <v>479917.11999999994</v>
      </c>
      <c r="P35" s="182">
        <f>P33+P28</f>
        <v>7218.079476190475</v>
      </c>
      <c r="Q35" s="182">
        <f>Q33+Q28</f>
        <v>19513.25976190497</v>
      </c>
      <c r="R35" s="243"/>
      <c r="S35" s="243"/>
      <c r="T35" s="243"/>
      <c r="U35" s="182">
        <f>U33+U28</f>
        <v>19513.25976190497</v>
      </c>
      <c r="V35" s="182">
        <f>V33+V28</f>
        <v>0</v>
      </c>
      <c r="W35" s="182">
        <f>W33+W28</f>
        <v>347773.134761905</v>
      </c>
      <c r="X35" s="243"/>
      <c r="Y35" s="243"/>
      <c r="Z35" s="182">
        <f>Z33+Z28</f>
        <v>353324.834761905</v>
      </c>
      <c r="AA35" s="182">
        <f>AA33+AA28</f>
        <v>372838.09452381</v>
      </c>
      <c r="AB35" s="182">
        <f>AB33+AB28</f>
        <v>84484.15035714244</v>
      </c>
      <c r="AC35" s="130"/>
      <c r="AD35" s="65"/>
      <c r="AE35" s="65"/>
      <c r="AF35" s="65"/>
      <c r="AG35" s="65"/>
    </row>
    <row r="36" spans="1:33" ht="12" thickTop="1">
      <c r="A36" s="155"/>
      <c r="B36" s="155"/>
      <c r="C36" s="155"/>
      <c r="D36" s="236"/>
      <c r="E36" s="236"/>
      <c r="F36" s="157"/>
      <c r="G36" s="152"/>
      <c r="H36" s="155"/>
      <c r="I36" s="155"/>
      <c r="J36" s="173"/>
      <c r="K36" s="152"/>
      <c r="L36" s="152"/>
      <c r="M36" s="240"/>
      <c r="N36" s="152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65"/>
      <c r="AD36" s="65"/>
      <c r="AE36" s="65"/>
      <c r="AF36" s="65"/>
      <c r="AG36" s="65"/>
    </row>
    <row r="37" spans="1:33" ht="11.25">
      <c r="A37" s="185"/>
      <c r="B37" s="185"/>
      <c r="C37" s="214"/>
      <c r="D37" s="215"/>
      <c r="E37" s="215"/>
      <c r="F37" s="215"/>
      <c r="G37" s="216"/>
      <c r="H37" s="185"/>
      <c r="I37" s="185"/>
      <c r="J37" s="186"/>
      <c r="K37" s="216"/>
      <c r="L37" s="216"/>
      <c r="M37" s="217"/>
      <c r="N37" s="216"/>
      <c r="O37" s="217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33" ht="11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218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1:33" ht="11.25">
      <c r="A39" s="185"/>
      <c r="B39" s="185"/>
      <c r="C39" s="214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6"/>
      <c r="P39" s="218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1:33" ht="11.25">
      <c r="A40" s="185"/>
      <c r="B40" s="185"/>
      <c r="C40" s="214"/>
      <c r="D40" s="142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6"/>
      <c r="P40" s="218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1:33" ht="11.25">
      <c r="A41" s="185"/>
      <c r="B41" s="185"/>
      <c r="C41" s="214"/>
      <c r="D41" s="219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7"/>
      <c r="P41" s="220"/>
      <c r="Q41" s="130"/>
      <c r="R41" s="65"/>
      <c r="S41" s="65"/>
      <c r="T41" s="136"/>
      <c r="U41" s="130"/>
      <c r="V41" s="65"/>
      <c r="W41" s="65"/>
      <c r="X41" s="65"/>
      <c r="Y41" s="65"/>
      <c r="Z41" s="130"/>
      <c r="AA41" s="130"/>
      <c r="AB41" s="130"/>
      <c r="AC41" s="65"/>
      <c r="AD41" s="65"/>
      <c r="AE41" s="65"/>
      <c r="AF41" s="65"/>
      <c r="AG41" s="65"/>
    </row>
    <row r="42" spans="1:33" ht="11.25">
      <c r="A42" s="185"/>
      <c r="B42" s="185"/>
      <c r="C42" s="214"/>
      <c r="D42" s="221"/>
      <c r="E42" s="141"/>
      <c r="F42" s="141"/>
      <c r="G42" s="141"/>
      <c r="H42" s="141"/>
      <c r="I42" s="141"/>
      <c r="J42" s="141"/>
      <c r="K42" s="141"/>
      <c r="L42" s="141"/>
      <c r="M42" s="141"/>
      <c r="N42" s="148"/>
      <c r="O42" s="149"/>
      <c r="P42" s="218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1:33" ht="11.25">
      <c r="A43" s="185"/>
      <c r="B43" s="185"/>
      <c r="C43" s="214"/>
      <c r="D43" s="22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218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1:33" s="135" customFormat="1" ht="11.25">
      <c r="A44" s="185"/>
      <c r="B44" s="185"/>
      <c r="C44" s="214"/>
      <c r="D44" s="141"/>
      <c r="E44" s="141"/>
      <c r="F44" s="141"/>
      <c r="G44" s="141"/>
      <c r="H44" s="141"/>
      <c r="I44" s="329"/>
      <c r="J44" s="329"/>
      <c r="K44" s="329"/>
      <c r="L44" s="329"/>
      <c r="M44" s="329"/>
      <c r="N44" s="329"/>
      <c r="O44" s="150"/>
      <c r="P44" s="222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</row>
    <row r="45" spans="1:33" s="135" customFormat="1" ht="11.25">
      <c r="A45" s="185"/>
      <c r="B45" s="185"/>
      <c r="C45" s="214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222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</row>
    <row r="46" spans="1:33" s="135" customFormat="1" ht="11.25">
      <c r="A46" s="185"/>
      <c r="B46" s="185"/>
      <c r="C46" s="214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222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</row>
    <row r="47" spans="1:33" s="135" customFormat="1" ht="11.25">
      <c r="A47" s="132"/>
      <c r="B47" s="132"/>
      <c r="C47" s="133"/>
      <c r="D47" s="134"/>
      <c r="E47" s="134"/>
      <c r="F47" s="134"/>
      <c r="H47" s="132"/>
      <c r="I47" s="132"/>
      <c r="J47" s="223"/>
      <c r="M47" s="136"/>
      <c r="O47" s="136"/>
      <c r="P47" s="222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</row>
    <row r="48" spans="1:33" s="135" customFormat="1" ht="11.25">
      <c r="A48" s="132"/>
      <c r="B48" s="132"/>
      <c r="C48" s="224"/>
      <c r="D48" s="225"/>
      <c r="E48" s="225"/>
      <c r="F48" s="134"/>
      <c r="H48" s="132"/>
      <c r="I48" s="132"/>
      <c r="J48" s="223"/>
      <c r="M48" s="226"/>
      <c r="O48" s="136"/>
      <c r="P48" s="222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</row>
    <row r="49" spans="1:33" s="135" customFormat="1" ht="11.25">
      <c r="A49" s="132"/>
      <c r="B49" s="132"/>
      <c r="C49" s="224"/>
      <c r="D49" s="225"/>
      <c r="E49" s="225"/>
      <c r="F49" s="134"/>
      <c r="H49" s="132"/>
      <c r="I49" s="132"/>
      <c r="J49" s="223"/>
      <c r="M49" s="226"/>
      <c r="O49" s="226"/>
      <c r="P49" s="226"/>
      <c r="Q49" s="226"/>
      <c r="R49" s="136"/>
      <c r="S49" s="136"/>
      <c r="T49" s="136"/>
      <c r="U49" s="226"/>
      <c r="V49" s="136"/>
      <c r="W49" s="136"/>
      <c r="X49" s="136"/>
      <c r="Y49" s="136"/>
      <c r="Z49" s="226"/>
      <c r="AA49" s="226"/>
      <c r="AB49" s="226"/>
      <c r="AC49" s="136"/>
      <c r="AD49" s="136"/>
      <c r="AE49" s="136"/>
      <c r="AF49" s="136"/>
      <c r="AG49" s="136"/>
    </row>
    <row r="50" spans="1:33" ht="11.25">
      <c r="A50" s="57"/>
      <c r="B50" s="57"/>
      <c r="C50" s="138"/>
      <c r="D50" s="137"/>
      <c r="E50" s="137"/>
      <c r="F50" s="60"/>
      <c r="H50" s="57"/>
      <c r="I50" s="57"/>
      <c r="M50" s="130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1:33" ht="11.25">
      <c r="A51" s="58"/>
      <c r="B51" s="138"/>
      <c r="C51" s="138"/>
      <c r="D51" s="138"/>
      <c r="E51" s="58"/>
      <c r="F51" s="60"/>
      <c r="H51" s="57"/>
      <c r="I51" s="57"/>
      <c r="M51" s="227"/>
      <c r="O51" s="227"/>
      <c r="P51" s="227"/>
      <c r="Q51" s="227"/>
      <c r="R51" s="65"/>
      <c r="S51" s="65"/>
      <c r="T51" s="65"/>
      <c r="U51" s="227"/>
      <c r="V51" s="65"/>
      <c r="W51" s="65"/>
      <c r="X51" s="65"/>
      <c r="Y51" s="65"/>
      <c r="Z51" s="227"/>
      <c r="AA51" s="227"/>
      <c r="AB51" s="227"/>
      <c r="AC51" s="65"/>
      <c r="AD51" s="65"/>
      <c r="AE51" s="65"/>
      <c r="AF51" s="65"/>
      <c r="AG51" s="65"/>
    </row>
    <row r="52" spans="1:33" ht="11.25">
      <c r="A52" s="57"/>
      <c r="B52" s="57"/>
      <c r="C52" s="59"/>
      <c r="D52" s="60"/>
      <c r="E52" s="60"/>
      <c r="F52" s="60"/>
      <c r="H52" s="57"/>
      <c r="I52" s="57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1:33" ht="11.25">
      <c r="A53" s="57"/>
      <c r="B53" s="57"/>
      <c r="C53" s="59"/>
      <c r="D53" s="60"/>
      <c r="E53" s="60"/>
      <c r="F53" s="60"/>
      <c r="H53" s="57"/>
      <c r="I53" s="57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1:33" ht="11.25">
      <c r="A54" s="57"/>
      <c r="B54" s="57"/>
      <c r="C54" s="59"/>
      <c r="D54" s="60"/>
      <c r="E54" s="60"/>
      <c r="F54" s="60"/>
      <c r="H54" s="57"/>
      <c r="I54" s="57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 spans="1:33" ht="11.25">
      <c r="A55" s="57"/>
      <c r="B55" s="57"/>
      <c r="C55" s="59"/>
      <c r="D55" s="60"/>
      <c r="E55" s="60"/>
      <c r="F55" s="60"/>
      <c r="H55" s="57"/>
      <c r="I55" s="57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</sheetData>
  <sheetProtection/>
  <mergeCells count="1">
    <mergeCell ref="I44:N44"/>
  </mergeCells>
  <printOptions/>
  <pageMargins left="0.75" right="0.75" top="1" bottom="1" header="0.5" footer="0.5"/>
  <pageSetup fitToHeight="1" fitToWidth="1" horizontalDpi="600" verticalDpi="600" orientation="landscape" scale="84" r:id="rId3"/>
  <rowBreaks count="1" manualBreakCount="1">
    <brk id="42" max="27" man="1"/>
  </rowBreaks>
  <colBreaks count="1" manualBreakCount="1">
    <brk id="2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PageLayoutView="0" workbookViewId="0" topLeftCell="C1">
      <selection activeCell="I28" sqref="I28"/>
    </sheetView>
  </sheetViews>
  <sheetFormatPr defaultColWidth="8.88671875" defaultRowHeight="15.75"/>
  <cols>
    <col min="1" max="2" width="6.88671875" style="244" hidden="1" customWidth="1"/>
    <col min="3" max="3" width="3.10546875" style="244" customWidth="1"/>
    <col min="4" max="4" width="26.6640625" style="244" customWidth="1"/>
    <col min="5" max="5" width="5.88671875" style="244" bestFit="1" customWidth="1"/>
    <col min="6" max="6" width="2.6640625" style="244" bestFit="1" customWidth="1"/>
    <col min="7" max="7" width="5.77734375" style="244" bestFit="1" customWidth="1"/>
    <col min="8" max="8" width="1.2265625" style="244" bestFit="1" customWidth="1"/>
    <col min="9" max="9" width="5.4453125" style="244" bestFit="1" customWidth="1"/>
    <col min="10" max="10" width="4.4453125" style="246" bestFit="1" customWidth="1"/>
    <col min="11" max="11" width="4.21484375" style="281" bestFit="1" customWidth="1"/>
    <col min="12" max="12" width="4.4453125" style="244" hidden="1" customWidth="1"/>
    <col min="13" max="13" width="3.10546875" style="244" hidden="1" customWidth="1"/>
    <col min="14" max="14" width="8.5546875" style="244" customWidth="1"/>
    <col min="15" max="15" width="5.21484375" style="244" hidden="1" customWidth="1"/>
    <col min="16" max="16" width="6.10546875" style="244" bestFit="1" customWidth="1"/>
    <col min="17" max="17" width="6.4453125" style="244" customWidth="1"/>
    <col min="18" max="18" width="6.10546875" style="244" hidden="1" customWidth="1"/>
    <col min="19" max="20" width="5.21484375" style="244" hidden="1" customWidth="1"/>
    <col min="21" max="21" width="4.5546875" style="244" hidden="1" customWidth="1"/>
    <col min="22" max="22" width="6.4453125" style="244" bestFit="1" customWidth="1"/>
    <col min="23" max="23" width="3.77734375" style="244" customWidth="1"/>
    <col min="24" max="24" width="6.6640625" style="244" hidden="1" customWidth="1"/>
    <col min="25" max="25" width="6.77734375" style="244" hidden="1" customWidth="1"/>
    <col min="26" max="26" width="4.5546875" style="244" hidden="1" customWidth="1"/>
    <col min="27" max="27" width="6.4453125" style="244" bestFit="1" customWidth="1"/>
    <col min="28" max="28" width="6.77734375" style="244" bestFit="1" customWidth="1"/>
    <col min="29" max="29" width="7.77734375" style="244" bestFit="1" customWidth="1"/>
    <col min="30" max="31" width="6.10546875" style="244" hidden="1" customWidth="1"/>
    <col min="32" max="32" width="7.5546875" style="244" hidden="1" customWidth="1"/>
    <col min="33" max="33" width="6.10546875" style="244" hidden="1" customWidth="1"/>
    <col min="34" max="34" width="3.88671875" style="244" hidden="1" customWidth="1"/>
    <col min="35" max="16384" width="8.88671875" style="244" customWidth="1"/>
  </cols>
  <sheetData>
    <row r="1" spans="4:31" ht="45">
      <c r="D1" s="245" t="s">
        <v>164</v>
      </c>
      <c r="K1" s="247"/>
      <c r="N1" s="21" t="s">
        <v>201</v>
      </c>
      <c r="P1" s="248"/>
      <c r="Q1" s="248"/>
      <c r="AA1" s="249"/>
      <c r="AB1" s="57"/>
      <c r="AC1" s="107"/>
      <c r="AD1" s="57"/>
      <c r="AE1" s="24">
        <f>Summary!F5</f>
        <v>42005</v>
      </c>
    </row>
    <row r="2" spans="4:17" ht="11.25">
      <c r="D2" s="245" t="s">
        <v>0</v>
      </c>
      <c r="K2" s="247"/>
      <c r="N2" s="250" t="s">
        <v>198</v>
      </c>
      <c r="P2" s="251">
        <v>12</v>
      </c>
      <c r="Q2" s="252" t="s">
        <v>1</v>
      </c>
    </row>
    <row r="3" spans="4:32" ht="11.25">
      <c r="D3" s="253">
        <f>Summary!H5</f>
        <v>42369</v>
      </c>
      <c r="K3" s="247"/>
      <c r="N3" s="29" t="s">
        <v>199</v>
      </c>
      <c r="P3" s="251">
        <v>0</v>
      </c>
      <c r="Q3" s="252" t="s">
        <v>3</v>
      </c>
      <c r="AE3" s="244" t="s">
        <v>4</v>
      </c>
      <c r="AF3" s="244" t="s">
        <v>5</v>
      </c>
    </row>
    <row r="4" spans="11:32" ht="11.25">
      <c r="K4" s="247"/>
      <c r="N4" s="30" t="s">
        <v>200</v>
      </c>
      <c r="P4" s="254">
        <v>2015</v>
      </c>
      <c r="Q4" s="252" t="s">
        <v>6</v>
      </c>
      <c r="AE4" s="244" t="s">
        <v>7</v>
      </c>
      <c r="AF4" s="244" t="s">
        <v>8</v>
      </c>
    </row>
    <row r="5" spans="11:32" ht="11.25">
      <c r="K5" s="247"/>
      <c r="P5" s="254">
        <v>2016</v>
      </c>
      <c r="Q5" s="252" t="s">
        <v>11</v>
      </c>
      <c r="AE5" s="244" t="s">
        <v>12</v>
      </c>
      <c r="AF5" s="244" t="s">
        <v>13</v>
      </c>
    </row>
    <row r="6" spans="11:32" ht="11.25">
      <c r="K6" s="247"/>
      <c r="AE6" s="244" t="s">
        <v>15</v>
      </c>
      <c r="AF6" s="244" t="s">
        <v>16</v>
      </c>
    </row>
    <row r="7" spans="11:32" ht="11.25">
      <c r="K7" s="247"/>
      <c r="AE7" s="244" t="s">
        <v>20</v>
      </c>
      <c r="AF7" s="244" t="s">
        <v>21</v>
      </c>
    </row>
    <row r="8" spans="3:29" ht="11.25">
      <c r="C8" s="248"/>
      <c r="D8" s="248"/>
      <c r="E8" s="248"/>
      <c r="F8" s="248"/>
      <c r="G8" s="248"/>
      <c r="H8" s="248"/>
      <c r="I8" s="248"/>
      <c r="J8" s="255"/>
      <c r="K8" s="247"/>
      <c r="S8" s="246" t="s">
        <v>25</v>
      </c>
      <c r="V8" s="256" t="s">
        <v>17</v>
      </c>
      <c r="X8" s="256" t="s">
        <v>18</v>
      </c>
      <c r="Y8" s="256" t="s">
        <v>87</v>
      </c>
      <c r="AA8" s="256" t="s">
        <v>19</v>
      </c>
      <c r="AB8" s="256" t="s">
        <v>19</v>
      </c>
      <c r="AC8" s="256"/>
    </row>
    <row r="9" spans="1:29" ht="11.25">
      <c r="A9" s="256"/>
      <c r="B9" s="256"/>
      <c r="C9" s="256" t="s">
        <v>57</v>
      </c>
      <c r="D9" s="257"/>
      <c r="E9" s="256" t="s">
        <v>59</v>
      </c>
      <c r="F9" s="256"/>
      <c r="G9" s="258" t="s">
        <v>23</v>
      </c>
      <c r="H9" s="248"/>
      <c r="I9" s="256" t="s">
        <v>57</v>
      </c>
      <c r="J9" s="256"/>
      <c r="K9" s="259" t="s">
        <v>24</v>
      </c>
      <c r="L9" s="256" t="s">
        <v>57</v>
      </c>
      <c r="N9" s="256" t="s">
        <v>57</v>
      </c>
      <c r="O9" s="246" t="s">
        <v>31</v>
      </c>
      <c r="P9" s="257" t="s">
        <v>57</v>
      </c>
      <c r="Q9" s="257"/>
      <c r="R9" s="256" t="s">
        <v>68</v>
      </c>
      <c r="S9" s="246" t="s">
        <v>24</v>
      </c>
      <c r="T9" s="256" t="s">
        <v>17</v>
      </c>
      <c r="U9" s="256" t="s">
        <v>34</v>
      </c>
      <c r="V9" s="256" t="s">
        <v>19</v>
      </c>
      <c r="X9" s="256" t="s">
        <v>86</v>
      </c>
      <c r="Y9" s="256" t="s">
        <v>86</v>
      </c>
      <c r="Z9" s="246" t="s">
        <v>27</v>
      </c>
      <c r="AA9" s="256" t="s">
        <v>28</v>
      </c>
      <c r="AB9" s="256" t="s">
        <v>28</v>
      </c>
      <c r="AC9" s="256" t="s">
        <v>38</v>
      </c>
    </row>
    <row r="10" spans="1:34" ht="11.25">
      <c r="A10" s="256"/>
      <c r="B10" s="256"/>
      <c r="C10" s="256"/>
      <c r="D10" s="257"/>
      <c r="E10" s="256" t="s">
        <v>61</v>
      </c>
      <c r="F10" s="256"/>
      <c r="G10" s="258" t="s">
        <v>29</v>
      </c>
      <c r="H10" s="248"/>
      <c r="I10" s="256" t="s">
        <v>30</v>
      </c>
      <c r="J10" s="256" t="s">
        <v>64</v>
      </c>
      <c r="K10" s="259" t="s">
        <v>65</v>
      </c>
      <c r="L10" s="256" t="s">
        <v>31</v>
      </c>
      <c r="M10" s="244" t="s">
        <v>41</v>
      </c>
      <c r="N10" s="256" t="s">
        <v>31</v>
      </c>
      <c r="O10" s="246" t="s">
        <v>25</v>
      </c>
      <c r="P10" s="256" t="s">
        <v>67</v>
      </c>
      <c r="Q10" s="256" t="s">
        <v>69</v>
      </c>
      <c r="R10" s="256" t="s">
        <v>24</v>
      </c>
      <c r="S10" s="246" t="s">
        <v>43</v>
      </c>
      <c r="T10" s="256" t="s">
        <v>33</v>
      </c>
      <c r="U10" s="256" t="s">
        <v>36</v>
      </c>
      <c r="V10" s="256" t="s">
        <v>32</v>
      </c>
      <c r="W10" s="256"/>
      <c r="X10" s="256" t="s">
        <v>67</v>
      </c>
      <c r="Y10" s="256" t="s">
        <v>67</v>
      </c>
      <c r="Z10" s="256" t="s">
        <v>36</v>
      </c>
      <c r="AA10" s="256" t="s">
        <v>37</v>
      </c>
      <c r="AB10" s="256" t="s">
        <v>37</v>
      </c>
      <c r="AC10" s="256" t="s">
        <v>45</v>
      </c>
      <c r="AD10" s="246" t="s">
        <v>4</v>
      </c>
      <c r="AE10" s="246" t="s">
        <v>46</v>
      </c>
      <c r="AF10" s="246" t="s">
        <v>47</v>
      </c>
      <c r="AG10" s="246" t="s">
        <v>15</v>
      </c>
      <c r="AH10" s="246" t="s">
        <v>20</v>
      </c>
    </row>
    <row r="11" spans="1:29" ht="11.25">
      <c r="A11" s="260" t="s">
        <v>53</v>
      </c>
      <c r="B11" s="260"/>
      <c r="C11" s="260" t="s">
        <v>62</v>
      </c>
      <c r="D11" s="261" t="s">
        <v>63</v>
      </c>
      <c r="E11" s="260" t="s">
        <v>24</v>
      </c>
      <c r="F11" s="260" t="s">
        <v>39</v>
      </c>
      <c r="G11" s="262" t="s">
        <v>34</v>
      </c>
      <c r="H11" s="248" t="s">
        <v>49</v>
      </c>
      <c r="I11" s="260" t="s">
        <v>40</v>
      </c>
      <c r="J11" s="260" t="s">
        <v>66</v>
      </c>
      <c r="K11" s="263" t="s">
        <v>67</v>
      </c>
      <c r="L11" s="260" t="s">
        <v>42</v>
      </c>
      <c r="M11" s="264" t="s">
        <v>49</v>
      </c>
      <c r="N11" s="260" t="s">
        <v>42</v>
      </c>
      <c r="O11" s="264" t="s">
        <v>49</v>
      </c>
      <c r="P11" s="260" t="s">
        <v>42</v>
      </c>
      <c r="Q11" s="260" t="s">
        <v>67</v>
      </c>
      <c r="R11" s="260" t="s">
        <v>67</v>
      </c>
      <c r="S11" s="264" t="s">
        <v>49</v>
      </c>
      <c r="T11" s="256" t="s">
        <v>44</v>
      </c>
      <c r="U11" s="260" t="s">
        <v>49</v>
      </c>
      <c r="V11" s="256" t="s">
        <v>37</v>
      </c>
      <c r="W11" s="256"/>
      <c r="X11" s="265">
        <f>AE1</f>
        <v>42005</v>
      </c>
      <c r="Y11" s="265">
        <f>+D3</f>
        <v>42369</v>
      </c>
      <c r="Z11" s="256" t="s">
        <v>34</v>
      </c>
      <c r="AA11" s="266">
        <f>+X11</f>
        <v>42005</v>
      </c>
      <c r="AB11" s="266">
        <f>+D3</f>
        <v>42369</v>
      </c>
      <c r="AC11" s="266">
        <f>AB11</f>
        <v>42369</v>
      </c>
    </row>
    <row r="12" spans="1:34" ht="11.25">
      <c r="A12" s="267"/>
      <c r="B12" s="267"/>
      <c r="D12" s="268"/>
      <c r="E12" s="268"/>
      <c r="F12" s="268"/>
      <c r="G12" s="269"/>
      <c r="H12" s="248"/>
      <c r="I12" s="246"/>
      <c r="J12" s="270"/>
      <c r="K12" s="247"/>
      <c r="N12" s="267"/>
      <c r="O12" s="271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</row>
    <row r="13" spans="1:34" ht="11.25">
      <c r="A13" s="267"/>
      <c r="B13" s="267"/>
      <c r="D13" s="272" t="s">
        <v>157</v>
      </c>
      <c r="E13" s="268"/>
      <c r="F13" s="268"/>
      <c r="G13" s="269"/>
      <c r="H13" s="248"/>
      <c r="I13" s="246"/>
      <c r="J13" s="270"/>
      <c r="K13" s="247"/>
      <c r="N13" s="267"/>
      <c r="O13" s="271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</row>
    <row r="14" spans="1:35" ht="11.25">
      <c r="A14" s="244">
        <v>102216</v>
      </c>
      <c r="C14" s="270">
        <v>12</v>
      </c>
      <c r="D14" s="267" t="s">
        <v>215</v>
      </c>
      <c r="E14" s="269">
        <v>2011</v>
      </c>
      <c r="F14" s="270">
        <v>12</v>
      </c>
      <c r="G14" s="273">
        <v>0.33</v>
      </c>
      <c r="I14" s="246" t="s">
        <v>52</v>
      </c>
      <c r="J14" s="246">
        <v>5</v>
      </c>
      <c r="K14" s="269">
        <f>E14+J14</f>
        <v>2016</v>
      </c>
      <c r="N14" s="274">
        <f>19878.1*'[1]May'!$B$121</f>
        <v>5387.522429906541</v>
      </c>
      <c r="O14" s="275"/>
      <c r="P14" s="276">
        <f>N14-N14*G14</f>
        <v>3609.6400280373828</v>
      </c>
      <c r="Q14" s="276">
        <f>P14/J14/12</f>
        <v>60.16066713395637</v>
      </c>
      <c r="R14" s="276">
        <f>IF(O14&gt;0,0,IF(OR(AD14&gt;AE14,AF14&lt;AG14),0,IF(AND(AF14&gt;=AG14,AF14&lt;=AE14),Q14*((AF14-AG14)*12),IF(AND(AG14&lt;=AD14,AE14&gt;=AD14),((AE14-AD14)*12)*Q14,IF(AF14&gt;AE14,12*Q14,0)))))</f>
        <v>721.9280056074765</v>
      </c>
      <c r="S14" s="276"/>
      <c r="T14" s="276">
        <f>IF(S14&gt;0,S14,R14)</f>
        <v>721.9280056074765</v>
      </c>
      <c r="U14" s="276">
        <v>1</v>
      </c>
      <c r="V14" s="276">
        <f>U14*SUM(R14:S14)</f>
        <v>721.9280056074765</v>
      </c>
      <c r="W14" s="276"/>
      <c r="X14" s="276">
        <f>IF(AD14&gt;AE14,0,IF(AF14&lt;AG14,P14,IF(AND(AF14&gt;=AG14,AF14&lt;=AE14),(P14-T14),IF(AND(AG14&lt;=AD14,AE14&gt;=AD14),0,IF(AF14&gt;AE14,((AG14-AD14)*12)*Q14,0)))))</f>
        <v>60.160667133901654</v>
      </c>
      <c r="Y14" s="276">
        <f>X14*U14</f>
        <v>60.160667133901654</v>
      </c>
      <c r="Z14" s="276">
        <v>1</v>
      </c>
      <c r="AA14" s="276">
        <f>Y14*Z14</f>
        <v>60.160667133901654</v>
      </c>
      <c r="AB14" s="276">
        <f>IF(O14&gt;0,0,AA14+V14*Z14)*Z14</f>
        <v>782.0886727413781</v>
      </c>
      <c r="AC14" s="276">
        <f>IF(O14&gt;0,(N14-AA14)/2,IF(AD14&gt;=AG14,(((N14*U14)*Z14)-AB14)/2,((((N14*U14)*Z14)-AA14)+(((N14*U14)*Z14)-AB14))/2))</f>
        <v>4966.3977599689015</v>
      </c>
      <c r="AD14" s="248">
        <f>$E14+(($F14-1)/12)</f>
        <v>2011.9166666666667</v>
      </c>
      <c r="AE14" s="248">
        <v>2013</v>
      </c>
      <c r="AF14" s="248">
        <f>$K14+(($F14-1)/12)</f>
        <v>2016.9166666666667</v>
      </c>
      <c r="AG14" s="248">
        <v>2012</v>
      </c>
      <c r="AH14" s="248">
        <f>$L14+(($M14-1)/12)</f>
        <v>-0.08333333333333333</v>
      </c>
      <c r="AI14" s="277"/>
    </row>
    <row r="15" spans="1:35" ht="11.25">
      <c r="A15" s="244">
        <v>126584</v>
      </c>
      <c r="C15" s="270">
        <v>2</v>
      </c>
      <c r="D15" s="267" t="s">
        <v>222</v>
      </c>
      <c r="E15" s="269">
        <v>2015</v>
      </c>
      <c r="F15" s="270">
        <v>10</v>
      </c>
      <c r="G15" s="273">
        <v>0.33</v>
      </c>
      <c r="I15" s="246" t="s">
        <v>52</v>
      </c>
      <c r="J15" s="246">
        <v>5</v>
      </c>
      <c r="K15" s="269">
        <f>E15+J15</f>
        <v>2020</v>
      </c>
      <c r="N15" s="126">
        <v>29424</v>
      </c>
      <c r="O15" s="275"/>
      <c r="P15" s="276">
        <f>N15-N15*G15</f>
        <v>19714.08</v>
      </c>
      <c r="Q15" s="276">
        <f>P15/J15/12</f>
        <v>328.56800000000004</v>
      </c>
      <c r="R15" s="276">
        <f>IF(O15&gt;0,0,IF(OR(AD15&gt;AE15,AF15&lt;AG15),0,IF(AND(AF15&gt;=AG15,AF15&lt;=AE15),Q15*((AF15-AG15)*12),IF(AND(AG15&lt;=AD15,AE15&gt;=AD15),((AE15-AD15)*12)*Q15,IF(AF15&gt;AE15,12*Q15,0)))))</f>
        <v>0</v>
      </c>
      <c r="S15" s="276"/>
      <c r="T15" s="276">
        <f>IF(S15&gt;0,S15,R15)</f>
        <v>0</v>
      </c>
      <c r="U15" s="276">
        <v>1</v>
      </c>
      <c r="V15" s="276">
        <f>U15*SUM(R15:S15)</f>
        <v>0</v>
      </c>
      <c r="W15" s="276"/>
      <c r="X15" s="276">
        <f>IF(AD15&gt;AE15,0,IF(AF15&lt;AG15,P15,IF(AND(AF15&gt;=AG15,AF15&lt;=AE15),(P15-T15),IF(AND(AG15&lt;=AD15,AE15&gt;=AD15),0,IF(AF15&gt;AE15,((AG15-AD15)*12)*Q15,0)))))</f>
        <v>0</v>
      </c>
      <c r="Y15" s="276">
        <f>X15*U15</f>
        <v>0</v>
      </c>
      <c r="Z15" s="276">
        <v>1</v>
      </c>
      <c r="AA15" s="276">
        <f>Y15*Z15</f>
        <v>0</v>
      </c>
      <c r="AB15" s="276">
        <f>IF(O15&gt;0,0,AA15+V15*Z15)*Z15</f>
        <v>0</v>
      </c>
      <c r="AC15" s="276">
        <f>IF(O15&gt;0,(N15-AA15)/2,IF(AD15&gt;=AG15,(((N15*U15)*Z15)-AB15)/2,((((N15*U15)*Z15)-AA15)+(((N15*U15)*Z15)-AB15))/2))</f>
        <v>14712</v>
      </c>
      <c r="AD15" s="248">
        <f>$E15+(($F15-1)/12)</f>
        <v>2015.75</v>
      </c>
      <c r="AE15" s="248">
        <v>2013</v>
      </c>
      <c r="AF15" s="248">
        <f>$K15+(($F15-1)/12)</f>
        <v>2020.75</v>
      </c>
      <c r="AG15" s="248">
        <v>2012</v>
      </c>
      <c r="AH15" s="248">
        <f>$L15+(($M15-1)/12)</f>
        <v>-0.08333333333333333</v>
      </c>
      <c r="AI15" s="277"/>
    </row>
    <row r="16" spans="1:34" ht="11.25">
      <c r="A16" s="267"/>
      <c r="B16" s="267"/>
      <c r="C16" s="246"/>
      <c r="D16" s="268"/>
      <c r="E16" s="270"/>
      <c r="F16" s="270"/>
      <c r="G16" s="273"/>
      <c r="H16" s="248"/>
      <c r="I16" s="246"/>
      <c r="J16" s="270"/>
      <c r="K16" s="247"/>
      <c r="N16" s="278"/>
      <c r="O16" s="275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48"/>
      <c r="AE16" s="248"/>
      <c r="AF16" s="248"/>
      <c r="AG16" s="248"/>
      <c r="AH16" s="248"/>
    </row>
    <row r="17" spans="1:34" ht="12" thickBot="1">
      <c r="A17" s="297"/>
      <c r="B17" s="297"/>
      <c r="C17" s="298"/>
      <c r="D17" s="299" t="s">
        <v>158</v>
      </c>
      <c r="E17" s="300"/>
      <c r="F17" s="300"/>
      <c r="G17" s="301"/>
      <c r="H17" s="302"/>
      <c r="I17" s="303"/>
      <c r="J17" s="304"/>
      <c r="K17" s="305"/>
      <c r="L17" s="298"/>
      <c r="M17" s="298"/>
      <c r="N17" s="306">
        <f>SUM(N14:N16)</f>
        <v>34811.522429906545</v>
      </c>
      <c r="O17" s="307"/>
      <c r="P17" s="306">
        <f>SUM(P14:P16)</f>
        <v>23323.720028037384</v>
      </c>
      <c r="Q17" s="306">
        <f>SUM(Q14:Q16)</f>
        <v>388.72866713395644</v>
      </c>
      <c r="R17" s="306">
        <f>SUM(R14:R16)</f>
        <v>721.9280056074765</v>
      </c>
      <c r="S17" s="308"/>
      <c r="T17" s="306">
        <f>SUM(T14:T16)</f>
        <v>721.9280056074765</v>
      </c>
      <c r="U17" s="308"/>
      <c r="V17" s="306">
        <f>SUM(V14:V16)</f>
        <v>721.9280056074765</v>
      </c>
      <c r="W17" s="306"/>
      <c r="X17" s="306">
        <f>SUM(X14:X16)</f>
        <v>60.160667133901654</v>
      </c>
      <c r="Y17" s="306">
        <f>SUM(Y14:Y16)</f>
        <v>60.160667133901654</v>
      </c>
      <c r="Z17" s="306"/>
      <c r="AA17" s="306">
        <f>SUM(AA14:AA16)</f>
        <v>60.160667133901654</v>
      </c>
      <c r="AB17" s="306">
        <f>SUM(AB14:AB16)</f>
        <v>782.0886727413781</v>
      </c>
      <c r="AC17" s="306">
        <f>SUM(AC14:AC16)</f>
        <v>19678.397759968902</v>
      </c>
      <c r="AD17" s="248"/>
      <c r="AE17" s="248"/>
      <c r="AF17" s="248"/>
      <c r="AG17" s="248"/>
      <c r="AH17" s="248"/>
    </row>
    <row r="18" spans="1:34" ht="11.25">
      <c r="A18" s="283"/>
      <c r="B18" s="283"/>
      <c r="C18" s="284"/>
      <c r="D18" s="285"/>
      <c r="E18" s="285"/>
      <c r="F18" s="285"/>
      <c r="G18" s="286"/>
      <c r="H18" s="287"/>
      <c r="I18" s="288"/>
      <c r="J18" s="289"/>
      <c r="K18" s="290"/>
      <c r="L18" s="284"/>
      <c r="M18" s="284"/>
      <c r="N18" s="291"/>
      <c r="O18" s="292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48"/>
      <c r="AE18" s="248"/>
      <c r="AF18" s="248"/>
      <c r="AG18" s="248"/>
      <c r="AH18" s="248"/>
    </row>
    <row r="19" spans="1:34" ht="11.25">
      <c r="A19" s="267"/>
      <c r="B19" s="267"/>
      <c r="D19" s="272" t="s">
        <v>159</v>
      </c>
      <c r="E19" s="268"/>
      <c r="F19" s="268"/>
      <c r="G19" s="269"/>
      <c r="H19" s="248"/>
      <c r="I19" s="246"/>
      <c r="J19" s="270"/>
      <c r="K19" s="247"/>
      <c r="N19" s="278"/>
      <c r="O19" s="279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48"/>
      <c r="AE19" s="248"/>
      <c r="AF19" s="248"/>
      <c r="AG19" s="248"/>
      <c r="AH19" s="248"/>
    </row>
    <row r="20" spans="1:34" ht="11.25">
      <c r="A20" s="267"/>
      <c r="B20" s="267"/>
      <c r="D20" s="268" t="s">
        <v>160</v>
      </c>
      <c r="E20" s="270">
        <v>1997</v>
      </c>
      <c r="F20" s="270">
        <v>8</v>
      </c>
      <c r="G20" s="269">
        <v>0</v>
      </c>
      <c r="H20" s="248"/>
      <c r="I20" s="246" t="s">
        <v>52</v>
      </c>
      <c r="J20" s="270">
        <v>7</v>
      </c>
      <c r="K20" s="247">
        <f>E20+J20</f>
        <v>2004</v>
      </c>
      <c r="N20" s="278">
        <v>4119.2</v>
      </c>
      <c r="O20" s="279"/>
      <c r="P20" s="276">
        <f>N20-N20*G20</f>
        <v>4119.2</v>
      </c>
      <c r="Q20" s="276">
        <f>P20/J20/12</f>
        <v>49.03809523809523</v>
      </c>
      <c r="R20" s="276">
        <f>IF(O20&gt;0,0,IF(OR(AD20&gt;AE20,AF20&lt;AG20),0,IF(AND(AF20&gt;=AG20,AF20&lt;=AE20),Q20*((AF20-AG20)*12),IF(AND(AG20&lt;=AD20,AE20&gt;=AD20),((AE20-AD20)*12)*Q20,IF(AF20&gt;AE20,12*Q20,0)))))</f>
        <v>0</v>
      </c>
      <c r="S20" s="276"/>
      <c r="T20" s="276">
        <f>IF(S20&gt;0,S20,R20)</f>
        <v>0</v>
      </c>
      <c r="U20" s="276">
        <v>1</v>
      </c>
      <c r="V20" s="276">
        <f>U20*SUM(R20:S20)</f>
        <v>0</v>
      </c>
      <c r="W20" s="276"/>
      <c r="X20" s="276">
        <f>IF(AD20&gt;AE20,0,IF(AF20&lt;AG20,P20,IF(AND(AF20&gt;=AG20,AF20&lt;=AE20),(P20-T20),IF(AND(AG20&lt;=AD20,AE20&gt;=AD20),0,IF(AF20&gt;AE20,((AG20-AD20)*12)*Q20,0)))))</f>
        <v>4119.2</v>
      </c>
      <c r="Y20" s="276">
        <f>X20*U20</f>
        <v>4119.2</v>
      </c>
      <c r="Z20" s="276">
        <v>1</v>
      </c>
      <c r="AA20" s="276">
        <f>Y20*Z20</f>
        <v>4119.2</v>
      </c>
      <c r="AB20" s="276">
        <f>IF(O20&gt;0,0,AA20+V20*Z20)*Z20</f>
        <v>4119.2</v>
      </c>
      <c r="AC20" s="276">
        <f>IF(O20&gt;0,(N20-AA20)/2,IF(AD20&gt;=AG20,(((N20*U20)*Z20)-AB20)/2,((((N20*U20)*Z20)-AA20)+(((N20*U20)*Z20)-AB20))/2))</f>
        <v>0</v>
      </c>
      <c r="AD20" s="248">
        <f>$E20+(($F20-1)/12)</f>
        <v>1997.5833333333333</v>
      </c>
      <c r="AE20" s="248">
        <f>($P$5+1)-($P$2/12)</f>
        <v>2016</v>
      </c>
      <c r="AF20" s="248">
        <f>$K20+(($F20-1)/12)</f>
        <v>2004.5833333333333</v>
      </c>
      <c r="AG20" s="248">
        <f>$P$4+($P$3/12)</f>
        <v>2015</v>
      </c>
      <c r="AH20" s="248">
        <f>$L20+(($M20-1)/12)</f>
        <v>-0.08333333333333333</v>
      </c>
    </row>
    <row r="21" spans="1:35" ht="11.25">
      <c r="A21" s="244">
        <v>102174</v>
      </c>
      <c r="C21" s="246">
        <v>48</v>
      </c>
      <c r="D21" s="280" t="s">
        <v>186</v>
      </c>
      <c r="E21" s="269">
        <v>2010</v>
      </c>
      <c r="F21" s="269">
        <v>7</v>
      </c>
      <c r="G21" s="273">
        <v>0.2</v>
      </c>
      <c r="I21" s="246" t="s">
        <v>52</v>
      </c>
      <c r="J21" s="246">
        <v>7</v>
      </c>
      <c r="K21" s="269">
        <f>E21+J21</f>
        <v>2017</v>
      </c>
      <c r="N21" s="278">
        <f>33819</f>
        <v>33819</v>
      </c>
      <c r="O21" s="279"/>
      <c r="P21" s="276">
        <f>N21-N21*G21</f>
        <v>27055.2</v>
      </c>
      <c r="Q21" s="276">
        <f>P21/J21/12</f>
        <v>322.0857142857143</v>
      </c>
      <c r="R21" s="276">
        <f>IF(O21&gt;0,0,IF(OR(AD21&gt;AE21,AF21&lt;AG21),0,IF(AND(AF21&gt;=AG21,AF21&lt;=AE21),Q21*((AF21-AG21)*12),IF(AND(AG21&lt;=AD21,AE21&gt;=AD21),((AE21-AD21)*12)*Q21,IF(AF21&gt;AE21,12*Q21,0)))))</f>
        <v>3865.0285714285715</v>
      </c>
      <c r="S21" s="276"/>
      <c r="T21" s="276">
        <f>IF(S21&gt;0,S21,R21)</f>
        <v>3865.0285714285715</v>
      </c>
      <c r="U21" s="276">
        <v>1</v>
      </c>
      <c r="V21" s="276">
        <f>U21*SUM(R21:S21)</f>
        <v>3865.0285714285715</v>
      </c>
      <c r="W21" s="276"/>
      <c r="X21" s="276">
        <f>IF(AD21&gt;AE21,0,IF(AF21&lt;AG21,P21,IF(AND(AF21&gt;=AG21,AF21&lt;=AE21),(P21-T21),IF(AND(AG21&lt;=AD21,AE21&gt;=AD21),0,IF(AF21&gt;AE21,((AG21-AD21)*12)*Q21,0)))))</f>
        <v>5797.542857142857</v>
      </c>
      <c r="Y21" s="276">
        <f>X21*U21</f>
        <v>5797.542857142857</v>
      </c>
      <c r="Z21" s="276">
        <v>1</v>
      </c>
      <c r="AA21" s="276">
        <f>Y21*Z21</f>
        <v>5797.542857142857</v>
      </c>
      <c r="AB21" s="276">
        <f>IF(O21&gt;0,0,AA21+V21*Z21)*Z21</f>
        <v>9662.57142857143</v>
      </c>
      <c r="AC21" s="276">
        <f>IF(O21&gt;0,(N21-AA21)/2,IF(AD21&gt;=AG21,(((N21*U21)*Z21)-AB21)/2,((((N21*U21)*Z21)-AA21)+(((N21*U21)*Z21)-AB21))/2))</f>
        <v>26088.942857142858</v>
      </c>
      <c r="AD21" s="248">
        <f>$E21+(($F21-1)/12)</f>
        <v>2010.5</v>
      </c>
      <c r="AE21" s="248">
        <v>2013</v>
      </c>
      <c r="AF21" s="248">
        <f>$K21+(($F21-1)/12)</f>
        <v>2017.5</v>
      </c>
      <c r="AG21" s="248">
        <v>2012</v>
      </c>
      <c r="AH21" s="248">
        <f>$L21+(($M21-1)/12)</f>
        <v>-0.08333333333333333</v>
      </c>
      <c r="AI21" s="277"/>
    </row>
    <row r="22" spans="1:34" ht="11.25">
      <c r="A22" s="244">
        <v>93780</v>
      </c>
      <c r="C22" s="246" t="s">
        <v>184</v>
      </c>
      <c r="D22" s="268" t="s">
        <v>185</v>
      </c>
      <c r="E22" s="270">
        <v>2012</v>
      </c>
      <c r="F22" s="270">
        <v>5</v>
      </c>
      <c r="G22" s="269">
        <v>0</v>
      </c>
      <c r="H22" s="248"/>
      <c r="I22" s="246" t="s">
        <v>52</v>
      </c>
      <c r="J22" s="270">
        <v>7</v>
      </c>
      <c r="K22" s="247">
        <f>E22+J22</f>
        <v>2019</v>
      </c>
      <c r="N22" s="278">
        <f>26700</f>
        <v>26700</v>
      </c>
      <c r="O22" s="279"/>
      <c r="P22" s="276">
        <f>N22-N22*G22</f>
        <v>26700</v>
      </c>
      <c r="Q22" s="276">
        <f>P22/J22/12</f>
        <v>317.85714285714283</v>
      </c>
      <c r="R22" s="276">
        <f>IF(O22&gt;0,0,IF(OR(AD22&gt;AE22,AF22&lt;AG22),0,IF(AND(AF22&gt;=AG22,AF22&lt;=AE22),Q22*((AF22-AG22)*12),IF(AND(AG22&lt;=AD22,AE22&gt;=AD22),((AE22-AD22)*12)*Q22,IF(AF22&gt;AE22,12*Q22,0)))))</f>
        <v>3814.2857142857138</v>
      </c>
      <c r="S22" s="276"/>
      <c r="T22" s="276">
        <f>IF(S22&gt;0,S22,R22)</f>
        <v>3814.2857142857138</v>
      </c>
      <c r="U22" s="276">
        <v>1</v>
      </c>
      <c r="V22" s="276">
        <f>U22*SUM(R22:S22)</f>
        <v>3814.2857142857138</v>
      </c>
      <c r="W22" s="276"/>
      <c r="X22" s="276">
        <f>IF(AD22&gt;AE22,0,IF(AF22&lt;AG22,P22,IF(AND(AF22&gt;=AG22,AF22&lt;=AE22),(P22-T22),IF(AND(AG22&lt;=AD22,AE22&gt;=AD22),0,IF(AF22&gt;AE22,((AG22-AD22)*12)*Q22,0)))))</f>
        <v>10171.42857142886</v>
      </c>
      <c r="Y22" s="276">
        <f>X22*U22</f>
        <v>10171.42857142886</v>
      </c>
      <c r="Z22" s="276">
        <v>1</v>
      </c>
      <c r="AA22" s="276">
        <f>Y22*Z22</f>
        <v>10171.42857142886</v>
      </c>
      <c r="AB22" s="276">
        <f>IF(O22&gt;0,0,AA22+V22*Z22)*Z22</f>
        <v>13985.714285714574</v>
      </c>
      <c r="AC22" s="276">
        <f>IF(O22&gt;0,(N22-AA22)/2,IF(AD22&gt;=AG22,(((N22*U22)*Z22)-AB22)/2,((((N22*U22)*Z22)-AA22)+(((N22*U22)*Z22)-AB22))/2))</f>
        <v>14621.428571428283</v>
      </c>
      <c r="AD22" s="248">
        <f>$E22+(($F22-1)/12)</f>
        <v>2012.3333333333333</v>
      </c>
      <c r="AE22" s="248">
        <f>($P$5+1)-($P$2/12)</f>
        <v>2016</v>
      </c>
      <c r="AF22" s="248">
        <f>$K22+(($F22-1)/12)</f>
        <v>2019.3333333333333</v>
      </c>
      <c r="AG22" s="248">
        <f>$P$4+($P$3/12)</f>
        <v>2015</v>
      </c>
      <c r="AH22" s="248">
        <f>$L22+(($M22-1)/12)</f>
        <v>-0.08333333333333333</v>
      </c>
    </row>
    <row r="23" spans="1:34" ht="11.25">
      <c r="A23" s="267"/>
      <c r="B23" s="267"/>
      <c r="D23" s="268"/>
      <c r="E23" s="268"/>
      <c r="F23" s="268"/>
      <c r="G23" s="269"/>
      <c r="H23" s="248"/>
      <c r="I23" s="246"/>
      <c r="J23" s="270"/>
      <c r="K23" s="247"/>
      <c r="N23" s="278"/>
      <c r="O23" s="279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48"/>
      <c r="AE23" s="248"/>
      <c r="AF23" s="248"/>
      <c r="AG23" s="248"/>
      <c r="AH23" s="248"/>
    </row>
    <row r="24" spans="1:29" ht="12" thickBot="1">
      <c r="A24" s="297"/>
      <c r="B24" s="297"/>
      <c r="C24" s="298"/>
      <c r="D24" s="299" t="s">
        <v>161</v>
      </c>
      <c r="E24" s="300"/>
      <c r="F24" s="300"/>
      <c r="G24" s="298"/>
      <c r="H24" s="298"/>
      <c r="I24" s="298"/>
      <c r="J24" s="304"/>
      <c r="K24" s="309"/>
      <c r="L24" s="298"/>
      <c r="M24" s="298"/>
      <c r="N24" s="306">
        <f>SUM(N20:N23)</f>
        <v>64638.2</v>
      </c>
      <c r="O24" s="310"/>
      <c r="P24" s="306">
        <f>SUM(P20:P23)</f>
        <v>57874.4</v>
      </c>
      <c r="Q24" s="306">
        <f>SUM(Q20:Q23)</f>
        <v>688.9809523809524</v>
      </c>
      <c r="R24" s="306">
        <f>SUM(R20:R23)</f>
        <v>7679.314285714285</v>
      </c>
      <c r="S24" s="306"/>
      <c r="T24" s="306">
        <f>SUM(T20:T23)</f>
        <v>7679.314285714285</v>
      </c>
      <c r="U24" s="310"/>
      <c r="V24" s="306">
        <f>SUM(V20:V23)</f>
        <v>7679.314285714285</v>
      </c>
      <c r="W24" s="310"/>
      <c r="X24" s="310"/>
      <c r="Y24" s="310"/>
      <c r="Z24" s="310"/>
      <c r="AA24" s="306">
        <f>SUM(AA20:AA23)</f>
        <v>20088.171428571717</v>
      </c>
      <c r="AB24" s="306">
        <f>SUM(AB20:AB23)</f>
        <v>27767.485714286002</v>
      </c>
      <c r="AC24" s="306">
        <f>SUM(AC20:AC23)</f>
        <v>40710.37142857114</v>
      </c>
    </row>
    <row r="25" spans="1:29" ht="11.25">
      <c r="A25" s="283"/>
      <c r="B25" s="283"/>
      <c r="C25" s="284"/>
      <c r="D25" s="285"/>
      <c r="E25" s="285"/>
      <c r="F25" s="285"/>
      <c r="G25" s="284"/>
      <c r="H25" s="284"/>
      <c r="I25" s="284"/>
      <c r="J25" s="289"/>
      <c r="K25" s="294"/>
      <c r="L25" s="284"/>
      <c r="M25" s="284"/>
      <c r="N25" s="295"/>
      <c r="O25" s="292"/>
      <c r="P25" s="295"/>
      <c r="Q25" s="295"/>
      <c r="R25" s="295"/>
      <c r="S25" s="295"/>
      <c r="T25" s="295"/>
      <c r="U25" s="292"/>
      <c r="V25" s="295"/>
      <c r="W25" s="295"/>
      <c r="X25" s="295"/>
      <c r="Y25" s="295"/>
      <c r="Z25" s="295"/>
      <c r="AA25" s="295"/>
      <c r="AB25" s="295"/>
      <c r="AC25" s="295"/>
    </row>
    <row r="26" spans="4:29" ht="11.25">
      <c r="D26" s="272" t="s">
        <v>162</v>
      </c>
      <c r="E26" s="268"/>
      <c r="F26" s="268"/>
      <c r="J26" s="270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</row>
    <row r="27" spans="4:29" ht="11.25">
      <c r="D27" s="268" t="s">
        <v>57</v>
      </c>
      <c r="E27" s="268" t="s">
        <v>57</v>
      </c>
      <c r="F27" s="268"/>
      <c r="J27" s="270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</row>
    <row r="28" spans="4:34" ht="11.25">
      <c r="D28" s="268" t="s">
        <v>181</v>
      </c>
      <c r="E28" s="269">
        <v>2010</v>
      </c>
      <c r="F28" s="247">
        <v>12</v>
      </c>
      <c r="G28" s="282"/>
      <c r="I28" s="246" t="s">
        <v>52</v>
      </c>
      <c r="J28" s="270">
        <v>5</v>
      </c>
      <c r="K28" s="247">
        <f>E28+J28</f>
        <v>2015</v>
      </c>
      <c r="N28" s="278">
        <v>875</v>
      </c>
      <c r="O28" s="279"/>
      <c r="P28" s="276">
        <f>N28-N28*G28</f>
        <v>875</v>
      </c>
      <c r="Q28" s="276">
        <f>P28/J28/12</f>
        <v>14.583333333333334</v>
      </c>
      <c r="R28" s="276">
        <f>IF(O28&gt;0,0,IF(OR(AD28&gt;AE28,AF28&lt;AG28),0,IF(AND(AF28&gt;=AG28,AF28&lt;=AE28),Q28*((AF28-AG28)*12),IF(AND(AG28&lt;=AD28,AE28&gt;=AD28),((AE28-AD28)*12)*Q28,IF(AF28&gt;AE28,12*Q28,0)))))</f>
        <v>160.41666666667993</v>
      </c>
      <c r="S28" s="276"/>
      <c r="T28" s="276">
        <f>IF(S28&gt;0,S28,R28)</f>
        <v>160.41666666667993</v>
      </c>
      <c r="U28" s="276">
        <v>1</v>
      </c>
      <c r="V28" s="276">
        <f>U28*SUM(R28:S28)</f>
        <v>160.41666666667993</v>
      </c>
      <c r="W28" s="276"/>
      <c r="X28" s="276">
        <f>IF(AD28&gt;AE28,0,IF(AF28&lt;AG28,P28,IF(AND(AF28&gt;=AG28,AF28&lt;=AE28),(P28-T28),IF(AND(AG28&lt;=AD28,AE28&gt;=AD28),0,IF(AF28&gt;AE28,((AG28-AD28)*12)*Q28,0)))))</f>
        <v>714.5833333333201</v>
      </c>
      <c r="Y28" s="276">
        <f>X28*U28</f>
        <v>714.5833333333201</v>
      </c>
      <c r="Z28" s="276">
        <v>1</v>
      </c>
      <c r="AA28" s="276">
        <f>Y28*Z28</f>
        <v>714.5833333333201</v>
      </c>
      <c r="AB28" s="276">
        <f>IF(O28&gt;0,0,AA28+V28*Z28)*Z28</f>
        <v>875</v>
      </c>
      <c r="AC28" s="276">
        <f>IF(O28&gt;0,(N28-AA28)/2,IF(AD28&gt;=AG28,(((N28*U28)*Z28)-AB28)/2,((((N28*U28)*Z28)-AA28)+(((N28*U28)*Z28)-AB28))/2))</f>
        <v>80.20833333333997</v>
      </c>
      <c r="AD28" s="248">
        <f>$E28+(($F28-1)/12)</f>
        <v>2010.9166666666667</v>
      </c>
      <c r="AE28" s="248">
        <f>($P$5+1)-($P$2/12)</f>
        <v>2016</v>
      </c>
      <c r="AF28" s="248">
        <f>$K28+(($F28-1)/12)</f>
        <v>2015.9166666666667</v>
      </c>
      <c r="AG28" s="248">
        <f>$P$4+($P$3/12)</f>
        <v>2015</v>
      </c>
      <c r="AH28" s="248">
        <f>$L28+(($M28-1)/12)</f>
        <v>-0.08333333333333333</v>
      </c>
    </row>
    <row r="29" spans="4:34" ht="11.25">
      <c r="D29" s="268"/>
      <c r="E29" s="247"/>
      <c r="F29" s="247"/>
      <c r="G29" s="282"/>
      <c r="I29" s="246"/>
      <c r="J29" s="270"/>
      <c r="K29" s="247"/>
      <c r="N29" s="278"/>
      <c r="O29" s="279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48"/>
      <c r="AE29" s="248"/>
      <c r="AF29" s="248"/>
      <c r="AG29" s="248"/>
      <c r="AH29" s="248"/>
    </row>
    <row r="30" spans="1:29" ht="12" thickBot="1">
      <c r="A30" s="298"/>
      <c r="B30" s="298"/>
      <c r="C30" s="298"/>
      <c r="D30" s="299" t="s">
        <v>163</v>
      </c>
      <c r="E30" s="304"/>
      <c r="F30" s="304"/>
      <c r="G30" s="298"/>
      <c r="H30" s="298"/>
      <c r="I30" s="298"/>
      <c r="J30" s="304"/>
      <c r="K30" s="309"/>
      <c r="L30" s="298"/>
      <c r="M30" s="298"/>
      <c r="N30" s="311">
        <f>SUM(N28:N29)</f>
        <v>875</v>
      </c>
      <c r="O30" s="310"/>
      <c r="P30" s="311">
        <f>SUM(P28:P29)</f>
        <v>875</v>
      </c>
      <c r="Q30" s="311">
        <f>SUM(Q28:Q29)</f>
        <v>14.583333333333334</v>
      </c>
      <c r="R30" s="311">
        <f>SUM(R28:R29)</f>
        <v>160.41666666667993</v>
      </c>
      <c r="S30" s="311"/>
      <c r="T30" s="311">
        <f>SUM(T28:T29)</f>
        <v>160.41666666667993</v>
      </c>
      <c r="U30" s="311"/>
      <c r="V30" s="311">
        <f>SUM(V28:V29)</f>
        <v>160.41666666667993</v>
      </c>
      <c r="W30" s="311"/>
      <c r="X30" s="311">
        <f>SUM(X28:X29)</f>
        <v>714.5833333333201</v>
      </c>
      <c r="Y30" s="311">
        <f>SUM(Y28:Y29)</f>
        <v>714.5833333333201</v>
      </c>
      <c r="Z30" s="311"/>
      <c r="AA30" s="311">
        <f>SUM(AA28:AA29)</f>
        <v>714.5833333333201</v>
      </c>
      <c r="AB30" s="311">
        <f>SUM(AB28:AB29)</f>
        <v>875</v>
      </c>
      <c r="AC30" s="311">
        <f>SUM(AC28:AC29)</f>
        <v>80.20833333333997</v>
      </c>
    </row>
    <row r="31" spans="1:29" ht="11.25">
      <c r="A31" s="284"/>
      <c r="B31" s="284"/>
      <c r="C31" s="284"/>
      <c r="D31" s="296"/>
      <c r="E31" s="285"/>
      <c r="F31" s="285"/>
      <c r="G31" s="284"/>
      <c r="H31" s="284"/>
      <c r="I31" s="284"/>
      <c r="J31" s="289"/>
      <c r="K31" s="294"/>
      <c r="L31" s="284"/>
      <c r="M31" s="284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</row>
    <row r="32" spans="1:29" ht="12" thickBot="1">
      <c r="A32" s="312"/>
      <c r="B32" s="312"/>
      <c r="C32" s="312"/>
      <c r="D32" s="313" t="s">
        <v>217</v>
      </c>
      <c r="E32" s="314"/>
      <c r="F32" s="314"/>
      <c r="G32" s="312"/>
      <c r="H32" s="312"/>
      <c r="I32" s="312"/>
      <c r="J32" s="315"/>
      <c r="K32" s="316"/>
      <c r="L32" s="312"/>
      <c r="M32" s="312"/>
      <c r="N32" s="317">
        <f>N30+N24+N17</f>
        <v>100324.72242990654</v>
      </c>
      <c r="O32" s="318"/>
      <c r="P32" s="317">
        <f>P30+P24+P17</f>
        <v>82073.12002803739</v>
      </c>
      <c r="Q32" s="317">
        <f>Q30+Q24+Q17</f>
        <v>1092.2929528482423</v>
      </c>
      <c r="R32" s="317">
        <f>R30+R24+R17</f>
        <v>8561.65895798844</v>
      </c>
      <c r="S32" s="318"/>
      <c r="T32" s="317">
        <f>T30+T24+T17</f>
        <v>8561.65895798844</v>
      </c>
      <c r="U32" s="318"/>
      <c r="V32" s="317">
        <f>V30+V24+V17</f>
        <v>8561.65895798844</v>
      </c>
      <c r="W32" s="318"/>
      <c r="X32" s="317">
        <f>X30+X24+X17</f>
        <v>774.7440004672217</v>
      </c>
      <c r="Y32" s="317">
        <f>Y30+Y24+Y17</f>
        <v>774.7440004672217</v>
      </c>
      <c r="Z32" s="318"/>
      <c r="AA32" s="317">
        <f>AA30+AA24+AA17</f>
        <v>20862.91542903894</v>
      </c>
      <c r="AB32" s="317">
        <f>AB30+AB24+AB17</f>
        <v>29424.57438702738</v>
      </c>
      <c r="AC32" s="317">
        <f>AC30+AC24+AC17</f>
        <v>60468.977521873385</v>
      </c>
    </row>
    <row r="33" spans="1:29" ht="12" thickTop="1">
      <c r="A33" s="284"/>
      <c r="B33" s="284"/>
      <c r="C33" s="284"/>
      <c r="D33" s="284"/>
      <c r="E33" s="284"/>
      <c r="F33" s="284"/>
      <c r="G33" s="284"/>
      <c r="H33" s="284"/>
      <c r="I33" s="284"/>
      <c r="J33" s="288"/>
      <c r="K33" s="29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</row>
    <row r="37" spans="1:34" ht="11.25">
      <c r="A37" s="267"/>
      <c r="B37" s="267"/>
      <c r="C37" s="246"/>
      <c r="D37" s="268"/>
      <c r="E37" s="270"/>
      <c r="F37" s="270"/>
      <c r="G37" s="273"/>
      <c r="H37" s="248"/>
      <c r="I37" s="246"/>
      <c r="J37" s="270"/>
      <c r="K37" s="247"/>
      <c r="N37" s="267"/>
      <c r="O37" s="271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</row>
  </sheetData>
  <sheetProtection/>
  <printOptions/>
  <pageMargins left="0.75" right="0.75" top="1" bottom="1" header="0.5" footer="0.5"/>
  <pageSetup fitToHeight="3" fitToWidth="1" horizontalDpi="600" verticalDpi="600" orientation="landscape" scale="90" r:id="rId3"/>
  <colBreaks count="1" manualBreakCount="1">
    <brk id="2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LDemas</dc:creator>
  <cp:keywords/>
  <dc:description/>
  <cp:lastModifiedBy>Heather Garland</cp:lastModifiedBy>
  <cp:lastPrinted>2017-01-13T20:27:20Z</cp:lastPrinted>
  <dcterms:created xsi:type="dcterms:W3CDTF">2002-08-20T15:57:59Z</dcterms:created>
  <dcterms:modified xsi:type="dcterms:W3CDTF">2017-01-13T20:27:47Z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CaseCompanyNam">
    <vt:lpwstr>MURREY'S DISPOSAL COMPANY, INC.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170036</vt:lpwstr>
  </property>
  <property fmtid="{D5CDD505-2E9C-101B-9397-08002B2CF9AE}" pid="9" name="Visibili">
    <vt:lpwstr>Full Visibility</vt:lpwstr>
  </property>
  <property fmtid="{D5CDD505-2E9C-101B-9397-08002B2CF9AE}" pid="10" name="Dat">
    <vt:lpwstr>2017-01-13T00:00:00Z</vt:lpwstr>
  </property>
  <property fmtid="{D5CDD505-2E9C-101B-9397-08002B2CF9AE}" pid="11" name="Nickna">
    <vt:lpwstr/>
  </property>
  <property fmtid="{D5CDD505-2E9C-101B-9397-08002B2CF9AE}" pid="12" name="Proce">
    <vt:lpwstr/>
  </property>
  <property fmtid="{D5CDD505-2E9C-101B-9397-08002B2CF9AE}" pid="13" name="_docset_NoMedatataSyncRequir">
    <vt:lpwstr>False</vt:lpwstr>
  </property>
  <property fmtid="{D5CDD505-2E9C-101B-9397-08002B2CF9AE}" pid="14" name="CaseTy">
    <vt:lpwstr>Tariff Revision</vt:lpwstr>
  </property>
  <property fmtid="{D5CDD505-2E9C-101B-9397-08002B2CF9AE}" pid="15" name="OpenedDa">
    <vt:lpwstr>2017-01-13T00:00:00Z</vt:lpwstr>
  </property>
  <property fmtid="{D5CDD505-2E9C-101B-9397-08002B2CF9AE}" pid="16" name="Pref">
    <vt:lpwstr>TG</vt:lpwstr>
  </property>
  <property fmtid="{D5CDD505-2E9C-101B-9397-08002B2CF9AE}" pid="17" name="IndustryCo">
    <vt:lpwstr>227</vt:lpwstr>
  </property>
  <property fmtid="{D5CDD505-2E9C-101B-9397-08002B2CF9AE}" pid="18" name="CaseStat">
    <vt:lpwstr>Closed</vt:lpwstr>
  </property>
  <property fmtid="{D5CDD505-2E9C-101B-9397-08002B2CF9AE}" pid="19" name="DocumentGro">
    <vt:lpwstr/>
  </property>
</Properties>
</file>