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SM\Program Mgmt\WA\Filings\Collections\April 2021 analysis\"/>
    </mc:Choice>
  </mc:AlternateContent>
  <xr:revisionPtr revIDLastSave="0" documentId="8_{5EDB1329-364A-4E31-900A-52667982CE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BC Balancing Acct-current rate" sheetId="9" r:id="rId1"/>
    <sheet name="2020-2021 Spend Forecast " sheetId="5" r:id="rId2"/>
    <sheet name="% alloc by month 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0" localSheetId="1">[1]Jan!#REF!</definedName>
    <definedName name="\0">[2]Jan!#REF!</definedName>
    <definedName name="\A" localSheetId="1">#REF!</definedName>
    <definedName name="\A">#REF!</definedName>
    <definedName name="\B" localSheetId="1">#REF!</definedName>
    <definedName name="\B">#REF!</definedName>
    <definedName name="\BACK1" localSheetId="1">#REF!</definedName>
    <definedName name="\BACK1">#REF!</definedName>
    <definedName name="\BLOCK" localSheetId="1">#REF!</definedName>
    <definedName name="\BLOCK">#REF!</definedName>
    <definedName name="\BLOCKT" localSheetId="1">#REF!</definedName>
    <definedName name="\BLOCKT">#REF!</definedName>
    <definedName name="\C" localSheetId="1">#REF!</definedName>
    <definedName name="\C">#REF!</definedName>
    <definedName name="\COMP" localSheetId="1">#REF!</definedName>
    <definedName name="\COMP">#REF!</definedName>
    <definedName name="\COMPT" localSheetId="1">#REF!</definedName>
    <definedName name="\COMPT">#REF!</definedName>
    <definedName name="\G" localSheetId="1">#REF!</definedName>
    <definedName name="\G">#REF!</definedName>
    <definedName name="\I" localSheetId="1">#REF!</definedName>
    <definedName name="\I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1">[1]Jan!#REF!</definedName>
    <definedName name="\M">[2]Jan!#REF!</definedName>
    <definedName name="\P" localSheetId="1">#REF!</definedName>
    <definedName name="\P">#REF!</definedName>
    <definedName name="\Q" localSheetId="1">[3]Actual!#REF!</definedName>
    <definedName name="\Q">[3]Actual!#REF!</definedName>
    <definedName name="\R" localSheetId="1">#REF!</definedName>
    <definedName name="\R">#REF!</definedName>
    <definedName name="\S" localSheetId="1">#REF!</definedName>
    <definedName name="\S">#REF!</definedName>
    <definedName name="\TABLE1" localSheetId="1">#REF!</definedName>
    <definedName name="\TABLE1">#REF!</definedName>
    <definedName name="\TABLE2" localSheetId="1">#REF!</definedName>
    <definedName name="\TABLE2">#REF!</definedName>
    <definedName name="\TABLEA" localSheetId="1">#REF!</definedName>
    <definedName name="\TABLEA">#REF!</definedName>
    <definedName name="\TBL2" localSheetId="1">#REF!</definedName>
    <definedName name="\TBL2">#REF!</definedName>
    <definedName name="\TBL3" localSheetId="1">#REF!</definedName>
    <definedName name="\TBL3">#REF!</definedName>
    <definedName name="\TBL4" localSheetId="1">#REF!</definedName>
    <definedName name="\TBL4">#REF!</definedName>
    <definedName name="\TBL5" localSheetId="1">#REF!</definedName>
    <definedName name="\TBL5">#REF!</definedName>
    <definedName name="\W" localSheetId="1">#REF!</definedName>
    <definedName name="\W">#REF!</definedName>
    <definedName name="\WORK1" localSheetId="1">#REF!</definedName>
    <definedName name="\WORK1">#REF!</definedName>
    <definedName name="\X" localSheetId="1">#REF!</definedName>
    <definedName name="\X">#REF!</definedName>
    <definedName name="\Z" localSheetId="1">#REF!</definedName>
    <definedName name="\Z">#REF!</definedName>
    <definedName name="_______DEC96" localSheetId="1">#REF!</definedName>
    <definedName name="_______DEC96">#REF!</definedName>
    <definedName name="______DEC96" localSheetId="1">#REF!</definedName>
    <definedName name="______DEC96">#REF!</definedName>
    <definedName name="_____DEC96" localSheetId="1">#REF!</definedName>
    <definedName name="_____DEC96">#REF!</definedName>
    <definedName name="____DEC96" localSheetId="1">#REF!</definedName>
    <definedName name="____DEC96">#REF!</definedName>
    <definedName name="___DAT10">'[4]Am Red Cross-Old'!$B$2:$B$20</definedName>
    <definedName name="___DEC96" localSheetId="1">#REF!</definedName>
    <definedName name="___DEC96">#REF!</definedName>
    <definedName name="__123Graph_A" hidden="1">[5]Inputs!#REF!</definedName>
    <definedName name="__123Graph_B" hidden="1">[5]Inputs!#REF!</definedName>
    <definedName name="__123Graph_D" hidden="1">[5]Inputs!#REF!</definedName>
    <definedName name="__DEC96" localSheetId="1">#REF!</definedName>
    <definedName name="__DEC96">#REF!</definedName>
    <definedName name="_1Price_Ta">#REF!</definedName>
    <definedName name="_2Price_Ta">#REF!</definedName>
    <definedName name="_B" localSheetId="1">#REF!</definedName>
    <definedName name="_B">#REF!</definedName>
    <definedName name="_DAT10" localSheetId="1">'[6]Am Red Cross-Old'!$B$2:$B$20</definedName>
    <definedName name="_DAT10">'[7]Am Red Cross-Old'!$B$2:$B$20</definedName>
    <definedName name="_DEC96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EN2" localSheetId="1">[8]Jan!#REF!</definedName>
    <definedName name="_MEN2">[2]Jan!#REF!</definedName>
    <definedName name="_MEN3" localSheetId="1">[8]Jan!#REF!</definedName>
    <definedName name="_MEN3">[2]Jan!#REF!</definedName>
    <definedName name="_Order1" hidden="1">255</definedName>
    <definedName name="_Order2" hidden="1">0</definedName>
    <definedName name="_P" localSheetId="1">#REF!</definedName>
    <definedName name="_P">#REF!</definedName>
    <definedName name="_Sort" localSheetId="1" hidden="1">#REF!</definedName>
    <definedName name="_Sort" hidden="1">#REF!</definedName>
    <definedName name="_TOP1" localSheetId="1">[8]Jan!#REF!</definedName>
    <definedName name="_TOP1">[2]Jan!#REF!</definedName>
    <definedName name="a" hidden="1">#REF!</definedName>
    <definedName name="aaa" localSheetId="1" hidden="1">{#N/A,#N/A,FALSE,"Loans";#N/A,#N/A,FALSE,"Program Costs";#N/A,#N/A,FALSE,"Measures";#N/A,#N/A,FALSE,"Net Lost Rev";#N/A,#N/A,FALSE,"Incentive"}</definedName>
    <definedName name="aaa" hidden="1">{#N/A,#N/A,FALSE,"Loans";#N/A,#N/A,FALSE,"Program Costs";#N/A,#N/A,FALSE,"Measures";#N/A,#N/A,FALSE,"Net Lost Rev";#N/A,#N/A,FALSE,"Incentive"}</definedName>
    <definedName name="AAAAAAAAAA" localSheetId="1" hidden="1">{#N/A,#N/A,FALSE,"Loans";#N/A,#N/A,FALSE,"Program Costs";#N/A,#N/A,FALSE,"Measures";#N/A,#N/A,FALSE,"Net Lost Rev";#N/A,#N/A,FALSE,"Incentive"}</definedName>
    <definedName name="AAAAAAAAAA" hidden="1">{#N/A,#N/A,FALSE,"Loans";#N/A,#N/A,FALSE,"Program Costs";#N/A,#N/A,FALSE,"Measures";#N/A,#N/A,FALSE,"Net Lost Rev";#N/A,#N/A,FALSE,"Incentive"}</definedName>
    <definedName name="ABC" localSheetId="1" hidden="1">{#N/A,#N/A,FALSE,"Loans";#N/A,#N/A,FALSE,"Program Costs";#N/A,#N/A,FALSE,"Measures";#N/A,#N/A,FALSE,"Net Lost Rev";#N/A,#N/A,FALSE,"Incentive"}</definedName>
    <definedName name="ABC" hidden="1">{#N/A,#N/A,FALSE,"Loans";#N/A,#N/A,FALSE,"Program Costs";#N/A,#N/A,FALSE,"Measures";#N/A,#N/A,FALSE,"Net Lost Rev";#N/A,#N/A,FALSE,"Incentive"}</definedName>
    <definedName name="Acct108364">'[9]Func Study'!#REF!</definedName>
    <definedName name="Acct108364S">'[9]Func Study'!#REF!</definedName>
    <definedName name="Acct228.42TROJD">'[10]Func Study'!#REF!</definedName>
    <definedName name="Acct22842TROJD">'[10]Func Study'!#REF!</definedName>
    <definedName name="Acct41011" localSheetId="1">'[11]Functional Study'!#REF!</definedName>
    <definedName name="Acct41011">'[11]Functional Study'!#REF!</definedName>
    <definedName name="Acct41011BADDEBT" localSheetId="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'[10]Func Study'!#REF!</definedName>
    <definedName name="ACCT904SG">'[12]Functional Study'!#REF!</definedName>
    <definedName name="AcctTable">[13]Variables!$AK$42:$AK$396</definedName>
    <definedName name="actualror">[14]WorkArea!$F$86</definedName>
    <definedName name="Adjs2avg">[15]Inputs!$L$255:'[15]Inputs'!$T$505</definedName>
    <definedName name="APR" localSheetId="1">[1]Jan!#REF!</definedName>
    <definedName name="APR">[2]Jan!#REF!</definedName>
    <definedName name="APRT" localSheetId="1">#REF!</definedName>
    <definedName name="APRT">#REF!</definedName>
    <definedName name="AUG" localSheetId="1">[1]Jan!#REF!</definedName>
    <definedName name="AUG">[2]Jan!#REF!</definedName>
    <definedName name="AUGT" localSheetId="1">#REF!</definedName>
    <definedName name="AUGT">#REF!</definedName>
    <definedName name="AvgFactors">[16]Factors!$B$3:$P$99</definedName>
    <definedName name="BACK1" localSheetId="1">#REF!</definedName>
    <definedName name="BACK1">#REF!</definedName>
    <definedName name="BACK2" localSheetId="1">#REF!</definedName>
    <definedName name="BACK2">#REF!</definedName>
    <definedName name="BACK3" localSheetId="1">#REF!</definedName>
    <definedName name="BACK3">#REF!</definedName>
    <definedName name="BACKUP1" localSheetId="1">#REF!</definedName>
    <definedName name="BACKUP1">#REF!</definedName>
    <definedName name="BBBBBBBBBBBBB" localSheetId="1" hidden="1">{#N/A,#N/A,FALSE,"Loans";#N/A,#N/A,FALSE,"Program Costs";#N/A,#N/A,FALSE,"Measures";#N/A,#N/A,FALSE,"Net Lost Rev";#N/A,#N/A,FALSE,"Incentive"}</definedName>
    <definedName name="BBBBBBBBBBBBB" hidden="1">{#N/A,#N/A,FALSE,"Loans";#N/A,#N/A,FALSE,"Program Costs";#N/A,#N/A,FALSE,"Measures";#N/A,#N/A,FALSE,"Net Lost Rev";#N/A,#N/A,FALSE,"Incentive"}</definedName>
    <definedName name="BOOKADJ" localSheetId="1">#REF!</definedName>
    <definedName name="BOOKADJ">#REF!</definedName>
    <definedName name="cap">[17]Readings!$B$2</definedName>
    <definedName name="Check">#REF!</definedName>
    <definedName name="COMADJ" localSheetId="1">#REF!</definedName>
    <definedName name="COMADJ">#REF!</definedName>
    <definedName name="COMP" localSheetId="1">#REF!</definedName>
    <definedName name="COMP">#REF!</definedName>
    <definedName name="COMPACTUAL" localSheetId="1">#REF!</definedName>
    <definedName name="COMPACTUAL">#REF!</definedName>
    <definedName name="COMPT" localSheetId="1">#REF!</definedName>
    <definedName name="COMPT">#REF!</definedName>
    <definedName name="COMPWEATHER" localSheetId="1">#REF!</definedName>
    <definedName name="COMPWEATHER">#REF!</definedName>
    <definedName name="CoPercentage" localSheetId="1">[18]CBECS!$G$7</definedName>
    <definedName name="CoPercentage">[19]CBECS!$G$7</definedName>
    <definedName name="cost_capital" localSheetId="1">'[20]Program Details'!$B$3</definedName>
    <definedName name="cost_capital">'[21]Program Details'!$B$3</definedName>
    <definedName name="_xlnm.Database" localSheetId="1">#REF!</definedName>
    <definedName name="_xlnm.Database">#REF!</definedName>
    <definedName name="Date" localSheetId="1">#REF!</definedName>
    <definedName name="DATE">[22]Jan!#REF!</definedName>
    <definedName name="DEC" localSheetId="1">[1]Jan!#REF!</definedName>
    <definedName name="DEC">[2]Jan!#REF!</definedName>
    <definedName name="DECT" localSheetId="1">#REF!</definedName>
    <definedName name="DECT">#REF!</definedName>
    <definedName name="Demand">[10]Inputs!$D$8</definedName>
    <definedName name="discount_trc" localSheetId="1">'[20]Program Details'!$B$4</definedName>
    <definedName name="discount_trc">'[21]Program Details'!$B$4</definedName>
    <definedName name="Dist_factor" localSheetId="1">#REF!</definedName>
    <definedName name="Dist_factor">#REF!</definedName>
    <definedName name="DistPeakMethod" localSheetId="1">[12]Inputs!#REF!</definedName>
    <definedName name="DistPeakMethod">[12]Inputs!#REF!</definedName>
    <definedName name="DUDE" localSheetId="1" hidden="1">#REF!</definedName>
    <definedName name="DUDE" hidden="1">#REF!</definedName>
    <definedName name="energy">[17]Readings!$B$3</definedName>
    <definedName name="Engy">[10]Inputs!$D$9</definedName>
    <definedName name="f">#REF!</definedName>
    <definedName name="f101top" localSheetId="1">#REF!</definedName>
    <definedName name="f101top">#REF!</definedName>
    <definedName name="f104top" localSheetId="1">#REF!</definedName>
    <definedName name="f104top">#REF!</definedName>
    <definedName name="f138top" localSheetId="1">#REF!</definedName>
    <definedName name="f138top">#REF!</definedName>
    <definedName name="f140top" localSheetId="1">#REF!</definedName>
    <definedName name="f140top">#REF!</definedName>
    <definedName name="FactorType">[16]Variables!$AK$2:$AL$12</definedName>
    <definedName name="FACTP" localSheetId="1">#REF!</definedName>
    <definedName name="FACTP">#REF!</definedName>
    <definedName name="FEB" localSheetId="1">[1]Jan!#REF!</definedName>
    <definedName name="FEB">[2]Jan!#REF!</definedName>
    <definedName name="FEBT" localSheetId="1">#REF!</definedName>
    <definedName name="FEBT">#REF!</definedName>
    <definedName name="Final_Forecast_1_12_04" localSheetId="1">#REF!</definedName>
    <definedName name="Final_Forecast_1_12_04">#REF!</definedName>
    <definedName name="Forecast_1_2_04" localSheetId="1">#REF!</definedName>
    <definedName name="Forecast_1_2_04">#REF!</definedName>
    <definedName name="Forecast_10_3_03" localSheetId="1">#REF!</definedName>
    <definedName name="Forecast_10_3_03">#REF!</definedName>
    <definedName name="FranchiseTax">[15]Variables!$D$26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ders">'[23]Funder Shares'!$A$3:$A$16</definedName>
    <definedName name="GREATER10MW" localSheetId="1">#REF!</definedName>
    <definedName name="GREATER10MW">#REF!</definedName>
    <definedName name="GTD_Percents">#REF!</definedName>
    <definedName name="HEIGHT" localSheetId="1">#REF!</definedName>
    <definedName name="HEIGHT">#REF!</definedName>
    <definedName name="ID_0303_RVN_data" localSheetId="1">#REF!</definedName>
    <definedName name="ID_0303_RVN_data">#REF!</definedName>
    <definedName name="IDcontractsRVN" localSheetId="1">#REF!</definedName>
    <definedName name="IDcontractsRVN">#REF!</definedName>
    <definedName name="INDADJ" localSheetId="1">#REF!</definedName>
    <definedName name="INDADJ">#REF!</definedName>
    <definedName name="INPUT" localSheetId="1">[24]Summary!#REF!</definedName>
    <definedName name="INPUT">[24]Summary!#REF!</definedName>
    <definedName name="Instructions" localSheetId="1">#REF!</definedName>
    <definedName name="Instructions">#REF!</definedName>
    <definedName name="JAN" localSheetId="1">[1]Jan!#REF!</definedName>
    <definedName name="JAN">[2]Jan!#REF!</definedName>
    <definedName name="JANT" localSheetId="1">#REF!</definedName>
    <definedName name="JANT">#REF!</definedName>
    <definedName name="JE">#REF!</definedName>
    <definedName name="jjj">[25]Inputs!$N$18</definedName>
    <definedName name="JUL" localSheetId="1">[1]Jan!#REF!</definedName>
    <definedName name="JUL">[2]Jan!#REF!</definedName>
    <definedName name="JULT" localSheetId="1">#REF!</definedName>
    <definedName name="JULT">#REF!</definedName>
    <definedName name="JUN" localSheetId="1">[1]Jan!#REF!</definedName>
    <definedName name="JUN">[2]Jan!#REF!</definedName>
    <definedName name="June_Forecast_2004" localSheetId="1">#REF!</definedName>
    <definedName name="June_Forecast_2004">#REF!</definedName>
    <definedName name="JUNT" localSheetId="1">#REF!</definedName>
    <definedName name="JUNT">#REF!</definedName>
    <definedName name="Jurisdiction">[16]Variables!$AK$15</definedName>
    <definedName name="JurisNumber">[16]Variables!$AL$15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G" localSheetId="1">[26]Backup!#REF!</definedName>
    <definedName name="LOG">[26]Backup!#REF!</definedName>
    <definedName name="LOSS" localSheetId="1">[26]Backup!#REF!</definedName>
    <definedName name="LOSS">[26]Backup!#REF!</definedName>
    <definedName name="Macro2">[27]!Macro2</definedName>
    <definedName name="MACTIT" localSheetId="1">#REF!</definedName>
    <definedName name="MACTIT">#REF!</definedName>
    <definedName name="MAR" localSheetId="1">[1]Jan!#REF!</definedName>
    <definedName name="MAR">[2]Jan!#REF!</definedName>
    <definedName name="MART" localSheetId="1">#REF!</definedName>
    <definedName name="MART">#REF!</definedName>
    <definedName name="MAY" localSheetId="1">[1]Jan!#REF!</definedName>
    <definedName name="MAY">[2]Jan!#REF!</definedName>
    <definedName name="MAYT" localSheetId="1">#REF!</definedName>
    <definedName name="MAYT">#REF!</definedName>
    <definedName name="MCtoREV">#REF!</definedName>
    <definedName name="Measure_Life" localSheetId="1">'[20]Program Details'!$B$16:$F$16</definedName>
    <definedName name="Measure_Life">'[21]Program Details'!$B$16:$F$16</definedName>
    <definedName name="MEN" localSheetId="1">[1]Jan!#REF!</definedName>
    <definedName name="MEN">[2]Jan!#REF!</definedName>
    <definedName name="Menu_Begin" localSheetId="1">#REF!</definedName>
    <definedName name="Menu_Begin">#REF!</definedName>
    <definedName name="Menu_Caption" localSheetId="1">#REF!</definedName>
    <definedName name="Menu_Caption">#REF!</definedName>
    <definedName name="Menu_Large" localSheetId="1">[28]MacroBuilder!#REF!</definedName>
    <definedName name="Menu_Large">[28]MacroBuilder!#REF!</definedName>
    <definedName name="Menu_Name" localSheetId="1">#REF!</definedName>
    <definedName name="Menu_Name">#REF!</definedName>
    <definedName name="Menu_OnAction" localSheetId="1">#REF!</definedName>
    <definedName name="Menu_OnAction">#REF!</definedName>
    <definedName name="Menu_Parent" localSheetId="1">#REF!</definedName>
    <definedName name="Menu_Parent">#REF!</definedName>
    <definedName name="Menu_Small" localSheetId="1">[28]MacroBuilder!#REF!</definedName>
    <definedName name="Menu_Small">[28]MacroBuilder!#REF!</definedName>
    <definedName name="Method">[10]Inputs!$C$6</definedName>
    <definedName name="Month" localSheetId="1">#REF!</definedName>
    <definedName name="Month">#REF!</definedName>
    <definedName name="monthlist">'[5]DSM Output'!$AP$1:$AQ$12</definedName>
    <definedName name="monthlist11">[29]Codes!$O$2:$P$13</definedName>
    <definedName name="monthtotals">'[5]DSM Output'!$O$41:$Z$41</definedName>
    <definedName name="monthtotals11">[29]Y2K!$H$44:$J$44</definedName>
    <definedName name="MOS">#REF!</definedName>
    <definedName name="MTKWH" localSheetId="1">#REF!</definedName>
    <definedName name="MTKWH">#REF!</definedName>
    <definedName name="MTR_YR3">[30]Variables!$E$14</definedName>
    <definedName name="MTREV" localSheetId="1">#REF!</definedName>
    <definedName name="MTREV">#REF!</definedName>
    <definedName name="MULT" localSheetId="1">#REF!</definedName>
    <definedName name="MULT">#REF!</definedName>
    <definedName name="NAMES">#REF!</definedName>
    <definedName name="NetToGross">[15]Variables!$D$23</definedName>
    <definedName name="NEWMO1" localSheetId="1">[1]Jan!#REF!</definedName>
    <definedName name="NEWMO1">[2]Jan!#REF!</definedName>
    <definedName name="NEWMO2" localSheetId="1">[1]Jan!#REF!</definedName>
    <definedName name="NEWMO2">[2]Jan!#REF!</definedName>
    <definedName name="NEWMONTH" localSheetId="1">[1]Jan!#REF!</definedName>
    <definedName name="NEWMONTH">[2]Jan!#REF!</definedName>
    <definedName name="NORMALIZE" localSheetId="1">#REF!</definedName>
    <definedName name="NORMALIZE">#REF!</definedName>
    <definedName name="NOV" localSheetId="1">[1]Jan!#REF!</definedName>
    <definedName name="NOV">[2]Jan!#REF!</definedName>
    <definedName name="NOVT" localSheetId="1">#REF!</definedName>
    <definedName name="NOVT">#REF!</definedName>
    <definedName name="NPC">[12]Inputs!$N$18</definedName>
    <definedName name="NUM" localSheetId="1">#REF!</definedName>
    <definedName name="NUM">#REF!</definedName>
    <definedName name="OCT" localSheetId="1">[1]Jan!#REF!</definedName>
    <definedName name="OCT">[2]Jan!#REF!</definedName>
    <definedName name="OCTT" localSheetId="1">#REF!</definedName>
    <definedName name="OCTT">#REF!</definedName>
    <definedName name="ONE" localSheetId="1">[1]Jan!#REF!</definedName>
    <definedName name="ONE">[2]Jan!#REF!</definedName>
    <definedName name="option">'[14]Dist Misc'!$F$120</definedName>
    <definedName name="page1" localSheetId="1">[24]Summary!#REF!</definedName>
    <definedName name="page1">[24]Summary!#REF!</definedName>
    <definedName name="Page110" localSheetId="1">#REF!</definedName>
    <definedName name="Page110">#REF!</definedName>
    <definedName name="Page120" localSheetId="1">#REF!</definedName>
    <definedName name="Page120">#REF!</definedName>
    <definedName name="Page2" localSheetId="1">'[31]Summary Table - Earned'!#REF!</definedName>
    <definedName name="Page2">'[31]Summary Table - Earned'!#REF!</definedName>
    <definedName name="PAGE3" localSheetId="1">#REF!</definedName>
    <definedName name="PAGE3">#REF!</definedName>
    <definedName name="Page4">#REF!</definedName>
    <definedName name="Page5">#REF!</definedName>
    <definedName name="Page6" localSheetId="1">#REF!</definedName>
    <definedName name="Page6">#REF!</definedName>
    <definedName name="Page62" localSheetId="1">[28]TransInvest!#REF!</definedName>
    <definedName name="Page62">[28]TransInvest!#REF!</definedName>
    <definedName name="page65" localSheetId="1">#REF!</definedName>
    <definedName name="page65">#REF!</definedName>
    <definedName name="page66" localSheetId="1">#REF!</definedName>
    <definedName name="page66">#REF!</definedName>
    <definedName name="page67" localSheetId="1">#REF!</definedName>
    <definedName name="page67">#REF!</definedName>
    <definedName name="page68" localSheetId="1">#REF!</definedName>
    <definedName name="page68">#REF!</definedName>
    <definedName name="page69" localSheetId="1">#REF!</definedName>
    <definedName name="page69">#REF!</definedName>
    <definedName name="Page7" localSheetId="1">#REF!</definedName>
    <definedName name="Page7">#REF!</definedName>
    <definedName name="page8">#REF!</definedName>
    <definedName name="PALL" localSheetId="1">#REF!</definedName>
    <definedName name="PALL">#REF!</definedName>
    <definedName name="PBLOCK" localSheetId="1">#REF!</definedName>
    <definedName name="PBLOCK">#REF!</definedName>
    <definedName name="PBLOCKWZ" localSheetId="1">#REF!</definedName>
    <definedName name="PBLOCKWZ">#REF!</definedName>
    <definedName name="PCOMP" localSheetId="1">#REF!</definedName>
    <definedName name="PCOMP">#REF!</definedName>
    <definedName name="PCOMPOSITES" localSheetId="1">#REF!</definedName>
    <definedName name="PCOMPOSITES">#REF!</definedName>
    <definedName name="PCOMPWZ" localSheetId="1">#REF!</definedName>
    <definedName name="PCOMPWZ">#REF!</definedName>
    <definedName name="PeakMethod">[10]Inputs!$T$5</definedName>
    <definedName name="PMAC" localSheetId="1">[26]Backup!#REF!</definedName>
    <definedName name="PMAC">[26]Backup!#REF!</definedName>
    <definedName name="PRESENT" localSheetId="1">#REF!</definedName>
    <definedName name="PRESENT">#REF!</definedName>
    <definedName name="PRICCHNG" localSheetId="1">#REF!</definedName>
    <definedName name="PRICCHNG">#REF!</definedName>
    <definedName name="_xlnm.Print_Area" localSheetId="1">'2020-2021 Spend Forecast '!#REF!</definedName>
    <definedName name="ProRate1">#REF!</definedName>
    <definedName name="PTABLES" localSheetId="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 localSheetId="1">#REF!</definedName>
    <definedName name="PWORKBACK">#REF!</definedName>
    <definedName name="qry2004DataSort" localSheetId="1">#REF!</definedName>
    <definedName name="qry2004DataSort">#REF!</definedName>
    <definedName name="qryExpressSummary" localSheetId="1">#REF!</definedName>
    <definedName name="qryExpressSummary">#REF!</definedName>
    <definedName name="qryProjectSummary" localSheetId="1">#REF!</definedName>
    <definedName name="qryProjectSummary">#REF!</definedName>
    <definedName name="Query1">#REF!</definedName>
    <definedName name="RateBaseType">[16]Variables!$AP$14</definedName>
    <definedName name="RateCd" localSheetId="1">#REF!</definedName>
    <definedName name="RateCd">#REF!</definedName>
    <definedName name="Rates">[32]Codes!$A$1:$C$308</definedName>
    <definedName name="RC_ADJ" localSheetId="1">#REF!</definedName>
    <definedName name="RC_ADJ">#REF!</definedName>
    <definedName name="REAWY" localSheetId="1">'[33]Consolidated Submissions'!#REF!</definedName>
    <definedName name="REAWY">'[33]Consolidated Submissions'!#REF!</definedName>
    <definedName name="RESADJ" localSheetId="1">#REF!</definedName>
    <definedName name="RESADJ">#REF!</definedName>
    <definedName name="ResourceSupplier">[15]Variables!$D$28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1">#REF!</definedName>
    <definedName name="REV_SCHD">#REF!</definedName>
    <definedName name="RevCl" localSheetId="1">#REF!</definedName>
    <definedName name="RevCl">#REF!</definedName>
    <definedName name="RevClass">[32]Codes!$F$2:$G$10</definedName>
    <definedName name="Revenue_by_month_take_2">#REF!</definedName>
    <definedName name="RevenueCheck">#REF!</definedName>
    <definedName name="RevReqSettle" localSheetId="1">#REF!</definedName>
    <definedName name="RevReqSettle">#REF!</definedName>
    <definedName name="REVVSTRS" localSheetId="1">#REF!</definedName>
    <definedName name="REVVSTRS">#REF!</definedName>
    <definedName name="RISFORM" localSheetId="1">#REF!</definedName>
    <definedName name="RISFORM">#REF!</definedName>
    <definedName name="SCH33CUSTS" localSheetId="1">#REF!</definedName>
    <definedName name="SCH33CUSTS">#REF!</definedName>
    <definedName name="SCH48ADJ" localSheetId="1">#REF!</definedName>
    <definedName name="SCH48ADJ">#REF!</definedName>
    <definedName name="SCH98NOR" localSheetId="1">#REF!</definedName>
    <definedName name="SCH98NOR">#REF!</definedName>
    <definedName name="SCHED47" localSheetId="1">#REF!</definedName>
    <definedName name="SCHED47">#REF!</definedName>
    <definedName name="Schedule">[12]Inputs!$N$14</definedName>
    <definedName name="se">#REF!</definedName>
    <definedName name="SECOND" localSheetId="1">[1]Jan!#REF!</definedName>
    <definedName name="SECOND">[2]Jan!#REF!</definedName>
    <definedName name="SEP" localSheetId="1">[1]Jan!#REF!</definedName>
    <definedName name="SEP">[2]Jan!#REF!</definedName>
    <definedName name="SEPT" localSheetId="1">#REF!</definedName>
    <definedName name="SEPT">#REF!</definedName>
    <definedName name="SERVICES_3">#REF!</definedName>
    <definedName name="sg">#REF!</definedName>
    <definedName name="START" localSheetId="1">[1]Jan!#REF!</definedName>
    <definedName name="START">[2]Jan!#REF!</definedName>
    <definedName name="SUM_TAB1" localSheetId="1">#REF!</definedName>
    <definedName name="SUM_TAB1">#REF!</definedName>
    <definedName name="SUM_TAB2" localSheetId="1">#REF!</definedName>
    <definedName name="SUM_TAB2">#REF!</definedName>
    <definedName name="SUM_TAB3" localSheetId="1">#REF!</definedName>
    <definedName name="SUM_TAB3">#REF!</definedName>
    <definedName name="TABLE_1" localSheetId="1">#REF!</definedName>
    <definedName name="TABLE_1">#REF!</definedName>
    <definedName name="TABLE_2" localSheetId="1">#REF!</definedName>
    <definedName name="TABLE_2">#REF!</definedName>
    <definedName name="TABLE_3">#REF!</definedName>
    <definedName name="TABLE_4" localSheetId="1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 localSheetId="1">'[34]PC Table updated May 2003'!#REF!</definedName>
    <definedName name="table1">'[34]PC Table updated May 2003'!#REF!</definedName>
    <definedName name="TABLE2" localSheetId="1">#REF!</definedName>
    <definedName name="TABLE2">#REF!</definedName>
    <definedName name="TABLEA" localSheetId="1">#REF!</definedName>
    <definedName name="TABLEA">#REF!</definedName>
    <definedName name="TABLEONE">#REF!</definedName>
    <definedName name="Targetror">[14]Variables!$I$38</definedName>
    <definedName name="TDMOD">#REF!</definedName>
    <definedName name="TDROLL">#REF!</definedName>
    <definedName name="TEMPADJ" localSheetId="1">#REF!</definedName>
    <definedName name="TEMPADJ">#REF!</definedName>
    <definedName name="Test" localSheetId="1">#REF!</definedName>
    <definedName name="Te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RANSM_2" localSheetId="1">[35]Transm2!$A$1:$M$461:'[35]10 Yr FC'!$M$47</definedName>
    <definedName name="TRANSM_2">[36]Transm2!$A$1:$M$461:'[36]10 Yr FC'!$M$47</definedName>
    <definedName name="UAACT115S">'[12]Functional Study'!#REF!</definedName>
    <definedName name="UACCT115">'[12]Functional Study'!#REF!</definedName>
    <definedName name="UACCT115DGP">'[12]Functional Study'!#REF!</definedName>
    <definedName name="UACCT115SG">'[12]Functional Study'!#REF!</definedName>
    <definedName name="UAcct22842Trojd">'[10]Func Study'!#REF!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47CAEE">'[9]Func Study'!#REF!</definedName>
    <definedName name="UAcct447CAGE">'[9]Func Study'!#REF!</definedName>
    <definedName name="UAcct447Dgu">'[10]Func Study'!#REF!</definedName>
    <definedName name="UAcct453CAGE">'[9]Func Study'!#REF!</definedName>
    <definedName name="UAcct453CAGW">'[9]Func Study'!#REF!</definedName>
    <definedName name="UAcct502JBG">'[9]Func Study'!#REF!</definedName>
    <definedName name="UAcct505JBG">'[9]Func Study'!#REF!</definedName>
    <definedName name="UAcct506JBG">'[9]Func Study'!#REF!</definedName>
    <definedName name="UAcct507JBG">'[9]Func Study'!#REF!</definedName>
    <definedName name="UAcct510JBG">'[9]Func Study'!#REF!</definedName>
    <definedName name="UAcct511JBG">'[9]Func Study'!#REF!</definedName>
    <definedName name="UAcct512JBG">'[9]Func Study'!#REF!</definedName>
    <definedName name="UAcct513JBG">'[9]Func Study'!#REF!</definedName>
    <definedName name="UAcct514JBG">'[9]Func Study'!#REF!</definedName>
    <definedName name="UAcct5506SE">'[9]Func Study'!#REF!</definedName>
    <definedName name="UAcct555CAEE">'[9]Func Study'!#REF!</definedName>
    <definedName name="UAcct555CAGE">'[9]Func Study'!#REF!</definedName>
    <definedName name="Uacct904SG">'[12]Functional Study'!#REF!</definedName>
    <definedName name="UNBILREV" localSheetId="1">#REF!</definedName>
    <definedName name="UNBILREV">#REF!</definedName>
    <definedName name="UncollectibleAccounts">[15]Variables!$D$25</definedName>
    <definedName name="UT_305A_FY_2002" localSheetId="1">#REF!</definedName>
    <definedName name="UT_305A_FY_2002">#REF!</definedName>
    <definedName name="UT_RVN_0302" localSheetId="1">#REF!</definedName>
    <definedName name="UT_RVN_0302">#REF!</definedName>
    <definedName name="UtahPercentage" localSheetId="1">[18]CBECS!$G$6</definedName>
    <definedName name="UtahPercentage">[19]CBECS!$G$6</definedName>
    <definedName name="UtahTenants" localSheetId="1">'[37]EIA Sales Data for PCorp UT'!$I$9</definedName>
    <definedName name="UtahTenants">'[38]EIA Sales Data for PCorp UT'!$I$9</definedName>
    <definedName name="UtGrossReceipts">[15]Variables!$D$29</definedName>
    <definedName name="ValidAccount">[16]Variables!$AK$43:$AK$367</definedName>
    <definedName name="VAR">[26]Backup!#REF!</definedName>
    <definedName name="VARIABLE">[24]Summary!#REF!</definedName>
    <definedName name="VOUCHER" localSheetId="1">#REF!</definedName>
    <definedName name="VOUCHER">#REF!</definedName>
    <definedName name="WaRevenueTax">[15]Variables!$D$27</definedName>
    <definedName name="WEATHER" localSheetId="1">#REF!</definedName>
    <definedName name="WEATHER">#REF!</definedName>
    <definedName name="WEATHRNORM" localSheetId="1">#REF!</definedName>
    <definedName name="WEATHRNORM">#REF!</definedName>
    <definedName name="WIDTH" localSheetId="1">#REF!</definedName>
    <definedName name="WIDTH">#REF!</definedName>
    <definedName name="WinterPeak">'[39]Load Data'!$D$9:$H$12,'[39]Load Data'!$D$20:$H$22</definedName>
    <definedName name="WORK1" localSheetId="1">#REF!</definedName>
    <definedName name="WORK1">#REF!</definedName>
    <definedName name="WORK2" localSheetId="1">#REF!</definedName>
    <definedName name="WORK2">#REF!</definedName>
    <definedName name="WORK3" localSheetId="1">#REF!</definedName>
    <definedName name="WORK3">#REF!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 localSheetId="1">'[40]Weather Present'!$K$7</definedName>
    <definedName name="x">'[41]Weather Present'!$K$7</definedName>
    <definedName name="xx" localSheetId="1" hidden="1">{#N/A,#N/A,FALSE,"Loans";#N/A,#N/A,FALSE,"Program Costs";#N/A,#N/A,FALSE,"Measures";#N/A,#N/A,FALSE,"Net Lost Rev";#N/A,#N/A,FALSE,"Incentive"}</definedName>
    <definedName name="xx" hidden="1">{#N/A,#N/A,FALSE,"Loans";#N/A,#N/A,FALSE,"Program Costs";#N/A,#N/A,FALSE,"Measures";#N/A,#N/A,FALSE,"Net Lost Rev";#N/A,#N/A,FALSE,"Incentive"}</definedName>
    <definedName name="xxx">[42]Variables!$AK$2:$AL$12</definedName>
    <definedName name="y" hidden="1">#REF!</definedName>
    <definedName name="Year">#REF!</definedName>
    <definedName name="YEFactors">[16]Factors!$S$3:$AG$99</definedName>
    <definedName name="yyy" localSheetId="1" hidden="1">{#N/A,#N/A,FALSE,"Loans";#N/A,#N/A,FALSE,"Program Costs";#N/A,#N/A,FALSE,"Measures";#N/A,#N/A,FALSE,"Net Lost Rev";#N/A,#N/A,FALSE,"Incentive"}</definedName>
    <definedName name="yyy" hidden="1">{#N/A,#N/A,FALSE,"Loans";#N/A,#N/A,FALSE,"Program Costs";#N/A,#N/A,FALSE,"Measures";#N/A,#N/A,FALSE,"Net Lost Rev";#N/A,#N/A,FALSE,"Incentive"}</definedName>
    <definedName name="z" hidden="1">#REF!</definedName>
    <definedName name="ZA">'[43] annual balance '!#REF!</definedName>
    <definedName name="zz" localSheetId="1" hidden="1">{#N/A,#N/A,FALSE,"Loans";#N/A,#N/A,FALSE,"Program Costs";#N/A,#N/A,FALSE,"Measures";#N/A,#N/A,FALSE,"Net Lost Rev";#N/A,#N/A,FALSE,"Incentive"}</definedName>
    <definedName name="zz" hidden="1">{#N/A,#N/A,FALSE,"Loans";#N/A,#N/A,FALSE,"Program Costs";#N/A,#N/A,FALSE,"Measures";#N/A,#N/A,FALSE,"Net Lost Rev";#N/A,#N/A,FALSE,"Incentive"}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9" i="9" l="1"/>
  <c r="H94" i="9"/>
  <c r="H93" i="9"/>
  <c r="H92" i="9"/>
  <c r="H91" i="9"/>
  <c r="H90" i="9"/>
  <c r="H88" i="9"/>
  <c r="H87" i="9"/>
  <c r="F5" i="5" l="1"/>
  <c r="F20" i="5"/>
  <c r="I100" i="9" l="1"/>
  <c r="B9" i="5" l="1"/>
  <c r="B95" i="9" l="1"/>
  <c r="B5" i="5"/>
  <c r="H95" i="9" l="1"/>
  <c r="B12" i="5"/>
  <c r="V5" i="5" l="1"/>
  <c r="H22" i="5" l="1"/>
  <c r="J22" i="5"/>
  <c r="K22" i="5"/>
  <c r="M22" i="5"/>
  <c r="N22" i="5"/>
  <c r="O22" i="5"/>
  <c r="H17" i="5"/>
  <c r="I17" i="5"/>
  <c r="J17" i="5"/>
  <c r="L17" i="5"/>
  <c r="N17" i="5"/>
  <c r="H8" i="5" l="1"/>
  <c r="I8" i="5"/>
  <c r="J8" i="5"/>
  <c r="K8" i="5"/>
  <c r="L8" i="5"/>
  <c r="M8" i="5"/>
  <c r="N8" i="5"/>
  <c r="O8" i="5"/>
  <c r="E123" i="9" l="1"/>
  <c r="G22" i="5" l="1"/>
  <c r="AA22" i="5" l="1"/>
  <c r="L22" i="5" s="1"/>
  <c r="X22" i="5"/>
  <c r="I22" i="5" s="1"/>
  <c r="U22" i="5"/>
  <c r="S22" i="5"/>
  <c r="AD17" i="5" l="1"/>
  <c r="O17" i="5" s="1"/>
  <c r="AB17" i="5"/>
  <c r="M17" i="5" s="1"/>
  <c r="Z17" i="5"/>
  <c r="K17" i="5" s="1"/>
  <c r="U17" i="5"/>
  <c r="E109" i="9" l="1"/>
  <c r="E95" i="9"/>
  <c r="D13" i="9"/>
  <c r="O32" i="8" l="1"/>
  <c r="O34" i="8"/>
  <c r="AD21" i="5"/>
  <c r="O21" i="5" s="1"/>
  <c r="AC21" i="5"/>
  <c r="N21" i="5" s="1"/>
  <c r="AB21" i="5"/>
  <c r="M21" i="5" s="1"/>
  <c r="AA21" i="5"/>
  <c r="L21" i="5" s="1"/>
  <c r="Z21" i="5"/>
  <c r="K21" i="5" s="1"/>
  <c r="Y21" i="5"/>
  <c r="J21" i="5" s="1"/>
  <c r="X21" i="5"/>
  <c r="I21" i="5" s="1"/>
  <c r="W21" i="5"/>
  <c r="H21" i="5" s="1"/>
  <c r="V21" i="5"/>
  <c r="U21" i="5"/>
  <c r="T21" i="5"/>
  <c r="S21" i="5"/>
  <c r="O15" i="8"/>
  <c r="E81" i="9" l="1"/>
  <c r="T6" i="5" l="1"/>
  <c r="U6" i="5"/>
  <c r="V6" i="5"/>
  <c r="W6" i="5"/>
  <c r="H6" i="5" s="1"/>
  <c r="X6" i="5"/>
  <c r="I6" i="5" s="1"/>
  <c r="Y6" i="5"/>
  <c r="J6" i="5" s="1"/>
  <c r="Z6" i="5"/>
  <c r="K6" i="5" s="1"/>
  <c r="AA6" i="5"/>
  <c r="L6" i="5" s="1"/>
  <c r="AB6" i="5"/>
  <c r="M6" i="5" s="1"/>
  <c r="AC6" i="5"/>
  <c r="N6" i="5" s="1"/>
  <c r="AD6" i="5"/>
  <c r="O6" i="5" s="1"/>
  <c r="S6" i="5"/>
  <c r="T20" i="5" l="1"/>
  <c r="U20" i="5"/>
  <c r="V20" i="5"/>
  <c r="W20" i="5"/>
  <c r="H20" i="5" s="1"/>
  <c r="X20" i="5"/>
  <c r="I20" i="5" s="1"/>
  <c r="Y20" i="5"/>
  <c r="J20" i="5" s="1"/>
  <c r="Z20" i="5"/>
  <c r="K20" i="5" s="1"/>
  <c r="AA20" i="5"/>
  <c r="L20" i="5" s="1"/>
  <c r="AB20" i="5"/>
  <c r="M20" i="5" s="1"/>
  <c r="AC20" i="5"/>
  <c r="N20" i="5" s="1"/>
  <c r="AD20" i="5"/>
  <c r="O20" i="5" s="1"/>
  <c r="S20" i="5"/>
  <c r="AD19" i="5"/>
  <c r="O19" i="5" s="1"/>
  <c r="AC19" i="5"/>
  <c r="N19" i="5" s="1"/>
  <c r="AB19" i="5"/>
  <c r="M19" i="5" s="1"/>
  <c r="AA19" i="5"/>
  <c r="L19" i="5" s="1"/>
  <c r="Z19" i="5"/>
  <c r="K19" i="5" s="1"/>
  <c r="Y19" i="5"/>
  <c r="J19" i="5" s="1"/>
  <c r="X19" i="5"/>
  <c r="I19" i="5" s="1"/>
  <c r="W19" i="5"/>
  <c r="H19" i="5" s="1"/>
  <c r="V19" i="5"/>
  <c r="U19" i="5"/>
  <c r="T19" i="5"/>
  <c r="S19" i="5"/>
  <c r="O17" i="8"/>
  <c r="O29" i="8" l="1"/>
  <c r="O12" i="8"/>
  <c r="E67" i="9" l="1"/>
  <c r="C25" i="9" l="1"/>
  <c r="AE20" i="5" l="1"/>
  <c r="G23" i="5" l="1"/>
  <c r="P23" i="5" s="1"/>
  <c r="G15" i="5"/>
  <c r="P15" i="5" s="1"/>
  <c r="G14" i="5"/>
  <c r="P14" i="5" s="1"/>
  <c r="G21" i="5"/>
  <c r="P22" i="5"/>
  <c r="C22" i="5" s="1"/>
  <c r="P21" i="5" l="1"/>
  <c r="C21" i="5" s="1"/>
  <c r="G19" i="5"/>
  <c r="T9" i="5"/>
  <c r="X9" i="5"/>
  <c r="I9" i="5" s="1"/>
  <c r="AB9" i="5"/>
  <c r="M9" i="5" s="1"/>
  <c r="U9" i="5"/>
  <c r="Y9" i="5"/>
  <c r="J9" i="5" s="1"/>
  <c r="AC9" i="5"/>
  <c r="N9" i="5" s="1"/>
  <c r="V9" i="5"/>
  <c r="Z9" i="5"/>
  <c r="K9" i="5" s="1"/>
  <c r="AD9" i="5"/>
  <c r="O9" i="5" s="1"/>
  <c r="W9" i="5"/>
  <c r="H9" i="5" s="1"/>
  <c r="AA9" i="5"/>
  <c r="L9" i="5" s="1"/>
  <c r="S9" i="5"/>
  <c r="T10" i="5"/>
  <c r="X10" i="5"/>
  <c r="I10" i="5" s="1"/>
  <c r="AB10" i="5"/>
  <c r="M10" i="5" s="1"/>
  <c r="U10" i="5"/>
  <c r="Y10" i="5"/>
  <c r="J10" i="5" s="1"/>
  <c r="AC10" i="5"/>
  <c r="N10" i="5" s="1"/>
  <c r="V10" i="5"/>
  <c r="Z10" i="5"/>
  <c r="K10" i="5" s="1"/>
  <c r="AD10" i="5"/>
  <c r="O10" i="5" s="1"/>
  <c r="W10" i="5"/>
  <c r="H10" i="5" s="1"/>
  <c r="AA10" i="5"/>
  <c r="L10" i="5" s="1"/>
  <c r="S10" i="5"/>
  <c r="G20" i="5"/>
  <c r="T11" i="5"/>
  <c r="X11" i="5"/>
  <c r="I11" i="5" s="1"/>
  <c r="AB11" i="5"/>
  <c r="M11" i="5" s="1"/>
  <c r="U11" i="5"/>
  <c r="Y11" i="5"/>
  <c r="J11" i="5" s="1"/>
  <c r="AC11" i="5"/>
  <c r="N11" i="5" s="1"/>
  <c r="V11" i="5"/>
  <c r="Z11" i="5"/>
  <c r="K11" i="5" s="1"/>
  <c r="AD11" i="5"/>
  <c r="O11" i="5" s="1"/>
  <c r="W11" i="5"/>
  <c r="H11" i="5" s="1"/>
  <c r="AA11" i="5"/>
  <c r="L11" i="5" s="1"/>
  <c r="S11" i="5"/>
  <c r="G10" i="5"/>
  <c r="G9" i="5"/>
  <c r="G11" i="5"/>
  <c r="G17" i="5"/>
  <c r="G18" i="5"/>
  <c r="G13" i="5"/>
  <c r="G4" i="5"/>
  <c r="G5" i="5"/>
  <c r="G6" i="5"/>
  <c r="K12" i="5" l="1"/>
  <c r="P17" i="5"/>
  <c r="C17" i="5" s="1"/>
  <c r="M12" i="5"/>
  <c r="O12" i="5"/>
  <c r="E53" i="9"/>
  <c r="N12" i="5" l="1"/>
  <c r="P6" i="5"/>
  <c r="C6" i="5" s="1"/>
  <c r="L12" i="5"/>
  <c r="P20" i="5"/>
  <c r="C20" i="5" s="1"/>
  <c r="P19" i="5"/>
  <c r="C19" i="5" s="1"/>
  <c r="B25" i="9"/>
  <c r="O16" i="8" l="1"/>
  <c r="AE19" i="5" l="1"/>
  <c r="AD18" i="5" l="1"/>
  <c r="O18" i="5" s="1"/>
  <c r="AC18" i="5"/>
  <c r="N18" i="5" s="1"/>
  <c r="AB18" i="5"/>
  <c r="M18" i="5" s="1"/>
  <c r="AA18" i="5"/>
  <c r="L18" i="5" s="1"/>
  <c r="Z18" i="5"/>
  <c r="K18" i="5" s="1"/>
  <c r="Y18" i="5"/>
  <c r="J18" i="5" s="1"/>
  <c r="X18" i="5"/>
  <c r="I18" i="5" s="1"/>
  <c r="W18" i="5"/>
  <c r="H18" i="5" s="1"/>
  <c r="V18" i="5"/>
  <c r="U18" i="5"/>
  <c r="T18" i="5"/>
  <c r="S18" i="5"/>
  <c r="AD13" i="5"/>
  <c r="O13" i="5" s="1"/>
  <c r="AC13" i="5"/>
  <c r="N13" i="5" s="1"/>
  <c r="AB13" i="5"/>
  <c r="M13" i="5" s="1"/>
  <c r="AA13" i="5"/>
  <c r="L13" i="5" s="1"/>
  <c r="Z13" i="5"/>
  <c r="K13" i="5" s="1"/>
  <c r="Y13" i="5"/>
  <c r="J13" i="5" s="1"/>
  <c r="X13" i="5"/>
  <c r="I13" i="5" s="1"/>
  <c r="W13" i="5"/>
  <c r="H13" i="5" s="1"/>
  <c r="V13" i="5"/>
  <c r="U13" i="5"/>
  <c r="T13" i="5"/>
  <c r="S13" i="5"/>
  <c r="O33" i="8"/>
  <c r="P13" i="5" l="1"/>
  <c r="C13" i="5" s="1"/>
  <c r="P18" i="5"/>
  <c r="C18" i="5" s="1"/>
  <c r="AA4" i="5"/>
  <c r="L4" i="5" s="1"/>
  <c r="W4" i="5"/>
  <c r="H4" i="5" s="1"/>
  <c r="S4" i="5"/>
  <c r="AC4" i="5"/>
  <c r="N4" i="5" s="1"/>
  <c r="AD4" i="5"/>
  <c r="O4" i="5" s="1"/>
  <c r="Z4" i="5"/>
  <c r="K4" i="5" s="1"/>
  <c r="V4" i="5"/>
  <c r="Y4" i="5"/>
  <c r="J4" i="5" s="1"/>
  <c r="AB4" i="5"/>
  <c r="M4" i="5" s="1"/>
  <c r="X4" i="5"/>
  <c r="I4" i="5" s="1"/>
  <c r="T4" i="5"/>
  <c r="U4" i="5"/>
  <c r="P4" i="5" l="1"/>
  <c r="C4" i="5" s="1"/>
  <c r="AD5" i="5"/>
  <c r="O5" i="5" s="1"/>
  <c r="O7" i="5" s="1"/>
  <c r="O16" i="5" s="1"/>
  <c r="O24" i="5" s="1"/>
  <c r="Z5" i="5"/>
  <c r="K5" i="5" s="1"/>
  <c r="K7" i="5" s="1"/>
  <c r="K16" i="5" s="1"/>
  <c r="K24" i="5" s="1"/>
  <c r="AB5" i="5"/>
  <c r="M5" i="5" s="1"/>
  <c r="M7" i="5" s="1"/>
  <c r="M16" i="5" s="1"/>
  <c r="M24" i="5" s="1"/>
  <c r="AC5" i="5"/>
  <c r="N5" i="5" s="1"/>
  <c r="N7" i="5" s="1"/>
  <c r="N16" i="5" s="1"/>
  <c r="N24" i="5" s="1"/>
  <c r="Y5" i="5"/>
  <c r="J5" i="5" s="1"/>
  <c r="U5" i="5"/>
  <c r="AA5" i="5"/>
  <c r="L5" i="5" s="1"/>
  <c r="L7" i="5" s="1"/>
  <c r="L16" i="5" s="1"/>
  <c r="L24" i="5" s="1"/>
  <c r="W5" i="5"/>
  <c r="H5" i="5" s="1"/>
  <c r="S5" i="5"/>
  <c r="X5" i="5"/>
  <c r="I5" i="5" s="1"/>
  <c r="T5" i="5"/>
  <c r="O28" i="8"/>
  <c r="O11" i="8"/>
  <c r="O14" i="8"/>
  <c r="O13" i="8"/>
  <c r="O10" i="8"/>
  <c r="O9" i="8"/>
  <c r="O8" i="8"/>
  <c r="O7" i="8"/>
  <c r="O6" i="8"/>
  <c r="O5" i="8"/>
  <c r="P5" i="5" l="1"/>
  <c r="F7" i="5"/>
  <c r="P7" i="5" l="1"/>
  <c r="C5" i="5"/>
  <c r="C7" i="5" s="1"/>
  <c r="E39" i="9"/>
  <c r="C39" i="9" l="1"/>
  <c r="O31" i="8" l="1"/>
  <c r="O30" i="8"/>
  <c r="O27" i="8"/>
  <c r="O26" i="8"/>
  <c r="O25" i="8"/>
  <c r="O24" i="8"/>
  <c r="O23" i="8"/>
  <c r="O22" i="8"/>
  <c r="AE8" i="5"/>
  <c r="C53" i="9" l="1"/>
  <c r="G7" i="5"/>
  <c r="W12" i="5"/>
  <c r="AE11" i="5"/>
  <c r="AE10" i="5"/>
  <c r="AE9" i="5"/>
  <c r="AD12" i="5"/>
  <c r="AC12" i="5"/>
  <c r="AB12" i="5"/>
  <c r="AA12" i="5"/>
  <c r="Z12" i="5"/>
  <c r="Y12" i="5"/>
  <c r="X12" i="5"/>
  <c r="V12" i="5"/>
  <c r="U12" i="5"/>
  <c r="T12" i="5"/>
  <c r="S12" i="5"/>
  <c r="E12" i="5"/>
  <c r="AE12" i="5" l="1"/>
  <c r="C67" i="9" l="1"/>
  <c r="E25" i="9"/>
  <c r="E125" i="9" s="1"/>
  <c r="F5" i="9"/>
  <c r="AE23" i="5"/>
  <c r="AE22" i="5"/>
  <c r="C81" i="9" l="1"/>
  <c r="O27" i="5" s="1"/>
  <c r="S27" i="5"/>
  <c r="B7" i="5"/>
  <c r="B16" i="5" s="1"/>
  <c r="B24" i="5" s="1"/>
  <c r="AE21" i="5"/>
  <c r="AE18" i="5"/>
  <c r="AE15" i="5"/>
  <c r="AE14" i="5"/>
  <c r="AE13" i="5"/>
  <c r="AE17" i="5"/>
  <c r="AD7" i="5"/>
  <c r="AD16" i="5" s="1"/>
  <c r="AC7" i="5"/>
  <c r="AC16" i="5" s="1"/>
  <c r="AB7" i="5"/>
  <c r="AB16" i="5" s="1"/>
  <c r="AA7" i="5"/>
  <c r="AA16" i="5" s="1"/>
  <c r="Z7" i="5"/>
  <c r="Z16" i="5" s="1"/>
  <c r="Y7" i="5"/>
  <c r="Y16" i="5" s="1"/>
  <c r="X7" i="5"/>
  <c r="X16" i="5" s="1"/>
  <c r="W7" i="5"/>
  <c r="W16" i="5" s="1"/>
  <c r="V7" i="5"/>
  <c r="V16" i="5" s="1"/>
  <c r="U7" i="5"/>
  <c r="U16" i="5" s="1"/>
  <c r="T7" i="5"/>
  <c r="T16" i="5" s="1"/>
  <c r="S7" i="5"/>
  <c r="S16" i="5" s="1"/>
  <c r="AE6" i="5"/>
  <c r="AE5" i="5"/>
  <c r="AE4" i="5"/>
  <c r="X27" i="5" l="1"/>
  <c r="AD27" i="5"/>
  <c r="W27" i="5"/>
  <c r="Z27" i="5"/>
  <c r="L27" i="5"/>
  <c r="AB27" i="5"/>
  <c r="U27" i="5"/>
  <c r="AA27" i="5"/>
  <c r="AC27" i="5"/>
  <c r="K27" i="5"/>
  <c r="T27" i="5"/>
  <c r="Y27" i="5"/>
  <c r="V27" i="5"/>
  <c r="M27" i="5"/>
  <c r="N27" i="5"/>
  <c r="T24" i="5"/>
  <c r="Y24" i="5"/>
  <c r="AD24" i="5"/>
  <c r="Z24" i="5"/>
  <c r="AC24" i="5"/>
  <c r="AA24" i="5"/>
  <c r="X24" i="5"/>
  <c r="V24" i="5"/>
  <c r="AB24" i="5"/>
  <c r="W24" i="5"/>
  <c r="U24" i="5"/>
  <c r="AE7" i="5"/>
  <c r="AE16" i="5" s="1"/>
  <c r="AE24" i="5" s="1"/>
  <c r="AE27" i="5" l="1"/>
  <c r="C95" i="9"/>
  <c r="S24" i="5"/>
  <c r="B81" i="9" s="1"/>
  <c r="C108" i="9" l="1"/>
  <c r="C104" i="9"/>
  <c r="C102" i="9"/>
  <c r="C101" i="9"/>
  <c r="C107" i="9"/>
  <c r="C103" i="9"/>
  <c r="C105" i="9"/>
  <c r="C106" i="9"/>
  <c r="E7" i="5"/>
  <c r="E16" i="5" s="1"/>
  <c r="C109" i="9" l="1"/>
  <c r="C120" i="9" s="1"/>
  <c r="E24" i="5"/>
  <c r="C119" i="9" l="1"/>
  <c r="C122" i="9"/>
  <c r="C115" i="9"/>
  <c r="C121" i="9"/>
  <c r="C118" i="9"/>
  <c r="C112" i="9"/>
  <c r="C113" i="9"/>
  <c r="C111" i="9"/>
  <c r="C116" i="9"/>
  <c r="C114" i="9"/>
  <c r="C117" i="9"/>
  <c r="B39" i="9"/>
  <c r="C123" i="9" l="1"/>
  <c r="F13" i="9"/>
  <c r="D14" i="9" l="1"/>
  <c r="F14" i="9" s="1"/>
  <c r="D15" i="9" l="1"/>
  <c r="F15" i="9" s="1"/>
  <c r="D16" i="9" l="1"/>
  <c r="F16" i="9" s="1"/>
  <c r="D17" i="9" l="1"/>
  <c r="F17" i="9" s="1"/>
  <c r="D18" i="9" l="1"/>
  <c r="F18" i="9" s="1"/>
  <c r="D19" i="9" l="1"/>
  <c r="F19" i="9" s="1"/>
  <c r="D20" i="9" l="1"/>
  <c r="F20" i="9" s="1"/>
  <c r="D21" i="9" l="1"/>
  <c r="F21" i="9" s="1"/>
  <c r="D22" i="9" l="1"/>
  <c r="F22" i="9" s="1"/>
  <c r="D23" i="9" l="1"/>
  <c r="F23" i="9" s="1"/>
  <c r="D24" i="9" l="1"/>
  <c r="D25" i="9" s="1"/>
  <c r="F24" i="9" l="1"/>
  <c r="F25" i="9" s="1"/>
  <c r="D27" i="9"/>
  <c r="F27" i="9" s="1"/>
  <c r="D28" i="9" l="1"/>
  <c r="F28" i="9" s="1"/>
  <c r="D29" i="9" l="1"/>
  <c r="F29" i="9" s="1"/>
  <c r="D30" i="9" l="1"/>
  <c r="F30" i="9" s="1"/>
  <c r="D31" i="9" l="1"/>
  <c r="F31" i="9" s="1"/>
  <c r="D32" i="9" l="1"/>
  <c r="F32" i="9" s="1"/>
  <c r="D33" i="9" l="1"/>
  <c r="F33" i="9" l="1"/>
  <c r="D34" i="9"/>
  <c r="D35" i="9" l="1"/>
  <c r="F34" i="9"/>
  <c r="D36" i="9" l="1"/>
  <c r="F35" i="9"/>
  <c r="D37" i="9" l="1"/>
  <c r="D38" i="9" s="1"/>
  <c r="F36" i="9"/>
  <c r="D39" i="9" l="1"/>
  <c r="F37" i="9"/>
  <c r="D41" i="9" l="1"/>
  <c r="F38" i="9"/>
  <c r="F39" i="9" s="1"/>
  <c r="F41" i="9" l="1"/>
  <c r="D42" i="9"/>
  <c r="D43" i="9" l="1"/>
  <c r="F42" i="9"/>
  <c r="F43" i="9" l="1"/>
  <c r="F12" i="5" l="1"/>
  <c r="F16" i="5" s="1"/>
  <c r="F24" i="5" s="1"/>
  <c r="G8" i="5"/>
  <c r="P8" i="5" s="1"/>
  <c r="C8" i="5" l="1"/>
  <c r="P11" i="5"/>
  <c r="C11" i="5" s="1"/>
  <c r="P10" i="5"/>
  <c r="C10" i="5" s="1"/>
  <c r="P9" i="5"/>
  <c r="C9" i="5" s="1"/>
  <c r="G12" i="5"/>
  <c r="G16" i="5" s="1"/>
  <c r="G24" i="5" s="1"/>
  <c r="C12" i="5" l="1"/>
  <c r="C16" i="5" s="1"/>
  <c r="C24" i="5" s="1"/>
  <c r="P12" i="5"/>
  <c r="P16" i="5" s="1"/>
  <c r="P24" i="5" s="1"/>
  <c r="B67" i="9"/>
  <c r="D44" i="9"/>
  <c r="B53" i="9"/>
  <c r="F44" i="9" l="1"/>
  <c r="D45" i="9"/>
  <c r="F45" i="9" l="1"/>
  <c r="D46" i="9"/>
  <c r="D47" i="9" l="1"/>
  <c r="F46" i="9"/>
  <c r="F47" i="9" l="1"/>
  <c r="D48" i="9"/>
  <c r="F48" i="9" l="1"/>
  <c r="D49" i="9"/>
  <c r="D50" i="9" l="1"/>
  <c r="F49" i="9"/>
  <c r="D51" i="9" l="1"/>
  <c r="F50" i="9"/>
  <c r="D52" i="9" l="1"/>
  <c r="D53" i="9" s="1"/>
  <c r="F51" i="9"/>
  <c r="F52" i="9" l="1"/>
  <c r="F53" i="9" s="1"/>
  <c r="D55" i="9"/>
  <c r="F55" i="9" s="1"/>
  <c r="D56" i="9" l="1"/>
  <c r="F56" i="9" s="1"/>
  <c r="D57" i="9" l="1"/>
  <c r="F57" i="9" s="1"/>
  <c r="D58" i="9" l="1"/>
  <c r="F58" i="9" s="1"/>
  <c r="D59" i="9" l="1"/>
  <c r="F59" i="9" s="1"/>
  <c r="D60" i="9" l="1"/>
  <c r="F60" i="9" s="1"/>
  <c r="D61" i="9" l="1"/>
  <c r="F61" i="9" s="1"/>
  <c r="D62" i="9" l="1"/>
  <c r="F62" i="9" s="1"/>
  <c r="D63" i="9" l="1"/>
  <c r="F63" i="9" s="1"/>
  <c r="D64" i="9" l="1"/>
  <c r="F64" i="9" s="1"/>
  <c r="D65" i="9" l="1"/>
  <c r="F65" i="9" s="1"/>
  <c r="D66" i="9" l="1"/>
  <c r="F66" i="9" l="1"/>
  <c r="F67" i="9" s="1"/>
  <c r="D67" i="9"/>
  <c r="D69" i="9"/>
  <c r="F69" i="9" s="1"/>
  <c r="D70" i="9" l="1"/>
  <c r="F70" i="9" s="1"/>
  <c r="D71" i="9" l="1"/>
  <c r="F71" i="9" s="1"/>
  <c r="D72" i="9" l="1"/>
  <c r="F72" i="9" s="1"/>
  <c r="D73" i="9" l="1"/>
  <c r="F73" i="9" s="1"/>
  <c r="D74" i="9" l="1"/>
  <c r="F74" i="9" s="1"/>
  <c r="D75" i="9" l="1"/>
  <c r="D76" i="9" s="1"/>
  <c r="D77" i="9" s="1"/>
  <c r="D78" i="9" s="1"/>
  <c r="D79" i="9" s="1"/>
  <c r="D80" i="9" s="1"/>
  <c r="F75" i="9" l="1"/>
  <c r="F76" i="9" l="1"/>
  <c r="F77" i="9" l="1"/>
  <c r="F78" i="9" l="1"/>
  <c r="F79" i="9" l="1"/>
  <c r="F80" i="9" l="1"/>
  <c r="D83" i="9"/>
  <c r="F83" i="9" s="1"/>
  <c r="D84" i="9" l="1"/>
  <c r="F84" i="9" s="1"/>
  <c r="D85" i="9" l="1"/>
  <c r="F85" i="9" s="1"/>
  <c r="D86" i="9" l="1"/>
  <c r="F86" i="9" s="1"/>
  <c r="D87" i="9" l="1"/>
  <c r="F87" i="9" s="1"/>
  <c r="D88" i="9" l="1"/>
  <c r="F88" i="9" s="1"/>
  <c r="D89" i="9" l="1"/>
  <c r="F89" i="9" s="1"/>
  <c r="D90" i="9" l="1"/>
  <c r="F90" i="9" s="1"/>
  <c r="D91" i="9" l="1"/>
  <c r="F91" i="9" s="1"/>
  <c r="D92" i="9" l="1"/>
  <c r="F92" i="9" s="1"/>
  <c r="D93" i="9" l="1"/>
  <c r="F93" i="9" s="1"/>
  <c r="D94" i="9" l="1"/>
  <c r="F94" i="9" s="1"/>
  <c r="D97" i="9" l="1"/>
  <c r="F97" i="9" s="1"/>
  <c r="D98" i="9" l="1"/>
  <c r="F98" i="9" s="1"/>
  <c r="D99" i="9" l="1"/>
  <c r="F99" i="9" s="1"/>
  <c r="B104" i="9" l="1"/>
  <c r="B107" i="9"/>
  <c r="B105" i="9"/>
  <c r="B108" i="9"/>
  <c r="B102" i="9"/>
  <c r="B103" i="9"/>
  <c r="B101" i="9"/>
  <c r="B106" i="9"/>
  <c r="D100" i="9"/>
  <c r="B109" i="9" l="1"/>
  <c r="B113" i="9" s="1"/>
  <c r="B116" i="9"/>
  <c r="D101" i="9"/>
  <c r="F100" i="9"/>
  <c r="B112" i="9"/>
  <c r="B111" i="9"/>
  <c r="B114" i="9" l="1"/>
  <c r="B119" i="9"/>
  <c r="B115" i="9"/>
  <c r="B120" i="9"/>
  <c r="B122" i="9"/>
  <c r="B118" i="9"/>
  <c r="B121" i="9"/>
  <c r="B117" i="9"/>
  <c r="F101" i="9"/>
  <c r="D102" i="9"/>
  <c r="B123" i="9" l="1"/>
  <c r="D103" i="9"/>
  <c r="F102" i="9"/>
  <c r="F103" i="9" l="1"/>
  <c r="D104" i="9"/>
  <c r="D105" i="9" l="1"/>
  <c r="F104" i="9"/>
  <c r="F105" i="9" l="1"/>
  <c r="D106" i="9"/>
  <c r="D107" i="9" l="1"/>
  <c r="F106" i="9"/>
  <c r="F107" i="9" l="1"/>
  <c r="D108" i="9"/>
  <c r="D111" i="9" l="1"/>
  <c r="F108" i="9"/>
  <c r="F111" i="9" l="1"/>
  <c r="D112" i="9"/>
  <c r="D113" i="9" l="1"/>
  <c r="F112" i="9"/>
  <c r="F113" i="9" l="1"/>
  <c r="D114" i="9"/>
  <c r="D115" i="9" l="1"/>
  <c r="F114" i="9"/>
  <c r="F115" i="9" l="1"/>
  <c r="D116" i="9"/>
  <c r="D117" i="9" l="1"/>
  <c r="F116" i="9"/>
  <c r="F117" i="9" l="1"/>
  <c r="D118" i="9"/>
  <c r="D119" i="9" l="1"/>
  <c r="F118" i="9"/>
  <c r="F119" i="9" l="1"/>
  <c r="D120" i="9"/>
  <c r="D121" i="9" l="1"/>
  <c r="F120" i="9"/>
  <c r="F121" i="9" l="1"/>
  <c r="D122" i="9"/>
  <c r="F12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Giezendanner, Esther</author>
    <author>Judkins, Scott</author>
    <author>Jones JR, Don (DSM)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Giezendanner, Esther:</t>
        </r>
        <r>
          <rPr>
            <sz val="9"/>
            <color indexed="81"/>
            <rFont val="Tahoma"/>
            <family val="2"/>
          </rPr>
          <t xml:space="preserve">
Taken from the values from 2020-2021 Business Plan filed in Nov 2019</t>
        </r>
      </text>
    </comment>
    <comment ref="F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Giezendanner, Esther:</t>
        </r>
        <r>
          <rPr>
            <sz val="9"/>
            <color indexed="81"/>
            <rFont val="Tahoma"/>
            <family val="2"/>
          </rPr>
          <t xml:space="preserve">
Accruals for WSB not identified by sector.This includes engineering </t>
        </r>
      </text>
    </comment>
    <comment ref="P8" authorId="1" shapeId="0" xr:uid="{00000000-0006-0000-0100-000004000000}">
      <text>
        <r>
          <rPr>
            <b/>
            <sz val="9"/>
            <color indexed="81"/>
            <rFont val="Tahoma"/>
            <charset val="1"/>
          </rPr>
          <t>Judkins, Scott:</t>
        </r>
        <r>
          <rPr>
            <sz val="9"/>
            <color indexed="81"/>
            <rFont val="Tahoma"/>
            <charset val="1"/>
          </rPr>
          <t xml:space="preserve">
Portfolio costs are allocated to Comm, Ind, and AG based on % of savings jan-mar 2021
</t>
        </r>
      </text>
    </comment>
    <comment ref="A28" authorId="2" shapeId="0" xr:uid="{3EF1253C-BE5A-4B62-BE71-740300411EE6}">
      <text>
        <r>
          <rPr>
            <b/>
            <sz val="9"/>
            <color indexed="81"/>
            <rFont val="Tahoma"/>
            <family val="2"/>
          </rPr>
          <t>Jones JR, Don (DSM):</t>
        </r>
        <r>
          <rPr>
            <sz val="9"/>
            <color indexed="81"/>
            <rFont val="Tahoma"/>
            <family val="2"/>
          </rPr>
          <t xml:space="preserve">
these notes are not current as 4-21-21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Giezendanner, Esther</author>
  </authors>
  <commentList>
    <comment ref="B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Giezendanner, Esther:</t>
        </r>
        <r>
          <rPr>
            <sz val="9"/>
            <color indexed="81"/>
            <rFont val="Tahoma"/>
            <family val="2"/>
          </rPr>
          <t xml:space="preserve">
Allocation taken form 2016 Portion Study Invoice Tracking spreadsheet.</t>
        </r>
      </text>
    </comment>
  </commentList>
</comments>
</file>

<file path=xl/sharedStrings.xml><?xml version="1.0" encoding="utf-8"?>
<sst xmlns="http://schemas.openxmlformats.org/spreadsheetml/2006/main" count="208" uniqueCount="95">
  <si>
    <t>Total Residential</t>
  </si>
  <si>
    <t xml:space="preserve">    Northwest Energy Efficiency Alliance</t>
  </si>
  <si>
    <t xml:space="preserve">    Distribution efficiency</t>
  </si>
  <si>
    <t xml:space="preserve">    Production efficiency</t>
  </si>
  <si>
    <t>Total - conservation programs</t>
  </si>
  <si>
    <t>Total System Benefit Charge Expenses</t>
  </si>
  <si>
    <t>Notes:</t>
  </si>
  <si>
    <t>HES</t>
  </si>
  <si>
    <t>Low Income</t>
  </si>
  <si>
    <t>HER</t>
  </si>
  <si>
    <t>Energy Education</t>
  </si>
  <si>
    <t>NEEA</t>
  </si>
  <si>
    <t>Outreach</t>
  </si>
  <si>
    <t>Portfolio EM&amp;V</t>
  </si>
  <si>
    <t>Portfolio Potential Study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</si>
  <si>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</si>
  <si>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</si>
  <si>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</si>
  <si>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</si>
  <si>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</si>
  <si>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</si>
  <si>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</si>
  <si>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</si>
  <si>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</si>
  <si>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</si>
  <si>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</si>
  <si>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</si>
  <si>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</si>
  <si>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Washington System Benefit Charge Deferred Account Analysis</t>
  </si>
  <si>
    <t>Monthly Conservation Costs</t>
  </si>
  <si>
    <t>SBC Recovery</t>
  </si>
  <si>
    <t>Accrued Costs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</si>
  <si>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</si>
  <si>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</si>
  <si>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</si>
  <si>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</si>
  <si>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</si>
  <si>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</si>
  <si>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</si>
  <si>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</si>
  <si>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</si>
  <si>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</si>
  <si>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</si>
  <si>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2012 Totals</t>
  </si>
  <si>
    <t>2013 Totals</t>
  </si>
  <si>
    <t>2014 Totals</t>
  </si>
  <si>
    <t>2015 Totals</t>
  </si>
  <si>
    <t xml:space="preserve">Cash Basis Accumulative  Balance  </t>
  </si>
  <si>
    <t xml:space="preserve">Accrual Basis Accumulative  Balance  </t>
  </si>
  <si>
    <t xml:space="preserve">   Home Energy Savings (118) </t>
  </si>
  <si>
    <t xml:space="preserve">   Low Income Weatherization (114) </t>
  </si>
  <si>
    <t xml:space="preserve">   Customer outreach/communication</t>
  </si>
  <si>
    <t xml:space="preserve">   Program Evaluations</t>
  </si>
  <si>
    <t xml:space="preserve">   Potential study update/analysis</t>
  </si>
  <si>
    <t xml:space="preserve">   Admin of prior programs</t>
  </si>
  <si>
    <t xml:space="preserve">   wattSmart Business (140) - Comm</t>
  </si>
  <si>
    <t xml:space="preserve">   wattSmart Business (140) - Industrial</t>
  </si>
  <si>
    <t xml:space="preserve">   wattSmart Business (140) - Agricultural</t>
  </si>
  <si>
    <t>Total Business Programs</t>
  </si>
  <si>
    <t xml:space="preserve">   Home Energy Report (N/A)</t>
  </si>
  <si>
    <t xml:space="preserve">   wattSmart Business (140) - portfolio </t>
  </si>
  <si>
    <t xml:space="preserve">Costs identified represents those expected to be recovered through the tariff rider. </t>
  </si>
  <si>
    <t>wattsmart Bus - Indus</t>
  </si>
  <si>
    <t>wattsmart Bus - Ag</t>
  </si>
  <si>
    <t>wattsmart Bus - Comm</t>
  </si>
  <si>
    <t>Actual</t>
  </si>
  <si>
    <t>Forecast</t>
  </si>
  <si>
    <t>2016 Totals</t>
  </si>
  <si>
    <t>wattsmart Bus - Portfolio</t>
  </si>
  <si>
    <t>2017 Totals</t>
  </si>
  <si>
    <t xml:space="preserve">   Be wattsmart, Begin at Home</t>
  </si>
  <si>
    <t>2011 Totals</t>
  </si>
  <si>
    <t>2018 Totals</t>
  </si>
  <si>
    <t xml:space="preserve">Using 2016 Cost Allocation </t>
  </si>
  <si>
    <t>Using 2016 Cost Allocation (partial year alloc since Jan-Mar are actuals)</t>
  </si>
  <si>
    <t>2019 Totals</t>
  </si>
  <si>
    <t xml:space="preserve">   System Support / TRL</t>
  </si>
  <si>
    <t xml:space="preserve">   End use load research</t>
  </si>
  <si>
    <t>Portfolio DSMC/TRL</t>
  </si>
  <si>
    <t>Portfolio DSMC / TRL</t>
  </si>
  <si>
    <t>System Benfit Charge Revenue Estimate</t>
  </si>
  <si>
    <t>2020 Totals</t>
  </si>
  <si>
    <t>2021 Totals</t>
  </si>
  <si>
    <t>2020 budget forecast came from the Nov 2019 Business Plan filing</t>
  </si>
  <si>
    <t>Confirmed to use the SBC revenue forecast from 2019 Business Plan "Rate Schedule Forecast WA 2020 Plan_20190503.xlsx"</t>
  </si>
  <si>
    <t>2021 Estimated Expenditures</t>
  </si>
  <si>
    <t>Total Accrual in March 2021</t>
  </si>
  <si>
    <t>2021 Budget Estimate</t>
  </si>
  <si>
    <t>2021 Budget Projections as of 4-2021</t>
  </si>
  <si>
    <t>2021 YTD Total</t>
  </si>
  <si>
    <t>2022 Estimated Expenditures</t>
  </si>
  <si>
    <t>2022 Totals</t>
  </si>
  <si>
    <t xml:space="preserve"> </t>
  </si>
  <si>
    <t>YTD through Apr 2021</t>
  </si>
  <si>
    <t>May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</si>
</sst>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&quot;$&quot;#,##0\ ;\(&quot;$&quot;#,##0\)"/>
    <numFmt numFmtId="167" formatCode="m/d/\ h:mm"/>
    <numFmt numFmtId="168" formatCode="########\-###\-###"/>
    <numFmt numFmtId="169" formatCode="General_)"/>
    <numFmt numFmtId="170" formatCode="[$-409]mmmm\-yy;@"/>
    <numFmt numFmtId="171" formatCode="_(&quot;$&quot;* #,##0_);_(&quot;$&quot;* \(#,##0\);_(&quot;$&quot;* &quot;-&quot;??_);_(@_)"/>
    <numFmt numFmtId="172" formatCode="0_);\(0\)"/>
    <numFmt numFmtId="173" formatCode="[$-409]mmm\-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sz val="10"/>
      <color indexed="24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2"/>
      <color indexed="24"/>
      <name val="Times New Roman"/>
      <family val="1"/>
    </font>
    <font>
      <b/>
      <sz val="13"/>
      <color indexed="56"/>
      <name val="Calibri"/>
      <family val="2"/>
    </font>
    <font>
      <sz val="8"/>
      <color indexed="24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63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LinePrinter"/>
      <family val="3"/>
    </font>
    <font>
      <b/>
      <u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2"/>
      <name val="Arial MT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4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165" fontId="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2" fillId="0" borderId="0">
      <alignment horizontal="left" wrapText="1"/>
    </xf>
    <xf numFmtId="0" fontId="5" fillId="0" borderId="0"/>
    <xf numFmtId="165" fontId="2" fillId="0" borderId="0">
      <alignment horizontal="left" wrapText="1"/>
    </xf>
    <xf numFmtId="0" fontId="5" fillId="0" borderId="0"/>
    <xf numFmtId="0" fontId="5" fillId="0" borderId="0"/>
    <xf numFmtId="165" fontId="2" fillId="0" borderId="0">
      <alignment horizontal="left" wrapText="1"/>
    </xf>
    <xf numFmtId="0" fontId="5" fillId="0" borderId="0"/>
    <xf numFmtId="165" fontId="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0" applyFill="0"/>
    <xf numFmtId="165" fontId="2" fillId="0" borderId="0">
      <alignment horizontal="left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" fillId="35" borderId="0" applyNumberFormat="0" applyAlignment="0">
      <alignment horizontal="right"/>
    </xf>
    <xf numFmtId="0" fontId="2" fillId="36" borderId="0" applyNumberFormat="0" applyAlignment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>
      <alignment horizontal="center" wrapText="1"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168" fontId="2" fillId="0" borderId="0"/>
    <xf numFmtId="168" fontId="2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37" fontId="27" fillId="0" borderId="0" applyNumberFormat="0" applyFill="0" applyBorder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>
      <alignment wrapText="1"/>
    </xf>
    <xf numFmtId="0" fontId="2" fillId="0" borderId="0"/>
    <xf numFmtId="0" fontId="6" fillId="0" borderId="0"/>
    <xf numFmtId="0" fontId="2" fillId="0" borderId="0">
      <alignment wrapText="1"/>
    </xf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30" fillId="39" borderId="10" applyNumberFormat="0" applyAlignment="0" applyProtection="0"/>
    <xf numFmtId="2" fontId="30" fillId="40" borderId="10" applyProtection="0">
      <alignment horizontal="right"/>
    </xf>
    <xf numFmtId="2" fontId="31" fillId="41" borderId="10" applyProtection="0">
      <alignment horizontal="right"/>
    </xf>
    <xf numFmtId="14" fontId="32" fillId="42" borderId="10" applyProtection="0">
      <alignment horizontal="right"/>
    </xf>
    <xf numFmtId="14" fontId="32" fillId="42" borderId="10" applyProtection="0">
      <alignment horizontal="left"/>
    </xf>
    <xf numFmtId="0" fontId="33" fillId="39" borderId="10" applyNumberFormat="0" applyProtection="0">
      <alignment horizontal="left"/>
    </xf>
    <xf numFmtId="0" fontId="2" fillId="0" borderId="0" applyNumberFormat="0" applyFill="0" applyBorder="0" applyProtection="0">
      <alignment horizontal="right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13" fillId="0" borderId="12" applyNumberFormat="0" applyFont="0" applyFill="0" applyAlignment="0" applyProtection="0"/>
    <xf numFmtId="169" fontId="36" fillId="0" borderId="0">
      <alignment horizontal="left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9" fontId="44" fillId="0" borderId="0">
      <alignment horizontal="left"/>
    </xf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3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47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40" fillId="0" borderId="13" xfId="2" applyFont="1" applyFill="1" applyBorder="1" applyAlignment="1">
      <alignment horizontal="center" wrapText="1"/>
    </xf>
    <xf numFmtId="171" fontId="40" fillId="0" borderId="15" xfId="1788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1" fillId="0" borderId="16" xfId="2" applyFont="1" applyFill="1" applyBorder="1" applyAlignment="1">
      <alignment horizontal="left" wrapText="1"/>
    </xf>
    <xf numFmtId="0" fontId="40" fillId="43" borderId="16" xfId="2" applyFont="1" applyFill="1" applyBorder="1" applyAlignment="1">
      <alignment horizontal="left" wrapText="1"/>
    </xf>
    <xf numFmtId="0" fontId="38" fillId="0" borderId="0" xfId="0" applyFont="1" applyFill="1"/>
    <xf numFmtId="0" fontId="0" fillId="0" borderId="0" xfId="0" applyFont="1" applyFill="1"/>
    <xf numFmtId="0" fontId="40" fillId="44" borderId="19" xfId="2" applyFont="1" applyFill="1" applyBorder="1" applyAlignment="1">
      <alignment horizontal="left" wrapText="1"/>
    </xf>
    <xf numFmtId="171" fontId="39" fillId="44" borderId="20" xfId="1" applyNumberFormat="1" applyFont="1" applyFill="1" applyBorder="1"/>
    <xf numFmtId="0" fontId="40" fillId="0" borderId="0" xfId="2" applyFont="1" applyFill="1" applyBorder="1" applyAlignment="1">
      <alignment horizontal="left" wrapText="1"/>
    </xf>
    <xf numFmtId="171" fontId="39" fillId="0" borderId="0" xfId="1" applyNumberFormat="1" applyFont="1" applyFill="1" applyBorder="1"/>
    <xf numFmtId="0" fontId="40" fillId="44" borderId="0" xfId="2" applyFont="1" applyFill="1" applyBorder="1" applyAlignment="1">
      <alignment horizontal="left" wrapText="1"/>
    </xf>
    <xf numFmtId="171" fontId="40" fillId="44" borderId="0" xfId="1788" applyNumberFormat="1" applyFont="1" applyFill="1" applyBorder="1" applyAlignment="1">
      <alignment horizontal="left" wrapText="1"/>
    </xf>
    <xf numFmtId="0" fontId="42" fillId="0" borderId="0" xfId="0" applyFont="1" applyFill="1" applyAlignment="1">
      <alignment horizontal="left" wrapText="1"/>
    </xf>
    <xf numFmtId="0" fontId="43" fillId="0" borderId="0" xfId="0" applyFont="1" applyFill="1" applyAlignment="1"/>
    <xf numFmtId="0" fontId="0" fillId="0" borderId="0" xfId="0" applyFill="1" applyAlignment="1">
      <alignment horizontal="left"/>
    </xf>
    <xf numFmtId="0" fontId="40" fillId="0" borderId="14" xfId="2" applyFont="1" applyFill="1" applyBorder="1" applyAlignment="1">
      <alignment horizontal="center" wrapText="1"/>
    </xf>
    <xf numFmtId="171" fontId="41" fillId="0" borderId="18" xfId="1788" applyNumberFormat="1" applyFont="1" applyFill="1" applyBorder="1" applyAlignment="1">
      <alignment horizontal="left" wrapText="1"/>
    </xf>
    <xf numFmtId="171" fontId="41" fillId="0" borderId="17" xfId="1788" applyNumberFormat="1" applyFont="1" applyFill="1" applyBorder="1" applyAlignment="1">
      <alignment horizontal="left" wrapText="1"/>
    </xf>
    <xf numFmtId="171" fontId="40" fillId="43" borderId="17" xfId="1788" applyNumberFormat="1" applyFont="1" applyFill="1" applyBorder="1" applyAlignment="1">
      <alignment horizontal="left" wrapText="1"/>
    </xf>
    <xf numFmtId="171" fontId="40" fillId="44" borderId="23" xfId="2" applyNumberFormat="1" applyFont="1" applyFill="1" applyBorder="1" applyAlignment="1">
      <alignment horizontal="left" wrapText="1"/>
    </xf>
    <xf numFmtId="171" fontId="40" fillId="43" borderId="21" xfId="1788" applyNumberFormat="1" applyFont="1" applyFill="1" applyBorder="1" applyAlignment="1">
      <alignment horizontal="left" wrapText="1"/>
    </xf>
    <xf numFmtId="0" fontId="0" fillId="0" borderId="0" xfId="0" applyFill="1"/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/>
    <xf numFmtId="0" fontId="40" fillId="44" borderId="0" xfId="2" applyFont="1" applyFill="1" applyBorder="1" applyAlignment="1">
      <alignment horizontal="left" wrapText="1"/>
    </xf>
    <xf numFmtId="0" fontId="40" fillId="0" borderId="0" xfId="2" applyFont="1" applyFill="1" applyBorder="1" applyAlignment="1">
      <alignment horizontal="left" wrapText="1"/>
    </xf>
    <xf numFmtId="171" fontId="42" fillId="0" borderId="17" xfId="0" applyNumberFormat="1" applyFont="1" applyFill="1" applyBorder="1"/>
    <xf numFmtId="0" fontId="45" fillId="0" borderId="0" xfId="0" applyFont="1"/>
    <xf numFmtId="0" fontId="38" fillId="44" borderId="17" xfId="0" applyFont="1" applyFill="1" applyBorder="1" applyAlignment="1">
      <alignment horizontal="center"/>
    </xf>
    <xf numFmtId="0" fontId="0" fillId="0" borderId="17" xfId="0" applyBorder="1"/>
    <xf numFmtId="171" fontId="1" fillId="0" borderId="17" xfId="1788" applyNumberFormat="1" applyFont="1" applyFill="1" applyBorder="1"/>
    <xf numFmtId="164" fontId="0" fillId="45" borderId="0" xfId="1" applyNumberFormat="1" applyFont="1" applyFill="1"/>
    <xf numFmtId="164" fontId="0" fillId="0" borderId="0" xfId="1" applyNumberFormat="1" applyFont="1"/>
    <xf numFmtId="164" fontId="0" fillId="0" borderId="24" xfId="1" applyNumberFormat="1" applyFont="1" applyBorder="1"/>
    <xf numFmtId="164" fontId="0" fillId="0" borderId="0" xfId="1" applyNumberFormat="1" applyFont="1" applyAlignment="1">
      <alignment horizontal="right"/>
    </xf>
    <xf numFmtId="4" fontId="48" fillId="0" borderId="0" xfId="1814" quotePrefix="1" applyNumberFormat="1" applyFont="1" applyFill="1" applyBorder="1" applyAlignment="1">
      <alignment horizontal="center" wrapText="1"/>
    </xf>
    <xf numFmtId="0" fontId="46" fillId="0" borderId="0" xfId="1814" applyFont="1" applyFill="1" applyBorder="1" applyAlignment="1">
      <alignment horizontal="center"/>
    </xf>
    <xf numFmtId="4" fontId="46" fillId="0" borderId="0" xfId="1814" applyNumberFormat="1" applyFont="1" applyFill="1" applyAlignment="1">
      <alignment horizontal="center"/>
    </xf>
    <xf numFmtId="4" fontId="48" fillId="0" borderId="0" xfId="1814" applyNumberFormat="1" applyFont="1" applyFill="1" applyBorder="1" applyAlignment="1">
      <alignment horizontal="center" wrapText="1"/>
    </xf>
    <xf numFmtId="172" fontId="48" fillId="0" borderId="0" xfId="1814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71" fontId="40" fillId="43" borderId="25" xfId="1788" applyNumberFormat="1" applyFont="1" applyFill="1" applyBorder="1" applyAlignment="1">
      <alignment horizontal="left" wrapText="1"/>
    </xf>
    <xf numFmtId="171" fontId="42" fillId="0" borderId="21" xfId="1" applyNumberFormat="1" applyFont="1" applyFill="1" applyBorder="1"/>
    <xf numFmtId="171" fontId="41" fillId="0" borderId="25" xfId="1788" applyNumberFormat="1" applyFont="1" applyFill="1" applyBorder="1" applyAlignment="1">
      <alignment horizontal="left" wrapText="1"/>
    </xf>
    <xf numFmtId="164" fontId="0" fillId="0" borderId="0" xfId="1" applyNumberFormat="1" applyFont="1" applyFill="1"/>
    <xf numFmtId="164" fontId="0" fillId="0" borderId="24" xfId="1" applyNumberFormat="1" applyFont="1" applyFill="1" applyBorder="1"/>
    <xf numFmtId="164" fontId="1" fillId="0" borderId="0" xfId="1" applyNumberFormat="1" applyFont="1" applyFill="1"/>
    <xf numFmtId="0" fontId="0" fillId="0" borderId="0" xfId="0" applyAlignment="1">
      <alignment horizontal="center"/>
    </xf>
    <xf numFmtId="0" fontId="0" fillId="0" borderId="17" xfId="0" applyFill="1" applyBorder="1"/>
    <xf numFmtId="170" fontId="40" fillId="44" borderId="14" xfId="2" applyNumberFormat="1" applyFont="1" applyFill="1" applyBorder="1" applyAlignment="1">
      <alignment horizontal="center" wrapText="1"/>
    </xf>
    <xf numFmtId="173" fontId="40" fillId="45" borderId="14" xfId="2" applyNumberFormat="1" applyFont="1" applyFill="1" applyBorder="1" applyAlignment="1">
      <alignment horizontal="center" wrapText="1"/>
    </xf>
    <xf numFmtId="173" fontId="40" fillId="45" borderId="15" xfId="2" applyNumberFormat="1" applyFont="1" applyFill="1" applyBorder="1" applyAlignment="1">
      <alignment horizontal="center" wrapText="1"/>
    </xf>
    <xf numFmtId="0" fontId="52" fillId="0" borderId="0" xfId="0" applyFont="1"/>
    <xf numFmtId="0" fontId="52" fillId="0" borderId="22" xfId="0" applyFont="1" applyBorder="1"/>
    <xf numFmtId="0" fontId="38" fillId="0" borderId="0" xfId="0" applyFont="1"/>
    <xf numFmtId="164" fontId="0" fillId="0" borderId="0" xfId="1" applyNumberFormat="1" applyFont="1" applyFill="1" applyBorder="1"/>
    <xf numFmtId="0" fontId="0" fillId="0" borderId="0" xfId="0" applyBorder="1"/>
    <xf numFmtId="171" fontId="42" fillId="0" borderId="17" xfId="1788" applyNumberFormat="1" applyFont="1" applyFill="1" applyBorder="1"/>
    <xf numFmtId="171" fontId="38" fillId="0" borderId="0" xfId="0" applyNumberFormat="1" applyFont="1" applyFill="1"/>
    <xf numFmtId="0" fontId="38" fillId="0" borderId="2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53" fillId="0" borderId="0" xfId="0" applyFont="1" applyFill="1"/>
    <xf numFmtId="0" fontId="0" fillId="0" borderId="0" xfId="0" applyAlignment="1">
      <alignment wrapText="1"/>
    </xf>
    <xf numFmtId="171" fontId="0" fillId="0" borderId="0" xfId="1788" applyNumberFormat="1" applyFont="1" applyAlignment="1">
      <alignment wrapText="1"/>
    </xf>
    <xf numFmtId="171" fontId="0" fillId="0" borderId="0" xfId="1788" applyNumberFormat="1" applyFont="1"/>
    <xf numFmtId="171" fontId="0" fillId="0" borderId="0" xfId="0" applyNumberFormat="1"/>
    <xf numFmtId="0" fontId="38" fillId="0" borderId="0" xfId="0" applyFont="1" applyAlignment="1">
      <alignment wrapText="1"/>
    </xf>
    <xf numFmtId="171" fontId="38" fillId="0" borderId="0" xfId="1788" applyNumberFormat="1" applyFont="1" applyAlignment="1">
      <alignment wrapText="1"/>
    </xf>
    <xf numFmtId="171" fontId="38" fillId="0" borderId="0" xfId="0" applyNumberFormat="1" applyFont="1"/>
    <xf numFmtId="0" fontId="38" fillId="0" borderId="0" xfId="0" applyFont="1" applyAlignment="1"/>
    <xf numFmtId="171" fontId="38" fillId="0" borderId="0" xfId="1788" applyNumberFormat="1" applyFont="1"/>
    <xf numFmtId="171" fontId="39" fillId="43" borderId="17" xfId="1" applyNumberFormat="1" applyFont="1" applyFill="1" applyBorder="1"/>
    <xf numFmtId="0" fontId="41" fillId="0" borderId="0" xfId="2" applyFont="1" applyFill="1" applyBorder="1" applyAlignment="1">
      <alignment horizontal="left"/>
    </xf>
    <xf numFmtId="43" fontId="41" fillId="0" borderId="0" xfId="1" applyFont="1" applyFill="1" applyBorder="1" applyAlignment="1">
      <alignment horizontal="left" wrapText="1"/>
    </xf>
    <xf numFmtId="171" fontId="0" fillId="0" borderId="0" xfId="0" applyNumberFormat="1" applyFill="1"/>
    <xf numFmtId="0" fontId="0" fillId="46" borderId="17" xfId="0" applyFill="1" applyBorder="1"/>
    <xf numFmtId="171" fontId="0" fillId="0" borderId="0" xfId="1788" applyNumberFormat="1" applyFont="1" applyFill="1"/>
    <xf numFmtId="171" fontId="0" fillId="0" borderId="0" xfId="0" applyNumberFormat="1" applyFont="1" applyFill="1"/>
    <xf numFmtId="44" fontId="42" fillId="0" borderId="17" xfId="0" applyNumberFormat="1" applyFont="1" applyFill="1" applyBorder="1"/>
    <xf numFmtId="171" fontId="39" fillId="43" borderId="21" xfId="1" applyNumberFormat="1" applyFont="1" applyFill="1" applyBorder="1"/>
    <xf numFmtId="171" fontId="39" fillId="43" borderId="26" xfId="1" applyNumberFormat="1" applyFont="1" applyFill="1" applyBorder="1"/>
    <xf numFmtId="171" fontId="39" fillId="43" borderId="18" xfId="1" applyNumberFormat="1" applyFont="1" applyFill="1" applyBorder="1"/>
    <xf numFmtId="164" fontId="1" fillId="0" borderId="0" xfId="1" applyNumberFormat="1" applyFont="1"/>
    <xf numFmtId="173" fontId="40" fillId="0" borderId="14" xfId="2" applyNumberFormat="1" applyFont="1" applyFill="1" applyBorder="1" applyAlignment="1">
      <alignment horizontal="center" wrapText="1"/>
    </xf>
    <xf numFmtId="171" fontId="41" fillId="0" borderId="0" xfId="2" applyNumberFormat="1" applyFont="1" applyFill="1" applyBorder="1" applyAlignment="1">
      <alignment horizontal="left"/>
    </xf>
    <xf numFmtId="171" fontId="40" fillId="0" borderId="0" xfId="1788" applyNumberFormat="1" applyFont="1" applyFill="1" applyBorder="1" applyAlignment="1">
      <alignment horizontal="left" wrapText="1"/>
    </xf>
    <xf numFmtId="171" fontId="40" fillId="45" borderId="0" xfId="1788" applyNumberFormat="1" applyFont="1" applyFill="1" applyBorder="1" applyAlignment="1">
      <alignment horizontal="left" wrapText="1"/>
    </xf>
    <xf numFmtId="171" fontId="39" fillId="45" borderId="0" xfId="1" applyNumberFormat="1" applyFont="1" applyFill="1" applyBorder="1"/>
    <xf numFmtId="164" fontId="1" fillId="0" borderId="0" xfId="1" applyNumberFormat="1" applyFont="1" applyFill="1" applyBorder="1"/>
    <xf numFmtId="171" fontId="39" fillId="0" borderId="17" xfId="1" applyNumberFormat="1" applyFont="1" applyFill="1" applyBorder="1"/>
    <xf numFmtId="171" fontId="40" fillId="0" borderId="17" xfId="1788" applyNumberFormat="1" applyFont="1" applyFill="1" applyBorder="1" applyAlignment="1">
      <alignment horizontal="left" wrapText="1"/>
    </xf>
    <xf numFmtId="171" fontId="42" fillId="0" borderId="18" xfId="1788" applyNumberFormat="1" applyFont="1" applyFill="1" applyBorder="1"/>
    <xf numFmtId="171" fontId="1" fillId="0" borderId="18" xfId="1788" applyNumberFormat="1" applyFont="1" applyFill="1" applyBorder="1"/>
    <xf numFmtId="171" fontId="42" fillId="0" borderId="21" xfId="0" applyNumberFormat="1" applyFont="1" applyFill="1" applyBorder="1"/>
    <xf numFmtId="171" fontId="41" fillId="0" borderId="17" xfId="1788" applyNumberFormat="1" applyFont="1" applyFill="1" applyBorder="1"/>
    <xf numFmtId="171" fontId="42" fillId="0" borderId="25" xfId="1" applyNumberFormat="1" applyFont="1" applyFill="1" applyBorder="1"/>
    <xf numFmtId="171" fontId="42" fillId="47" borderId="17" xfId="1788" applyNumberFormat="1" applyFont="1" applyFill="1" applyBorder="1"/>
    <xf numFmtId="171" fontId="42" fillId="47" borderId="21" xfId="1" applyNumberFormat="1" applyFont="1" applyFill="1" applyBorder="1"/>
    <xf numFmtId="9" fontId="0" fillId="0" borderId="0" xfId="1847" applyFont="1"/>
    <xf numFmtId="0" fontId="46" fillId="0" borderId="0" xfId="1814" applyFont="1" applyFill="1" applyAlignment="1">
      <alignment horizontal="center"/>
    </xf>
    <xf numFmtId="164" fontId="49" fillId="0" borderId="0" xfId="1" applyNumberFormat="1" applyFont="1" applyAlignment="1">
      <alignment horizontal="center"/>
    </xf>
  </cellXfs>
  <cellStyles count="1848">
    <cellStyle name=" 1" xfId="3" xr:uid="{00000000-0005-0000-0000-000000000000}"/>
    <cellStyle name="_2009 Annual Savings (2)" xfId="4" xr:uid="{00000000-0005-0000-0000-000001000000}"/>
    <cellStyle name="_Baseline" xfId="5" xr:uid="{00000000-0005-0000-0000-000002000000}"/>
    <cellStyle name="_Energy Benefits Calc" xfId="6" xr:uid="{00000000-0005-0000-0000-000003000000}"/>
    <cellStyle name="_Line Loss" xfId="7" xr:uid="{00000000-0005-0000-0000-000004000000}"/>
    <cellStyle name="_Local Savings" xfId="8" xr:uid="{00000000-0005-0000-0000-000005000000}"/>
    <cellStyle name="_Local Savings Tracker" xfId="9" xr:uid="{00000000-0005-0000-0000-000006000000}"/>
    <cellStyle name="_MC &amp; Electri Load" xfId="10" xr:uid="{00000000-0005-0000-0000-000007000000}"/>
    <cellStyle name="_PV Benefits Calc" xfId="11" xr:uid="{00000000-0005-0000-0000-000008000000}"/>
    <cellStyle name="_PV Cost Calc" xfId="12" xr:uid="{00000000-0005-0000-0000-000009000000}"/>
    <cellStyle name="_Regional Savings Tracker" xfId="13" xr:uid="{00000000-0005-0000-0000-00000A000000}"/>
    <cellStyle name="_SavingsTracker" xfId="14" xr:uid="{00000000-0005-0000-0000-00000B000000}"/>
    <cellStyle name="_Service Territory Reports" xfId="15" xr:uid="{00000000-0005-0000-0000-00000C000000}"/>
    <cellStyle name="_Sheet1" xfId="16" xr:uid="{00000000-0005-0000-0000-00000D000000}"/>
    <cellStyle name="_Summary-Page-3" xfId="17" xr:uid="{00000000-0005-0000-0000-00000E000000}"/>
    <cellStyle name="_Summary-Pg-3" xfId="18" xr:uid="{00000000-0005-0000-0000-00000F000000}"/>
    <cellStyle name="_Table2_Out" xfId="19" xr:uid="{00000000-0005-0000-0000-000010000000}"/>
    <cellStyle name="_Total Regional" xfId="20" xr:uid="{00000000-0005-0000-0000-000011000000}"/>
    <cellStyle name="20% - Accent1 10" xfId="21" xr:uid="{00000000-0005-0000-0000-000012000000}"/>
    <cellStyle name="20% - Accent1 11" xfId="22" xr:uid="{00000000-0005-0000-0000-000013000000}"/>
    <cellStyle name="20% - Accent1 12" xfId="23" xr:uid="{00000000-0005-0000-0000-000014000000}"/>
    <cellStyle name="20% - Accent1 13" xfId="24" xr:uid="{00000000-0005-0000-0000-000015000000}"/>
    <cellStyle name="20% - Accent1 14" xfId="25" xr:uid="{00000000-0005-0000-0000-000016000000}"/>
    <cellStyle name="20% - Accent1 15" xfId="26" xr:uid="{00000000-0005-0000-0000-000017000000}"/>
    <cellStyle name="20% - Accent1 16" xfId="27" xr:uid="{00000000-0005-0000-0000-000018000000}"/>
    <cellStyle name="20% - Accent1 17" xfId="28" xr:uid="{00000000-0005-0000-0000-000019000000}"/>
    <cellStyle name="20% - Accent1 18" xfId="29" xr:uid="{00000000-0005-0000-0000-00001A000000}"/>
    <cellStyle name="20% - Accent1 19" xfId="30" xr:uid="{00000000-0005-0000-0000-00001B000000}"/>
    <cellStyle name="20% - Accent1 2" xfId="31" xr:uid="{00000000-0005-0000-0000-00001C000000}"/>
    <cellStyle name="20% - Accent1 2 2" xfId="32" xr:uid="{00000000-0005-0000-0000-00001D000000}"/>
    <cellStyle name="20% - Accent1 2 3" xfId="33" xr:uid="{00000000-0005-0000-0000-00001E000000}"/>
    <cellStyle name="20% - Accent1 2 4" xfId="34" xr:uid="{00000000-0005-0000-0000-00001F000000}"/>
    <cellStyle name="20% - Accent1 2 5" xfId="35" xr:uid="{00000000-0005-0000-0000-000020000000}"/>
    <cellStyle name="20% - Accent1 2_1. Zips to County Crosswalk" xfId="36" xr:uid="{00000000-0005-0000-0000-000021000000}"/>
    <cellStyle name="20% - Accent1 20" xfId="37" xr:uid="{00000000-0005-0000-0000-000022000000}"/>
    <cellStyle name="20% - Accent1 21" xfId="38" xr:uid="{00000000-0005-0000-0000-000023000000}"/>
    <cellStyle name="20% - Accent1 22" xfId="39" xr:uid="{00000000-0005-0000-0000-000024000000}"/>
    <cellStyle name="20% - Accent1 3" xfId="40" xr:uid="{00000000-0005-0000-0000-000025000000}"/>
    <cellStyle name="20% - Accent1 3 2" xfId="41" xr:uid="{00000000-0005-0000-0000-000026000000}"/>
    <cellStyle name="20% - Accent1 3 3" xfId="42" xr:uid="{00000000-0005-0000-0000-000027000000}"/>
    <cellStyle name="20% - Accent1 3 4" xfId="43" xr:uid="{00000000-0005-0000-0000-000028000000}"/>
    <cellStyle name="20% - Accent1 3_1. Zips to County Crosswalk" xfId="44" xr:uid="{00000000-0005-0000-0000-000029000000}"/>
    <cellStyle name="20% - Accent1 4" xfId="45" xr:uid="{00000000-0005-0000-0000-00002A000000}"/>
    <cellStyle name="20% - Accent1 4 2" xfId="46" xr:uid="{00000000-0005-0000-0000-00002B000000}"/>
    <cellStyle name="20% - Accent1 4 3" xfId="47" xr:uid="{00000000-0005-0000-0000-00002C000000}"/>
    <cellStyle name="20% - Accent1 4_1. Zips to County Crosswalk" xfId="48" xr:uid="{00000000-0005-0000-0000-00002D000000}"/>
    <cellStyle name="20% - Accent1 5" xfId="49" xr:uid="{00000000-0005-0000-0000-00002E000000}"/>
    <cellStyle name="20% - Accent1 5 2" xfId="50" xr:uid="{00000000-0005-0000-0000-00002F000000}"/>
    <cellStyle name="20% - Accent1 5_1. Zips to County Crosswalk" xfId="51" xr:uid="{00000000-0005-0000-0000-000030000000}"/>
    <cellStyle name="20% - Accent1 6" xfId="52" xr:uid="{00000000-0005-0000-0000-000031000000}"/>
    <cellStyle name="20% - Accent1 7" xfId="53" xr:uid="{00000000-0005-0000-0000-000032000000}"/>
    <cellStyle name="20% - Accent1 8" xfId="54" xr:uid="{00000000-0005-0000-0000-000033000000}"/>
    <cellStyle name="20% - Accent1 9" xfId="55" xr:uid="{00000000-0005-0000-0000-000034000000}"/>
    <cellStyle name="20% - Accent2 10" xfId="56" xr:uid="{00000000-0005-0000-0000-000035000000}"/>
    <cellStyle name="20% - Accent2 11" xfId="57" xr:uid="{00000000-0005-0000-0000-000036000000}"/>
    <cellStyle name="20% - Accent2 12" xfId="58" xr:uid="{00000000-0005-0000-0000-000037000000}"/>
    <cellStyle name="20% - Accent2 13" xfId="59" xr:uid="{00000000-0005-0000-0000-000038000000}"/>
    <cellStyle name="20% - Accent2 14" xfId="60" xr:uid="{00000000-0005-0000-0000-000039000000}"/>
    <cellStyle name="20% - Accent2 15" xfId="61" xr:uid="{00000000-0005-0000-0000-00003A000000}"/>
    <cellStyle name="20% - Accent2 16" xfId="62" xr:uid="{00000000-0005-0000-0000-00003B000000}"/>
    <cellStyle name="20% - Accent2 17" xfId="63" xr:uid="{00000000-0005-0000-0000-00003C000000}"/>
    <cellStyle name="20% - Accent2 18" xfId="64" xr:uid="{00000000-0005-0000-0000-00003D000000}"/>
    <cellStyle name="20% - Accent2 19" xfId="65" xr:uid="{00000000-0005-0000-0000-00003E000000}"/>
    <cellStyle name="20% - Accent2 2" xfId="66" xr:uid="{00000000-0005-0000-0000-00003F000000}"/>
    <cellStyle name="20% - Accent2 2 2" xfId="67" xr:uid="{00000000-0005-0000-0000-000040000000}"/>
    <cellStyle name="20% - Accent2 2 3" xfId="68" xr:uid="{00000000-0005-0000-0000-000041000000}"/>
    <cellStyle name="20% - Accent2 2 4" xfId="69" xr:uid="{00000000-0005-0000-0000-000042000000}"/>
    <cellStyle name="20% - Accent2 2 5" xfId="70" xr:uid="{00000000-0005-0000-0000-000043000000}"/>
    <cellStyle name="20% - Accent2 2_1. Zips to County Crosswalk" xfId="71" xr:uid="{00000000-0005-0000-0000-000044000000}"/>
    <cellStyle name="20% - Accent2 20" xfId="72" xr:uid="{00000000-0005-0000-0000-000045000000}"/>
    <cellStyle name="20% - Accent2 21" xfId="73" xr:uid="{00000000-0005-0000-0000-000046000000}"/>
    <cellStyle name="20% - Accent2 22" xfId="74" xr:uid="{00000000-0005-0000-0000-000047000000}"/>
    <cellStyle name="20% - Accent2 3" xfId="75" xr:uid="{00000000-0005-0000-0000-000048000000}"/>
    <cellStyle name="20% - Accent2 3 2" xfId="76" xr:uid="{00000000-0005-0000-0000-000049000000}"/>
    <cellStyle name="20% - Accent2 3 3" xfId="77" xr:uid="{00000000-0005-0000-0000-00004A000000}"/>
    <cellStyle name="20% - Accent2 3 4" xfId="78" xr:uid="{00000000-0005-0000-0000-00004B000000}"/>
    <cellStyle name="20% - Accent2 3_1. Zips to County Crosswalk" xfId="79" xr:uid="{00000000-0005-0000-0000-00004C000000}"/>
    <cellStyle name="20% - Accent2 4" xfId="80" xr:uid="{00000000-0005-0000-0000-00004D000000}"/>
    <cellStyle name="20% - Accent2 4 2" xfId="81" xr:uid="{00000000-0005-0000-0000-00004E000000}"/>
    <cellStyle name="20% - Accent2 4 3" xfId="82" xr:uid="{00000000-0005-0000-0000-00004F000000}"/>
    <cellStyle name="20% - Accent2 4_1. Zips to County Crosswalk" xfId="83" xr:uid="{00000000-0005-0000-0000-000050000000}"/>
    <cellStyle name="20% - Accent2 5" xfId="84" xr:uid="{00000000-0005-0000-0000-000051000000}"/>
    <cellStyle name="20% - Accent2 5 2" xfId="85" xr:uid="{00000000-0005-0000-0000-000052000000}"/>
    <cellStyle name="20% - Accent2 5_1. Zips to County Crosswalk" xfId="86" xr:uid="{00000000-0005-0000-0000-000053000000}"/>
    <cellStyle name="20% - Accent2 6" xfId="87" xr:uid="{00000000-0005-0000-0000-000054000000}"/>
    <cellStyle name="20% - Accent2 7" xfId="88" xr:uid="{00000000-0005-0000-0000-000055000000}"/>
    <cellStyle name="20% - Accent2 8" xfId="89" xr:uid="{00000000-0005-0000-0000-000056000000}"/>
    <cellStyle name="20% - Accent2 9" xfId="90" xr:uid="{00000000-0005-0000-0000-000057000000}"/>
    <cellStyle name="20% - Accent3 10" xfId="91" xr:uid="{00000000-0005-0000-0000-000058000000}"/>
    <cellStyle name="20% - Accent3 11" xfId="92" xr:uid="{00000000-0005-0000-0000-000059000000}"/>
    <cellStyle name="20% - Accent3 12" xfId="93" xr:uid="{00000000-0005-0000-0000-00005A000000}"/>
    <cellStyle name="20% - Accent3 13" xfId="94" xr:uid="{00000000-0005-0000-0000-00005B000000}"/>
    <cellStyle name="20% - Accent3 14" xfId="95" xr:uid="{00000000-0005-0000-0000-00005C000000}"/>
    <cellStyle name="20% - Accent3 15" xfId="96" xr:uid="{00000000-0005-0000-0000-00005D000000}"/>
    <cellStyle name="20% - Accent3 16" xfId="97" xr:uid="{00000000-0005-0000-0000-00005E000000}"/>
    <cellStyle name="20% - Accent3 17" xfId="98" xr:uid="{00000000-0005-0000-0000-00005F000000}"/>
    <cellStyle name="20% - Accent3 18" xfId="99" xr:uid="{00000000-0005-0000-0000-000060000000}"/>
    <cellStyle name="20% - Accent3 19" xfId="100" xr:uid="{00000000-0005-0000-0000-000061000000}"/>
    <cellStyle name="20% - Accent3 2" xfId="101" xr:uid="{00000000-0005-0000-0000-000062000000}"/>
    <cellStyle name="20% - Accent3 2 2" xfId="102" xr:uid="{00000000-0005-0000-0000-000063000000}"/>
    <cellStyle name="20% - Accent3 2 3" xfId="103" xr:uid="{00000000-0005-0000-0000-000064000000}"/>
    <cellStyle name="20% - Accent3 2 4" xfId="104" xr:uid="{00000000-0005-0000-0000-000065000000}"/>
    <cellStyle name="20% - Accent3 2 5" xfId="105" xr:uid="{00000000-0005-0000-0000-000066000000}"/>
    <cellStyle name="20% - Accent3 2_1. Zips to County Crosswalk" xfId="106" xr:uid="{00000000-0005-0000-0000-000067000000}"/>
    <cellStyle name="20% - Accent3 20" xfId="107" xr:uid="{00000000-0005-0000-0000-000068000000}"/>
    <cellStyle name="20% - Accent3 21" xfId="108" xr:uid="{00000000-0005-0000-0000-000069000000}"/>
    <cellStyle name="20% - Accent3 22" xfId="109" xr:uid="{00000000-0005-0000-0000-00006A000000}"/>
    <cellStyle name="20% - Accent3 3" xfId="110" xr:uid="{00000000-0005-0000-0000-00006B000000}"/>
    <cellStyle name="20% - Accent3 3 2" xfId="111" xr:uid="{00000000-0005-0000-0000-00006C000000}"/>
    <cellStyle name="20% - Accent3 3 3" xfId="112" xr:uid="{00000000-0005-0000-0000-00006D000000}"/>
    <cellStyle name="20% - Accent3 3 4" xfId="113" xr:uid="{00000000-0005-0000-0000-00006E000000}"/>
    <cellStyle name="20% - Accent3 3_1. Zips to County Crosswalk" xfId="114" xr:uid="{00000000-0005-0000-0000-00006F000000}"/>
    <cellStyle name="20% - Accent3 4" xfId="115" xr:uid="{00000000-0005-0000-0000-000070000000}"/>
    <cellStyle name="20% - Accent3 4 2" xfId="116" xr:uid="{00000000-0005-0000-0000-000071000000}"/>
    <cellStyle name="20% - Accent3 4 3" xfId="117" xr:uid="{00000000-0005-0000-0000-000072000000}"/>
    <cellStyle name="20% - Accent3 4_1. Zips to County Crosswalk" xfId="118" xr:uid="{00000000-0005-0000-0000-000073000000}"/>
    <cellStyle name="20% - Accent3 5" xfId="119" xr:uid="{00000000-0005-0000-0000-000074000000}"/>
    <cellStyle name="20% - Accent3 5 2" xfId="120" xr:uid="{00000000-0005-0000-0000-000075000000}"/>
    <cellStyle name="20% - Accent3 5_1. Zips to County Crosswalk" xfId="121" xr:uid="{00000000-0005-0000-0000-000076000000}"/>
    <cellStyle name="20% - Accent3 6" xfId="122" xr:uid="{00000000-0005-0000-0000-000077000000}"/>
    <cellStyle name="20% - Accent3 7" xfId="123" xr:uid="{00000000-0005-0000-0000-000078000000}"/>
    <cellStyle name="20% - Accent3 8" xfId="124" xr:uid="{00000000-0005-0000-0000-000079000000}"/>
    <cellStyle name="20% - Accent3 9" xfId="125" xr:uid="{00000000-0005-0000-0000-00007A000000}"/>
    <cellStyle name="20% - Accent4 10" xfId="126" xr:uid="{00000000-0005-0000-0000-00007B000000}"/>
    <cellStyle name="20% - Accent4 11" xfId="127" xr:uid="{00000000-0005-0000-0000-00007C000000}"/>
    <cellStyle name="20% - Accent4 12" xfId="128" xr:uid="{00000000-0005-0000-0000-00007D000000}"/>
    <cellStyle name="20% - Accent4 13" xfId="129" xr:uid="{00000000-0005-0000-0000-00007E000000}"/>
    <cellStyle name="20% - Accent4 14" xfId="130" xr:uid="{00000000-0005-0000-0000-00007F000000}"/>
    <cellStyle name="20% - Accent4 15" xfId="131" xr:uid="{00000000-0005-0000-0000-000080000000}"/>
    <cellStyle name="20% - Accent4 16" xfId="132" xr:uid="{00000000-0005-0000-0000-000081000000}"/>
    <cellStyle name="20% - Accent4 17" xfId="133" xr:uid="{00000000-0005-0000-0000-000082000000}"/>
    <cellStyle name="20% - Accent4 18" xfId="134" xr:uid="{00000000-0005-0000-0000-000083000000}"/>
    <cellStyle name="20% - Accent4 19" xfId="135" xr:uid="{00000000-0005-0000-0000-000084000000}"/>
    <cellStyle name="20% - Accent4 2" xfId="136" xr:uid="{00000000-0005-0000-0000-000085000000}"/>
    <cellStyle name="20% - Accent4 2 2" xfId="137" xr:uid="{00000000-0005-0000-0000-000086000000}"/>
    <cellStyle name="20% - Accent4 2 3" xfId="138" xr:uid="{00000000-0005-0000-0000-000087000000}"/>
    <cellStyle name="20% - Accent4 2 4" xfId="139" xr:uid="{00000000-0005-0000-0000-000088000000}"/>
    <cellStyle name="20% - Accent4 2 5" xfId="140" xr:uid="{00000000-0005-0000-0000-000089000000}"/>
    <cellStyle name="20% - Accent4 2_1. Zips to County Crosswalk" xfId="141" xr:uid="{00000000-0005-0000-0000-00008A000000}"/>
    <cellStyle name="20% - Accent4 20" xfId="142" xr:uid="{00000000-0005-0000-0000-00008B000000}"/>
    <cellStyle name="20% - Accent4 21" xfId="143" xr:uid="{00000000-0005-0000-0000-00008C000000}"/>
    <cellStyle name="20% - Accent4 22" xfId="144" xr:uid="{00000000-0005-0000-0000-00008D000000}"/>
    <cellStyle name="20% - Accent4 3" xfId="145" xr:uid="{00000000-0005-0000-0000-00008E000000}"/>
    <cellStyle name="20% - Accent4 3 2" xfId="146" xr:uid="{00000000-0005-0000-0000-00008F000000}"/>
    <cellStyle name="20% - Accent4 3 3" xfId="147" xr:uid="{00000000-0005-0000-0000-000090000000}"/>
    <cellStyle name="20% - Accent4 3 4" xfId="148" xr:uid="{00000000-0005-0000-0000-000091000000}"/>
    <cellStyle name="20% - Accent4 3_1. Zips to County Crosswalk" xfId="149" xr:uid="{00000000-0005-0000-0000-000092000000}"/>
    <cellStyle name="20% - Accent4 4" xfId="150" xr:uid="{00000000-0005-0000-0000-000093000000}"/>
    <cellStyle name="20% - Accent4 4 2" xfId="151" xr:uid="{00000000-0005-0000-0000-000094000000}"/>
    <cellStyle name="20% - Accent4 4 3" xfId="152" xr:uid="{00000000-0005-0000-0000-000095000000}"/>
    <cellStyle name="20% - Accent4 4_1. Zips to County Crosswalk" xfId="153" xr:uid="{00000000-0005-0000-0000-000096000000}"/>
    <cellStyle name="20% - Accent4 5" xfId="154" xr:uid="{00000000-0005-0000-0000-000097000000}"/>
    <cellStyle name="20% - Accent4 5 2" xfId="155" xr:uid="{00000000-0005-0000-0000-000098000000}"/>
    <cellStyle name="20% - Accent4 5_1. Zips to County Crosswalk" xfId="156" xr:uid="{00000000-0005-0000-0000-000099000000}"/>
    <cellStyle name="20% - Accent4 6" xfId="157" xr:uid="{00000000-0005-0000-0000-00009A000000}"/>
    <cellStyle name="20% - Accent4 7" xfId="158" xr:uid="{00000000-0005-0000-0000-00009B000000}"/>
    <cellStyle name="20% - Accent4 8" xfId="159" xr:uid="{00000000-0005-0000-0000-00009C000000}"/>
    <cellStyle name="20% - Accent4 9" xfId="160" xr:uid="{00000000-0005-0000-0000-00009D000000}"/>
    <cellStyle name="20% - Accent5 10" xfId="161" xr:uid="{00000000-0005-0000-0000-00009E000000}"/>
    <cellStyle name="20% - Accent5 11" xfId="162" xr:uid="{00000000-0005-0000-0000-00009F000000}"/>
    <cellStyle name="20% - Accent5 12" xfId="163" xr:uid="{00000000-0005-0000-0000-0000A0000000}"/>
    <cellStyle name="20% - Accent5 13" xfId="164" xr:uid="{00000000-0005-0000-0000-0000A1000000}"/>
    <cellStyle name="20% - Accent5 14" xfId="165" xr:uid="{00000000-0005-0000-0000-0000A2000000}"/>
    <cellStyle name="20% - Accent5 15" xfId="166" xr:uid="{00000000-0005-0000-0000-0000A3000000}"/>
    <cellStyle name="20% - Accent5 16" xfId="167" xr:uid="{00000000-0005-0000-0000-0000A4000000}"/>
    <cellStyle name="20% - Accent5 17" xfId="168" xr:uid="{00000000-0005-0000-0000-0000A5000000}"/>
    <cellStyle name="20% - Accent5 18" xfId="169" xr:uid="{00000000-0005-0000-0000-0000A6000000}"/>
    <cellStyle name="20% - Accent5 19" xfId="170" xr:uid="{00000000-0005-0000-0000-0000A7000000}"/>
    <cellStyle name="20% - Accent5 2" xfId="171" xr:uid="{00000000-0005-0000-0000-0000A8000000}"/>
    <cellStyle name="20% - Accent5 2 2" xfId="172" xr:uid="{00000000-0005-0000-0000-0000A9000000}"/>
    <cellStyle name="20% - Accent5 2 3" xfId="173" xr:uid="{00000000-0005-0000-0000-0000AA000000}"/>
    <cellStyle name="20% - Accent5 2 4" xfId="174" xr:uid="{00000000-0005-0000-0000-0000AB000000}"/>
    <cellStyle name="20% - Accent5 2 5" xfId="175" xr:uid="{00000000-0005-0000-0000-0000AC000000}"/>
    <cellStyle name="20% - Accent5 2_1. Zips to County Crosswalk" xfId="176" xr:uid="{00000000-0005-0000-0000-0000AD000000}"/>
    <cellStyle name="20% - Accent5 20" xfId="177" xr:uid="{00000000-0005-0000-0000-0000AE000000}"/>
    <cellStyle name="20% - Accent5 21" xfId="178" xr:uid="{00000000-0005-0000-0000-0000AF000000}"/>
    <cellStyle name="20% - Accent5 22" xfId="179" xr:uid="{00000000-0005-0000-0000-0000B0000000}"/>
    <cellStyle name="20% - Accent5 3" xfId="180" xr:uid="{00000000-0005-0000-0000-0000B1000000}"/>
    <cellStyle name="20% - Accent5 3 2" xfId="181" xr:uid="{00000000-0005-0000-0000-0000B2000000}"/>
    <cellStyle name="20% - Accent5 3 3" xfId="182" xr:uid="{00000000-0005-0000-0000-0000B3000000}"/>
    <cellStyle name="20% - Accent5 3 4" xfId="183" xr:uid="{00000000-0005-0000-0000-0000B4000000}"/>
    <cellStyle name="20% - Accent5 3_1. Zips to County Crosswalk" xfId="184" xr:uid="{00000000-0005-0000-0000-0000B5000000}"/>
    <cellStyle name="20% - Accent5 4" xfId="185" xr:uid="{00000000-0005-0000-0000-0000B6000000}"/>
    <cellStyle name="20% - Accent5 4 2" xfId="186" xr:uid="{00000000-0005-0000-0000-0000B7000000}"/>
    <cellStyle name="20% - Accent5 4 3" xfId="187" xr:uid="{00000000-0005-0000-0000-0000B8000000}"/>
    <cellStyle name="20% - Accent5 4_1. Zips to County Crosswalk" xfId="188" xr:uid="{00000000-0005-0000-0000-0000B9000000}"/>
    <cellStyle name="20% - Accent5 5" xfId="189" xr:uid="{00000000-0005-0000-0000-0000BA000000}"/>
    <cellStyle name="20% - Accent5 5 2" xfId="190" xr:uid="{00000000-0005-0000-0000-0000BB000000}"/>
    <cellStyle name="20% - Accent5 5_1. Zips to County Crosswalk" xfId="191" xr:uid="{00000000-0005-0000-0000-0000BC000000}"/>
    <cellStyle name="20% - Accent5 6" xfId="192" xr:uid="{00000000-0005-0000-0000-0000BD000000}"/>
    <cellStyle name="20% - Accent5 7" xfId="193" xr:uid="{00000000-0005-0000-0000-0000BE000000}"/>
    <cellStyle name="20% - Accent5 8" xfId="194" xr:uid="{00000000-0005-0000-0000-0000BF000000}"/>
    <cellStyle name="20% - Accent5 9" xfId="195" xr:uid="{00000000-0005-0000-0000-0000C0000000}"/>
    <cellStyle name="20% - Accent6 10" xfId="196" xr:uid="{00000000-0005-0000-0000-0000C1000000}"/>
    <cellStyle name="20% - Accent6 11" xfId="197" xr:uid="{00000000-0005-0000-0000-0000C2000000}"/>
    <cellStyle name="20% - Accent6 12" xfId="198" xr:uid="{00000000-0005-0000-0000-0000C3000000}"/>
    <cellStyle name="20% - Accent6 13" xfId="199" xr:uid="{00000000-0005-0000-0000-0000C4000000}"/>
    <cellStyle name="20% - Accent6 14" xfId="200" xr:uid="{00000000-0005-0000-0000-0000C5000000}"/>
    <cellStyle name="20% - Accent6 15" xfId="201" xr:uid="{00000000-0005-0000-0000-0000C6000000}"/>
    <cellStyle name="20% - Accent6 16" xfId="202" xr:uid="{00000000-0005-0000-0000-0000C7000000}"/>
    <cellStyle name="20% - Accent6 17" xfId="203" xr:uid="{00000000-0005-0000-0000-0000C8000000}"/>
    <cellStyle name="20% - Accent6 18" xfId="204" xr:uid="{00000000-0005-0000-0000-0000C9000000}"/>
    <cellStyle name="20% - Accent6 19" xfId="205" xr:uid="{00000000-0005-0000-0000-0000CA000000}"/>
    <cellStyle name="20% - Accent6 2" xfId="206" xr:uid="{00000000-0005-0000-0000-0000CB000000}"/>
    <cellStyle name="20% - Accent6 2 2" xfId="207" xr:uid="{00000000-0005-0000-0000-0000CC000000}"/>
    <cellStyle name="20% - Accent6 2 3" xfId="208" xr:uid="{00000000-0005-0000-0000-0000CD000000}"/>
    <cellStyle name="20% - Accent6 2 4" xfId="209" xr:uid="{00000000-0005-0000-0000-0000CE000000}"/>
    <cellStyle name="20% - Accent6 2 5" xfId="210" xr:uid="{00000000-0005-0000-0000-0000CF000000}"/>
    <cellStyle name="20% - Accent6 2_1. Zips to County Crosswalk" xfId="211" xr:uid="{00000000-0005-0000-0000-0000D0000000}"/>
    <cellStyle name="20% - Accent6 20" xfId="212" xr:uid="{00000000-0005-0000-0000-0000D1000000}"/>
    <cellStyle name="20% - Accent6 21" xfId="213" xr:uid="{00000000-0005-0000-0000-0000D2000000}"/>
    <cellStyle name="20% - Accent6 22" xfId="214" xr:uid="{00000000-0005-0000-0000-0000D3000000}"/>
    <cellStyle name="20% - Accent6 3" xfId="215" xr:uid="{00000000-0005-0000-0000-0000D4000000}"/>
    <cellStyle name="20% - Accent6 3 2" xfId="216" xr:uid="{00000000-0005-0000-0000-0000D5000000}"/>
    <cellStyle name="20% - Accent6 3 3" xfId="217" xr:uid="{00000000-0005-0000-0000-0000D6000000}"/>
    <cellStyle name="20% - Accent6 3 4" xfId="218" xr:uid="{00000000-0005-0000-0000-0000D7000000}"/>
    <cellStyle name="20% - Accent6 3_1. Zips to County Crosswalk" xfId="219" xr:uid="{00000000-0005-0000-0000-0000D8000000}"/>
    <cellStyle name="20% - Accent6 4" xfId="220" xr:uid="{00000000-0005-0000-0000-0000D9000000}"/>
    <cellStyle name="20% - Accent6 4 2" xfId="221" xr:uid="{00000000-0005-0000-0000-0000DA000000}"/>
    <cellStyle name="20% - Accent6 4 3" xfId="222" xr:uid="{00000000-0005-0000-0000-0000DB000000}"/>
    <cellStyle name="20% - Accent6 4_1. Zips to County Crosswalk" xfId="223" xr:uid="{00000000-0005-0000-0000-0000DC000000}"/>
    <cellStyle name="20% - Accent6 5" xfId="224" xr:uid="{00000000-0005-0000-0000-0000DD000000}"/>
    <cellStyle name="20% - Accent6 5 2" xfId="225" xr:uid="{00000000-0005-0000-0000-0000DE000000}"/>
    <cellStyle name="20% - Accent6 5_1. Zips to County Crosswalk" xfId="226" xr:uid="{00000000-0005-0000-0000-0000DF000000}"/>
    <cellStyle name="20% - Accent6 6" xfId="227" xr:uid="{00000000-0005-0000-0000-0000E0000000}"/>
    <cellStyle name="20% - Accent6 7" xfId="228" xr:uid="{00000000-0005-0000-0000-0000E1000000}"/>
    <cellStyle name="20% - Accent6 8" xfId="229" xr:uid="{00000000-0005-0000-0000-0000E2000000}"/>
    <cellStyle name="20% - Accent6 9" xfId="230" xr:uid="{00000000-0005-0000-0000-0000E3000000}"/>
    <cellStyle name="40% - Accent1 10" xfId="231" xr:uid="{00000000-0005-0000-0000-0000E4000000}"/>
    <cellStyle name="40% - Accent1 11" xfId="232" xr:uid="{00000000-0005-0000-0000-0000E5000000}"/>
    <cellStyle name="40% - Accent1 12" xfId="233" xr:uid="{00000000-0005-0000-0000-0000E6000000}"/>
    <cellStyle name="40% - Accent1 13" xfId="234" xr:uid="{00000000-0005-0000-0000-0000E7000000}"/>
    <cellStyle name="40% - Accent1 14" xfId="235" xr:uid="{00000000-0005-0000-0000-0000E8000000}"/>
    <cellStyle name="40% - Accent1 15" xfId="236" xr:uid="{00000000-0005-0000-0000-0000E9000000}"/>
    <cellStyle name="40% - Accent1 16" xfId="237" xr:uid="{00000000-0005-0000-0000-0000EA000000}"/>
    <cellStyle name="40% - Accent1 17" xfId="238" xr:uid="{00000000-0005-0000-0000-0000EB000000}"/>
    <cellStyle name="40% - Accent1 18" xfId="239" xr:uid="{00000000-0005-0000-0000-0000EC000000}"/>
    <cellStyle name="40% - Accent1 19" xfId="240" xr:uid="{00000000-0005-0000-0000-0000ED000000}"/>
    <cellStyle name="40% - Accent1 2" xfId="241" xr:uid="{00000000-0005-0000-0000-0000EE000000}"/>
    <cellStyle name="40% - Accent1 2 2" xfId="242" xr:uid="{00000000-0005-0000-0000-0000EF000000}"/>
    <cellStyle name="40% - Accent1 2 3" xfId="243" xr:uid="{00000000-0005-0000-0000-0000F0000000}"/>
    <cellStyle name="40% - Accent1 2 4" xfId="244" xr:uid="{00000000-0005-0000-0000-0000F1000000}"/>
    <cellStyle name="40% - Accent1 2 5" xfId="245" xr:uid="{00000000-0005-0000-0000-0000F2000000}"/>
    <cellStyle name="40% - Accent1 2_1. Zips to County Crosswalk" xfId="246" xr:uid="{00000000-0005-0000-0000-0000F3000000}"/>
    <cellStyle name="40% - Accent1 20" xfId="247" xr:uid="{00000000-0005-0000-0000-0000F4000000}"/>
    <cellStyle name="40% - Accent1 21" xfId="248" xr:uid="{00000000-0005-0000-0000-0000F5000000}"/>
    <cellStyle name="40% - Accent1 22" xfId="249" xr:uid="{00000000-0005-0000-0000-0000F6000000}"/>
    <cellStyle name="40% - Accent1 3" xfId="250" xr:uid="{00000000-0005-0000-0000-0000F7000000}"/>
    <cellStyle name="40% - Accent1 3 2" xfId="251" xr:uid="{00000000-0005-0000-0000-0000F8000000}"/>
    <cellStyle name="40% - Accent1 3 3" xfId="252" xr:uid="{00000000-0005-0000-0000-0000F9000000}"/>
    <cellStyle name="40% - Accent1 3 4" xfId="253" xr:uid="{00000000-0005-0000-0000-0000FA000000}"/>
    <cellStyle name="40% - Accent1 3_1. Zips to County Crosswalk" xfId="254" xr:uid="{00000000-0005-0000-0000-0000FB000000}"/>
    <cellStyle name="40% - Accent1 4" xfId="255" xr:uid="{00000000-0005-0000-0000-0000FC000000}"/>
    <cellStyle name="40% - Accent1 4 2" xfId="256" xr:uid="{00000000-0005-0000-0000-0000FD000000}"/>
    <cellStyle name="40% - Accent1 4 3" xfId="257" xr:uid="{00000000-0005-0000-0000-0000FE000000}"/>
    <cellStyle name="40% - Accent1 4_1. Zips to County Crosswalk" xfId="258" xr:uid="{00000000-0005-0000-0000-0000FF000000}"/>
    <cellStyle name="40% - Accent1 5" xfId="259" xr:uid="{00000000-0005-0000-0000-000000010000}"/>
    <cellStyle name="40% - Accent1 5 2" xfId="260" xr:uid="{00000000-0005-0000-0000-000001010000}"/>
    <cellStyle name="40% - Accent1 5_1. Zips to County Crosswalk" xfId="261" xr:uid="{00000000-0005-0000-0000-000002010000}"/>
    <cellStyle name="40% - Accent1 6" xfId="262" xr:uid="{00000000-0005-0000-0000-000003010000}"/>
    <cellStyle name="40% - Accent1 7" xfId="263" xr:uid="{00000000-0005-0000-0000-000004010000}"/>
    <cellStyle name="40% - Accent1 8" xfId="264" xr:uid="{00000000-0005-0000-0000-000005010000}"/>
    <cellStyle name="40% - Accent1 9" xfId="265" xr:uid="{00000000-0005-0000-0000-000006010000}"/>
    <cellStyle name="40% - Accent2 10" xfId="266" xr:uid="{00000000-0005-0000-0000-000007010000}"/>
    <cellStyle name="40% - Accent2 11" xfId="267" xr:uid="{00000000-0005-0000-0000-000008010000}"/>
    <cellStyle name="40% - Accent2 12" xfId="268" xr:uid="{00000000-0005-0000-0000-000009010000}"/>
    <cellStyle name="40% - Accent2 13" xfId="269" xr:uid="{00000000-0005-0000-0000-00000A010000}"/>
    <cellStyle name="40% - Accent2 14" xfId="270" xr:uid="{00000000-0005-0000-0000-00000B010000}"/>
    <cellStyle name="40% - Accent2 15" xfId="271" xr:uid="{00000000-0005-0000-0000-00000C010000}"/>
    <cellStyle name="40% - Accent2 16" xfId="272" xr:uid="{00000000-0005-0000-0000-00000D010000}"/>
    <cellStyle name="40% - Accent2 17" xfId="273" xr:uid="{00000000-0005-0000-0000-00000E010000}"/>
    <cellStyle name="40% - Accent2 18" xfId="274" xr:uid="{00000000-0005-0000-0000-00000F010000}"/>
    <cellStyle name="40% - Accent2 19" xfId="275" xr:uid="{00000000-0005-0000-0000-000010010000}"/>
    <cellStyle name="40% - Accent2 2" xfId="276" xr:uid="{00000000-0005-0000-0000-000011010000}"/>
    <cellStyle name="40% - Accent2 2 2" xfId="277" xr:uid="{00000000-0005-0000-0000-000012010000}"/>
    <cellStyle name="40% - Accent2 2 3" xfId="278" xr:uid="{00000000-0005-0000-0000-000013010000}"/>
    <cellStyle name="40% - Accent2 2 4" xfId="279" xr:uid="{00000000-0005-0000-0000-000014010000}"/>
    <cellStyle name="40% - Accent2 2 5" xfId="280" xr:uid="{00000000-0005-0000-0000-000015010000}"/>
    <cellStyle name="40% - Accent2 2_1. Zips to County Crosswalk" xfId="281" xr:uid="{00000000-0005-0000-0000-000016010000}"/>
    <cellStyle name="40% - Accent2 20" xfId="282" xr:uid="{00000000-0005-0000-0000-000017010000}"/>
    <cellStyle name="40% - Accent2 21" xfId="283" xr:uid="{00000000-0005-0000-0000-000018010000}"/>
    <cellStyle name="40% - Accent2 22" xfId="284" xr:uid="{00000000-0005-0000-0000-000019010000}"/>
    <cellStyle name="40% - Accent2 3" xfId="285" xr:uid="{00000000-0005-0000-0000-00001A010000}"/>
    <cellStyle name="40% - Accent2 3 2" xfId="286" xr:uid="{00000000-0005-0000-0000-00001B010000}"/>
    <cellStyle name="40% - Accent2 3 3" xfId="287" xr:uid="{00000000-0005-0000-0000-00001C010000}"/>
    <cellStyle name="40% - Accent2 3 4" xfId="288" xr:uid="{00000000-0005-0000-0000-00001D010000}"/>
    <cellStyle name="40% - Accent2 3_1. Zips to County Crosswalk" xfId="289" xr:uid="{00000000-0005-0000-0000-00001E010000}"/>
    <cellStyle name="40% - Accent2 4" xfId="290" xr:uid="{00000000-0005-0000-0000-00001F010000}"/>
    <cellStyle name="40% - Accent2 4 2" xfId="291" xr:uid="{00000000-0005-0000-0000-000020010000}"/>
    <cellStyle name="40% - Accent2 4 3" xfId="292" xr:uid="{00000000-0005-0000-0000-000021010000}"/>
    <cellStyle name="40% - Accent2 4_1. Zips to County Crosswalk" xfId="293" xr:uid="{00000000-0005-0000-0000-000022010000}"/>
    <cellStyle name="40% - Accent2 5" xfId="294" xr:uid="{00000000-0005-0000-0000-000023010000}"/>
    <cellStyle name="40% - Accent2 5 2" xfId="295" xr:uid="{00000000-0005-0000-0000-000024010000}"/>
    <cellStyle name="40% - Accent2 5_1. Zips to County Crosswalk" xfId="296" xr:uid="{00000000-0005-0000-0000-000025010000}"/>
    <cellStyle name="40% - Accent2 6" xfId="297" xr:uid="{00000000-0005-0000-0000-000026010000}"/>
    <cellStyle name="40% - Accent2 7" xfId="298" xr:uid="{00000000-0005-0000-0000-000027010000}"/>
    <cellStyle name="40% - Accent2 8" xfId="299" xr:uid="{00000000-0005-0000-0000-000028010000}"/>
    <cellStyle name="40% - Accent2 9" xfId="300" xr:uid="{00000000-0005-0000-0000-000029010000}"/>
    <cellStyle name="40% - Accent3 10" xfId="301" xr:uid="{00000000-0005-0000-0000-00002A010000}"/>
    <cellStyle name="40% - Accent3 11" xfId="302" xr:uid="{00000000-0005-0000-0000-00002B010000}"/>
    <cellStyle name="40% - Accent3 12" xfId="303" xr:uid="{00000000-0005-0000-0000-00002C010000}"/>
    <cellStyle name="40% - Accent3 13" xfId="304" xr:uid="{00000000-0005-0000-0000-00002D010000}"/>
    <cellStyle name="40% - Accent3 14" xfId="305" xr:uid="{00000000-0005-0000-0000-00002E010000}"/>
    <cellStyle name="40% - Accent3 15" xfId="306" xr:uid="{00000000-0005-0000-0000-00002F010000}"/>
    <cellStyle name="40% - Accent3 16" xfId="307" xr:uid="{00000000-0005-0000-0000-000030010000}"/>
    <cellStyle name="40% - Accent3 17" xfId="308" xr:uid="{00000000-0005-0000-0000-000031010000}"/>
    <cellStyle name="40% - Accent3 18" xfId="309" xr:uid="{00000000-0005-0000-0000-000032010000}"/>
    <cellStyle name="40% - Accent3 19" xfId="310" xr:uid="{00000000-0005-0000-0000-000033010000}"/>
    <cellStyle name="40% - Accent3 2" xfId="311" xr:uid="{00000000-0005-0000-0000-000034010000}"/>
    <cellStyle name="40% - Accent3 2 2" xfId="312" xr:uid="{00000000-0005-0000-0000-000035010000}"/>
    <cellStyle name="40% - Accent3 2 3" xfId="313" xr:uid="{00000000-0005-0000-0000-000036010000}"/>
    <cellStyle name="40% - Accent3 2 4" xfId="314" xr:uid="{00000000-0005-0000-0000-000037010000}"/>
    <cellStyle name="40% - Accent3 2 5" xfId="315" xr:uid="{00000000-0005-0000-0000-000038010000}"/>
    <cellStyle name="40% - Accent3 2_1. Zips to County Crosswalk" xfId="316" xr:uid="{00000000-0005-0000-0000-000039010000}"/>
    <cellStyle name="40% - Accent3 20" xfId="317" xr:uid="{00000000-0005-0000-0000-00003A010000}"/>
    <cellStyle name="40% - Accent3 21" xfId="318" xr:uid="{00000000-0005-0000-0000-00003B010000}"/>
    <cellStyle name="40% - Accent3 22" xfId="319" xr:uid="{00000000-0005-0000-0000-00003C010000}"/>
    <cellStyle name="40% - Accent3 3" xfId="320" xr:uid="{00000000-0005-0000-0000-00003D010000}"/>
    <cellStyle name="40% - Accent3 3 2" xfId="321" xr:uid="{00000000-0005-0000-0000-00003E010000}"/>
    <cellStyle name="40% - Accent3 3 3" xfId="322" xr:uid="{00000000-0005-0000-0000-00003F010000}"/>
    <cellStyle name="40% - Accent3 3 4" xfId="323" xr:uid="{00000000-0005-0000-0000-000040010000}"/>
    <cellStyle name="40% - Accent3 3_1. Zips to County Crosswalk" xfId="324" xr:uid="{00000000-0005-0000-0000-000041010000}"/>
    <cellStyle name="40% - Accent3 4" xfId="325" xr:uid="{00000000-0005-0000-0000-000042010000}"/>
    <cellStyle name="40% - Accent3 4 2" xfId="326" xr:uid="{00000000-0005-0000-0000-000043010000}"/>
    <cellStyle name="40% - Accent3 4 3" xfId="327" xr:uid="{00000000-0005-0000-0000-000044010000}"/>
    <cellStyle name="40% - Accent3 4_1. Zips to County Crosswalk" xfId="328" xr:uid="{00000000-0005-0000-0000-000045010000}"/>
    <cellStyle name="40% - Accent3 5" xfId="329" xr:uid="{00000000-0005-0000-0000-000046010000}"/>
    <cellStyle name="40% - Accent3 5 2" xfId="330" xr:uid="{00000000-0005-0000-0000-000047010000}"/>
    <cellStyle name="40% - Accent3 5_1. Zips to County Crosswalk" xfId="331" xr:uid="{00000000-0005-0000-0000-000048010000}"/>
    <cellStyle name="40% - Accent3 6" xfId="332" xr:uid="{00000000-0005-0000-0000-000049010000}"/>
    <cellStyle name="40% - Accent3 7" xfId="333" xr:uid="{00000000-0005-0000-0000-00004A010000}"/>
    <cellStyle name="40% - Accent3 8" xfId="334" xr:uid="{00000000-0005-0000-0000-00004B010000}"/>
    <cellStyle name="40% - Accent3 9" xfId="335" xr:uid="{00000000-0005-0000-0000-00004C010000}"/>
    <cellStyle name="40% - Accent4 10" xfId="336" xr:uid="{00000000-0005-0000-0000-00004D010000}"/>
    <cellStyle name="40% - Accent4 11" xfId="337" xr:uid="{00000000-0005-0000-0000-00004E010000}"/>
    <cellStyle name="40% - Accent4 12" xfId="338" xr:uid="{00000000-0005-0000-0000-00004F010000}"/>
    <cellStyle name="40% - Accent4 13" xfId="339" xr:uid="{00000000-0005-0000-0000-000050010000}"/>
    <cellStyle name="40% - Accent4 14" xfId="340" xr:uid="{00000000-0005-0000-0000-000051010000}"/>
    <cellStyle name="40% - Accent4 15" xfId="341" xr:uid="{00000000-0005-0000-0000-000052010000}"/>
    <cellStyle name="40% - Accent4 16" xfId="342" xr:uid="{00000000-0005-0000-0000-000053010000}"/>
    <cellStyle name="40% - Accent4 17" xfId="343" xr:uid="{00000000-0005-0000-0000-000054010000}"/>
    <cellStyle name="40% - Accent4 18" xfId="344" xr:uid="{00000000-0005-0000-0000-000055010000}"/>
    <cellStyle name="40% - Accent4 19" xfId="345" xr:uid="{00000000-0005-0000-0000-000056010000}"/>
    <cellStyle name="40% - Accent4 2" xfId="346" xr:uid="{00000000-0005-0000-0000-000057010000}"/>
    <cellStyle name="40% - Accent4 2 2" xfId="347" xr:uid="{00000000-0005-0000-0000-000058010000}"/>
    <cellStyle name="40% - Accent4 2 3" xfId="348" xr:uid="{00000000-0005-0000-0000-000059010000}"/>
    <cellStyle name="40% - Accent4 2 4" xfId="349" xr:uid="{00000000-0005-0000-0000-00005A010000}"/>
    <cellStyle name="40% - Accent4 2 5" xfId="350" xr:uid="{00000000-0005-0000-0000-00005B010000}"/>
    <cellStyle name="40% - Accent4 2_1. Zips to County Crosswalk" xfId="351" xr:uid="{00000000-0005-0000-0000-00005C010000}"/>
    <cellStyle name="40% - Accent4 20" xfId="352" xr:uid="{00000000-0005-0000-0000-00005D010000}"/>
    <cellStyle name="40% - Accent4 21" xfId="353" xr:uid="{00000000-0005-0000-0000-00005E010000}"/>
    <cellStyle name="40% - Accent4 22" xfId="354" xr:uid="{00000000-0005-0000-0000-00005F010000}"/>
    <cellStyle name="40% - Accent4 3" xfId="355" xr:uid="{00000000-0005-0000-0000-000060010000}"/>
    <cellStyle name="40% - Accent4 3 2" xfId="356" xr:uid="{00000000-0005-0000-0000-000061010000}"/>
    <cellStyle name="40% - Accent4 3 3" xfId="357" xr:uid="{00000000-0005-0000-0000-000062010000}"/>
    <cellStyle name="40% - Accent4 3 4" xfId="358" xr:uid="{00000000-0005-0000-0000-000063010000}"/>
    <cellStyle name="40% - Accent4 3_1. Zips to County Crosswalk" xfId="359" xr:uid="{00000000-0005-0000-0000-000064010000}"/>
    <cellStyle name="40% - Accent4 4" xfId="360" xr:uid="{00000000-0005-0000-0000-000065010000}"/>
    <cellStyle name="40% - Accent4 4 2" xfId="361" xr:uid="{00000000-0005-0000-0000-000066010000}"/>
    <cellStyle name="40% - Accent4 4 3" xfId="362" xr:uid="{00000000-0005-0000-0000-000067010000}"/>
    <cellStyle name="40% - Accent4 4_1. Zips to County Crosswalk" xfId="363" xr:uid="{00000000-0005-0000-0000-000068010000}"/>
    <cellStyle name="40% - Accent4 5" xfId="364" xr:uid="{00000000-0005-0000-0000-000069010000}"/>
    <cellStyle name="40% - Accent4 5 2" xfId="365" xr:uid="{00000000-0005-0000-0000-00006A010000}"/>
    <cellStyle name="40% - Accent4 5_1. Zips to County Crosswalk" xfId="366" xr:uid="{00000000-0005-0000-0000-00006B010000}"/>
    <cellStyle name="40% - Accent4 6" xfId="367" xr:uid="{00000000-0005-0000-0000-00006C010000}"/>
    <cellStyle name="40% - Accent4 7" xfId="368" xr:uid="{00000000-0005-0000-0000-00006D010000}"/>
    <cellStyle name="40% - Accent4 8" xfId="369" xr:uid="{00000000-0005-0000-0000-00006E010000}"/>
    <cellStyle name="40% - Accent4 9" xfId="370" xr:uid="{00000000-0005-0000-0000-00006F010000}"/>
    <cellStyle name="40% - Accent5 10" xfId="371" xr:uid="{00000000-0005-0000-0000-000070010000}"/>
    <cellStyle name="40% - Accent5 11" xfId="372" xr:uid="{00000000-0005-0000-0000-000071010000}"/>
    <cellStyle name="40% - Accent5 12" xfId="373" xr:uid="{00000000-0005-0000-0000-000072010000}"/>
    <cellStyle name="40% - Accent5 13" xfId="374" xr:uid="{00000000-0005-0000-0000-000073010000}"/>
    <cellStyle name="40% - Accent5 14" xfId="375" xr:uid="{00000000-0005-0000-0000-000074010000}"/>
    <cellStyle name="40% - Accent5 15" xfId="376" xr:uid="{00000000-0005-0000-0000-000075010000}"/>
    <cellStyle name="40% - Accent5 16" xfId="377" xr:uid="{00000000-0005-0000-0000-000076010000}"/>
    <cellStyle name="40% - Accent5 17" xfId="378" xr:uid="{00000000-0005-0000-0000-000077010000}"/>
    <cellStyle name="40% - Accent5 18" xfId="379" xr:uid="{00000000-0005-0000-0000-000078010000}"/>
    <cellStyle name="40% - Accent5 19" xfId="380" xr:uid="{00000000-0005-0000-0000-000079010000}"/>
    <cellStyle name="40% - Accent5 2" xfId="381" xr:uid="{00000000-0005-0000-0000-00007A010000}"/>
    <cellStyle name="40% - Accent5 2 2" xfId="382" xr:uid="{00000000-0005-0000-0000-00007B010000}"/>
    <cellStyle name="40% - Accent5 2 3" xfId="383" xr:uid="{00000000-0005-0000-0000-00007C010000}"/>
    <cellStyle name="40% - Accent5 2 4" xfId="384" xr:uid="{00000000-0005-0000-0000-00007D010000}"/>
    <cellStyle name="40% - Accent5 2 5" xfId="385" xr:uid="{00000000-0005-0000-0000-00007E010000}"/>
    <cellStyle name="40% - Accent5 2_1. Zips to County Crosswalk" xfId="386" xr:uid="{00000000-0005-0000-0000-00007F010000}"/>
    <cellStyle name="40% - Accent5 20" xfId="387" xr:uid="{00000000-0005-0000-0000-000080010000}"/>
    <cellStyle name="40% - Accent5 21" xfId="388" xr:uid="{00000000-0005-0000-0000-000081010000}"/>
    <cellStyle name="40% - Accent5 22" xfId="389" xr:uid="{00000000-0005-0000-0000-000082010000}"/>
    <cellStyle name="40% - Accent5 3" xfId="390" xr:uid="{00000000-0005-0000-0000-000083010000}"/>
    <cellStyle name="40% - Accent5 3 2" xfId="391" xr:uid="{00000000-0005-0000-0000-000084010000}"/>
    <cellStyle name="40% - Accent5 3 3" xfId="392" xr:uid="{00000000-0005-0000-0000-000085010000}"/>
    <cellStyle name="40% - Accent5 3 4" xfId="393" xr:uid="{00000000-0005-0000-0000-000086010000}"/>
    <cellStyle name="40% - Accent5 3_1. Zips to County Crosswalk" xfId="394" xr:uid="{00000000-0005-0000-0000-000087010000}"/>
    <cellStyle name="40% - Accent5 4" xfId="395" xr:uid="{00000000-0005-0000-0000-000088010000}"/>
    <cellStyle name="40% - Accent5 4 2" xfId="396" xr:uid="{00000000-0005-0000-0000-000089010000}"/>
    <cellStyle name="40% - Accent5 4 3" xfId="397" xr:uid="{00000000-0005-0000-0000-00008A010000}"/>
    <cellStyle name="40% - Accent5 4_1. Zips to County Crosswalk" xfId="398" xr:uid="{00000000-0005-0000-0000-00008B010000}"/>
    <cellStyle name="40% - Accent5 5" xfId="399" xr:uid="{00000000-0005-0000-0000-00008C010000}"/>
    <cellStyle name="40% - Accent5 5 2" xfId="400" xr:uid="{00000000-0005-0000-0000-00008D010000}"/>
    <cellStyle name="40% - Accent5 5_1. Zips to County Crosswalk" xfId="401" xr:uid="{00000000-0005-0000-0000-00008E010000}"/>
    <cellStyle name="40% - Accent5 6" xfId="402" xr:uid="{00000000-0005-0000-0000-00008F010000}"/>
    <cellStyle name="40% - Accent5 7" xfId="403" xr:uid="{00000000-0005-0000-0000-000090010000}"/>
    <cellStyle name="40% - Accent5 8" xfId="404" xr:uid="{00000000-0005-0000-0000-000091010000}"/>
    <cellStyle name="40% - Accent5 9" xfId="405" xr:uid="{00000000-0005-0000-0000-000092010000}"/>
    <cellStyle name="40% - Accent6 10" xfId="406" xr:uid="{00000000-0005-0000-0000-000093010000}"/>
    <cellStyle name="40% - Accent6 11" xfId="407" xr:uid="{00000000-0005-0000-0000-000094010000}"/>
    <cellStyle name="40% - Accent6 12" xfId="408" xr:uid="{00000000-0005-0000-0000-000095010000}"/>
    <cellStyle name="40% - Accent6 13" xfId="409" xr:uid="{00000000-0005-0000-0000-000096010000}"/>
    <cellStyle name="40% - Accent6 14" xfId="410" xr:uid="{00000000-0005-0000-0000-000097010000}"/>
    <cellStyle name="40% - Accent6 15" xfId="411" xr:uid="{00000000-0005-0000-0000-000098010000}"/>
    <cellStyle name="40% - Accent6 16" xfId="412" xr:uid="{00000000-0005-0000-0000-000099010000}"/>
    <cellStyle name="40% - Accent6 17" xfId="413" xr:uid="{00000000-0005-0000-0000-00009A010000}"/>
    <cellStyle name="40% - Accent6 18" xfId="414" xr:uid="{00000000-0005-0000-0000-00009B010000}"/>
    <cellStyle name="40% - Accent6 19" xfId="415" xr:uid="{00000000-0005-0000-0000-00009C010000}"/>
    <cellStyle name="40% - Accent6 2" xfId="416" xr:uid="{00000000-0005-0000-0000-00009D010000}"/>
    <cellStyle name="40% - Accent6 2 2" xfId="417" xr:uid="{00000000-0005-0000-0000-00009E010000}"/>
    <cellStyle name="40% - Accent6 2 3" xfId="418" xr:uid="{00000000-0005-0000-0000-00009F010000}"/>
    <cellStyle name="40% - Accent6 2 4" xfId="419" xr:uid="{00000000-0005-0000-0000-0000A0010000}"/>
    <cellStyle name="40% - Accent6 2 5" xfId="420" xr:uid="{00000000-0005-0000-0000-0000A1010000}"/>
    <cellStyle name="40% - Accent6 2_1. Zips to County Crosswalk" xfId="421" xr:uid="{00000000-0005-0000-0000-0000A2010000}"/>
    <cellStyle name="40% - Accent6 20" xfId="422" xr:uid="{00000000-0005-0000-0000-0000A3010000}"/>
    <cellStyle name="40% - Accent6 21" xfId="423" xr:uid="{00000000-0005-0000-0000-0000A4010000}"/>
    <cellStyle name="40% - Accent6 22" xfId="424" xr:uid="{00000000-0005-0000-0000-0000A5010000}"/>
    <cellStyle name="40% - Accent6 3" xfId="425" xr:uid="{00000000-0005-0000-0000-0000A6010000}"/>
    <cellStyle name="40% - Accent6 3 2" xfId="426" xr:uid="{00000000-0005-0000-0000-0000A7010000}"/>
    <cellStyle name="40% - Accent6 3 3" xfId="427" xr:uid="{00000000-0005-0000-0000-0000A8010000}"/>
    <cellStyle name="40% - Accent6 3 4" xfId="428" xr:uid="{00000000-0005-0000-0000-0000A9010000}"/>
    <cellStyle name="40% - Accent6 3_1. Zips to County Crosswalk" xfId="429" xr:uid="{00000000-0005-0000-0000-0000AA010000}"/>
    <cellStyle name="40% - Accent6 4" xfId="430" xr:uid="{00000000-0005-0000-0000-0000AB010000}"/>
    <cellStyle name="40% - Accent6 4 2" xfId="431" xr:uid="{00000000-0005-0000-0000-0000AC010000}"/>
    <cellStyle name="40% - Accent6 4 3" xfId="432" xr:uid="{00000000-0005-0000-0000-0000AD010000}"/>
    <cellStyle name="40% - Accent6 4_1. Zips to County Crosswalk" xfId="433" xr:uid="{00000000-0005-0000-0000-0000AE010000}"/>
    <cellStyle name="40% - Accent6 5" xfId="434" xr:uid="{00000000-0005-0000-0000-0000AF010000}"/>
    <cellStyle name="40% - Accent6 5 2" xfId="435" xr:uid="{00000000-0005-0000-0000-0000B0010000}"/>
    <cellStyle name="40% - Accent6 5_1. Zips to County Crosswalk" xfId="436" xr:uid="{00000000-0005-0000-0000-0000B1010000}"/>
    <cellStyle name="40% - Accent6 6" xfId="437" xr:uid="{00000000-0005-0000-0000-0000B2010000}"/>
    <cellStyle name="40% - Accent6 7" xfId="438" xr:uid="{00000000-0005-0000-0000-0000B3010000}"/>
    <cellStyle name="40% - Accent6 8" xfId="439" xr:uid="{00000000-0005-0000-0000-0000B4010000}"/>
    <cellStyle name="40% - Accent6 9" xfId="440" xr:uid="{00000000-0005-0000-0000-0000B5010000}"/>
    <cellStyle name="60% - Accent1 2" xfId="441" xr:uid="{00000000-0005-0000-0000-0000B6010000}"/>
    <cellStyle name="60% - Accent1 2 2" xfId="442" xr:uid="{00000000-0005-0000-0000-0000B7010000}"/>
    <cellStyle name="60% - Accent1 2 3" xfId="443" xr:uid="{00000000-0005-0000-0000-0000B8010000}"/>
    <cellStyle name="60% - Accent1 2 4" xfId="444" xr:uid="{00000000-0005-0000-0000-0000B9010000}"/>
    <cellStyle name="60% - Accent1 2 5" xfId="445" xr:uid="{00000000-0005-0000-0000-0000BA010000}"/>
    <cellStyle name="60% - Accent1 3" xfId="446" xr:uid="{00000000-0005-0000-0000-0000BB010000}"/>
    <cellStyle name="60% - Accent1 3 2" xfId="447" xr:uid="{00000000-0005-0000-0000-0000BC010000}"/>
    <cellStyle name="60% - Accent1 3 3" xfId="448" xr:uid="{00000000-0005-0000-0000-0000BD010000}"/>
    <cellStyle name="60% - Accent1 3 4" xfId="449" xr:uid="{00000000-0005-0000-0000-0000BE010000}"/>
    <cellStyle name="60% - Accent1 4" xfId="450" xr:uid="{00000000-0005-0000-0000-0000BF010000}"/>
    <cellStyle name="60% - Accent1 4 2" xfId="451" xr:uid="{00000000-0005-0000-0000-0000C0010000}"/>
    <cellStyle name="60% - Accent1 4 3" xfId="452" xr:uid="{00000000-0005-0000-0000-0000C1010000}"/>
    <cellStyle name="60% - Accent1 5" xfId="453" xr:uid="{00000000-0005-0000-0000-0000C2010000}"/>
    <cellStyle name="60% - Accent1 5 2" xfId="454" xr:uid="{00000000-0005-0000-0000-0000C3010000}"/>
    <cellStyle name="60% - Accent1 6" xfId="455" xr:uid="{00000000-0005-0000-0000-0000C4010000}"/>
    <cellStyle name="60% - Accent1 7" xfId="456" xr:uid="{00000000-0005-0000-0000-0000C5010000}"/>
    <cellStyle name="60% - Accent2 2" xfId="457" xr:uid="{00000000-0005-0000-0000-0000C6010000}"/>
    <cellStyle name="60% - Accent2 2 2" xfId="458" xr:uid="{00000000-0005-0000-0000-0000C7010000}"/>
    <cellStyle name="60% - Accent2 2 3" xfId="459" xr:uid="{00000000-0005-0000-0000-0000C8010000}"/>
    <cellStyle name="60% - Accent2 2 4" xfId="460" xr:uid="{00000000-0005-0000-0000-0000C9010000}"/>
    <cellStyle name="60% - Accent2 2 5" xfId="461" xr:uid="{00000000-0005-0000-0000-0000CA010000}"/>
    <cellStyle name="60% - Accent2 3" xfId="462" xr:uid="{00000000-0005-0000-0000-0000CB010000}"/>
    <cellStyle name="60% - Accent2 3 2" xfId="463" xr:uid="{00000000-0005-0000-0000-0000CC010000}"/>
    <cellStyle name="60% - Accent2 3 3" xfId="464" xr:uid="{00000000-0005-0000-0000-0000CD010000}"/>
    <cellStyle name="60% - Accent2 3 4" xfId="465" xr:uid="{00000000-0005-0000-0000-0000CE010000}"/>
    <cellStyle name="60% - Accent2 4" xfId="466" xr:uid="{00000000-0005-0000-0000-0000CF010000}"/>
    <cellStyle name="60% - Accent2 4 2" xfId="467" xr:uid="{00000000-0005-0000-0000-0000D0010000}"/>
    <cellStyle name="60% - Accent2 4 3" xfId="468" xr:uid="{00000000-0005-0000-0000-0000D1010000}"/>
    <cellStyle name="60% - Accent2 5" xfId="469" xr:uid="{00000000-0005-0000-0000-0000D2010000}"/>
    <cellStyle name="60% - Accent2 5 2" xfId="470" xr:uid="{00000000-0005-0000-0000-0000D3010000}"/>
    <cellStyle name="60% - Accent2 6" xfId="471" xr:uid="{00000000-0005-0000-0000-0000D4010000}"/>
    <cellStyle name="60% - Accent2 7" xfId="472" xr:uid="{00000000-0005-0000-0000-0000D5010000}"/>
    <cellStyle name="60% - Accent3 2" xfId="473" xr:uid="{00000000-0005-0000-0000-0000D6010000}"/>
    <cellStyle name="60% - Accent3 2 2" xfId="474" xr:uid="{00000000-0005-0000-0000-0000D7010000}"/>
    <cellStyle name="60% - Accent3 2 3" xfId="475" xr:uid="{00000000-0005-0000-0000-0000D8010000}"/>
    <cellStyle name="60% - Accent3 2 4" xfId="476" xr:uid="{00000000-0005-0000-0000-0000D9010000}"/>
    <cellStyle name="60% - Accent3 2 5" xfId="477" xr:uid="{00000000-0005-0000-0000-0000DA010000}"/>
    <cellStyle name="60% - Accent3 3" xfId="478" xr:uid="{00000000-0005-0000-0000-0000DB010000}"/>
    <cellStyle name="60% - Accent3 3 2" xfId="479" xr:uid="{00000000-0005-0000-0000-0000DC010000}"/>
    <cellStyle name="60% - Accent3 3 3" xfId="480" xr:uid="{00000000-0005-0000-0000-0000DD010000}"/>
    <cellStyle name="60% - Accent3 3 4" xfId="481" xr:uid="{00000000-0005-0000-0000-0000DE010000}"/>
    <cellStyle name="60% - Accent3 4" xfId="482" xr:uid="{00000000-0005-0000-0000-0000DF010000}"/>
    <cellStyle name="60% - Accent3 4 2" xfId="483" xr:uid="{00000000-0005-0000-0000-0000E0010000}"/>
    <cellStyle name="60% - Accent3 4 3" xfId="484" xr:uid="{00000000-0005-0000-0000-0000E1010000}"/>
    <cellStyle name="60% - Accent3 5" xfId="485" xr:uid="{00000000-0005-0000-0000-0000E2010000}"/>
    <cellStyle name="60% - Accent3 5 2" xfId="486" xr:uid="{00000000-0005-0000-0000-0000E3010000}"/>
    <cellStyle name="60% - Accent3 6" xfId="487" xr:uid="{00000000-0005-0000-0000-0000E4010000}"/>
    <cellStyle name="60% - Accent3 7" xfId="488" xr:uid="{00000000-0005-0000-0000-0000E5010000}"/>
    <cellStyle name="60% - Accent4 2" xfId="489" xr:uid="{00000000-0005-0000-0000-0000E6010000}"/>
    <cellStyle name="60% - Accent4 2 2" xfId="490" xr:uid="{00000000-0005-0000-0000-0000E7010000}"/>
    <cellStyle name="60% - Accent4 2 3" xfId="491" xr:uid="{00000000-0005-0000-0000-0000E8010000}"/>
    <cellStyle name="60% - Accent4 2 4" xfId="492" xr:uid="{00000000-0005-0000-0000-0000E9010000}"/>
    <cellStyle name="60% - Accent4 2 5" xfId="493" xr:uid="{00000000-0005-0000-0000-0000EA010000}"/>
    <cellStyle name="60% - Accent4 3" xfId="494" xr:uid="{00000000-0005-0000-0000-0000EB010000}"/>
    <cellStyle name="60% - Accent4 3 2" xfId="495" xr:uid="{00000000-0005-0000-0000-0000EC010000}"/>
    <cellStyle name="60% - Accent4 3 3" xfId="496" xr:uid="{00000000-0005-0000-0000-0000ED010000}"/>
    <cellStyle name="60% - Accent4 3 4" xfId="497" xr:uid="{00000000-0005-0000-0000-0000EE010000}"/>
    <cellStyle name="60% - Accent4 4" xfId="498" xr:uid="{00000000-0005-0000-0000-0000EF010000}"/>
    <cellStyle name="60% - Accent4 4 2" xfId="499" xr:uid="{00000000-0005-0000-0000-0000F0010000}"/>
    <cellStyle name="60% - Accent4 4 3" xfId="500" xr:uid="{00000000-0005-0000-0000-0000F1010000}"/>
    <cellStyle name="60% - Accent4 5" xfId="501" xr:uid="{00000000-0005-0000-0000-0000F2010000}"/>
    <cellStyle name="60% - Accent4 5 2" xfId="502" xr:uid="{00000000-0005-0000-0000-0000F3010000}"/>
    <cellStyle name="60% - Accent4 6" xfId="503" xr:uid="{00000000-0005-0000-0000-0000F4010000}"/>
    <cellStyle name="60% - Accent4 7" xfId="504" xr:uid="{00000000-0005-0000-0000-0000F5010000}"/>
    <cellStyle name="60% - Accent5 2" xfId="505" xr:uid="{00000000-0005-0000-0000-0000F6010000}"/>
    <cellStyle name="60% - Accent5 2 2" xfId="506" xr:uid="{00000000-0005-0000-0000-0000F7010000}"/>
    <cellStyle name="60% - Accent5 2 3" xfId="507" xr:uid="{00000000-0005-0000-0000-0000F8010000}"/>
    <cellStyle name="60% - Accent5 2 4" xfId="508" xr:uid="{00000000-0005-0000-0000-0000F9010000}"/>
    <cellStyle name="60% - Accent5 2 5" xfId="509" xr:uid="{00000000-0005-0000-0000-0000FA010000}"/>
    <cellStyle name="60% - Accent5 3" xfId="510" xr:uid="{00000000-0005-0000-0000-0000FB010000}"/>
    <cellStyle name="60% - Accent5 3 2" xfId="511" xr:uid="{00000000-0005-0000-0000-0000FC010000}"/>
    <cellStyle name="60% - Accent5 3 3" xfId="512" xr:uid="{00000000-0005-0000-0000-0000FD010000}"/>
    <cellStyle name="60% - Accent5 3 4" xfId="513" xr:uid="{00000000-0005-0000-0000-0000FE010000}"/>
    <cellStyle name="60% - Accent5 4" xfId="514" xr:uid="{00000000-0005-0000-0000-0000FF010000}"/>
    <cellStyle name="60% - Accent5 4 2" xfId="515" xr:uid="{00000000-0005-0000-0000-000000020000}"/>
    <cellStyle name="60% - Accent5 4 3" xfId="516" xr:uid="{00000000-0005-0000-0000-000001020000}"/>
    <cellStyle name="60% - Accent5 5" xfId="517" xr:uid="{00000000-0005-0000-0000-000002020000}"/>
    <cellStyle name="60% - Accent5 5 2" xfId="518" xr:uid="{00000000-0005-0000-0000-000003020000}"/>
    <cellStyle name="60% - Accent5 6" xfId="519" xr:uid="{00000000-0005-0000-0000-000004020000}"/>
    <cellStyle name="60% - Accent5 7" xfId="520" xr:uid="{00000000-0005-0000-0000-000005020000}"/>
    <cellStyle name="60% - Accent6 2" xfId="521" xr:uid="{00000000-0005-0000-0000-000006020000}"/>
    <cellStyle name="60% - Accent6 2 2" xfId="522" xr:uid="{00000000-0005-0000-0000-000007020000}"/>
    <cellStyle name="60% - Accent6 2 3" xfId="523" xr:uid="{00000000-0005-0000-0000-000008020000}"/>
    <cellStyle name="60% - Accent6 2 4" xfId="524" xr:uid="{00000000-0005-0000-0000-000009020000}"/>
    <cellStyle name="60% - Accent6 2 5" xfId="525" xr:uid="{00000000-0005-0000-0000-00000A020000}"/>
    <cellStyle name="60% - Accent6 3" xfId="526" xr:uid="{00000000-0005-0000-0000-00000B020000}"/>
    <cellStyle name="60% - Accent6 3 2" xfId="527" xr:uid="{00000000-0005-0000-0000-00000C020000}"/>
    <cellStyle name="60% - Accent6 3 3" xfId="528" xr:uid="{00000000-0005-0000-0000-00000D020000}"/>
    <cellStyle name="60% - Accent6 3 4" xfId="529" xr:uid="{00000000-0005-0000-0000-00000E020000}"/>
    <cellStyle name="60% - Accent6 4" xfId="530" xr:uid="{00000000-0005-0000-0000-00000F020000}"/>
    <cellStyle name="60% - Accent6 4 2" xfId="531" xr:uid="{00000000-0005-0000-0000-000010020000}"/>
    <cellStyle name="60% - Accent6 4 3" xfId="532" xr:uid="{00000000-0005-0000-0000-000011020000}"/>
    <cellStyle name="60% - Accent6 5" xfId="533" xr:uid="{00000000-0005-0000-0000-000012020000}"/>
    <cellStyle name="60% - Accent6 5 2" xfId="534" xr:uid="{00000000-0005-0000-0000-000013020000}"/>
    <cellStyle name="60% - Accent6 6" xfId="535" xr:uid="{00000000-0005-0000-0000-000014020000}"/>
    <cellStyle name="60% - Accent6 7" xfId="536" xr:uid="{00000000-0005-0000-0000-000015020000}"/>
    <cellStyle name="Accent1 2" xfId="537" xr:uid="{00000000-0005-0000-0000-000016020000}"/>
    <cellStyle name="Accent1 2 2" xfId="538" xr:uid="{00000000-0005-0000-0000-000017020000}"/>
    <cellStyle name="Accent1 2 3" xfId="539" xr:uid="{00000000-0005-0000-0000-000018020000}"/>
    <cellStyle name="Accent1 2 4" xfId="540" xr:uid="{00000000-0005-0000-0000-000019020000}"/>
    <cellStyle name="Accent1 2 5" xfId="541" xr:uid="{00000000-0005-0000-0000-00001A020000}"/>
    <cellStyle name="Accent1 3" xfId="542" xr:uid="{00000000-0005-0000-0000-00001B020000}"/>
    <cellStyle name="Accent1 3 2" xfId="543" xr:uid="{00000000-0005-0000-0000-00001C020000}"/>
    <cellStyle name="Accent1 3 3" xfId="544" xr:uid="{00000000-0005-0000-0000-00001D020000}"/>
    <cellStyle name="Accent1 3 4" xfId="545" xr:uid="{00000000-0005-0000-0000-00001E020000}"/>
    <cellStyle name="Accent1 4" xfId="546" xr:uid="{00000000-0005-0000-0000-00001F020000}"/>
    <cellStyle name="Accent1 4 2" xfId="547" xr:uid="{00000000-0005-0000-0000-000020020000}"/>
    <cellStyle name="Accent1 4 3" xfId="548" xr:uid="{00000000-0005-0000-0000-000021020000}"/>
    <cellStyle name="Accent1 5" xfId="549" xr:uid="{00000000-0005-0000-0000-000022020000}"/>
    <cellStyle name="Accent1 5 2" xfId="550" xr:uid="{00000000-0005-0000-0000-000023020000}"/>
    <cellStyle name="Accent1 6" xfId="551" xr:uid="{00000000-0005-0000-0000-000024020000}"/>
    <cellStyle name="Accent1 7" xfId="552" xr:uid="{00000000-0005-0000-0000-000025020000}"/>
    <cellStyle name="Accent2 2" xfId="553" xr:uid="{00000000-0005-0000-0000-000026020000}"/>
    <cellStyle name="Accent2 2 2" xfId="554" xr:uid="{00000000-0005-0000-0000-000027020000}"/>
    <cellStyle name="Accent2 2 3" xfId="555" xr:uid="{00000000-0005-0000-0000-000028020000}"/>
    <cellStyle name="Accent2 2 4" xfId="556" xr:uid="{00000000-0005-0000-0000-000029020000}"/>
    <cellStyle name="Accent2 2 5" xfId="557" xr:uid="{00000000-0005-0000-0000-00002A020000}"/>
    <cellStyle name="Accent2 3" xfId="558" xr:uid="{00000000-0005-0000-0000-00002B020000}"/>
    <cellStyle name="Accent2 3 2" xfId="559" xr:uid="{00000000-0005-0000-0000-00002C020000}"/>
    <cellStyle name="Accent2 3 3" xfId="560" xr:uid="{00000000-0005-0000-0000-00002D020000}"/>
    <cellStyle name="Accent2 3 4" xfId="561" xr:uid="{00000000-0005-0000-0000-00002E020000}"/>
    <cellStyle name="Accent2 4" xfId="562" xr:uid="{00000000-0005-0000-0000-00002F020000}"/>
    <cellStyle name="Accent2 4 2" xfId="563" xr:uid="{00000000-0005-0000-0000-000030020000}"/>
    <cellStyle name="Accent2 4 3" xfId="564" xr:uid="{00000000-0005-0000-0000-000031020000}"/>
    <cellStyle name="Accent2 5" xfId="565" xr:uid="{00000000-0005-0000-0000-000032020000}"/>
    <cellStyle name="Accent2 5 2" xfId="566" xr:uid="{00000000-0005-0000-0000-000033020000}"/>
    <cellStyle name="Accent2 6" xfId="567" xr:uid="{00000000-0005-0000-0000-000034020000}"/>
    <cellStyle name="Accent2 7" xfId="568" xr:uid="{00000000-0005-0000-0000-000035020000}"/>
    <cellStyle name="Accent3 2" xfId="569" xr:uid="{00000000-0005-0000-0000-000036020000}"/>
    <cellStyle name="Accent3 2 2" xfId="570" xr:uid="{00000000-0005-0000-0000-000037020000}"/>
    <cellStyle name="Accent3 2 3" xfId="571" xr:uid="{00000000-0005-0000-0000-000038020000}"/>
    <cellStyle name="Accent3 2 4" xfId="572" xr:uid="{00000000-0005-0000-0000-000039020000}"/>
    <cellStyle name="Accent3 2 5" xfId="573" xr:uid="{00000000-0005-0000-0000-00003A020000}"/>
    <cellStyle name="Accent3 3" xfId="574" xr:uid="{00000000-0005-0000-0000-00003B020000}"/>
    <cellStyle name="Accent3 3 2" xfId="575" xr:uid="{00000000-0005-0000-0000-00003C020000}"/>
    <cellStyle name="Accent3 3 3" xfId="576" xr:uid="{00000000-0005-0000-0000-00003D020000}"/>
    <cellStyle name="Accent3 3 4" xfId="577" xr:uid="{00000000-0005-0000-0000-00003E020000}"/>
    <cellStyle name="Accent3 4" xfId="578" xr:uid="{00000000-0005-0000-0000-00003F020000}"/>
    <cellStyle name="Accent3 4 2" xfId="579" xr:uid="{00000000-0005-0000-0000-000040020000}"/>
    <cellStyle name="Accent3 4 3" xfId="580" xr:uid="{00000000-0005-0000-0000-000041020000}"/>
    <cellStyle name="Accent3 5" xfId="581" xr:uid="{00000000-0005-0000-0000-000042020000}"/>
    <cellStyle name="Accent3 5 2" xfId="582" xr:uid="{00000000-0005-0000-0000-000043020000}"/>
    <cellStyle name="Accent3 6" xfId="583" xr:uid="{00000000-0005-0000-0000-000044020000}"/>
    <cellStyle name="Accent3 7" xfId="584" xr:uid="{00000000-0005-0000-0000-000045020000}"/>
    <cellStyle name="Accent4 2" xfId="585" xr:uid="{00000000-0005-0000-0000-000046020000}"/>
    <cellStyle name="Accent4 2 2" xfId="586" xr:uid="{00000000-0005-0000-0000-000047020000}"/>
    <cellStyle name="Accent4 2 3" xfId="587" xr:uid="{00000000-0005-0000-0000-000048020000}"/>
    <cellStyle name="Accent4 2 4" xfId="588" xr:uid="{00000000-0005-0000-0000-000049020000}"/>
    <cellStyle name="Accent4 2 5" xfId="589" xr:uid="{00000000-0005-0000-0000-00004A020000}"/>
    <cellStyle name="Accent4 3" xfId="590" xr:uid="{00000000-0005-0000-0000-00004B020000}"/>
    <cellStyle name="Accent4 3 2" xfId="591" xr:uid="{00000000-0005-0000-0000-00004C020000}"/>
    <cellStyle name="Accent4 3 3" xfId="592" xr:uid="{00000000-0005-0000-0000-00004D020000}"/>
    <cellStyle name="Accent4 3 4" xfId="593" xr:uid="{00000000-0005-0000-0000-00004E020000}"/>
    <cellStyle name="Accent4 4" xfId="594" xr:uid="{00000000-0005-0000-0000-00004F020000}"/>
    <cellStyle name="Accent4 4 2" xfId="595" xr:uid="{00000000-0005-0000-0000-000050020000}"/>
    <cellStyle name="Accent4 4 3" xfId="596" xr:uid="{00000000-0005-0000-0000-000051020000}"/>
    <cellStyle name="Accent4 5" xfId="597" xr:uid="{00000000-0005-0000-0000-000052020000}"/>
    <cellStyle name="Accent4 5 2" xfId="598" xr:uid="{00000000-0005-0000-0000-000053020000}"/>
    <cellStyle name="Accent4 6" xfId="599" xr:uid="{00000000-0005-0000-0000-000054020000}"/>
    <cellStyle name="Accent4 7" xfId="600" xr:uid="{00000000-0005-0000-0000-000055020000}"/>
    <cellStyle name="Accent5 2" xfId="601" xr:uid="{00000000-0005-0000-0000-000056020000}"/>
    <cellStyle name="Accent5 2 2" xfId="602" xr:uid="{00000000-0005-0000-0000-000057020000}"/>
    <cellStyle name="Accent5 2 3" xfId="603" xr:uid="{00000000-0005-0000-0000-000058020000}"/>
    <cellStyle name="Accent5 2 4" xfId="604" xr:uid="{00000000-0005-0000-0000-000059020000}"/>
    <cellStyle name="Accent5 2 5" xfId="605" xr:uid="{00000000-0005-0000-0000-00005A020000}"/>
    <cellStyle name="Accent5 3" xfId="606" xr:uid="{00000000-0005-0000-0000-00005B020000}"/>
    <cellStyle name="Accent5 3 2" xfId="607" xr:uid="{00000000-0005-0000-0000-00005C020000}"/>
    <cellStyle name="Accent5 3 3" xfId="608" xr:uid="{00000000-0005-0000-0000-00005D020000}"/>
    <cellStyle name="Accent5 3 4" xfId="609" xr:uid="{00000000-0005-0000-0000-00005E020000}"/>
    <cellStyle name="Accent5 4" xfId="610" xr:uid="{00000000-0005-0000-0000-00005F020000}"/>
    <cellStyle name="Accent5 4 2" xfId="611" xr:uid="{00000000-0005-0000-0000-000060020000}"/>
    <cellStyle name="Accent5 4 3" xfId="612" xr:uid="{00000000-0005-0000-0000-000061020000}"/>
    <cellStyle name="Accent5 5" xfId="613" xr:uid="{00000000-0005-0000-0000-000062020000}"/>
    <cellStyle name="Accent5 5 2" xfId="614" xr:uid="{00000000-0005-0000-0000-000063020000}"/>
    <cellStyle name="Accent5 6" xfId="615" xr:uid="{00000000-0005-0000-0000-000064020000}"/>
    <cellStyle name="Accent5 7" xfId="616" xr:uid="{00000000-0005-0000-0000-000065020000}"/>
    <cellStyle name="Accent6 2" xfId="617" xr:uid="{00000000-0005-0000-0000-000066020000}"/>
    <cellStyle name="Accent6 2 2" xfId="618" xr:uid="{00000000-0005-0000-0000-000067020000}"/>
    <cellStyle name="Accent6 2 3" xfId="619" xr:uid="{00000000-0005-0000-0000-000068020000}"/>
    <cellStyle name="Accent6 2 4" xfId="620" xr:uid="{00000000-0005-0000-0000-000069020000}"/>
    <cellStyle name="Accent6 2 5" xfId="621" xr:uid="{00000000-0005-0000-0000-00006A020000}"/>
    <cellStyle name="Accent6 3" xfId="622" xr:uid="{00000000-0005-0000-0000-00006B020000}"/>
    <cellStyle name="Accent6 3 2" xfId="623" xr:uid="{00000000-0005-0000-0000-00006C020000}"/>
    <cellStyle name="Accent6 3 3" xfId="624" xr:uid="{00000000-0005-0000-0000-00006D020000}"/>
    <cellStyle name="Accent6 3 4" xfId="625" xr:uid="{00000000-0005-0000-0000-00006E020000}"/>
    <cellStyle name="Accent6 4" xfId="626" xr:uid="{00000000-0005-0000-0000-00006F020000}"/>
    <cellStyle name="Accent6 4 2" xfId="627" xr:uid="{00000000-0005-0000-0000-000070020000}"/>
    <cellStyle name="Accent6 4 3" xfId="628" xr:uid="{00000000-0005-0000-0000-000071020000}"/>
    <cellStyle name="Accent6 5" xfId="629" xr:uid="{00000000-0005-0000-0000-000072020000}"/>
    <cellStyle name="Accent6 5 2" xfId="630" xr:uid="{00000000-0005-0000-0000-000073020000}"/>
    <cellStyle name="Accent6 6" xfId="631" xr:uid="{00000000-0005-0000-0000-000074020000}"/>
    <cellStyle name="Accent6 7" xfId="632" xr:uid="{00000000-0005-0000-0000-000075020000}"/>
    <cellStyle name="Bad 2" xfId="633" xr:uid="{00000000-0005-0000-0000-000076020000}"/>
    <cellStyle name="Bad 2 2" xfId="634" xr:uid="{00000000-0005-0000-0000-000077020000}"/>
    <cellStyle name="Bad 2 3" xfId="635" xr:uid="{00000000-0005-0000-0000-000078020000}"/>
    <cellStyle name="Bad 2 4" xfId="636" xr:uid="{00000000-0005-0000-0000-000079020000}"/>
    <cellStyle name="Bad 2 5" xfId="637" xr:uid="{00000000-0005-0000-0000-00007A020000}"/>
    <cellStyle name="Bad 3" xfId="638" xr:uid="{00000000-0005-0000-0000-00007B020000}"/>
    <cellStyle name="Bad 3 2" xfId="639" xr:uid="{00000000-0005-0000-0000-00007C020000}"/>
    <cellStyle name="Bad 3 3" xfId="640" xr:uid="{00000000-0005-0000-0000-00007D020000}"/>
    <cellStyle name="Bad 3 4" xfId="641" xr:uid="{00000000-0005-0000-0000-00007E020000}"/>
    <cellStyle name="Bad 4" xfId="642" xr:uid="{00000000-0005-0000-0000-00007F020000}"/>
    <cellStyle name="Bad 4 2" xfId="643" xr:uid="{00000000-0005-0000-0000-000080020000}"/>
    <cellStyle name="Bad 4 3" xfId="644" xr:uid="{00000000-0005-0000-0000-000081020000}"/>
    <cellStyle name="Bad 5" xfId="645" xr:uid="{00000000-0005-0000-0000-000082020000}"/>
    <cellStyle name="Bad 5 2" xfId="646" xr:uid="{00000000-0005-0000-0000-000083020000}"/>
    <cellStyle name="Bad 6" xfId="647" xr:uid="{00000000-0005-0000-0000-000084020000}"/>
    <cellStyle name="Bad 7" xfId="648" xr:uid="{00000000-0005-0000-0000-000085020000}"/>
    <cellStyle name="Calculation 2" xfId="649" xr:uid="{00000000-0005-0000-0000-000086020000}"/>
    <cellStyle name="Calculation 2 2" xfId="650" xr:uid="{00000000-0005-0000-0000-000087020000}"/>
    <cellStyle name="Calculation 2 3" xfId="651" xr:uid="{00000000-0005-0000-0000-000088020000}"/>
    <cellStyle name="Calculation 2 4" xfId="652" xr:uid="{00000000-0005-0000-0000-000089020000}"/>
    <cellStyle name="Calculation 2 5" xfId="653" xr:uid="{00000000-0005-0000-0000-00008A020000}"/>
    <cellStyle name="Calculation 2_Idaho" xfId="654" xr:uid="{00000000-0005-0000-0000-00008B020000}"/>
    <cellStyle name="Calculation 3" xfId="655" xr:uid="{00000000-0005-0000-0000-00008C020000}"/>
    <cellStyle name="Calculation 3 2" xfId="656" xr:uid="{00000000-0005-0000-0000-00008D020000}"/>
    <cellStyle name="Calculation 3 3" xfId="657" xr:uid="{00000000-0005-0000-0000-00008E020000}"/>
    <cellStyle name="Calculation 3 4" xfId="658" xr:uid="{00000000-0005-0000-0000-00008F020000}"/>
    <cellStyle name="Calculation 3_Idaho" xfId="659" xr:uid="{00000000-0005-0000-0000-000090020000}"/>
    <cellStyle name="Calculation 4" xfId="660" xr:uid="{00000000-0005-0000-0000-000091020000}"/>
    <cellStyle name="Calculation 4 2" xfId="661" xr:uid="{00000000-0005-0000-0000-000092020000}"/>
    <cellStyle name="Calculation 4 3" xfId="662" xr:uid="{00000000-0005-0000-0000-000093020000}"/>
    <cellStyle name="Calculation 4_Idaho" xfId="663" xr:uid="{00000000-0005-0000-0000-000094020000}"/>
    <cellStyle name="Calculation 5" xfId="664" xr:uid="{00000000-0005-0000-0000-000095020000}"/>
    <cellStyle name="Calculation 5 2" xfId="665" xr:uid="{00000000-0005-0000-0000-000096020000}"/>
    <cellStyle name="Calculation 5_Idaho" xfId="666" xr:uid="{00000000-0005-0000-0000-000097020000}"/>
    <cellStyle name="Calculation 6" xfId="667" xr:uid="{00000000-0005-0000-0000-000098020000}"/>
    <cellStyle name="Calculation 7" xfId="668" xr:uid="{00000000-0005-0000-0000-000099020000}"/>
    <cellStyle name="Check Cell 2" xfId="669" xr:uid="{00000000-0005-0000-0000-00009A020000}"/>
    <cellStyle name="Check Cell 2 2" xfId="670" xr:uid="{00000000-0005-0000-0000-00009B020000}"/>
    <cellStyle name="Check Cell 2 3" xfId="671" xr:uid="{00000000-0005-0000-0000-00009C020000}"/>
    <cellStyle name="Check Cell 2 4" xfId="672" xr:uid="{00000000-0005-0000-0000-00009D020000}"/>
    <cellStyle name="Check Cell 2 5" xfId="673" xr:uid="{00000000-0005-0000-0000-00009E020000}"/>
    <cellStyle name="Check Cell 2_Idaho" xfId="674" xr:uid="{00000000-0005-0000-0000-00009F020000}"/>
    <cellStyle name="Check Cell 3" xfId="675" xr:uid="{00000000-0005-0000-0000-0000A0020000}"/>
    <cellStyle name="Check Cell 3 2" xfId="676" xr:uid="{00000000-0005-0000-0000-0000A1020000}"/>
    <cellStyle name="Check Cell 3 3" xfId="677" xr:uid="{00000000-0005-0000-0000-0000A2020000}"/>
    <cellStyle name="Check Cell 3 4" xfId="678" xr:uid="{00000000-0005-0000-0000-0000A3020000}"/>
    <cellStyle name="Check Cell 3_Idaho" xfId="679" xr:uid="{00000000-0005-0000-0000-0000A4020000}"/>
    <cellStyle name="Check Cell 4" xfId="680" xr:uid="{00000000-0005-0000-0000-0000A5020000}"/>
    <cellStyle name="Check Cell 4 2" xfId="681" xr:uid="{00000000-0005-0000-0000-0000A6020000}"/>
    <cellStyle name="Check Cell 4 3" xfId="682" xr:uid="{00000000-0005-0000-0000-0000A7020000}"/>
    <cellStyle name="Check Cell 4_Idaho" xfId="683" xr:uid="{00000000-0005-0000-0000-0000A8020000}"/>
    <cellStyle name="Check Cell 5" xfId="684" xr:uid="{00000000-0005-0000-0000-0000A9020000}"/>
    <cellStyle name="Check Cell 5 2" xfId="685" xr:uid="{00000000-0005-0000-0000-0000AA020000}"/>
    <cellStyle name="Check Cell 5_Idaho" xfId="686" xr:uid="{00000000-0005-0000-0000-0000AB020000}"/>
    <cellStyle name="Check Cell 6" xfId="687" xr:uid="{00000000-0005-0000-0000-0000AC020000}"/>
    <cellStyle name="Check Cell 7" xfId="688" xr:uid="{00000000-0005-0000-0000-0000AD020000}"/>
    <cellStyle name="Comma" xfId="1" builtinId="3"/>
    <cellStyle name="Comma 10" xfId="689" xr:uid="{00000000-0005-0000-0000-0000AF020000}"/>
    <cellStyle name="Comma 10 2" xfId="1817" xr:uid="{00000000-0005-0000-0000-0000B0020000}"/>
    <cellStyle name="Comma 11" xfId="1789" xr:uid="{00000000-0005-0000-0000-0000B1020000}"/>
    <cellStyle name="Comma 12" xfId="690" xr:uid="{00000000-0005-0000-0000-0000B2020000}"/>
    <cellStyle name="Comma 12 2" xfId="1818" xr:uid="{00000000-0005-0000-0000-0000B3020000}"/>
    <cellStyle name="Comma 13" xfId="691" xr:uid="{00000000-0005-0000-0000-0000B4020000}"/>
    <cellStyle name="Comma 13 2" xfId="1819" xr:uid="{00000000-0005-0000-0000-0000B5020000}"/>
    <cellStyle name="Comma 14" xfId="692" xr:uid="{00000000-0005-0000-0000-0000B6020000}"/>
    <cellStyle name="Comma 14 2" xfId="1820" xr:uid="{00000000-0005-0000-0000-0000B7020000}"/>
    <cellStyle name="Comma 15" xfId="1790" xr:uid="{00000000-0005-0000-0000-0000B8020000}"/>
    <cellStyle name="Comma 16" xfId="1791" xr:uid="{00000000-0005-0000-0000-0000B9020000}"/>
    <cellStyle name="Comma 17" xfId="1792" xr:uid="{00000000-0005-0000-0000-0000BA020000}"/>
    <cellStyle name="Comma 18" xfId="1793" xr:uid="{00000000-0005-0000-0000-0000BB020000}"/>
    <cellStyle name="Comma 19" xfId="1794" xr:uid="{00000000-0005-0000-0000-0000BC020000}"/>
    <cellStyle name="Comma 2" xfId="693" xr:uid="{00000000-0005-0000-0000-0000BD020000}"/>
    <cellStyle name="Comma 2 10" xfId="694" xr:uid="{00000000-0005-0000-0000-0000BE020000}"/>
    <cellStyle name="Comma 2 11" xfId="695" xr:uid="{00000000-0005-0000-0000-0000BF020000}"/>
    <cellStyle name="Comma 2 12" xfId="696" xr:uid="{00000000-0005-0000-0000-0000C0020000}"/>
    <cellStyle name="Comma 2 13" xfId="697" xr:uid="{00000000-0005-0000-0000-0000C1020000}"/>
    <cellStyle name="Comma 2 14" xfId="698" xr:uid="{00000000-0005-0000-0000-0000C2020000}"/>
    <cellStyle name="Comma 2 15" xfId="699" xr:uid="{00000000-0005-0000-0000-0000C3020000}"/>
    <cellStyle name="Comma 2 16" xfId="700" xr:uid="{00000000-0005-0000-0000-0000C4020000}"/>
    <cellStyle name="Comma 2 17" xfId="701" xr:uid="{00000000-0005-0000-0000-0000C5020000}"/>
    <cellStyle name="Comma 2 18" xfId="702" xr:uid="{00000000-0005-0000-0000-0000C6020000}"/>
    <cellStyle name="Comma 2 19" xfId="703" xr:uid="{00000000-0005-0000-0000-0000C7020000}"/>
    <cellStyle name="Comma 2 2" xfId="704" xr:uid="{00000000-0005-0000-0000-0000C8020000}"/>
    <cellStyle name="Comma 2 2 2" xfId="1821" xr:uid="{00000000-0005-0000-0000-0000C9020000}"/>
    <cellStyle name="Comma 2 20" xfId="705" xr:uid="{00000000-0005-0000-0000-0000CA020000}"/>
    <cellStyle name="Comma 2 21" xfId="706" xr:uid="{00000000-0005-0000-0000-0000CB020000}"/>
    <cellStyle name="Comma 2 22" xfId="707" xr:uid="{00000000-0005-0000-0000-0000CC020000}"/>
    <cellStyle name="Comma 2 23" xfId="708" xr:uid="{00000000-0005-0000-0000-0000CD020000}"/>
    <cellStyle name="Comma 2 24" xfId="709" xr:uid="{00000000-0005-0000-0000-0000CE020000}"/>
    <cellStyle name="Comma 2 25" xfId="710" xr:uid="{00000000-0005-0000-0000-0000CF020000}"/>
    <cellStyle name="Comma 2 26" xfId="711" xr:uid="{00000000-0005-0000-0000-0000D0020000}"/>
    <cellStyle name="Comma 2 27" xfId="712" xr:uid="{00000000-0005-0000-0000-0000D1020000}"/>
    <cellStyle name="Comma 2 28" xfId="713" xr:uid="{00000000-0005-0000-0000-0000D2020000}"/>
    <cellStyle name="Comma 2 29" xfId="714" xr:uid="{00000000-0005-0000-0000-0000D3020000}"/>
    <cellStyle name="Comma 2 3" xfId="715" xr:uid="{00000000-0005-0000-0000-0000D4020000}"/>
    <cellStyle name="Comma 2 30" xfId="716" xr:uid="{00000000-0005-0000-0000-0000D5020000}"/>
    <cellStyle name="Comma 2 31" xfId="717" xr:uid="{00000000-0005-0000-0000-0000D6020000}"/>
    <cellStyle name="Comma 2 32" xfId="718" xr:uid="{00000000-0005-0000-0000-0000D7020000}"/>
    <cellStyle name="Comma 2 33" xfId="719" xr:uid="{00000000-0005-0000-0000-0000D8020000}"/>
    <cellStyle name="Comma 2 34" xfId="720" xr:uid="{00000000-0005-0000-0000-0000D9020000}"/>
    <cellStyle name="Comma 2 35" xfId="721" xr:uid="{00000000-0005-0000-0000-0000DA020000}"/>
    <cellStyle name="Comma 2 36" xfId="722" xr:uid="{00000000-0005-0000-0000-0000DB020000}"/>
    <cellStyle name="Comma 2 37" xfId="723" xr:uid="{00000000-0005-0000-0000-0000DC020000}"/>
    <cellStyle name="Comma 2 38" xfId="724" xr:uid="{00000000-0005-0000-0000-0000DD020000}"/>
    <cellStyle name="Comma 2 39" xfId="725" xr:uid="{00000000-0005-0000-0000-0000DE020000}"/>
    <cellStyle name="Comma 2 4" xfId="726" xr:uid="{00000000-0005-0000-0000-0000DF020000}"/>
    <cellStyle name="Comma 2 40" xfId="727" xr:uid="{00000000-0005-0000-0000-0000E0020000}"/>
    <cellStyle name="Comma 2 41" xfId="728" xr:uid="{00000000-0005-0000-0000-0000E1020000}"/>
    <cellStyle name="Comma 2 42" xfId="729" xr:uid="{00000000-0005-0000-0000-0000E2020000}"/>
    <cellStyle name="Comma 2 43" xfId="730" xr:uid="{00000000-0005-0000-0000-0000E3020000}"/>
    <cellStyle name="Comma 2 44" xfId="731" xr:uid="{00000000-0005-0000-0000-0000E4020000}"/>
    <cellStyle name="Comma 2 45" xfId="732" xr:uid="{00000000-0005-0000-0000-0000E5020000}"/>
    <cellStyle name="Comma 2 46" xfId="733" xr:uid="{00000000-0005-0000-0000-0000E6020000}"/>
    <cellStyle name="Comma 2 47" xfId="734" xr:uid="{00000000-0005-0000-0000-0000E7020000}"/>
    <cellStyle name="Comma 2 48" xfId="735" xr:uid="{00000000-0005-0000-0000-0000E8020000}"/>
    <cellStyle name="Comma 2 49" xfId="736" xr:uid="{00000000-0005-0000-0000-0000E9020000}"/>
    <cellStyle name="Comma 2 5" xfId="737" xr:uid="{00000000-0005-0000-0000-0000EA020000}"/>
    <cellStyle name="Comma 2 50" xfId="738" xr:uid="{00000000-0005-0000-0000-0000EB020000}"/>
    <cellStyle name="Comma 2 51" xfId="739" xr:uid="{00000000-0005-0000-0000-0000EC020000}"/>
    <cellStyle name="Comma 2 52" xfId="740" xr:uid="{00000000-0005-0000-0000-0000ED020000}"/>
    <cellStyle name="Comma 2 53" xfId="741" xr:uid="{00000000-0005-0000-0000-0000EE020000}"/>
    <cellStyle name="Comma 2 54" xfId="742" xr:uid="{00000000-0005-0000-0000-0000EF020000}"/>
    <cellStyle name="Comma 2 55" xfId="743" xr:uid="{00000000-0005-0000-0000-0000F0020000}"/>
    <cellStyle name="Comma 2 56" xfId="744" xr:uid="{00000000-0005-0000-0000-0000F1020000}"/>
    <cellStyle name="Comma 2 57" xfId="745" xr:uid="{00000000-0005-0000-0000-0000F2020000}"/>
    <cellStyle name="Comma 2 58" xfId="746" xr:uid="{00000000-0005-0000-0000-0000F3020000}"/>
    <cellStyle name="Comma 2 59" xfId="747" xr:uid="{00000000-0005-0000-0000-0000F4020000}"/>
    <cellStyle name="Comma 2 6" xfId="748" xr:uid="{00000000-0005-0000-0000-0000F5020000}"/>
    <cellStyle name="Comma 2 60" xfId="749" xr:uid="{00000000-0005-0000-0000-0000F6020000}"/>
    <cellStyle name="Comma 2 61" xfId="750" xr:uid="{00000000-0005-0000-0000-0000F7020000}"/>
    <cellStyle name="Comma 2 62" xfId="751" xr:uid="{00000000-0005-0000-0000-0000F8020000}"/>
    <cellStyle name="Comma 2 63" xfId="752" xr:uid="{00000000-0005-0000-0000-0000F9020000}"/>
    <cellStyle name="Comma 2 64" xfId="753" xr:uid="{00000000-0005-0000-0000-0000FA020000}"/>
    <cellStyle name="Comma 2 65" xfId="754" xr:uid="{00000000-0005-0000-0000-0000FB020000}"/>
    <cellStyle name="Comma 2 66" xfId="755" xr:uid="{00000000-0005-0000-0000-0000FC020000}"/>
    <cellStyle name="Comma 2 67" xfId="756" xr:uid="{00000000-0005-0000-0000-0000FD020000}"/>
    <cellStyle name="Comma 2 68" xfId="757" xr:uid="{00000000-0005-0000-0000-0000FE020000}"/>
    <cellStyle name="Comma 2 69" xfId="758" xr:uid="{00000000-0005-0000-0000-0000FF020000}"/>
    <cellStyle name="Comma 2 7" xfId="759" xr:uid="{00000000-0005-0000-0000-000000030000}"/>
    <cellStyle name="Comma 2 70" xfId="760" xr:uid="{00000000-0005-0000-0000-000001030000}"/>
    <cellStyle name="Comma 2 71" xfId="761" xr:uid="{00000000-0005-0000-0000-000002030000}"/>
    <cellStyle name="Comma 2 72" xfId="762" xr:uid="{00000000-0005-0000-0000-000003030000}"/>
    <cellStyle name="Comma 2 73" xfId="763" xr:uid="{00000000-0005-0000-0000-000004030000}"/>
    <cellStyle name="Comma 2 74" xfId="764" xr:uid="{00000000-0005-0000-0000-000005030000}"/>
    <cellStyle name="Comma 2 75" xfId="765" xr:uid="{00000000-0005-0000-0000-000006030000}"/>
    <cellStyle name="Comma 2 76" xfId="766" xr:uid="{00000000-0005-0000-0000-000007030000}"/>
    <cellStyle name="Comma 2 77" xfId="767" xr:uid="{00000000-0005-0000-0000-000008030000}"/>
    <cellStyle name="Comma 2 78" xfId="768" xr:uid="{00000000-0005-0000-0000-000009030000}"/>
    <cellStyle name="Comma 2 79" xfId="769" xr:uid="{00000000-0005-0000-0000-00000A030000}"/>
    <cellStyle name="Comma 2 8" xfId="770" xr:uid="{00000000-0005-0000-0000-00000B030000}"/>
    <cellStyle name="Comma 2 80" xfId="771" xr:uid="{00000000-0005-0000-0000-00000C030000}"/>
    <cellStyle name="Comma 2 81" xfId="772" xr:uid="{00000000-0005-0000-0000-00000D030000}"/>
    <cellStyle name="Comma 2 82" xfId="773" xr:uid="{00000000-0005-0000-0000-00000E030000}"/>
    <cellStyle name="Comma 2 83" xfId="774" xr:uid="{00000000-0005-0000-0000-00000F030000}"/>
    <cellStyle name="Comma 2 84" xfId="775" xr:uid="{00000000-0005-0000-0000-000010030000}"/>
    <cellStyle name="Comma 2 85" xfId="776" xr:uid="{00000000-0005-0000-0000-000011030000}"/>
    <cellStyle name="Comma 2 86" xfId="777" xr:uid="{00000000-0005-0000-0000-000012030000}"/>
    <cellStyle name="Comma 2 87" xfId="778" xr:uid="{00000000-0005-0000-0000-000013030000}"/>
    <cellStyle name="Comma 2 9" xfId="779" xr:uid="{00000000-0005-0000-0000-000014030000}"/>
    <cellStyle name="Comma 20" xfId="1795" xr:uid="{00000000-0005-0000-0000-000015030000}"/>
    <cellStyle name="Comma 21" xfId="1796" xr:uid="{00000000-0005-0000-0000-000016030000}"/>
    <cellStyle name="Comma 22" xfId="1797" xr:uid="{00000000-0005-0000-0000-000017030000}"/>
    <cellStyle name="Comma 23" xfId="1798" xr:uid="{00000000-0005-0000-0000-000018030000}"/>
    <cellStyle name="Comma 24" xfId="1799" xr:uid="{00000000-0005-0000-0000-000019030000}"/>
    <cellStyle name="Comma 25" xfId="1800" xr:uid="{00000000-0005-0000-0000-00001A030000}"/>
    <cellStyle name="Comma 26" xfId="1801" xr:uid="{00000000-0005-0000-0000-00001B030000}"/>
    <cellStyle name="Comma 27" xfId="1802" xr:uid="{00000000-0005-0000-0000-00001C030000}"/>
    <cellStyle name="Comma 28" xfId="1803" xr:uid="{00000000-0005-0000-0000-00001D030000}"/>
    <cellStyle name="Comma 29" xfId="1804" xr:uid="{00000000-0005-0000-0000-00001E030000}"/>
    <cellStyle name="Comma 3" xfId="780" xr:uid="{00000000-0005-0000-0000-00001F030000}"/>
    <cellStyle name="Comma 3 10" xfId="781" xr:uid="{00000000-0005-0000-0000-000020030000}"/>
    <cellStyle name="Comma 3 11" xfId="782" xr:uid="{00000000-0005-0000-0000-000021030000}"/>
    <cellStyle name="Comma 3 12" xfId="783" xr:uid="{00000000-0005-0000-0000-000022030000}"/>
    <cellStyle name="Comma 3 13" xfId="784" xr:uid="{00000000-0005-0000-0000-000023030000}"/>
    <cellStyle name="Comma 3 14" xfId="785" xr:uid="{00000000-0005-0000-0000-000024030000}"/>
    <cellStyle name="Comma 3 15" xfId="786" xr:uid="{00000000-0005-0000-0000-000025030000}"/>
    <cellStyle name="Comma 3 16" xfId="787" xr:uid="{00000000-0005-0000-0000-000026030000}"/>
    <cellStyle name="Comma 3 17" xfId="788" xr:uid="{00000000-0005-0000-0000-000027030000}"/>
    <cellStyle name="Comma 3 18" xfId="789" xr:uid="{00000000-0005-0000-0000-000028030000}"/>
    <cellStyle name="Comma 3 19" xfId="1813" xr:uid="{00000000-0005-0000-0000-000029030000}"/>
    <cellStyle name="Comma 3 2" xfId="790" xr:uid="{00000000-0005-0000-0000-00002A030000}"/>
    <cellStyle name="Comma 3 20" xfId="1837" xr:uid="{00000000-0005-0000-0000-00002B030000}"/>
    <cellStyle name="Comma 3 3" xfId="791" xr:uid="{00000000-0005-0000-0000-00002C030000}"/>
    <cellStyle name="Comma 3 4" xfId="792" xr:uid="{00000000-0005-0000-0000-00002D030000}"/>
    <cellStyle name="Comma 3 5" xfId="793" xr:uid="{00000000-0005-0000-0000-00002E030000}"/>
    <cellStyle name="Comma 3 6" xfId="794" xr:uid="{00000000-0005-0000-0000-00002F030000}"/>
    <cellStyle name="Comma 3 7" xfId="795" xr:uid="{00000000-0005-0000-0000-000030030000}"/>
    <cellStyle name="Comma 3 8" xfId="796" xr:uid="{00000000-0005-0000-0000-000031030000}"/>
    <cellStyle name="Comma 3 9" xfId="797" xr:uid="{00000000-0005-0000-0000-000032030000}"/>
    <cellStyle name="Comma 30" xfId="1808" xr:uid="{00000000-0005-0000-0000-000033030000}"/>
    <cellStyle name="Comma 31" xfId="1809" xr:uid="{00000000-0005-0000-0000-000034030000}"/>
    <cellStyle name="Comma 32" xfId="1810" xr:uid="{00000000-0005-0000-0000-000035030000}"/>
    <cellStyle name="Comma 33" xfId="1811" xr:uid="{00000000-0005-0000-0000-000036030000}"/>
    <cellStyle name="Comma 34" xfId="1839" xr:uid="{00000000-0005-0000-0000-000037030000}"/>
    <cellStyle name="Comma 35" xfId="1845" xr:uid="{00000000-0005-0000-0000-000038030000}"/>
    <cellStyle name="Comma 36" xfId="1846" xr:uid="{00000000-0005-0000-0000-000039030000}"/>
    <cellStyle name="Comma 37" xfId="1842" xr:uid="{00000000-0005-0000-0000-00003A030000}"/>
    <cellStyle name="Comma 38" xfId="1838" xr:uid="{00000000-0005-0000-0000-00003B030000}"/>
    <cellStyle name="Comma 39" xfId="1834" xr:uid="{00000000-0005-0000-0000-00003C030000}"/>
    <cellStyle name="Comma 4" xfId="798" xr:uid="{00000000-0005-0000-0000-00003D030000}"/>
    <cellStyle name="Comma 40" xfId="1843" xr:uid="{00000000-0005-0000-0000-00003E030000}"/>
    <cellStyle name="Comma 5" xfId="799" xr:uid="{00000000-0005-0000-0000-00003F030000}"/>
    <cellStyle name="Comma 6" xfId="800" xr:uid="{00000000-0005-0000-0000-000040030000}"/>
    <cellStyle name="Comma 7" xfId="801" xr:uid="{00000000-0005-0000-0000-000041030000}"/>
    <cellStyle name="Comma 7 2" xfId="1822" xr:uid="{00000000-0005-0000-0000-000042030000}"/>
    <cellStyle name="Comma 8" xfId="1805" xr:uid="{00000000-0005-0000-0000-000043030000}"/>
    <cellStyle name="Comma 8 2" xfId="802" xr:uid="{00000000-0005-0000-0000-000044030000}"/>
    <cellStyle name="Comma 8 3" xfId="803" xr:uid="{00000000-0005-0000-0000-000045030000}"/>
    <cellStyle name="Comma 8 4" xfId="804" xr:uid="{00000000-0005-0000-0000-000046030000}"/>
    <cellStyle name="Comma 8 5" xfId="805" xr:uid="{00000000-0005-0000-0000-000047030000}"/>
    <cellStyle name="Comma 8 6" xfId="806" xr:uid="{00000000-0005-0000-0000-000048030000}"/>
    <cellStyle name="Comma 8 7" xfId="807" xr:uid="{00000000-0005-0000-0000-000049030000}"/>
    <cellStyle name="Comma 8 8" xfId="808" xr:uid="{00000000-0005-0000-0000-00004A030000}"/>
    <cellStyle name="Comma 8 9" xfId="809" xr:uid="{00000000-0005-0000-0000-00004B030000}"/>
    <cellStyle name="Comma 9" xfId="1806" xr:uid="{00000000-0005-0000-0000-00004C030000}"/>
    <cellStyle name="Comma0" xfId="810" xr:uid="{00000000-0005-0000-0000-00004D030000}"/>
    <cellStyle name="Comma0 2" xfId="811" xr:uid="{00000000-0005-0000-0000-00004E030000}"/>
    <cellStyle name="Currency" xfId="1788" builtinId="4"/>
    <cellStyle name="Currency 10" xfId="812" xr:uid="{00000000-0005-0000-0000-000050030000}"/>
    <cellStyle name="Currency 11" xfId="813" xr:uid="{00000000-0005-0000-0000-000051030000}"/>
    <cellStyle name="Currency 12" xfId="814" xr:uid="{00000000-0005-0000-0000-000052030000}"/>
    <cellStyle name="Currency 13" xfId="815" xr:uid="{00000000-0005-0000-0000-000053030000}"/>
    <cellStyle name="Currency 14" xfId="816" xr:uid="{00000000-0005-0000-0000-000054030000}"/>
    <cellStyle name="Currency 15" xfId="817" xr:uid="{00000000-0005-0000-0000-000055030000}"/>
    <cellStyle name="Currency 16" xfId="818" xr:uid="{00000000-0005-0000-0000-000056030000}"/>
    <cellStyle name="Currency 17" xfId="819" xr:uid="{00000000-0005-0000-0000-000057030000}"/>
    <cellStyle name="Currency 18" xfId="820" xr:uid="{00000000-0005-0000-0000-000058030000}"/>
    <cellStyle name="Currency 19" xfId="821" xr:uid="{00000000-0005-0000-0000-000059030000}"/>
    <cellStyle name="Currency 2" xfId="822" xr:uid="{00000000-0005-0000-0000-00005A030000}"/>
    <cellStyle name="Currency 2 2" xfId="823" xr:uid="{00000000-0005-0000-0000-00005B030000}"/>
    <cellStyle name="Currency 2 3" xfId="824" xr:uid="{00000000-0005-0000-0000-00005C030000}"/>
    <cellStyle name="Currency 2 4" xfId="825" xr:uid="{00000000-0005-0000-0000-00005D030000}"/>
    <cellStyle name="Currency 2 5" xfId="826" xr:uid="{00000000-0005-0000-0000-00005E030000}"/>
    <cellStyle name="Currency 2 6" xfId="827" xr:uid="{00000000-0005-0000-0000-00005F030000}"/>
    <cellStyle name="Currency 2 7" xfId="828" xr:uid="{00000000-0005-0000-0000-000060030000}"/>
    <cellStyle name="Currency 2 8" xfId="1812" xr:uid="{00000000-0005-0000-0000-000061030000}"/>
    <cellStyle name="Currency 20" xfId="829" xr:uid="{00000000-0005-0000-0000-000062030000}"/>
    <cellStyle name="Currency 21" xfId="830" xr:uid="{00000000-0005-0000-0000-000063030000}"/>
    <cellStyle name="Currency 22" xfId="831" xr:uid="{00000000-0005-0000-0000-000064030000}"/>
    <cellStyle name="Currency 23" xfId="832" xr:uid="{00000000-0005-0000-0000-000065030000}"/>
    <cellStyle name="Currency 24" xfId="833" xr:uid="{00000000-0005-0000-0000-000066030000}"/>
    <cellStyle name="Currency 25" xfId="834" xr:uid="{00000000-0005-0000-0000-000067030000}"/>
    <cellStyle name="Currency 26" xfId="835" xr:uid="{00000000-0005-0000-0000-000068030000}"/>
    <cellStyle name="Currency 27" xfId="836" xr:uid="{00000000-0005-0000-0000-000069030000}"/>
    <cellStyle name="Currency 28" xfId="837" xr:uid="{00000000-0005-0000-0000-00006A030000}"/>
    <cellStyle name="Currency 29" xfId="838" xr:uid="{00000000-0005-0000-0000-00006B030000}"/>
    <cellStyle name="Currency 3" xfId="839" xr:uid="{00000000-0005-0000-0000-00006C030000}"/>
    <cellStyle name="Currency 30" xfId="840" xr:uid="{00000000-0005-0000-0000-00006D030000}"/>
    <cellStyle name="Currency 31" xfId="841" xr:uid="{00000000-0005-0000-0000-00006E030000}"/>
    <cellStyle name="Currency 32" xfId="842" xr:uid="{00000000-0005-0000-0000-00006F030000}"/>
    <cellStyle name="Currency 33" xfId="843" xr:uid="{00000000-0005-0000-0000-000070030000}"/>
    <cellStyle name="Currency 34" xfId="844" xr:uid="{00000000-0005-0000-0000-000071030000}"/>
    <cellStyle name="Currency 36" xfId="845" xr:uid="{00000000-0005-0000-0000-000072030000}"/>
    <cellStyle name="Currency 37" xfId="846" xr:uid="{00000000-0005-0000-0000-000073030000}"/>
    <cellStyle name="Currency 38" xfId="847" xr:uid="{00000000-0005-0000-0000-000074030000}"/>
    <cellStyle name="Currency 39" xfId="848" xr:uid="{00000000-0005-0000-0000-000075030000}"/>
    <cellStyle name="Currency 4" xfId="849" xr:uid="{00000000-0005-0000-0000-000076030000}"/>
    <cellStyle name="Currency 4 2" xfId="1816" xr:uid="{00000000-0005-0000-0000-000077030000}"/>
    <cellStyle name="Currency 40" xfId="850" xr:uid="{00000000-0005-0000-0000-000078030000}"/>
    <cellStyle name="Currency 41" xfId="851" xr:uid="{00000000-0005-0000-0000-000079030000}"/>
    <cellStyle name="Currency 42" xfId="852" xr:uid="{00000000-0005-0000-0000-00007A030000}"/>
    <cellStyle name="Currency 43" xfId="853" xr:uid="{00000000-0005-0000-0000-00007B030000}"/>
    <cellStyle name="Currency 44" xfId="854" xr:uid="{00000000-0005-0000-0000-00007C030000}"/>
    <cellStyle name="Currency 44 2" xfId="855" xr:uid="{00000000-0005-0000-0000-00007D030000}"/>
    <cellStyle name="Currency 5" xfId="856" xr:uid="{00000000-0005-0000-0000-00007E030000}"/>
    <cellStyle name="Currency 5 2" xfId="857" xr:uid="{00000000-0005-0000-0000-00007F030000}"/>
    <cellStyle name="Currency 6" xfId="858" xr:uid="{00000000-0005-0000-0000-000080030000}"/>
    <cellStyle name="Currency 6 2" xfId="859" xr:uid="{00000000-0005-0000-0000-000081030000}"/>
    <cellStyle name="Currency 7" xfId="860" xr:uid="{00000000-0005-0000-0000-000082030000}"/>
    <cellStyle name="Currency 7 2" xfId="861" xr:uid="{00000000-0005-0000-0000-000083030000}"/>
    <cellStyle name="Currency 8" xfId="862" xr:uid="{00000000-0005-0000-0000-000084030000}"/>
    <cellStyle name="Currency 8 2" xfId="863" xr:uid="{00000000-0005-0000-0000-000085030000}"/>
    <cellStyle name="Currency 9" xfId="864" xr:uid="{00000000-0005-0000-0000-000086030000}"/>
    <cellStyle name="Currency0" xfId="865" xr:uid="{00000000-0005-0000-0000-000087030000}"/>
    <cellStyle name="Currency0 2" xfId="866" xr:uid="{00000000-0005-0000-0000-000088030000}"/>
    <cellStyle name="Data Field" xfId="867" xr:uid="{00000000-0005-0000-0000-000089030000}"/>
    <cellStyle name="Data Name" xfId="868" xr:uid="{00000000-0005-0000-0000-00008A030000}"/>
    <cellStyle name="Date" xfId="869" xr:uid="{00000000-0005-0000-0000-00008B030000}"/>
    <cellStyle name="Date 2" xfId="870" xr:uid="{00000000-0005-0000-0000-00008C030000}"/>
    <cellStyle name="Date/Time" xfId="871" xr:uid="{00000000-0005-0000-0000-00008D030000}"/>
    <cellStyle name="Explanatory Text 2" xfId="872" xr:uid="{00000000-0005-0000-0000-00008E030000}"/>
    <cellStyle name="Explanatory Text 2 2" xfId="873" xr:uid="{00000000-0005-0000-0000-00008F030000}"/>
    <cellStyle name="Explanatory Text 2 3" xfId="874" xr:uid="{00000000-0005-0000-0000-000090030000}"/>
    <cellStyle name="Explanatory Text 2 4" xfId="875" xr:uid="{00000000-0005-0000-0000-000091030000}"/>
    <cellStyle name="Explanatory Text 2 5" xfId="876" xr:uid="{00000000-0005-0000-0000-000092030000}"/>
    <cellStyle name="Explanatory Text 3" xfId="877" xr:uid="{00000000-0005-0000-0000-000093030000}"/>
    <cellStyle name="Explanatory Text 3 2" xfId="878" xr:uid="{00000000-0005-0000-0000-000094030000}"/>
    <cellStyle name="Explanatory Text 3 3" xfId="879" xr:uid="{00000000-0005-0000-0000-000095030000}"/>
    <cellStyle name="Explanatory Text 3 4" xfId="880" xr:uid="{00000000-0005-0000-0000-000096030000}"/>
    <cellStyle name="Explanatory Text 4" xfId="881" xr:uid="{00000000-0005-0000-0000-000097030000}"/>
    <cellStyle name="Explanatory Text 4 2" xfId="882" xr:uid="{00000000-0005-0000-0000-000098030000}"/>
    <cellStyle name="Explanatory Text 4 3" xfId="883" xr:uid="{00000000-0005-0000-0000-000099030000}"/>
    <cellStyle name="Explanatory Text 5" xfId="884" xr:uid="{00000000-0005-0000-0000-00009A030000}"/>
    <cellStyle name="Explanatory Text 5 2" xfId="885" xr:uid="{00000000-0005-0000-0000-00009B030000}"/>
    <cellStyle name="Explanatory Text 6" xfId="886" xr:uid="{00000000-0005-0000-0000-00009C030000}"/>
    <cellStyle name="Explanatory Text 7" xfId="887" xr:uid="{00000000-0005-0000-0000-00009D030000}"/>
    <cellStyle name="Fixed" xfId="888" xr:uid="{00000000-0005-0000-0000-00009E030000}"/>
    <cellStyle name="Fixed 2" xfId="889" xr:uid="{00000000-0005-0000-0000-00009F030000}"/>
    <cellStyle name="General" xfId="890" xr:uid="{00000000-0005-0000-0000-0000A0030000}"/>
    <cellStyle name="Good 2" xfId="891" xr:uid="{00000000-0005-0000-0000-0000A1030000}"/>
    <cellStyle name="Good 2 2" xfId="892" xr:uid="{00000000-0005-0000-0000-0000A2030000}"/>
    <cellStyle name="Good 2 3" xfId="893" xr:uid="{00000000-0005-0000-0000-0000A3030000}"/>
    <cellStyle name="Good 2 4" xfId="894" xr:uid="{00000000-0005-0000-0000-0000A4030000}"/>
    <cellStyle name="Good 2 5" xfId="895" xr:uid="{00000000-0005-0000-0000-0000A5030000}"/>
    <cellStyle name="Good 3" xfId="896" xr:uid="{00000000-0005-0000-0000-0000A6030000}"/>
    <cellStyle name="Good 3 2" xfId="897" xr:uid="{00000000-0005-0000-0000-0000A7030000}"/>
    <cellStyle name="Good 3 3" xfId="898" xr:uid="{00000000-0005-0000-0000-0000A8030000}"/>
    <cellStyle name="Good 3 4" xfId="899" xr:uid="{00000000-0005-0000-0000-0000A9030000}"/>
    <cellStyle name="Good 4" xfId="900" xr:uid="{00000000-0005-0000-0000-0000AA030000}"/>
    <cellStyle name="Good 4 2" xfId="901" xr:uid="{00000000-0005-0000-0000-0000AB030000}"/>
    <cellStyle name="Good 4 3" xfId="902" xr:uid="{00000000-0005-0000-0000-0000AC030000}"/>
    <cellStyle name="Good 5" xfId="903" xr:uid="{00000000-0005-0000-0000-0000AD030000}"/>
    <cellStyle name="Good 5 2" xfId="904" xr:uid="{00000000-0005-0000-0000-0000AE030000}"/>
    <cellStyle name="Good 6" xfId="905" xr:uid="{00000000-0005-0000-0000-0000AF030000}"/>
    <cellStyle name="Good 7" xfId="906" xr:uid="{00000000-0005-0000-0000-0000B0030000}"/>
    <cellStyle name="Heading" xfId="907" xr:uid="{00000000-0005-0000-0000-0000B1030000}"/>
    <cellStyle name="Heading 1 2" xfId="908" xr:uid="{00000000-0005-0000-0000-0000B2030000}"/>
    <cellStyle name="Heading 1 2 2" xfId="909" xr:uid="{00000000-0005-0000-0000-0000B3030000}"/>
    <cellStyle name="Heading 1 2 3" xfId="910" xr:uid="{00000000-0005-0000-0000-0000B4030000}"/>
    <cellStyle name="Heading 1 2 4" xfId="911" xr:uid="{00000000-0005-0000-0000-0000B5030000}"/>
    <cellStyle name="Heading 1 2 5" xfId="912" xr:uid="{00000000-0005-0000-0000-0000B6030000}"/>
    <cellStyle name="Heading 1 2_Idaho" xfId="913" xr:uid="{00000000-0005-0000-0000-0000B7030000}"/>
    <cellStyle name="Heading 1 3" xfId="914" xr:uid="{00000000-0005-0000-0000-0000B8030000}"/>
    <cellStyle name="Heading 1 3 2" xfId="915" xr:uid="{00000000-0005-0000-0000-0000B9030000}"/>
    <cellStyle name="Heading 1 3 3" xfId="916" xr:uid="{00000000-0005-0000-0000-0000BA030000}"/>
    <cellStyle name="Heading 1 3 4" xfId="917" xr:uid="{00000000-0005-0000-0000-0000BB030000}"/>
    <cellStyle name="Heading 1 3_Idaho" xfId="918" xr:uid="{00000000-0005-0000-0000-0000BC030000}"/>
    <cellStyle name="Heading 1 4" xfId="919" xr:uid="{00000000-0005-0000-0000-0000BD030000}"/>
    <cellStyle name="Heading 1 4 2" xfId="920" xr:uid="{00000000-0005-0000-0000-0000BE030000}"/>
    <cellStyle name="Heading 1 4 3" xfId="921" xr:uid="{00000000-0005-0000-0000-0000BF030000}"/>
    <cellStyle name="Heading 1 4_Idaho" xfId="922" xr:uid="{00000000-0005-0000-0000-0000C0030000}"/>
    <cellStyle name="Heading 1 5" xfId="923" xr:uid="{00000000-0005-0000-0000-0000C1030000}"/>
    <cellStyle name="Heading 1 5 2" xfId="924" xr:uid="{00000000-0005-0000-0000-0000C2030000}"/>
    <cellStyle name="Heading 1 5_Idaho" xfId="925" xr:uid="{00000000-0005-0000-0000-0000C3030000}"/>
    <cellStyle name="Heading 1 6" xfId="926" xr:uid="{00000000-0005-0000-0000-0000C4030000}"/>
    <cellStyle name="Heading 1 7" xfId="927" xr:uid="{00000000-0005-0000-0000-0000C5030000}"/>
    <cellStyle name="Heading 1 8" xfId="928" xr:uid="{00000000-0005-0000-0000-0000C6030000}"/>
    <cellStyle name="Heading 2 2" xfId="929" xr:uid="{00000000-0005-0000-0000-0000C7030000}"/>
    <cellStyle name="Heading 2 2 2" xfId="930" xr:uid="{00000000-0005-0000-0000-0000C8030000}"/>
    <cellStyle name="Heading 2 2 3" xfId="931" xr:uid="{00000000-0005-0000-0000-0000C9030000}"/>
    <cellStyle name="Heading 2 2 4" xfId="932" xr:uid="{00000000-0005-0000-0000-0000CA030000}"/>
    <cellStyle name="Heading 2 2 5" xfId="933" xr:uid="{00000000-0005-0000-0000-0000CB030000}"/>
    <cellStyle name="Heading 2 2_Idaho" xfId="934" xr:uid="{00000000-0005-0000-0000-0000CC030000}"/>
    <cellStyle name="Heading 2 3" xfId="935" xr:uid="{00000000-0005-0000-0000-0000CD030000}"/>
    <cellStyle name="Heading 2 3 2" xfId="936" xr:uid="{00000000-0005-0000-0000-0000CE030000}"/>
    <cellStyle name="Heading 2 3 3" xfId="937" xr:uid="{00000000-0005-0000-0000-0000CF030000}"/>
    <cellStyle name="Heading 2 3 4" xfId="938" xr:uid="{00000000-0005-0000-0000-0000D0030000}"/>
    <cellStyle name="Heading 2 3_Idaho" xfId="939" xr:uid="{00000000-0005-0000-0000-0000D1030000}"/>
    <cellStyle name="Heading 2 4" xfId="940" xr:uid="{00000000-0005-0000-0000-0000D2030000}"/>
    <cellStyle name="Heading 2 4 2" xfId="941" xr:uid="{00000000-0005-0000-0000-0000D3030000}"/>
    <cellStyle name="Heading 2 4 3" xfId="942" xr:uid="{00000000-0005-0000-0000-0000D4030000}"/>
    <cellStyle name="Heading 2 4_Idaho" xfId="943" xr:uid="{00000000-0005-0000-0000-0000D5030000}"/>
    <cellStyle name="Heading 2 5" xfId="944" xr:uid="{00000000-0005-0000-0000-0000D6030000}"/>
    <cellStyle name="Heading 2 5 2" xfId="945" xr:uid="{00000000-0005-0000-0000-0000D7030000}"/>
    <cellStyle name="Heading 2 5_Idaho" xfId="946" xr:uid="{00000000-0005-0000-0000-0000D8030000}"/>
    <cellStyle name="Heading 2 6" xfId="947" xr:uid="{00000000-0005-0000-0000-0000D9030000}"/>
    <cellStyle name="Heading 2 7" xfId="948" xr:uid="{00000000-0005-0000-0000-0000DA030000}"/>
    <cellStyle name="Heading 2 8" xfId="949" xr:uid="{00000000-0005-0000-0000-0000DB030000}"/>
    <cellStyle name="Heading 3 2" xfId="950" xr:uid="{00000000-0005-0000-0000-0000DC030000}"/>
    <cellStyle name="Heading 3 2 2" xfId="951" xr:uid="{00000000-0005-0000-0000-0000DD030000}"/>
    <cellStyle name="Heading 3 2 3" xfId="952" xr:uid="{00000000-0005-0000-0000-0000DE030000}"/>
    <cellStyle name="Heading 3 2 4" xfId="953" xr:uid="{00000000-0005-0000-0000-0000DF030000}"/>
    <cellStyle name="Heading 3 2 5" xfId="954" xr:uid="{00000000-0005-0000-0000-0000E0030000}"/>
    <cellStyle name="Heading 3 2_Idaho" xfId="955" xr:uid="{00000000-0005-0000-0000-0000E1030000}"/>
    <cellStyle name="Heading 3 3" xfId="956" xr:uid="{00000000-0005-0000-0000-0000E2030000}"/>
    <cellStyle name="Heading 3 3 2" xfId="957" xr:uid="{00000000-0005-0000-0000-0000E3030000}"/>
    <cellStyle name="Heading 3 3 3" xfId="958" xr:uid="{00000000-0005-0000-0000-0000E4030000}"/>
    <cellStyle name="Heading 3 3 4" xfId="959" xr:uid="{00000000-0005-0000-0000-0000E5030000}"/>
    <cellStyle name="Heading 3 3_Idaho" xfId="960" xr:uid="{00000000-0005-0000-0000-0000E6030000}"/>
    <cellStyle name="Heading 3 4" xfId="961" xr:uid="{00000000-0005-0000-0000-0000E7030000}"/>
    <cellStyle name="Heading 3 4 2" xfId="962" xr:uid="{00000000-0005-0000-0000-0000E8030000}"/>
    <cellStyle name="Heading 3 4 3" xfId="963" xr:uid="{00000000-0005-0000-0000-0000E9030000}"/>
    <cellStyle name="Heading 3 4_Idaho" xfId="964" xr:uid="{00000000-0005-0000-0000-0000EA030000}"/>
    <cellStyle name="Heading 3 5" xfId="965" xr:uid="{00000000-0005-0000-0000-0000EB030000}"/>
    <cellStyle name="Heading 3 5 2" xfId="966" xr:uid="{00000000-0005-0000-0000-0000EC030000}"/>
    <cellStyle name="Heading 3 5_Idaho" xfId="967" xr:uid="{00000000-0005-0000-0000-0000ED030000}"/>
    <cellStyle name="Heading 3 6" xfId="968" xr:uid="{00000000-0005-0000-0000-0000EE030000}"/>
    <cellStyle name="Heading 3 7" xfId="969" xr:uid="{00000000-0005-0000-0000-0000EF030000}"/>
    <cellStyle name="Heading 4 2" xfId="970" xr:uid="{00000000-0005-0000-0000-0000F0030000}"/>
    <cellStyle name="Heading 4 2 2" xfId="971" xr:uid="{00000000-0005-0000-0000-0000F1030000}"/>
    <cellStyle name="Heading 4 2 3" xfId="972" xr:uid="{00000000-0005-0000-0000-0000F2030000}"/>
    <cellStyle name="Heading 4 2 4" xfId="973" xr:uid="{00000000-0005-0000-0000-0000F3030000}"/>
    <cellStyle name="Heading 4 2 5" xfId="974" xr:uid="{00000000-0005-0000-0000-0000F4030000}"/>
    <cellStyle name="Heading 4 3" xfId="975" xr:uid="{00000000-0005-0000-0000-0000F5030000}"/>
    <cellStyle name="Heading 4 3 2" xfId="976" xr:uid="{00000000-0005-0000-0000-0000F6030000}"/>
    <cellStyle name="Heading 4 3 3" xfId="977" xr:uid="{00000000-0005-0000-0000-0000F7030000}"/>
    <cellStyle name="Heading 4 3 4" xfId="978" xr:uid="{00000000-0005-0000-0000-0000F8030000}"/>
    <cellStyle name="Heading 4 4" xfId="979" xr:uid="{00000000-0005-0000-0000-0000F9030000}"/>
    <cellStyle name="Heading 4 4 2" xfId="980" xr:uid="{00000000-0005-0000-0000-0000FA030000}"/>
    <cellStyle name="Heading 4 4 3" xfId="981" xr:uid="{00000000-0005-0000-0000-0000FB030000}"/>
    <cellStyle name="Heading 4 5" xfId="982" xr:uid="{00000000-0005-0000-0000-0000FC030000}"/>
    <cellStyle name="Heading 4 5 2" xfId="983" xr:uid="{00000000-0005-0000-0000-0000FD030000}"/>
    <cellStyle name="Heading 4 6" xfId="984" xr:uid="{00000000-0005-0000-0000-0000FE030000}"/>
    <cellStyle name="Heading 4 7" xfId="985" xr:uid="{00000000-0005-0000-0000-0000FF030000}"/>
    <cellStyle name="Hyperlink 2" xfId="986" xr:uid="{00000000-0005-0000-0000-000000040000}"/>
    <cellStyle name="Hyperlink 3" xfId="987" xr:uid="{00000000-0005-0000-0000-000001040000}"/>
    <cellStyle name="Input 2" xfId="988" xr:uid="{00000000-0005-0000-0000-000002040000}"/>
    <cellStyle name="Input 2 2" xfId="989" xr:uid="{00000000-0005-0000-0000-000003040000}"/>
    <cellStyle name="Input 2 3" xfId="990" xr:uid="{00000000-0005-0000-0000-000004040000}"/>
    <cellStyle name="Input 2 4" xfId="991" xr:uid="{00000000-0005-0000-0000-000005040000}"/>
    <cellStyle name="Input 2 5" xfId="992" xr:uid="{00000000-0005-0000-0000-000006040000}"/>
    <cellStyle name="Input 2_Idaho" xfId="993" xr:uid="{00000000-0005-0000-0000-000007040000}"/>
    <cellStyle name="Input 3" xfId="994" xr:uid="{00000000-0005-0000-0000-000008040000}"/>
    <cellStyle name="Input 3 2" xfId="995" xr:uid="{00000000-0005-0000-0000-000009040000}"/>
    <cellStyle name="Input 3 3" xfId="996" xr:uid="{00000000-0005-0000-0000-00000A040000}"/>
    <cellStyle name="Input 3 4" xfId="997" xr:uid="{00000000-0005-0000-0000-00000B040000}"/>
    <cellStyle name="Input 3_Idaho" xfId="998" xr:uid="{00000000-0005-0000-0000-00000C040000}"/>
    <cellStyle name="Input 4" xfId="999" xr:uid="{00000000-0005-0000-0000-00000D040000}"/>
    <cellStyle name="Input 4 2" xfId="1000" xr:uid="{00000000-0005-0000-0000-00000E040000}"/>
    <cellStyle name="Input 4 3" xfId="1001" xr:uid="{00000000-0005-0000-0000-00000F040000}"/>
    <cellStyle name="Input 4_Idaho" xfId="1002" xr:uid="{00000000-0005-0000-0000-000010040000}"/>
    <cellStyle name="Input 5" xfId="1003" xr:uid="{00000000-0005-0000-0000-000011040000}"/>
    <cellStyle name="Input 5 2" xfId="1004" xr:uid="{00000000-0005-0000-0000-000012040000}"/>
    <cellStyle name="Input 5_Idaho" xfId="1005" xr:uid="{00000000-0005-0000-0000-000013040000}"/>
    <cellStyle name="Input 6" xfId="1006" xr:uid="{00000000-0005-0000-0000-000014040000}"/>
    <cellStyle name="Input 7" xfId="1007" xr:uid="{00000000-0005-0000-0000-000015040000}"/>
    <cellStyle name="Linked Cell 2" xfId="1008" xr:uid="{00000000-0005-0000-0000-000016040000}"/>
    <cellStyle name="Linked Cell 2 2" xfId="1009" xr:uid="{00000000-0005-0000-0000-000017040000}"/>
    <cellStyle name="Linked Cell 2 3" xfId="1010" xr:uid="{00000000-0005-0000-0000-000018040000}"/>
    <cellStyle name="Linked Cell 2 4" xfId="1011" xr:uid="{00000000-0005-0000-0000-000019040000}"/>
    <cellStyle name="Linked Cell 2 5" xfId="1012" xr:uid="{00000000-0005-0000-0000-00001A040000}"/>
    <cellStyle name="Linked Cell 2_Idaho" xfId="1013" xr:uid="{00000000-0005-0000-0000-00001B040000}"/>
    <cellStyle name="Linked Cell 3" xfId="1014" xr:uid="{00000000-0005-0000-0000-00001C040000}"/>
    <cellStyle name="Linked Cell 3 2" xfId="1015" xr:uid="{00000000-0005-0000-0000-00001D040000}"/>
    <cellStyle name="Linked Cell 3 3" xfId="1016" xr:uid="{00000000-0005-0000-0000-00001E040000}"/>
    <cellStyle name="Linked Cell 3 4" xfId="1017" xr:uid="{00000000-0005-0000-0000-00001F040000}"/>
    <cellStyle name="Linked Cell 3_Idaho" xfId="1018" xr:uid="{00000000-0005-0000-0000-000020040000}"/>
    <cellStyle name="Linked Cell 4" xfId="1019" xr:uid="{00000000-0005-0000-0000-000021040000}"/>
    <cellStyle name="Linked Cell 4 2" xfId="1020" xr:uid="{00000000-0005-0000-0000-000022040000}"/>
    <cellStyle name="Linked Cell 4 3" xfId="1021" xr:uid="{00000000-0005-0000-0000-000023040000}"/>
    <cellStyle name="Linked Cell 4_Idaho" xfId="1022" xr:uid="{00000000-0005-0000-0000-000024040000}"/>
    <cellStyle name="Linked Cell 5" xfId="1023" xr:uid="{00000000-0005-0000-0000-000025040000}"/>
    <cellStyle name="Linked Cell 5 2" xfId="1024" xr:uid="{00000000-0005-0000-0000-000026040000}"/>
    <cellStyle name="Linked Cell 5_Idaho" xfId="1025" xr:uid="{00000000-0005-0000-0000-000027040000}"/>
    <cellStyle name="Linked Cell 6" xfId="1026" xr:uid="{00000000-0005-0000-0000-000028040000}"/>
    <cellStyle name="Linked Cell 7" xfId="1027" xr:uid="{00000000-0005-0000-0000-000029040000}"/>
    <cellStyle name="Marathon" xfId="1028" xr:uid="{00000000-0005-0000-0000-00002A040000}"/>
    <cellStyle name="Marathon 2" xfId="1029" xr:uid="{00000000-0005-0000-0000-00002B040000}"/>
    <cellStyle name="Neutral 2" xfId="1030" xr:uid="{00000000-0005-0000-0000-00002C040000}"/>
    <cellStyle name="Neutral 2 2" xfId="1031" xr:uid="{00000000-0005-0000-0000-00002D040000}"/>
    <cellStyle name="Neutral 2 3" xfId="1032" xr:uid="{00000000-0005-0000-0000-00002E040000}"/>
    <cellStyle name="Neutral 2 4" xfId="1033" xr:uid="{00000000-0005-0000-0000-00002F040000}"/>
    <cellStyle name="Neutral 2 5" xfId="1034" xr:uid="{00000000-0005-0000-0000-000030040000}"/>
    <cellStyle name="Neutral 3" xfId="1035" xr:uid="{00000000-0005-0000-0000-000031040000}"/>
    <cellStyle name="Neutral 3 2" xfId="1036" xr:uid="{00000000-0005-0000-0000-000032040000}"/>
    <cellStyle name="Neutral 3 3" xfId="1037" xr:uid="{00000000-0005-0000-0000-000033040000}"/>
    <cellStyle name="Neutral 3 4" xfId="1038" xr:uid="{00000000-0005-0000-0000-000034040000}"/>
    <cellStyle name="Neutral 4" xfId="1039" xr:uid="{00000000-0005-0000-0000-000035040000}"/>
    <cellStyle name="Neutral 4 2" xfId="1040" xr:uid="{00000000-0005-0000-0000-000036040000}"/>
    <cellStyle name="Neutral 4 3" xfId="1041" xr:uid="{00000000-0005-0000-0000-000037040000}"/>
    <cellStyle name="Neutral 5" xfId="1042" xr:uid="{00000000-0005-0000-0000-000038040000}"/>
    <cellStyle name="Neutral 5 2" xfId="1043" xr:uid="{00000000-0005-0000-0000-000039040000}"/>
    <cellStyle name="Neutral 6" xfId="1044" xr:uid="{00000000-0005-0000-0000-00003A040000}"/>
    <cellStyle name="Neutral 7" xfId="1045" xr:uid="{00000000-0005-0000-0000-00003B040000}"/>
    <cellStyle name="nONE" xfId="1046" xr:uid="{00000000-0005-0000-0000-00003C040000}"/>
    <cellStyle name="nONE 2" xfId="1047" xr:uid="{00000000-0005-0000-0000-00003D040000}"/>
    <cellStyle name="nONE 3" xfId="1048" xr:uid="{00000000-0005-0000-0000-00003E040000}"/>
    <cellStyle name="nONE 4" xfId="1049" xr:uid="{00000000-0005-0000-0000-00003F040000}"/>
    <cellStyle name="nONE 5" xfId="1050" xr:uid="{00000000-0005-0000-0000-000040040000}"/>
    <cellStyle name="nONE 6" xfId="1051" xr:uid="{00000000-0005-0000-0000-000041040000}"/>
    <cellStyle name="nONE 7" xfId="1052" xr:uid="{00000000-0005-0000-0000-000042040000}"/>
    <cellStyle name="nONE 8" xfId="1053" xr:uid="{00000000-0005-0000-0000-000043040000}"/>
    <cellStyle name="Normal" xfId="0" builtinId="0"/>
    <cellStyle name="Normal 10" xfId="1054" xr:uid="{00000000-0005-0000-0000-000045040000}"/>
    <cellStyle name="Normal 10 2" xfId="1823" xr:uid="{00000000-0005-0000-0000-000046040000}"/>
    <cellStyle name="Normal 11" xfId="1055" xr:uid="{00000000-0005-0000-0000-000047040000}"/>
    <cellStyle name="Normal 11 2" xfId="1056" xr:uid="{00000000-0005-0000-0000-000048040000}"/>
    <cellStyle name="Normal 11 3" xfId="1824" xr:uid="{00000000-0005-0000-0000-000049040000}"/>
    <cellStyle name="Normal 12" xfId="1057" xr:uid="{00000000-0005-0000-0000-00004A040000}"/>
    <cellStyle name="Normal 12 2" xfId="1825" xr:uid="{00000000-0005-0000-0000-00004B040000}"/>
    <cellStyle name="Normal 13" xfId="1058" xr:uid="{00000000-0005-0000-0000-00004C040000}"/>
    <cellStyle name="Normal 14" xfId="1059" xr:uid="{00000000-0005-0000-0000-00004D040000}"/>
    <cellStyle name="Normal 15" xfId="1060" xr:uid="{00000000-0005-0000-0000-00004E040000}"/>
    <cellStyle name="Normal 16" xfId="1061" xr:uid="{00000000-0005-0000-0000-00004F040000}"/>
    <cellStyle name="Normal 17" xfId="1062" xr:uid="{00000000-0005-0000-0000-000050040000}"/>
    <cellStyle name="Normal 18" xfId="1063" xr:uid="{00000000-0005-0000-0000-000051040000}"/>
    <cellStyle name="Normal 19" xfId="1064" xr:uid="{00000000-0005-0000-0000-000052040000}"/>
    <cellStyle name="Normal 2" xfId="2" xr:uid="{00000000-0005-0000-0000-000053040000}"/>
    <cellStyle name="Normal 2 10" xfId="1065" xr:uid="{00000000-0005-0000-0000-000054040000}"/>
    <cellStyle name="Normal 2 11" xfId="1066" xr:uid="{00000000-0005-0000-0000-000055040000}"/>
    <cellStyle name="Normal 2 12" xfId="1067" xr:uid="{00000000-0005-0000-0000-000056040000}"/>
    <cellStyle name="Normal 2 13" xfId="1068" xr:uid="{00000000-0005-0000-0000-000057040000}"/>
    <cellStyle name="Normal 2 14" xfId="1069" xr:uid="{00000000-0005-0000-0000-000058040000}"/>
    <cellStyle name="Normal 2 15" xfId="1070" xr:uid="{00000000-0005-0000-0000-000059040000}"/>
    <cellStyle name="Normal 2 16" xfId="1071" xr:uid="{00000000-0005-0000-0000-00005A040000}"/>
    <cellStyle name="Normal 2 17" xfId="1836" xr:uid="{00000000-0005-0000-0000-00005B040000}"/>
    <cellStyle name="Normal 2 2" xfId="1072" xr:uid="{00000000-0005-0000-0000-00005C040000}"/>
    <cellStyle name="Normal 2 2 10" xfId="1073" xr:uid="{00000000-0005-0000-0000-00005D040000}"/>
    <cellStyle name="Normal 2 2 11" xfId="1074" xr:uid="{00000000-0005-0000-0000-00005E040000}"/>
    <cellStyle name="Normal 2 2 12" xfId="1075" xr:uid="{00000000-0005-0000-0000-00005F040000}"/>
    <cellStyle name="Normal 2 2 13" xfId="1076" xr:uid="{00000000-0005-0000-0000-000060040000}"/>
    <cellStyle name="Normal 2 2 14" xfId="1077" xr:uid="{00000000-0005-0000-0000-000061040000}"/>
    <cellStyle name="Normal 2 2 15" xfId="1078" xr:uid="{00000000-0005-0000-0000-000062040000}"/>
    <cellStyle name="Normal 2 2 16" xfId="1079" xr:uid="{00000000-0005-0000-0000-000063040000}"/>
    <cellStyle name="Normal 2 2 16 10" xfId="1080" xr:uid="{00000000-0005-0000-0000-000064040000}"/>
    <cellStyle name="Normal 2 2 16 11" xfId="1081" xr:uid="{00000000-0005-0000-0000-000065040000}"/>
    <cellStyle name="Normal 2 2 16 12" xfId="1082" xr:uid="{00000000-0005-0000-0000-000066040000}"/>
    <cellStyle name="Normal 2 2 16 13" xfId="1083" xr:uid="{00000000-0005-0000-0000-000067040000}"/>
    <cellStyle name="Normal 2 2 16 14" xfId="1084" xr:uid="{00000000-0005-0000-0000-000068040000}"/>
    <cellStyle name="Normal 2 2 16 15" xfId="1085" xr:uid="{00000000-0005-0000-0000-000069040000}"/>
    <cellStyle name="Normal 2 2 16 16" xfId="1086" xr:uid="{00000000-0005-0000-0000-00006A040000}"/>
    <cellStyle name="Normal 2 2 16 17" xfId="1087" xr:uid="{00000000-0005-0000-0000-00006B040000}"/>
    <cellStyle name="Normal 2 2 16 18" xfId="1088" xr:uid="{00000000-0005-0000-0000-00006C040000}"/>
    <cellStyle name="Normal 2 2 16 19" xfId="1089" xr:uid="{00000000-0005-0000-0000-00006D040000}"/>
    <cellStyle name="Normal 2 2 16 2" xfId="1090" xr:uid="{00000000-0005-0000-0000-00006E040000}"/>
    <cellStyle name="Normal 2 2 16 2 10" xfId="1091" xr:uid="{00000000-0005-0000-0000-00006F040000}"/>
    <cellStyle name="Normal 2 2 16 2 11" xfId="1092" xr:uid="{00000000-0005-0000-0000-000070040000}"/>
    <cellStyle name="Normal 2 2 16 2 12" xfId="1093" xr:uid="{00000000-0005-0000-0000-000071040000}"/>
    <cellStyle name="Normal 2 2 16 2 13" xfId="1094" xr:uid="{00000000-0005-0000-0000-000072040000}"/>
    <cellStyle name="Normal 2 2 16 2 14" xfId="1095" xr:uid="{00000000-0005-0000-0000-000073040000}"/>
    <cellStyle name="Normal 2 2 16 2 15" xfId="1096" xr:uid="{00000000-0005-0000-0000-000074040000}"/>
    <cellStyle name="Normal 2 2 16 2 16" xfId="1097" xr:uid="{00000000-0005-0000-0000-000075040000}"/>
    <cellStyle name="Normal 2 2 16 2 17" xfId="1098" xr:uid="{00000000-0005-0000-0000-000076040000}"/>
    <cellStyle name="Normal 2 2 16 2 18" xfId="1099" xr:uid="{00000000-0005-0000-0000-000077040000}"/>
    <cellStyle name="Normal 2 2 16 2 2" xfId="1100" xr:uid="{00000000-0005-0000-0000-000078040000}"/>
    <cellStyle name="Normal 2 2 16 2 2 10" xfId="1101" xr:uid="{00000000-0005-0000-0000-000079040000}"/>
    <cellStyle name="Normal 2 2 16 2 2 11" xfId="1102" xr:uid="{00000000-0005-0000-0000-00007A040000}"/>
    <cellStyle name="Normal 2 2 16 2 2 12" xfId="1103" xr:uid="{00000000-0005-0000-0000-00007B040000}"/>
    <cellStyle name="Normal 2 2 16 2 2 13" xfId="1104" xr:uid="{00000000-0005-0000-0000-00007C040000}"/>
    <cellStyle name="Normal 2 2 16 2 2 14" xfId="1105" xr:uid="{00000000-0005-0000-0000-00007D040000}"/>
    <cellStyle name="Normal 2 2 16 2 2 15" xfId="1106" xr:uid="{00000000-0005-0000-0000-00007E040000}"/>
    <cellStyle name="Normal 2 2 16 2 2 16" xfId="1107" xr:uid="{00000000-0005-0000-0000-00007F040000}"/>
    <cellStyle name="Normal 2 2 16 2 2 17" xfId="1108" xr:uid="{00000000-0005-0000-0000-000080040000}"/>
    <cellStyle name="Normal 2 2 16 2 2 18" xfId="1109" xr:uid="{00000000-0005-0000-0000-000081040000}"/>
    <cellStyle name="Normal 2 2 16 2 2 2" xfId="1110" xr:uid="{00000000-0005-0000-0000-000082040000}"/>
    <cellStyle name="Normal 2 2 16 2 2 2 10" xfId="1111" xr:uid="{00000000-0005-0000-0000-000083040000}"/>
    <cellStyle name="Normal 2 2 16 2 2 2 11" xfId="1112" xr:uid="{00000000-0005-0000-0000-000084040000}"/>
    <cellStyle name="Normal 2 2 16 2 2 2 12" xfId="1113" xr:uid="{00000000-0005-0000-0000-000085040000}"/>
    <cellStyle name="Normal 2 2 16 2 2 2 13" xfId="1114" xr:uid="{00000000-0005-0000-0000-000086040000}"/>
    <cellStyle name="Normal 2 2 16 2 2 2 14" xfId="1115" xr:uid="{00000000-0005-0000-0000-000087040000}"/>
    <cellStyle name="Normal 2 2 16 2 2 2 15" xfId="1116" xr:uid="{00000000-0005-0000-0000-000088040000}"/>
    <cellStyle name="Normal 2 2 16 2 2 2 2" xfId="1117" xr:uid="{00000000-0005-0000-0000-000089040000}"/>
    <cellStyle name="Normal 2 2 16 2 2 2 2 10" xfId="1118" xr:uid="{00000000-0005-0000-0000-00008A040000}"/>
    <cellStyle name="Normal 2 2 16 2 2 2 2 11" xfId="1119" xr:uid="{00000000-0005-0000-0000-00008B040000}"/>
    <cellStyle name="Normal 2 2 16 2 2 2 2 12" xfId="1120" xr:uid="{00000000-0005-0000-0000-00008C040000}"/>
    <cellStyle name="Normal 2 2 16 2 2 2 2 13" xfId="1121" xr:uid="{00000000-0005-0000-0000-00008D040000}"/>
    <cellStyle name="Normal 2 2 16 2 2 2 2 14" xfId="1122" xr:uid="{00000000-0005-0000-0000-00008E040000}"/>
    <cellStyle name="Normal 2 2 16 2 2 2 2 15" xfId="1123" xr:uid="{00000000-0005-0000-0000-00008F040000}"/>
    <cellStyle name="Normal 2 2 16 2 2 2 2 2" xfId="1124" xr:uid="{00000000-0005-0000-0000-000090040000}"/>
    <cellStyle name="Normal 2 2 16 2 2 2 2 3" xfId="1125" xr:uid="{00000000-0005-0000-0000-000091040000}"/>
    <cellStyle name="Normal 2 2 16 2 2 2 2 4" xfId="1126" xr:uid="{00000000-0005-0000-0000-000092040000}"/>
    <cellStyle name="Normal 2 2 16 2 2 2 2 5" xfId="1127" xr:uid="{00000000-0005-0000-0000-000093040000}"/>
    <cellStyle name="Normal 2 2 16 2 2 2 2 6" xfId="1128" xr:uid="{00000000-0005-0000-0000-000094040000}"/>
    <cellStyle name="Normal 2 2 16 2 2 2 2 7" xfId="1129" xr:uid="{00000000-0005-0000-0000-000095040000}"/>
    <cellStyle name="Normal 2 2 16 2 2 2 2 8" xfId="1130" xr:uid="{00000000-0005-0000-0000-000096040000}"/>
    <cellStyle name="Normal 2 2 16 2 2 2 2 9" xfId="1131" xr:uid="{00000000-0005-0000-0000-000097040000}"/>
    <cellStyle name="Normal 2 2 16 2 2 2 2_Appendix B" xfId="1132" xr:uid="{00000000-0005-0000-0000-000098040000}"/>
    <cellStyle name="Normal 2 2 16 2 2 2 3" xfId="1133" xr:uid="{00000000-0005-0000-0000-000099040000}"/>
    <cellStyle name="Normal 2 2 16 2 2 2 4" xfId="1134" xr:uid="{00000000-0005-0000-0000-00009A040000}"/>
    <cellStyle name="Normal 2 2 16 2 2 2 5" xfId="1135" xr:uid="{00000000-0005-0000-0000-00009B040000}"/>
    <cellStyle name="Normal 2 2 16 2 2 2 6" xfId="1136" xr:uid="{00000000-0005-0000-0000-00009C040000}"/>
    <cellStyle name="Normal 2 2 16 2 2 2 7" xfId="1137" xr:uid="{00000000-0005-0000-0000-00009D040000}"/>
    <cellStyle name="Normal 2 2 16 2 2 2 8" xfId="1138" xr:uid="{00000000-0005-0000-0000-00009E040000}"/>
    <cellStyle name="Normal 2 2 16 2 2 2 9" xfId="1139" xr:uid="{00000000-0005-0000-0000-00009F040000}"/>
    <cellStyle name="Normal 2 2 16 2 2 2_Appendix B" xfId="1140" xr:uid="{00000000-0005-0000-0000-0000A0040000}"/>
    <cellStyle name="Normal 2 2 16 2 2 3" xfId="1141" xr:uid="{00000000-0005-0000-0000-0000A1040000}"/>
    <cellStyle name="Normal 2 2 16 2 2 4" xfId="1142" xr:uid="{00000000-0005-0000-0000-0000A2040000}"/>
    <cellStyle name="Normal 2 2 16 2 2 5" xfId="1143" xr:uid="{00000000-0005-0000-0000-0000A3040000}"/>
    <cellStyle name="Normal 2 2 16 2 2 6" xfId="1144" xr:uid="{00000000-0005-0000-0000-0000A4040000}"/>
    <cellStyle name="Normal 2 2 16 2 2 7" xfId="1145" xr:uid="{00000000-0005-0000-0000-0000A5040000}"/>
    <cellStyle name="Normal 2 2 16 2 2 8" xfId="1146" xr:uid="{00000000-0005-0000-0000-0000A6040000}"/>
    <cellStyle name="Normal 2 2 16 2 2 9" xfId="1147" xr:uid="{00000000-0005-0000-0000-0000A7040000}"/>
    <cellStyle name="Normal 2 2 16 2 2_Appendix B" xfId="1148" xr:uid="{00000000-0005-0000-0000-0000A8040000}"/>
    <cellStyle name="Normal 2 2 16 2 3" xfId="1149" xr:uid="{00000000-0005-0000-0000-0000A9040000}"/>
    <cellStyle name="Normal 2 2 16 2 3 2" xfId="1150" xr:uid="{00000000-0005-0000-0000-0000AA040000}"/>
    <cellStyle name="Normal 2 2 16 2 3_Appendix B" xfId="1151" xr:uid="{00000000-0005-0000-0000-0000AB040000}"/>
    <cellStyle name="Normal 2 2 16 2 4" xfId="1152" xr:uid="{00000000-0005-0000-0000-0000AC040000}"/>
    <cellStyle name="Normal 2 2 16 2 5" xfId="1153" xr:uid="{00000000-0005-0000-0000-0000AD040000}"/>
    <cellStyle name="Normal 2 2 16 2 6" xfId="1154" xr:uid="{00000000-0005-0000-0000-0000AE040000}"/>
    <cellStyle name="Normal 2 2 16 2 7" xfId="1155" xr:uid="{00000000-0005-0000-0000-0000AF040000}"/>
    <cellStyle name="Normal 2 2 16 2 8" xfId="1156" xr:uid="{00000000-0005-0000-0000-0000B0040000}"/>
    <cellStyle name="Normal 2 2 16 2 9" xfId="1157" xr:uid="{00000000-0005-0000-0000-0000B1040000}"/>
    <cellStyle name="Normal 2 2 16 2_Appendix B" xfId="1158" xr:uid="{00000000-0005-0000-0000-0000B2040000}"/>
    <cellStyle name="Normal 2 2 16 3" xfId="1159" xr:uid="{00000000-0005-0000-0000-0000B3040000}"/>
    <cellStyle name="Normal 2 2 16 3 2" xfId="1160" xr:uid="{00000000-0005-0000-0000-0000B4040000}"/>
    <cellStyle name="Normal 2 2 16 4" xfId="1161" xr:uid="{00000000-0005-0000-0000-0000B5040000}"/>
    <cellStyle name="Normal 2 2 16 5" xfId="1162" xr:uid="{00000000-0005-0000-0000-0000B6040000}"/>
    <cellStyle name="Normal 2 2 16 6" xfId="1163" xr:uid="{00000000-0005-0000-0000-0000B7040000}"/>
    <cellStyle name="Normal 2 2 16 7" xfId="1164" xr:uid="{00000000-0005-0000-0000-0000B8040000}"/>
    <cellStyle name="Normal 2 2 16 8" xfId="1165" xr:uid="{00000000-0005-0000-0000-0000B9040000}"/>
    <cellStyle name="Normal 2 2 16 9" xfId="1166" xr:uid="{00000000-0005-0000-0000-0000BA040000}"/>
    <cellStyle name="Normal 2 2 16_Appendix B" xfId="1167" xr:uid="{00000000-0005-0000-0000-0000BB040000}"/>
    <cellStyle name="Normal 2 2 17" xfId="1168" xr:uid="{00000000-0005-0000-0000-0000BC040000}"/>
    <cellStyle name="Normal 2 2 18" xfId="1169" xr:uid="{00000000-0005-0000-0000-0000BD040000}"/>
    <cellStyle name="Normal 2 2 19" xfId="1170" xr:uid="{00000000-0005-0000-0000-0000BE040000}"/>
    <cellStyle name="Normal 2 2 2" xfId="1171" xr:uid="{00000000-0005-0000-0000-0000BF040000}"/>
    <cellStyle name="Normal 2 2 2 10" xfId="1172" xr:uid="{00000000-0005-0000-0000-0000C0040000}"/>
    <cellStyle name="Normal 2 2 2 11" xfId="1173" xr:uid="{00000000-0005-0000-0000-0000C1040000}"/>
    <cellStyle name="Normal 2 2 2 12" xfId="1174" xr:uid="{00000000-0005-0000-0000-0000C2040000}"/>
    <cellStyle name="Normal 2 2 2 13" xfId="1175" xr:uid="{00000000-0005-0000-0000-0000C3040000}"/>
    <cellStyle name="Normal 2 2 2 14" xfId="1176" xr:uid="{00000000-0005-0000-0000-0000C4040000}"/>
    <cellStyle name="Normal 2 2 2 14 2" xfId="1177" xr:uid="{00000000-0005-0000-0000-0000C5040000}"/>
    <cellStyle name="Normal 2 2 2 14 2 2" xfId="1178" xr:uid="{00000000-0005-0000-0000-0000C6040000}"/>
    <cellStyle name="Normal 2 2 2 14 2_Appendix B" xfId="1179" xr:uid="{00000000-0005-0000-0000-0000C7040000}"/>
    <cellStyle name="Normal 2 2 2 14 3" xfId="1180" xr:uid="{00000000-0005-0000-0000-0000C8040000}"/>
    <cellStyle name="Normal 2 2 2 14 4" xfId="1181" xr:uid="{00000000-0005-0000-0000-0000C9040000}"/>
    <cellStyle name="Normal 2 2 2 14 5" xfId="1182" xr:uid="{00000000-0005-0000-0000-0000CA040000}"/>
    <cellStyle name="Normal 2 2 2 15" xfId="1183" xr:uid="{00000000-0005-0000-0000-0000CB040000}"/>
    <cellStyle name="Normal 2 2 2 15 2" xfId="1184" xr:uid="{00000000-0005-0000-0000-0000CC040000}"/>
    <cellStyle name="Normal 2 2 2 16" xfId="1185" xr:uid="{00000000-0005-0000-0000-0000CD040000}"/>
    <cellStyle name="Normal 2 2 2 17" xfId="1186" xr:uid="{00000000-0005-0000-0000-0000CE040000}"/>
    <cellStyle name="Normal 2 2 2 18" xfId="1187" xr:uid="{00000000-0005-0000-0000-0000CF040000}"/>
    <cellStyle name="Normal 2 2 2 19" xfId="1188" xr:uid="{00000000-0005-0000-0000-0000D0040000}"/>
    <cellStyle name="Normal 2 2 2 2" xfId="1189" xr:uid="{00000000-0005-0000-0000-0000D1040000}"/>
    <cellStyle name="Normal 2 2 2 2 2" xfId="1190" xr:uid="{00000000-0005-0000-0000-0000D2040000}"/>
    <cellStyle name="Normal 2 2 2 2 2 2" xfId="1191" xr:uid="{00000000-0005-0000-0000-0000D3040000}"/>
    <cellStyle name="Normal 2 2 2 2 2 2 2" xfId="1192" xr:uid="{00000000-0005-0000-0000-0000D4040000}"/>
    <cellStyle name="Normal 2 2 2 2 2 2 2 2" xfId="1193" xr:uid="{00000000-0005-0000-0000-0000D5040000}"/>
    <cellStyle name="Normal 2 2 2 2 2 2 2 2 2" xfId="1194" xr:uid="{00000000-0005-0000-0000-0000D6040000}"/>
    <cellStyle name="Normal 2 2 2 2 2 2 2 2 2 2" xfId="1195" xr:uid="{00000000-0005-0000-0000-0000D7040000}"/>
    <cellStyle name="Normal 2 2 2 2 2 2 2 2 2 3" xfId="1196" xr:uid="{00000000-0005-0000-0000-0000D8040000}"/>
    <cellStyle name="Normal 2 2 2 2 2 2 2 2 3" xfId="1197" xr:uid="{00000000-0005-0000-0000-0000D9040000}"/>
    <cellStyle name="Normal 2 2 2 2 2 2 2 3" xfId="1198" xr:uid="{00000000-0005-0000-0000-0000DA040000}"/>
    <cellStyle name="Normal 2 2 2 2 2 2 3" xfId="1199" xr:uid="{00000000-0005-0000-0000-0000DB040000}"/>
    <cellStyle name="Normal 2 2 2 2 2 2 4" xfId="1200" xr:uid="{00000000-0005-0000-0000-0000DC040000}"/>
    <cellStyle name="Normal 2 2 2 2 2 3" xfId="1201" xr:uid="{00000000-0005-0000-0000-0000DD040000}"/>
    <cellStyle name="Normal 2 2 2 2 2 3 2" xfId="1202" xr:uid="{00000000-0005-0000-0000-0000DE040000}"/>
    <cellStyle name="Normal 2 2 2 2 2 4" xfId="1203" xr:uid="{00000000-0005-0000-0000-0000DF040000}"/>
    <cellStyle name="Normal 2 2 2 2 3" xfId="1204" xr:uid="{00000000-0005-0000-0000-0000E0040000}"/>
    <cellStyle name="Normal 2 2 2 2 3 2" xfId="1205" xr:uid="{00000000-0005-0000-0000-0000E1040000}"/>
    <cellStyle name="Normal 2 2 2 2 3 2 2" xfId="1206" xr:uid="{00000000-0005-0000-0000-0000E2040000}"/>
    <cellStyle name="Normal 2 2 2 2 4" xfId="1207" xr:uid="{00000000-0005-0000-0000-0000E3040000}"/>
    <cellStyle name="Normal 2 2 2 2 5" xfId="1208" xr:uid="{00000000-0005-0000-0000-0000E4040000}"/>
    <cellStyle name="Normal 2 2 2 20" xfId="1209" xr:uid="{00000000-0005-0000-0000-0000E5040000}"/>
    <cellStyle name="Normal 2 2 2 21" xfId="1210" xr:uid="{00000000-0005-0000-0000-0000E6040000}"/>
    <cellStyle name="Normal 2 2 2 22" xfId="1211" xr:uid="{00000000-0005-0000-0000-0000E7040000}"/>
    <cellStyle name="Normal 2 2 2 23" xfId="1212" xr:uid="{00000000-0005-0000-0000-0000E8040000}"/>
    <cellStyle name="Normal 2 2 2 24" xfId="1213" xr:uid="{00000000-0005-0000-0000-0000E9040000}"/>
    <cellStyle name="Normal 2 2 2 25" xfId="1214" xr:uid="{00000000-0005-0000-0000-0000EA040000}"/>
    <cellStyle name="Normal 2 2 2 26" xfId="1215" xr:uid="{00000000-0005-0000-0000-0000EB040000}"/>
    <cellStyle name="Normal 2 2 2 27" xfId="1216" xr:uid="{00000000-0005-0000-0000-0000EC040000}"/>
    <cellStyle name="Normal 2 2 2 28" xfId="1217" xr:uid="{00000000-0005-0000-0000-0000ED040000}"/>
    <cellStyle name="Normal 2 2 2 29" xfId="1218" xr:uid="{00000000-0005-0000-0000-0000EE040000}"/>
    <cellStyle name="Normal 2 2 2 3" xfId="1219" xr:uid="{00000000-0005-0000-0000-0000EF040000}"/>
    <cellStyle name="Normal 2 2 2 3 2" xfId="1220" xr:uid="{00000000-0005-0000-0000-0000F0040000}"/>
    <cellStyle name="Normal 2 2 2 3 2 2" xfId="1221" xr:uid="{00000000-0005-0000-0000-0000F1040000}"/>
    <cellStyle name="Normal 2 2 2 3 2 2 2" xfId="1222" xr:uid="{00000000-0005-0000-0000-0000F2040000}"/>
    <cellStyle name="Normal 2 2 2 3 3" xfId="1223" xr:uid="{00000000-0005-0000-0000-0000F3040000}"/>
    <cellStyle name="Normal 2 2 2 3_80 Plus Service Territories" xfId="1224" xr:uid="{00000000-0005-0000-0000-0000F4040000}"/>
    <cellStyle name="Normal 2 2 2 30" xfId="1225" xr:uid="{00000000-0005-0000-0000-0000F5040000}"/>
    <cellStyle name="Normal 2 2 2 31" xfId="1226" xr:uid="{00000000-0005-0000-0000-0000F6040000}"/>
    <cellStyle name="Normal 2 2 2 4" xfId="1227" xr:uid="{00000000-0005-0000-0000-0000F7040000}"/>
    <cellStyle name="Normal 2 2 2 4 10" xfId="1228" xr:uid="{00000000-0005-0000-0000-0000F8040000}"/>
    <cellStyle name="Normal 2 2 2 4 11" xfId="1229" xr:uid="{00000000-0005-0000-0000-0000F9040000}"/>
    <cellStyle name="Normal 2 2 2 4 12" xfId="1230" xr:uid="{00000000-0005-0000-0000-0000FA040000}"/>
    <cellStyle name="Normal 2 2 2 4 13" xfId="1231" xr:uid="{00000000-0005-0000-0000-0000FB040000}"/>
    <cellStyle name="Normal 2 2 2 4 14" xfId="1232" xr:uid="{00000000-0005-0000-0000-0000FC040000}"/>
    <cellStyle name="Normal 2 2 2 4 15" xfId="1233" xr:uid="{00000000-0005-0000-0000-0000FD040000}"/>
    <cellStyle name="Normal 2 2 2 4 16" xfId="1234" xr:uid="{00000000-0005-0000-0000-0000FE040000}"/>
    <cellStyle name="Normal 2 2 2 4 17" xfId="1235" xr:uid="{00000000-0005-0000-0000-0000FF040000}"/>
    <cellStyle name="Normal 2 2 2 4 18" xfId="1236" xr:uid="{00000000-0005-0000-0000-000000050000}"/>
    <cellStyle name="Normal 2 2 2 4 19" xfId="1237" xr:uid="{00000000-0005-0000-0000-000001050000}"/>
    <cellStyle name="Normal 2 2 2 4 2" xfId="1238" xr:uid="{00000000-0005-0000-0000-000002050000}"/>
    <cellStyle name="Normal 2 2 2 4 2 10" xfId="1239" xr:uid="{00000000-0005-0000-0000-000003050000}"/>
    <cellStyle name="Normal 2 2 2 4 2 11" xfId="1240" xr:uid="{00000000-0005-0000-0000-000004050000}"/>
    <cellStyle name="Normal 2 2 2 4 2 12" xfId="1241" xr:uid="{00000000-0005-0000-0000-000005050000}"/>
    <cellStyle name="Normal 2 2 2 4 2 13" xfId="1242" xr:uid="{00000000-0005-0000-0000-000006050000}"/>
    <cellStyle name="Normal 2 2 2 4 2 14" xfId="1243" xr:uid="{00000000-0005-0000-0000-000007050000}"/>
    <cellStyle name="Normal 2 2 2 4 2 15" xfId="1244" xr:uid="{00000000-0005-0000-0000-000008050000}"/>
    <cellStyle name="Normal 2 2 2 4 2 16" xfId="1245" xr:uid="{00000000-0005-0000-0000-000009050000}"/>
    <cellStyle name="Normal 2 2 2 4 2 17" xfId="1246" xr:uid="{00000000-0005-0000-0000-00000A050000}"/>
    <cellStyle name="Normal 2 2 2 4 2 18" xfId="1247" xr:uid="{00000000-0005-0000-0000-00000B050000}"/>
    <cellStyle name="Normal 2 2 2 4 2 2" xfId="1248" xr:uid="{00000000-0005-0000-0000-00000C050000}"/>
    <cellStyle name="Normal 2 2 2 4 2 2 10" xfId="1249" xr:uid="{00000000-0005-0000-0000-00000D050000}"/>
    <cellStyle name="Normal 2 2 2 4 2 2 11" xfId="1250" xr:uid="{00000000-0005-0000-0000-00000E050000}"/>
    <cellStyle name="Normal 2 2 2 4 2 2 12" xfId="1251" xr:uid="{00000000-0005-0000-0000-00000F050000}"/>
    <cellStyle name="Normal 2 2 2 4 2 2 13" xfId="1252" xr:uid="{00000000-0005-0000-0000-000010050000}"/>
    <cellStyle name="Normal 2 2 2 4 2 2 14" xfId="1253" xr:uid="{00000000-0005-0000-0000-000011050000}"/>
    <cellStyle name="Normal 2 2 2 4 2 2 15" xfId="1254" xr:uid="{00000000-0005-0000-0000-000012050000}"/>
    <cellStyle name="Normal 2 2 2 4 2 2 16" xfId="1255" xr:uid="{00000000-0005-0000-0000-000013050000}"/>
    <cellStyle name="Normal 2 2 2 4 2 2 17" xfId="1256" xr:uid="{00000000-0005-0000-0000-000014050000}"/>
    <cellStyle name="Normal 2 2 2 4 2 2 18" xfId="1257" xr:uid="{00000000-0005-0000-0000-000015050000}"/>
    <cellStyle name="Normal 2 2 2 4 2 2 2" xfId="1258" xr:uid="{00000000-0005-0000-0000-000016050000}"/>
    <cellStyle name="Normal 2 2 2 4 2 2 2 10" xfId="1259" xr:uid="{00000000-0005-0000-0000-000017050000}"/>
    <cellStyle name="Normal 2 2 2 4 2 2 2 11" xfId="1260" xr:uid="{00000000-0005-0000-0000-000018050000}"/>
    <cellStyle name="Normal 2 2 2 4 2 2 2 12" xfId="1261" xr:uid="{00000000-0005-0000-0000-000019050000}"/>
    <cellStyle name="Normal 2 2 2 4 2 2 2 13" xfId="1262" xr:uid="{00000000-0005-0000-0000-00001A050000}"/>
    <cellStyle name="Normal 2 2 2 4 2 2 2 14" xfId="1263" xr:uid="{00000000-0005-0000-0000-00001B050000}"/>
    <cellStyle name="Normal 2 2 2 4 2 2 2 15" xfId="1264" xr:uid="{00000000-0005-0000-0000-00001C050000}"/>
    <cellStyle name="Normal 2 2 2 4 2 2 2 2" xfId="1265" xr:uid="{00000000-0005-0000-0000-00001D050000}"/>
    <cellStyle name="Normal 2 2 2 4 2 2 2 2 10" xfId="1266" xr:uid="{00000000-0005-0000-0000-00001E050000}"/>
    <cellStyle name="Normal 2 2 2 4 2 2 2 2 11" xfId="1267" xr:uid="{00000000-0005-0000-0000-00001F050000}"/>
    <cellStyle name="Normal 2 2 2 4 2 2 2 2 12" xfId="1268" xr:uid="{00000000-0005-0000-0000-000020050000}"/>
    <cellStyle name="Normal 2 2 2 4 2 2 2 2 13" xfId="1269" xr:uid="{00000000-0005-0000-0000-000021050000}"/>
    <cellStyle name="Normal 2 2 2 4 2 2 2 2 14" xfId="1270" xr:uid="{00000000-0005-0000-0000-000022050000}"/>
    <cellStyle name="Normal 2 2 2 4 2 2 2 2 15" xfId="1271" xr:uid="{00000000-0005-0000-0000-000023050000}"/>
    <cellStyle name="Normal 2 2 2 4 2 2 2 2 2" xfId="1272" xr:uid="{00000000-0005-0000-0000-000024050000}"/>
    <cellStyle name="Normal 2 2 2 4 2 2 2 2 3" xfId="1273" xr:uid="{00000000-0005-0000-0000-000025050000}"/>
    <cellStyle name="Normal 2 2 2 4 2 2 2 2 4" xfId="1274" xr:uid="{00000000-0005-0000-0000-000026050000}"/>
    <cellStyle name="Normal 2 2 2 4 2 2 2 2 5" xfId="1275" xr:uid="{00000000-0005-0000-0000-000027050000}"/>
    <cellStyle name="Normal 2 2 2 4 2 2 2 2 6" xfId="1276" xr:uid="{00000000-0005-0000-0000-000028050000}"/>
    <cellStyle name="Normal 2 2 2 4 2 2 2 2 7" xfId="1277" xr:uid="{00000000-0005-0000-0000-000029050000}"/>
    <cellStyle name="Normal 2 2 2 4 2 2 2 2 8" xfId="1278" xr:uid="{00000000-0005-0000-0000-00002A050000}"/>
    <cellStyle name="Normal 2 2 2 4 2 2 2 2 9" xfId="1279" xr:uid="{00000000-0005-0000-0000-00002B050000}"/>
    <cellStyle name="Normal 2 2 2 4 2 2 2 2_Appendix B" xfId="1280" xr:uid="{00000000-0005-0000-0000-00002C050000}"/>
    <cellStyle name="Normal 2 2 2 4 2 2 2 3" xfId="1281" xr:uid="{00000000-0005-0000-0000-00002D050000}"/>
    <cellStyle name="Normal 2 2 2 4 2 2 2 4" xfId="1282" xr:uid="{00000000-0005-0000-0000-00002E050000}"/>
    <cellStyle name="Normal 2 2 2 4 2 2 2 5" xfId="1283" xr:uid="{00000000-0005-0000-0000-00002F050000}"/>
    <cellStyle name="Normal 2 2 2 4 2 2 2 6" xfId="1284" xr:uid="{00000000-0005-0000-0000-000030050000}"/>
    <cellStyle name="Normal 2 2 2 4 2 2 2 7" xfId="1285" xr:uid="{00000000-0005-0000-0000-000031050000}"/>
    <cellStyle name="Normal 2 2 2 4 2 2 2 8" xfId="1286" xr:uid="{00000000-0005-0000-0000-000032050000}"/>
    <cellStyle name="Normal 2 2 2 4 2 2 2 9" xfId="1287" xr:uid="{00000000-0005-0000-0000-000033050000}"/>
    <cellStyle name="Normal 2 2 2 4 2 2 2_Appendix B" xfId="1288" xr:uid="{00000000-0005-0000-0000-000034050000}"/>
    <cellStyle name="Normal 2 2 2 4 2 2 3" xfId="1289" xr:uid="{00000000-0005-0000-0000-000035050000}"/>
    <cellStyle name="Normal 2 2 2 4 2 2 4" xfId="1290" xr:uid="{00000000-0005-0000-0000-000036050000}"/>
    <cellStyle name="Normal 2 2 2 4 2 2 5" xfId="1291" xr:uid="{00000000-0005-0000-0000-000037050000}"/>
    <cellStyle name="Normal 2 2 2 4 2 2 6" xfId="1292" xr:uid="{00000000-0005-0000-0000-000038050000}"/>
    <cellStyle name="Normal 2 2 2 4 2 2 7" xfId="1293" xr:uid="{00000000-0005-0000-0000-000039050000}"/>
    <cellStyle name="Normal 2 2 2 4 2 2 8" xfId="1294" xr:uid="{00000000-0005-0000-0000-00003A050000}"/>
    <cellStyle name="Normal 2 2 2 4 2 2 9" xfId="1295" xr:uid="{00000000-0005-0000-0000-00003B050000}"/>
    <cellStyle name="Normal 2 2 2 4 2 2_Appendix B" xfId="1296" xr:uid="{00000000-0005-0000-0000-00003C050000}"/>
    <cellStyle name="Normal 2 2 2 4 2 3" xfId="1297" xr:uid="{00000000-0005-0000-0000-00003D050000}"/>
    <cellStyle name="Normal 2 2 2 4 2 3 2" xfId="1298" xr:uid="{00000000-0005-0000-0000-00003E050000}"/>
    <cellStyle name="Normal 2 2 2 4 2 4" xfId="1299" xr:uid="{00000000-0005-0000-0000-00003F050000}"/>
    <cellStyle name="Normal 2 2 2 4 2 5" xfId="1300" xr:uid="{00000000-0005-0000-0000-000040050000}"/>
    <cellStyle name="Normal 2 2 2 4 2 6" xfId="1301" xr:uid="{00000000-0005-0000-0000-000041050000}"/>
    <cellStyle name="Normal 2 2 2 4 2 7" xfId="1302" xr:uid="{00000000-0005-0000-0000-000042050000}"/>
    <cellStyle name="Normal 2 2 2 4 2 8" xfId="1303" xr:uid="{00000000-0005-0000-0000-000043050000}"/>
    <cellStyle name="Normal 2 2 2 4 2 9" xfId="1304" xr:uid="{00000000-0005-0000-0000-000044050000}"/>
    <cellStyle name="Normal 2 2 2 4 2_80 Plus Service Territories" xfId="1305" xr:uid="{00000000-0005-0000-0000-000045050000}"/>
    <cellStyle name="Normal 2 2 2 4 3" xfId="1306" xr:uid="{00000000-0005-0000-0000-000046050000}"/>
    <cellStyle name="Normal 2 2 2 4 3 2" xfId="1307" xr:uid="{00000000-0005-0000-0000-000047050000}"/>
    <cellStyle name="Normal 2 2 2 4 3_Appendix B" xfId="1308" xr:uid="{00000000-0005-0000-0000-000048050000}"/>
    <cellStyle name="Normal 2 2 2 4 4" xfId="1309" xr:uid="{00000000-0005-0000-0000-000049050000}"/>
    <cellStyle name="Normal 2 2 2 4 5" xfId="1310" xr:uid="{00000000-0005-0000-0000-00004A050000}"/>
    <cellStyle name="Normal 2 2 2 4 6" xfId="1311" xr:uid="{00000000-0005-0000-0000-00004B050000}"/>
    <cellStyle name="Normal 2 2 2 4 7" xfId="1312" xr:uid="{00000000-0005-0000-0000-00004C050000}"/>
    <cellStyle name="Normal 2 2 2 4 8" xfId="1313" xr:uid="{00000000-0005-0000-0000-00004D050000}"/>
    <cellStyle name="Normal 2 2 2 4 9" xfId="1314" xr:uid="{00000000-0005-0000-0000-00004E050000}"/>
    <cellStyle name="Normal 2 2 2 4_80 Plus Service Territories" xfId="1315" xr:uid="{00000000-0005-0000-0000-00004F050000}"/>
    <cellStyle name="Normal 2 2 2 5" xfId="1316" xr:uid="{00000000-0005-0000-0000-000050050000}"/>
    <cellStyle name="Normal 2 2 2 6" xfId="1317" xr:uid="{00000000-0005-0000-0000-000051050000}"/>
    <cellStyle name="Normal 2 2 2 7" xfId="1318" xr:uid="{00000000-0005-0000-0000-000052050000}"/>
    <cellStyle name="Normal 2 2 2 8" xfId="1319" xr:uid="{00000000-0005-0000-0000-000053050000}"/>
    <cellStyle name="Normal 2 2 2 9" xfId="1320" xr:uid="{00000000-0005-0000-0000-000054050000}"/>
    <cellStyle name="Normal 2 2 2_80 Plus Service Territories" xfId="1321" xr:uid="{00000000-0005-0000-0000-000055050000}"/>
    <cellStyle name="Normal 2 2 20" xfId="1322" xr:uid="{00000000-0005-0000-0000-000056050000}"/>
    <cellStyle name="Normal 2 2 21" xfId="1323" xr:uid="{00000000-0005-0000-0000-000057050000}"/>
    <cellStyle name="Normal 2 2 22" xfId="1324" xr:uid="{00000000-0005-0000-0000-000058050000}"/>
    <cellStyle name="Normal 2 2 23" xfId="1325" xr:uid="{00000000-0005-0000-0000-000059050000}"/>
    <cellStyle name="Normal 2 2 24" xfId="1326" xr:uid="{00000000-0005-0000-0000-00005A050000}"/>
    <cellStyle name="Normal 2 2 25" xfId="1327" xr:uid="{00000000-0005-0000-0000-00005B050000}"/>
    <cellStyle name="Normal 2 2 26" xfId="1328" xr:uid="{00000000-0005-0000-0000-00005C050000}"/>
    <cellStyle name="Normal 2 2 26 2" xfId="1329" xr:uid="{00000000-0005-0000-0000-00005D050000}"/>
    <cellStyle name="Normal 2 2 26 2 2" xfId="1330" xr:uid="{00000000-0005-0000-0000-00005E050000}"/>
    <cellStyle name="Normal 2 2 26 3" xfId="1331" xr:uid="{00000000-0005-0000-0000-00005F050000}"/>
    <cellStyle name="Normal 2 2 26 4" xfId="1332" xr:uid="{00000000-0005-0000-0000-000060050000}"/>
    <cellStyle name="Normal 2 2 26 5" xfId="1333" xr:uid="{00000000-0005-0000-0000-000061050000}"/>
    <cellStyle name="Normal 2 2 26_Appendix B" xfId="1334" xr:uid="{00000000-0005-0000-0000-000062050000}"/>
    <cellStyle name="Normal 2 2 27" xfId="1335" xr:uid="{00000000-0005-0000-0000-000063050000}"/>
    <cellStyle name="Normal 2 2 27 2" xfId="1336" xr:uid="{00000000-0005-0000-0000-000064050000}"/>
    <cellStyle name="Normal 2 2 27_Appendix B" xfId="1337" xr:uid="{00000000-0005-0000-0000-000065050000}"/>
    <cellStyle name="Normal 2 2 28" xfId="1338" xr:uid="{00000000-0005-0000-0000-000066050000}"/>
    <cellStyle name="Normal 2 2 29" xfId="1339" xr:uid="{00000000-0005-0000-0000-000067050000}"/>
    <cellStyle name="Normal 2 2 3" xfId="1340" xr:uid="{00000000-0005-0000-0000-000068050000}"/>
    <cellStyle name="Normal 2 2 3 2" xfId="1341" xr:uid="{00000000-0005-0000-0000-000069050000}"/>
    <cellStyle name="Normal 2 2 3 2 2" xfId="1342" xr:uid="{00000000-0005-0000-0000-00006A050000}"/>
    <cellStyle name="Normal 2 2 3 2 2 2" xfId="1343" xr:uid="{00000000-0005-0000-0000-00006B050000}"/>
    <cellStyle name="Normal 2 2 3 2 2 2 2" xfId="1344" xr:uid="{00000000-0005-0000-0000-00006C050000}"/>
    <cellStyle name="Normal 2 2 3 2 3" xfId="1345" xr:uid="{00000000-0005-0000-0000-00006D050000}"/>
    <cellStyle name="Normal 2 2 3 3" xfId="1346" xr:uid="{00000000-0005-0000-0000-00006E050000}"/>
    <cellStyle name="Normal 2 2 3 3 2" xfId="1347" xr:uid="{00000000-0005-0000-0000-00006F050000}"/>
    <cellStyle name="Normal 2 2 30" xfId="1348" xr:uid="{00000000-0005-0000-0000-000070050000}"/>
    <cellStyle name="Normal 2 2 31" xfId="1349" xr:uid="{00000000-0005-0000-0000-000071050000}"/>
    <cellStyle name="Normal 2 2 32" xfId="1350" xr:uid="{00000000-0005-0000-0000-000072050000}"/>
    <cellStyle name="Normal 2 2 33" xfId="1351" xr:uid="{00000000-0005-0000-0000-000073050000}"/>
    <cellStyle name="Normal 2 2 34" xfId="1352" xr:uid="{00000000-0005-0000-0000-000074050000}"/>
    <cellStyle name="Normal 2 2 35" xfId="1353" xr:uid="{00000000-0005-0000-0000-000075050000}"/>
    <cellStyle name="Normal 2 2 36" xfId="1354" xr:uid="{00000000-0005-0000-0000-000076050000}"/>
    <cellStyle name="Normal 2 2 37" xfId="1355" xr:uid="{00000000-0005-0000-0000-000077050000}"/>
    <cellStyle name="Normal 2 2 38" xfId="1356" xr:uid="{00000000-0005-0000-0000-000078050000}"/>
    <cellStyle name="Normal 2 2 39" xfId="1357" xr:uid="{00000000-0005-0000-0000-000079050000}"/>
    <cellStyle name="Normal 2 2 4" xfId="1358" xr:uid="{00000000-0005-0000-0000-00007A050000}"/>
    <cellStyle name="Normal 2 2 4 2" xfId="1359" xr:uid="{00000000-0005-0000-0000-00007B050000}"/>
    <cellStyle name="Normal 2 2 4 2 2" xfId="1360" xr:uid="{00000000-0005-0000-0000-00007C050000}"/>
    <cellStyle name="Normal 2 2 40" xfId="1361" xr:uid="{00000000-0005-0000-0000-00007D050000}"/>
    <cellStyle name="Normal 2 2 41" xfId="1362" xr:uid="{00000000-0005-0000-0000-00007E050000}"/>
    <cellStyle name="Normal 2 2 42" xfId="1363" xr:uid="{00000000-0005-0000-0000-00007F050000}"/>
    <cellStyle name="Normal 2 2 43" xfId="1364" xr:uid="{00000000-0005-0000-0000-000080050000}"/>
    <cellStyle name="Normal 2 2 5" xfId="1365" xr:uid="{00000000-0005-0000-0000-000081050000}"/>
    <cellStyle name="Normal 2 2 6" xfId="1366" xr:uid="{00000000-0005-0000-0000-000082050000}"/>
    <cellStyle name="Normal 2 2 7" xfId="1367" xr:uid="{00000000-0005-0000-0000-000083050000}"/>
    <cellStyle name="Normal 2 2 8" xfId="1368" xr:uid="{00000000-0005-0000-0000-000084050000}"/>
    <cellStyle name="Normal 2 2 9" xfId="1369" xr:uid="{00000000-0005-0000-0000-000085050000}"/>
    <cellStyle name="Normal 2 2_2009 Annual Savings (2)" xfId="1370" xr:uid="{00000000-0005-0000-0000-000086050000}"/>
    <cellStyle name="Normal 2 3" xfId="1371" xr:uid="{00000000-0005-0000-0000-000087050000}"/>
    <cellStyle name="Normal 2 4" xfId="1372" xr:uid="{00000000-0005-0000-0000-000088050000}"/>
    <cellStyle name="Normal 2 4 2" xfId="1373" xr:uid="{00000000-0005-0000-0000-000089050000}"/>
    <cellStyle name="Normal 2 4 2 2" xfId="1374" xr:uid="{00000000-0005-0000-0000-00008A050000}"/>
    <cellStyle name="Normal 2 4 2 2 2" xfId="1375" xr:uid="{00000000-0005-0000-0000-00008B050000}"/>
    <cellStyle name="Normal 2 4 2 2 2 2" xfId="1376" xr:uid="{00000000-0005-0000-0000-00008C050000}"/>
    <cellStyle name="Normal 2 4 2 2 2 2 2" xfId="1377" xr:uid="{00000000-0005-0000-0000-00008D050000}"/>
    <cellStyle name="Normal 2 4 2 2 3" xfId="1378" xr:uid="{00000000-0005-0000-0000-00008E050000}"/>
    <cellStyle name="Normal 2 4 2 3" xfId="1379" xr:uid="{00000000-0005-0000-0000-00008F050000}"/>
    <cellStyle name="Normal 2 4 2 3 2" xfId="1380" xr:uid="{00000000-0005-0000-0000-000090050000}"/>
    <cellStyle name="Normal 2 4 3" xfId="1381" xr:uid="{00000000-0005-0000-0000-000091050000}"/>
    <cellStyle name="Normal 2 4 3 2" xfId="1382" xr:uid="{00000000-0005-0000-0000-000092050000}"/>
    <cellStyle name="Normal 2 4 3 2 2" xfId="1383" xr:uid="{00000000-0005-0000-0000-000093050000}"/>
    <cellStyle name="Normal 2 4 4" xfId="1384" xr:uid="{00000000-0005-0000-0000-000094050000}"/>
    <cellStyle name="Normal 2 4_2009 Annual Savings (2)" xfId="1385" xr:uid="{00000000-0005-0000-0000-000095050000}"/>
    <cellStyle name="Normal 2 5" xfId="1386" xr:uid="{00000000-0005-0000-0000-000096050000}"/>
    <cellStyle name="Normal 2 5 2" xfId="1387" xr:uid="{00000000-0005-0000-0000-000097050000}"/>
    <cellStyle name="Normal 2 5 2 2" xfId="1388" xr:uid="{00000000-0005-0000-0000-000098050000}"/>
    <cellStyle name="Normal 2 5 2 2 2" xfId="1389" xr:uid="{00000000-0005-0000-0000-000099050000}"/>
    <cellStyle name="Normal 2 5 3" xfId="1390" xr:uid="{00000000-0005-0000-0000-00009A050000}"/>
    <cellStyle name="Normal 2 5_2009 Annual Savings (2)" xfId="1391" xr:uid="{00000000-0005-0000-0000-00009B050000}"/>
    <cellStyle name="Normal 2 6" xfId="1392" xr:uid="{00000000-0005-0000-0000-00009C050000}"/>
    <cellStyle name="Normal 2 6 2" xfId="1393" xr:uid="{00000000-0005-0000-0000-00009D050000}"/>
    <cellStyle name="Normal 2 6_2009 Annual Savings (2)" xfId="1394" xr:uid="{00000000-0005-0000-0000-00009E050000}"/>
    <cellStyle name="Normal 2 7" xfId="1395" xr:uid="{00000000-0005-0000-0000-00009F050000}"/>
    <cellStyle name="Normal 2 8" xfId="1396" xr:uid="{00000000-0005-0000-0000-0000A0050000}"/>
    <cellStyle name="Normal 2 9" xfId="1397" xr:uid="{00000000-0005-0000-0000-0000A1050000}"/>
    <cellStyle name="Normal 2_2009 Annual Savings (2)" xfId="1398" xr:uid="{00000000-0005-0000-0000-0000A2050000}"/>
    <cellStyle name="Normal 20" xfId="1399" xr:uid="{00000000-0005-0000-0000-0000A3050000}"/>
    <cellStyle name="Normal 21" xfId="1400" xr:uid="{00000000-0005-0000-0000-0000A4050000}"/>
    <cellStyle name="Normal 22" xfId="1401" xr:uid="{00000000-0005-0000-0000-0000A5050000}"/>
    <cellStyle name="Normal 23" xfId="1402" xr:uid="{00000000-0005-0000-0000-0000A6050000}"/>
    <cellStyle name="Normal 24" xfId="1403" xr:uid="{00000000-0005-0000-0000-0000A7050000}"/>
    <cellStyle name="Normal 25" xfId="1404" xr:uid="{00000000-0005-0000-0000-0000A8050000}"/>
    <cellStyle name="Normal 26" xfId="1405" xr:uid="{00000000-0005-0000-0000-0000A9050000}"/>
    <cellStyle name="Normal 27" xfId="1406" xr:uid="{00000000-0005-0000-0000-0000AA050000}"/>
    <cellStyle name="Normal 28" xfId="1407" xr:uid="{00000000-0005-0000-0000-0000AB050000}"/>
    <cellStyle name="Normal 29" xfId="1408" xr:uid="{00000000-0005-0000-0000-0000AC050000}"/>
    <cellStyle name="Normal 3" xfId="1409" xr:uid="{00000000-0005-0000-0000-0000AD050000}"/>
    <cellStyle name="Normal 3 10" xfId="1410" xr:uid="{00000000-0005-0000-0000-0000AE050000}"/>
    <cellStyle name="Normal 3 11" xfId="1411" xr:uid="{00000000-0005-0000-0000-0000AF050000}"/>
    <cellStyle name="Normal 3 12" xfId="1412" xr:uid="{00000000-0005-0000-0000-0000B0050000}"/>
    <cellStyle name="Normal 3 13" xfId="1413" xr:uid="{00000000-0005-0000-0000-0000B1050000}"/>
    <cellStyle name="Normal 3 14" xfId="1414" xr:uid="{00000000-0005-0000-0000-0000B2050000}"/>
    <cellStyle name="Normal 3 15" xfId="1415" xr:uid="{00000000-0005-0000-0000-0000B3050000}"/>
    <cellStyle name="Normal 3 16" xfId="1416" xr:uid="{00000000-0005-0000-0000-0000B4050000}"/>
    <cellStyle name="Normal 3 17" xfId="1417" xr:uid="{00000000-0005-0000-0000-0000B5050000}"/>
    <cellStyle name="Normal 3 18" xfId="1418" xr:uid="{00000000-0005-0000-0000-0000B6050000}"/>
    <cellStyle name="Normal 3 19" xfId="1419" xr:uid="{00000000-0005-0000-0000-0000B7050000}"/>
    <cellStyle name="Normal 3 2" xfId="1420" xr:uid="{00000000-0005-0000-0000-0000B8050000}"/>
    <cellStyle name="Normal 3 20" xfId="1421" xr:uid="{00000000-0005-0000-0000-0000B9050000}"/>
    <cellStyle name="Normal 3 21" xfId="1422" xr:uid="{00000000-0005-0000-0000-0000BA050000}"/>
    <cellStyle name="Normal 3 22" xfId="1423" xr:uid="{00000000-0005-0000-0000-0000BB050000}"/>
    <cellStyle name="Normal 3 23" xfId="1424" xr:uid="{00000000-0005-0000-0000-0000BC050000}"/>
    <cellStyle name="Normal 3 24" xfId="1425" xr:uid="{00000000-0005-0000-0000-0000BD050000}"/>
    <cellStyle name="Normal 3 25" xfId="1426" xr:uid="{00000000-0005-0000-0000-0000BE050000}"/>
    <cellStyle name="Normal 3 26" xfId="1427" xr:uid="{00000000-0005-0000-0000-0000BF050000}"/>
    <cellStyle name="Normal 3 27" xfId="1428" xr:uid="{00000000-0005-0000-0000-0000C0050000}"/>
    <cellStyle name="Normal 3 28" xfId="1429" xr:uid="{00000000-0005-0000-0000-0000C1050000}"/>
    <cellStyle name="Normal 3 29" xfId="1430" xr:uid="{00000000-0005-0000-0000-0000C2050000}"/>
    <cellStyle name="Normal 3 3" xfId="1431" xr:uid="{00000000-0005-0000-0000-0000C3050000}"/>
    <cellStyle name="Normal 3 30" xfId="1432" xr:uid="{00000000-0005-0000-0000-0000C4050000}"/>
    <cellStyle name="Normal 3 31" xfId="1433" xr:uid="{00000000-0005-0000-0000-0000C5050000}"/>
    <cellStyle name="Normal 3 32" xfId="1434" xr:uid="{00000000-0005-0000-0000-0000C6050000}"/>
    <cellStyle name="Normal 3 33" xfId="1435" xr:uid="{00000000-0005-0000-0000-0000C7050000}"/>
    <cellStyle name="Normal 3 34" xfId="1436" xr:uid="{00000000-0005-0000-0000-0000C8050000}"/>
    <cellStyle name="Normal 3 35" xfId="1437" xr:uid="{00000000-0005-0000-0000-0000C9050000}"/>
    <cellStyle name="Normal 3 36" xfId="1438" xr:uid="{00000000-0005-0000-0000-0000CA050000}"/>
    <cellStyle name="Normal 3 37" xfId="1439" xr:uid="{00000000-0005-0000-0000-0000CB050000}"/>
    <cellStyle name="Normal 3 38" xfId="1440" xr:uid="{00000000-0005-0000-0000-0000CC050000}"/>
    <cellStyle name="Normal 3 39" xfId="1441" xr:uid="{00000000-0005-0000-0000-0000CD050000}"/>
    <cellStyle name="Normal 3 4" xfId="1442" xr:uid="{00000000-0005-0000-0000-0000CE050000}"/>
    <cellStyle name="Normal 3 40" xfId="1443" xr:uid="{00000000-0005-0000-0000-0000CF050000}"/>
    <cellStyle name="Normal 3 41" xfId="1444" xr:uid="{00000000-0005-0000-0000-0000D0050000}"/>
    <cellStyle name="Normal 3 42" xfId="1445" xr:uid="{00000000-0005-0000-0000-0000D1050000}"/>
    <cellStyle name="Normal 3 43" xfId="1446" xr:uid="{00000000-0005-0000-0000-0000D2050000}"/>
    <cellStyle name="Normal 3 44" xfId="1447" xr:uid="{00000000-0005-0000-0000-0000D3050000}"/>
    <cellStyle name="Normal 3 45" xfId="1448" xr:uid="{00000000-0005-0000-0000-0000D4050000}"/>
    <cellStyle name="Normal 3 46" xfId="1449" xr:uid="{00000000-0005-0000-0000-0000D5050000}"/>
    <cellStyle name="Normal 3 47" xfId="1450" xr:uid="{00000000-0005-0000-0000-0000D6050000}"/>
    <cellStyle name="Normal 3 48" xfId="1451" xr:uid="{00000000-0005-0000-0000-0000D7050000}"/>
    <cellStyle name="Normal 3 49" xfId="1452" xr:uid="{00000000-0005-0000-0000-0000D8050000}"/>
    <cellStyle name="Normal 3 5" xfId="1453" xr:uid="{00000000-0005-0000-0000-0000D9050000}"/>
    <cellStyle name="Normal 3 50" xfId="1454" xr:uid="{00000000-0005-0000-0000-0000DA050000}"/>
    <cellStyle name="Normal 3 51" xfId="1455" xr:uid="{00000000-0005-0000-0000-0000DB050000}"/>
    <cellStyle name="Normal 3 52" xfId="1456" xr:uid="{00000000-0005-0000-0000-0000DC050000}"/>
    <cellStyle name="Normal 3 53" xfId="1457" xr:uid="{00000000-0005-0000-0000-0000DD050000}"/>
    <cellStyle name="Normal 3 54" xfId="1458" xr:uid="{00000000-0005-0000-0000-0000DE050000}"/>
    <cellStyle name="Normal 3 55" xfId="1459" xr:uid="{00000000-0005-0000-0000-0000DF050000}"/>
    <cellStyle name="Normal 3 56" xfId="1460" xr:uid="{00000000-0005-0000-0000-0000E0050000}"/>
    <cellStyle name="Normal 3 57" xfId="1461" xr:uid="{00000000-0005-0000-0000-0000E1050000}"/>
    <cellStyle name="Normal 3 58" xfId="1462" xr:uid="{00000000-0005-0000-0000-0000E2050000}"/>
    <cellStyle name="Normal 3 59" xfId="1463" xr:uid="{00000000-0005-0000-0000-0000E3050000}"/>
    <cellStyle name="Normal 3 6" xfId="1464" xr:uid="{00000000-0005-0000-0000-0000E4050000}"/>
    <cellStyle name="Normal 3 60" xfId="1465" xr:uid="{00000000-0005-0000-0000-0000E5050000}"/>
    <cellStyle name="Normal 3 61" xfId="1466" xr:uid="{00000000-0005-0000-0000-0000E6050000}"/>
    <cellStyle name="Normal 3 62" xfId="1467" xr:uid="{00000000-0005-0000-0000-0000E7050000}"/>
    <cellStyle name="Normal 3 63" xfId="1468" xr:uid="{00000000-0005-0000-0000-0000E8050000}"/>
    <cellStyle name="Normal 3 64" xfId="1469" xr:uid="{00000000-0005-0000-0000-0000E9050000}"/>
    <cellStyle name="Normal 3 65" xfId="1470" xr:uid="{00000000-0005-0000-0000-0000EA050000}"/>
    <cellStyle name="Normal 3 66" xfId="1471" xr:uid="{00000000-0005-0000-0000-0000EB050000}"/>
    <cellStyle name="Normal 3 67" xfId="1472" xr:uid="{00000000-0005-0000-0000-0000EC050000}"/>
    <cellStyle name="Normal 3 68" xfId="1835" xr:uid="{00000000-0005-0000-0000-0000ED050000}"/>
    <cellStyle name="Normal 3 7" xfId="1473" xr:uid="{00000000-0005-0000-0000-0000EE050000}"/>
    <cellStyle name="Normal 3 8" xfId="1474" xr:uid="{00000000-0005-0000-0000-0000EF050000}"/>
    <cellStyle name="Normal 3 9" xfId="1475" xr:uid="{00000000-0005-0000-0000-0000F0050000}"/>
    <cellStyle name="Normal 3_2009 Annual Savings (2)" xfId="1476" xr:uid="{00000000-0005-0000-0000-0000F1050000}"/>
    <cellStyle name="Normal 30" xfId="1477" xr:uid="{00000000-0005-0000-0000-0000F2050000}"/>
    <cellStyle name="Normal 31" xfId="1478" xr:uid="{00000000-0005-0000-0000-0000F3050000}"/>
    <cellStyle name="Normal 32" xfId="1479" xr:uid="{00000000-0005-0000-0000-0000F4050000}"/>
    <cellStyle name="Normal 33" xfId="1480" xr:uid="{00000000-0005-0000-0000-0000F5050000}"/>
    <cellStyle name="Normal 33 2" xfId="1828" xr:uid="{00000000-0005-0000-0000-0000F6050000}"/>
    <cellStyle name="Normal 34" xfId="1481" xr:uid="{00000000-0005-0000-0000-0000F7050000}"/>
    <cellStyle name="Normal 34 2" xfId="1829" xr:uid="{00000000-0005-0000-0000-0000F8050000}"/>
    <cellStyle name="Normal 35" xfId="1482" xr:uid="{00000000-0005-0000-0000-0000F9050000}"/>
    <cellStyle name="Normal 35 2" xfId="1830" xr:uid="{00000000-0005-0000-0000-0000FA050000}"/>
    <cellStyle name="Normal 36" xfId="1483" xr:uid="{00000000-0005-0000-0000-0000FB050000}"/>
    <cellStyle name="Normal 37" xfId="1484" xr:uid="{00000000-0005-0000-0000-0000FC050000}"/>
    <cellStyle name="Normal 38" xfId="1485" xr:uid="{00000000-0005-0000-0000-0000FD050000}"/>
    <cellStyle name="Normal 39" xfId="1486" xr:uid="{00000000-0005-0000-0000-0000FE050000}"/>
    <cellStyle name="Normal 4" xfId="1487" xr:uid="{00000000-0005-0000-0000-0000FF050000}"/>
    <cellStyle name="Normal 4 2" xfId="1488" xr:uid="{00000000-0005-0000-0000-000000060000}"/>
    <cellStyle name="Normal 4 3" xfId="1489" xr:uid="{00000000-0005-0000-0000-000001060000}"/>
    <cellStyle name="Normal 4 4" xfId="1490" xr:uid="{00000000-0005-0000-0000-000002060000}"/>
    <cellStyle name="Normal 4 5" xfId="1491" xr:uid="{00000000-0005-0000-0000-000003060000}"/>
    <cellStyle name="Normal 4 6" xfId="1492" xr:uid="{00000000-0005-0000-0000-000004060000}"/>
    <cellStyle name="Normal 4 7" xfId="1493" xr:uid="{00000000-0005-0000-0000-000005060000}"/>
    <cellStyle name="Normal 4 8" xfId="1494" xr:uid="{00000000-0005-0000-0000-000006060000}"/>
    <cellStyle name="Normal 4 9" xfId="1814" xr:uid="{00000000-0005-0000-0000-000007060000}"/>
    <cellStyle name="Normal 40" xfId="1495" xr:uid="{00000000-0005-0000-0000-000008060000}"/>
    <cellStyle name="Normal 41" xfId="1496" xr:uid="{00000000-0005-0000-0000-000009060000}"/>
    <cellStyle name="Normal 42" xfId="1497" xr:uid="{00000000-0005-0000-0000-00000A060000}"/>
    <cellStyle name="Normal 43" xfId="1498" xr:uid="{00000000-0005-0000-0000-00000B060000}"/>
    <cellStyle name="Normal 44" xfId="1499" xr:uid="{00000000-0005-0000-0000-00000C060000}"/>
    <cellStyle name="Normal 44 2" xfId="1500" xr:uid="{00000000-0005-0000-0000-00000D060000}"/>
    <cellStyle name="Normal 45" xfId="1501" xr:uid="{00000000-0005-0000-0000-00000E060000}"/>
    <cellStyle name="Normal 45 2" xfId="1833" xr:uid="{00000000-0005-0000-0000-00000F060000}"/>
    <cellStyle name="Normal 46" xfId="1502" xr:uid="{00000000-0005-0000-0000-000010060000}"/>
    <cellStyle name="Normal 47" xfId="1807" xr:uid="{00000000-0005-0000-0000-000011060000}"/>
    <cellStyle name="Normal 48" xfId="1844" xr:uid="{00000000-0005-0000-0000-000012060000}"/>
    <cellStyle name="Normal 49" xfId="1840" xr:uid="{00000000-0005-0000-0000-000013060000}"/>
    <cellStyle name="Normal 5" xfId="1503" xr:uid="{00000000-0005-0000-0000-000014060000}"/>
    <cellStyle name="Normal 5 2" xfId="1504" xr:uid="{00000000-0005-0000-0000-000015060000}"/>
    <cellStyle name="Normal 50" xfId="1831" xr:uid="{00000000-0005-0000-0000-000016060000}"/>
    <cellStyle name="Normal 51" xfId="1832" xr:uid="{00000000-0005-0000-0000-000017060000}"/>
    <cellStyle name="Normal 6" xfId="1505" xr:uid="{00000000-0005-0000-0000-000018060000}"/>
    <cellStyle name="Normal 6 2" xfId="1506" xr:uid="{00000000-0005-0000-0000-000019060000}"/>
    <cellStyle name="Normal 7" xfId="1507" xr:uid="{00000000-0005-0000-0000-00001A060000}"/>
    <cellStyle name="Normal 7 2" xfId="1508" xr:uid="{00000000-0005-0000-0000-00001B060000}"/>
    <cellStyle name="Normal 7 3" xfId="1841" xr:uid="{00000000-0005-0000-0000-00001C060000}"/>
    <cellStyle name="Normal 8" xfId="1509" xr:uid="{00000000-0005-0000-0000-00001D060000}"/>
    <cellStyle name="Normal 8 2" xfId="1510" xr:uid="{00000000-0005-0000-0000-00001E060000}"/>
    <cellStyle name="Normal 8 3" xfId="1826" xr:uid="{00000000-0005-0000-0000-00001F060000}"/>
    <cellStyle name="Normal 9" xfId="1511" xr:uid="{00000000-0005-0000-0000-000020060000}"/>
    <cellStyle name="Normal 9 2" xfId="1512" xr:uid="{00000000-0005-0000-0000-000021060000}"/>
    <cellStyle name="Normal 9 3" xfId="1827" xr:uid="{00000000-0005-0000-0000-000022060000}"/>
    <cellStyle name="Normal 9_2009 Annual Savings (2)" xfId="1513" xr:uid="{00000000-0005-0000-0000-000023060000}"/>
    <cellStyle name="Note 10" xfId="1514" xr:uid="{00000000-0005-0000-0000-000024060000}"/>
    <cellStyle name="Note 11" xfId="1515" xr:uid="{00000000-0005-0000-0000-000025060000}"/>
    <cellStyle name="Note 12" xfId="1516" xr:uid="{00000000-0005-0000-0000-000026060000}"/>
    <cellStyle name="Note 13" xfId="1517" xr:uid="{00000000-0005-0000-0000-000027060000}"/>
    <cellStyle name="Note 14" xfId="1518" xr:uid="{00000000-0005-0000-0000-000028060000}"/>
    <cellStyle name="Note 15" xfId="1519" xr:uid="{00000000-0005-0000-0000-000029060000}"/>
    <cellStyle name="Note 16" xfId="1520" xr:uid="{00000000-0005-0000-0000-00002A060000}"/>
    <cellStyle name="Note 17" xfId="1521" xr:uid="{00000000-0005-0000-0000-00002B060000}"/>
    <cellStyle name="Note 18" xfId="1522" xr:uid="{00000000-0005-0000-0000-00002C060000}"/>
    <cellStyle name="Note 19" xfId="1523" xr:uid="{00000000-0005-0000-0000-00002D060000}"/>
    <cellStyle name="Note 2" xfId="1524" xr:uid="{00000000-0005-0000-0000-00002E060000}"/>
    <cellStyle name="Note 2 10" xfId="1525" xr:uid="{00000000-0005-0000-0000-00002F060000}"/>
    <cellStyle name="Note 2 11" xfId="1526" xr:uid="{00000000-0005-0000-0000-000030060000}"/>
    <cellStyle name="Note 2 12" xfId="1527" xr:uid="{00000000-0005-0000-0000-000031060000}"/>
    <cellStyle name="Note 2 13" xfId="1528" xr:uid="{00000000-0005-0000-0000-000032060000}"/>
    <cellStyle name="Note 2 14" xfId="1529" xr:uid="{00000000-0005-0000-0000-000033060000}"/>
    <cellStyle name="Note 2 14 2" xfId="1530" xr:uid="{00000000-0005-0000-0000-000034060000}"/>
    <cellStyle name="Note 2 14 2 2" xfId="1531" xr:uid="{00000000-0005-0000-0000-000035060000}"/>
    <cellStyle name="Note 2 14 2_Qualifying Units" xfId="1532" xr:uid="{00000000-0005-0000-0000-000036060000}"/>
    <cellStyle name="Note 2 14 3" xfId="1533" xr:uid="{00000000-0005-0000-0000-000037060000}"/>
    <cellStyle name="Note 2 14 4" xfId="1534" xr:uid="{00000000-0005-0000-0000-000038060000}"/>
    <cellStyle name="Note 2 14 5" xfId="1535" xr:uid="{00000000-0005-0000-0000-000039060000}"/>
    <cellStyle name="Note 2 14_Qualifying Units" xfId="1536" xr:uid="{00000000-0005-0000-0000-00003A060000}"/>
    <cellStyle name="Note 2 15" xfId="1537" xr:uid="{00000000-0005-0000-0000-00003B060000}"/>
    <cellStyle name="Note 2 15 2" xfId="1538" xr:uid="{00000000-0005-0000-0000-00003C060000}"/>
    <cellStyle name="Note 2 15_Qualifying Units" xfId="1539" xr:uid="{00000000-0005-0000-0000-00003D060000}"/>
    <cellStyle name="Note 2 16" xfId="1540" xr:uid="{00000000-0005-0000-0000-00003E060000}"/>
    <cellStyle name="Note 2 17" xfId="1541" xr:uid="{00000000-0005-0000-0000-00003F060000}"/>
    <cellStyle name="Note 2 18" xfId="1542" xr:uid="{00000000-0005-0000-0000-000040060000}"/>
    <cellStyle name="Note 2 19" xfId="1543" xr:uid="{00000000-0005-0000-0000-000041060000}"/>
    <cellStyle name="Note 2 2" xfId="1544" xr:uid="{00000000-0005-0000-0000-000042060000}"/>
    <cellStyle name="Note 2 20" xfId="1545" xr:uid="{00000000-0005-0000-0000-000043060000}"/>
    <cellStyle name="Note 2 21" xfId="1546" xr:uid="{00000000-0005-0000-0000-000044060000}"/>
    <cellStyle name="Note 2 22" xfId="1547" xr:uid="{00000000-0005-0000-0000-000045060000}"/>
    <cellStyle name="Note 2 23" xfId="1548" xr:uid="{00000000-0005-0000-0000-000046060000}"/>
    <cellStyle name="Note 2 24" xfId="1549" xr:uid="{00000000-0005-0000-0000-000047060000}"/>
    <cellStyle name="Note 2 25" xfId="1550" xr:uid="{00000000-0005-0000-0000-000048060000}"/>
    <cellStyle name="Note 2 26" xfId="1551" xr:uid="{00000000-0005-0000-0000-000049060000}"/>
    <cellStyle name="Note 2 27" xfId="1552" xr:uid="{00000000-0005-0000-0000-00004A060000}"/>
    <cellStyle name="Note 2 28" xfId="1553" xr:uid="{00000000-0005-0000-0000-00004B060000}"/>
    <cellStyle name="Note 2 29" xfId="1554" xr:uid="{00000000-0005-0000-0000-00004C060000}"/>
    <cellStyle name="Note 2 3" xfId="1555" xr:uid="{00000000-0005-0000-0000-00004D060000}"/>
    <cellStyle name="Note 2 30" xfId="1556" xr:uid="{00000000-0005-0000-0000-00004E060000}"/>
    <cellStyle name="Note 2 31" xfId="1557" xr:uid="{00000000-0005-0000-0000-00004F060000}"/>
    <cellStyle name="Note 2 4" xfId="1558" xr:uid="{00000000-0005-0000-0000-000050060000}"/>
    <cellStyle name="Note 2 4 10" xfId="1559" xr:uid="{00000000-0005-0000-0000-000051060000}"/>
    <cellStyle name="Note 2 4 11" xfId="1560" xr:uid="{00000000-0005-0000-0000-000052060000}"/>
    <cellStyle name="Note 2 4 12" xfId="1561" xr:uid="{00000000-0005-0000-0000-000053060000}"/>
    <cellStyle name="Note 2 4 13" xfId="1562" xr:uid="{00000000-0005-0000-0000-000054060000}"/>
    <cellStyle name="Note 2 4 14" xfId="1563" xr:uid="{00000000-0005-0000-0000-000055060000}"/>
    <cellStyle name="Note 2 4 15" xfId="1564" xr:uid="{00000000-0005-0000-0000-000056060000}"/>
    <cellStyle name="Note 2 4 16" xfId="1565" xr:uid="{00000000-0005-0000-0000-000057060000}"/>
    <cellStyle name="Note 2 4 17" xfId="1566" xr:uid="{00000000-0005-0000-0000-000058060000}"/>
    <cellStyle name="Note 2 4 18" xfId="1567" xr:uid="{00000000-0005-0000-0000-000059060000}"/>
    <cellStyle name="Note 2 4 19" xfId="1568" xr:uid="{00000000-0005-0000-0000-00005A060000}"/>
    <cellStyle name="Note 2 4 2" xfId="1569" xr:uid="{00000000-0005-0000-0000-00005B060000}"/>
    <cellStyle name="Note 2 4 2 10" xfId="1570" xr:uid="{00000000-0005-0000-0000-00005C060000}"/>
    <cellStyle name="Note 2 4 2 11" xfId="1571" xr:uid="{00000000-0005-0000-0000-00005D060000}"/>
    <cellStyle name="Note 2 4 2 12" xfId="1572" xr:uid="{00000000-0005-0000-0000-00005E060000}"/>
    <cellStyle name="Note 2 4 2 13" xfId="1573" xr:uid="{00000000-0005-0000-0000-00005F060000}"/>
    <cellStyle name="Note 2 4 2 14" xfId="1574" xr:uid="{00000000-0005-0000-0000-000060060000}"/>
    <cellStyle name="Note 2 4 2 15" xfId="1575" xr:uid="{00000000-0005-0000-0000-000061060000}"/>
    <cellStyle name="Note 2 4 2 16" xfId="1576" xr:uid="{00000000-0005-0000-0000-000062060000}"/>
    <cellStyle name="Note 2 4 2 17" xfId="1577" xr:uid="{00000000-0005-0000-0000-000063060000}"/>
    <cellStyle name="Note 2 4 2 18" xfId="1578" xr:uid="{00000000-0005-0000-0000-000064060000}"/>
    <cellStyle name="Note 2 4 2 2" xfId="1579" xr:uid="{00000000-0005-0000-0000-000065060000}"/>
    <cellStyle name="Note 2 4 2 2 10" xfId="1580" xr:uid="{00000000-0005-0000-0000-000066060000}"/>
    <cellStyle name="Note 2 4 2 2 11" xfId="1581" xr:uid="{00000000-0005-0000-0000-000067060000}"/>
    <cellStyle name="Note 2 4 2 2 12" xfId="1582" xr:uid="{00000000-0005-0000-0000-000068060000}"/>
    <cellStyle name="Note 2 4 2 2 13" xfId="1583" xr:uid="{00000000-0005-0000-0000-000069060000}"/>
    <cellStyle name="Note 2 4 2 2 14" xfId="1584" xr:uid="{00000000-0005-0000-0000-00006A060000}"/>
    <cellStyle name="Note 2 4 2 2 15" xfId="1585" xr:uid="{00000000-0005-0000-0000-00006B060000}"/>
    <cellStyle name="Note 2 4 2 2 16" xfId="1586" xr:uid="{00000000-0005-0000-0000-00006C060000}"/>
    <cellStyle name="Note 2 4 2 2 17" xfId="1587" xr:uid="{00000000-0005-0000-0000-00006D060000}"/>
    <cellStyle name="Note 2 4 2 2 18" xfId="1588" xr:uid="{00000000-0005-0000-0000-00006E060000}"/>
    <cellStyle name="Note 2 4 2 2 2" xfId="1589" xr:uid="{00000000-0005-0000-0000-00006F060000}"/>
    <cellStyle name="Note 2 4 2 2 2 10" xfId="1590" xr:uid="{00000000-0005-0000-0000-000070060000}"/>
    <cellStyle name="Note 2 4 2 2 2 11" xfId="1591" xr:uid="{00000000-0005-0000-0000-000071060000}"/>
    <cellStyle name="Note 2 4 2 2 2 12" xfId="1592" xr:uid="{00000000-0005-0000-0000-000072060000}"/>
    <cellStyle name="Note 2 4 2 2 2 13" xfId="1593" xr:uid="{00000000-0005-0000-0000-000073060000}"/>
    <cellStyle name="Note 2 4 2 2 2 14" xfId="1594" xr:uid="{00000000-0005-0000-0000-000074060000}"/>
    <cellStyle name="Note 2 4 2 2 2 15" xfId="1595" xr:uid="{00000000-0005-0000-0000-000075060000}"/>
    <cellStyle name="Note 2 4 2 2 2 2" xfId="1596" xr:uid="{00000000-0005-0000-0000-000076060000}"/>
    <cellStyle name="Note 2 4 2 2 2 2 10" xfId="1597" xr:uid="{00000000-0005-0000-0000-000077060000}"/>
    <cellStyle name="Note 2 4 2 2 2 2 11" xfId="1598" xr:uid="{00000000-0005-0000-0000-000078060000}"/>
    <cellStyle name="Note 2 4 2 2 2 2 12" xfId="1599" xr:uid="{00000000-0005-0000-0000-000079060000}"/>
    <cellStyle name="Note 2 4 2 2 2 2 13" xfId="1600" xr:uid="{00000000-0005-0000-0000-00007A060000}"/>
    <cellStyle name="Note 2 4 2 2 2 2 14" xfId="1601" xr:uid="{00000000-0005-0000-0000-00007B060000}"/>
    <cellStyle name="Note 2 4 2 2 2 2 15" xfId="1602" xr:uid="{00000000-0005-0000-0000-00007C060000}"/>
    <cellStyle name="Note 2 4 2 2 2 2 2" xfId="1603" xr:uid="{00000000-0005-0000-0000-00007D060000}"/>
    <cellStyle name="Note 2 4 2 2 2 2 3" xfId="1604" xr:uid="{00000000-0005-0000-0000-00007E060000}"/>
    <cellStyle name="Note 2 4 2 2 2 2 4" xfId="1605" xr:uid="{00000000-0005-0000-0000-00007F060000}"/>
    <cellStyle name="Note 2 4 2 2 2 2 5" xfId="1606" xr:uid="{00000000-0005-0000-0000-000080060000}"/>
    <cellStyle name="Note 2 4 2 2 2 2 6" xfId="1607" xr:uid="{00000000-0005-0000-0000-000081060000}"/>
    <cellStyle name="Note 2 4 2 2 2 2 7" xfId="1608" xr:uid="{00000000-0005-0000-0000-000082060000}"/>
    <cellStyle name="Note 2 4 2 2 2 2 8" xfId="1609" xr:uid="{00000000-0005-0000-0000-000083060000}"/>
    <cellStyle name="Note 2 4 2 2 2 2 9" xfId="1610" xr:uid="{00000000-0005-0000-0000-000084060000}"/>
    <cellStyle name="Note 2 4 2 2 2 2_Qualifying Units" xfId="1611" xr:uid="{00000000-0005-0000-0000-000085060000}"/>
    <cellStyle name="Note 2 4 2 2 2 3" xfId="1612" xr:uid="{00000000-0005-0000-0000-000086060000}"/>
    <cellStyle name="Note 2 4 2 2 2 4" xfId="1613" xr:uid="{00000000-0005-0000-0000-000087060000}"/>
    <cellStyle name="Note 2 4 2 2 2 5" xfId="1614" xr:uid="{00000000-0005-0000-0000-000088060000}"/>
    <cellStyle name="Note 2 4 2 2 2 6" xfId="1615" xr:uid="{00000000-0005-0000-0000-000089060000}"/>
    <cellStyle name="Note 2 4 2 2 2 7" xfId="1616" xr:uid="{00000000-0005-0000-0000-00008A060000}"/>
    <cellStyle name="Note 2 4 2 2 2 8" xfId="1617" xr:uid="{00000000-0005-0000-0000-00008B060000}"/>
    <cellStyle name="Note 2 4 2 2 2 9" xfId="1618" xr:uid="{00000000-0005-0000-0000-00008C060000}"/>
    <cellStyle name="Note 2 4 2 2 2_Qualifying Units" xfId="1619" xr:uid="{00000000-0005-0000-0000-00008D060000}"/>
    <cellStyle name="Note 2 4 2 2 3" xfId="1620" xr:uid="{00000000-0005-0000-0000-00008E060000}"/>
    <cellStyle name="Note 2 4 2 2 4" xfId="1621" xr:uid="{00000000-0005-0000-0000-00008F060000}"/>
    <cellStyle name="Note 2 4 2 2 5" xfId="1622" xr:uid="{00000000-0005-0000-0000-000090060000}"/>
    <cellStyle name="Note 2 4 2 2 6" xfId="1623" xr:uid="{00000000-0005-0000-0000-000091060000}"/>
    <cellStyle name="Note 2 4 2 2 7" xfId="1624" xr:uid="{00000000-0005-0000-0000-000092060000}"/>
    <cellStyle name="Note 2 4 2 2 8" xfId="1625" xr:uid="{00000000-0005-0000-0000-000093060000}"/>
    <cellStyle name="Note 2 4 2 2 9" xfId="1626" xr:uid="{00000000-0005-0000-0000-000094060000}"/>
    <cellStyle name="Note 2 4 2 2_Qualifying Units" xfId="1627" xr:uid="{00000000-0005-0000-0000-000095060000}"/>
    <cellStyle name="Note 2 4 2 3" xfId="1628" xr:uid="{00000000-0005-0000-0000-000096060000}"/>
    <cellStyle name="Note 2 4 2 3 2" xfId="1629" xr:uid="{00000000-0005-0000-0000-000097060000}"/>
    <cellStyle name="Note 2 4 2 3_Qualifying Units" xfId="1630" xr:uid="{00000000-0005-0000-0000-000098060000}"/>
    <cellStyle name="Note 2 4 2 4" xfId="1631" xr:uid="{00000000-0005-0000-0000-000099060000}"/>
    <cellStyle name="Note 2 4 2 5" xfId="1632" xr:uid="{00000000-0005-0000-0000-00009A060000}"/>
    <cellStyle name="Note 2 4 2 6" xfId="1633" xr:uid="{00000000-0005-0000-0000-00009B060000}"/>
    <cellStyle name="Note 2 4 2 7" xfId="1634" xr:uid="{00000000-0005-0000-0000-00009C060000}"/>
    <cellStyle name="Note 2 4 2 8" xfId="1635" xr:uid="{00000000-0005-0000-0000-00009D060000}"/>
    <cellStyle name="Note 2 4 2 9" xfId="1636" xr:uid="{00000000-0005-0000-0000-00009E060000}"/>
    <cellStyle name="Note 2 4 2_Qualifying Units" xfId="1637" xr:uid="{00000000-0005-0000-0000-00009F060000}"/>
    <cellStyle name="Note 2 4 3" xfId="1638" xr:uid="{00000000-0005-0000-0000-0000A0060000}"/>
    <cellStyle name="Note 2 4 3 2" xfId="1639" xr:uid="{00000000-0005-0000-0000-0000A1060000}"/>
    <cellStyle name="Note 2 4 3_Qualifying Units" xfId="1640" xr:uid="{00000000-0005-0000-0000-0000A2060000}"/>
    <cellStyle name="Note 2 4 4" xfId="1641" xr:uid="{00000000-0005-0000-0000-0000A3060000}"/>
    <cellStyle name="Note 2 4 5" xfId="1642" xr:uid="{00000000-0005-0000-0000-0000A4060000}"/>
    <cellStyle name="Note 2 4 6" xfId="1643" xr:uid="{00000000-0005-0000-0000-0000A5060000}"/>
    <cellStyle name="Note 2 4 7" xfId="1644" xr:uid="{00000000-0005-0000-0000-0000A6060000}"/>
    <cellStyle name="Note 2 4 8" xfId="1645" xr:uid="{00000000-0005-0000-0000-0000A7060000}"/>
    <cellStyle name="Note 2 4 9" xfId="1646" xr:uid="{00000000-0005-0000-0000-0000A8060000}"/>
    <cellStyle name="Note 2 4_Qualifying Units" xfId="1647" xr:uid="{00000000-0005-0000-0000-0000A9060000}"/>
    <cellStyle name="Note 2 5" xfId="1648" xr:uid="{00000000-0005-0000-0000-0000AA060000}"/>
    <cellStyle name="Note 2 6" xfId="1649" xr:uid="{00000000-0005-0000-0000-0000AB060000}"/>
    <cellStyle name="Note 2 7" xfId="1650" xr:uid="{00000000-0005-0000-0000-0000AC060000}"/>
    <cellStyle name="Note 2 8" xfId="1651" xr:uid="{00000000-0005-0000-0000-0000AD060000}"/>
    <cellStyle name="Note 2 9" xfId="1652" xr:uid="{00000000-0005-0000-0000-0000AE060000}"/>
    <cellStyle name="Note 2_Idaho" xfId="1653" xr:uid="{00000000-0005-0000-0000-0000AF060000}"/>
    <cellStyle name="Note 20" xfId="1654" xr:uid="{00000000-0005-0000-0000-0000B0060000}"/>
    <cellStyle name="Note 21" xfId="1655" xr:uid="{00000000-0005-0000-0000-0000B1060000}"/>
    <cellStyle name="Note 22" xfId="1656" xr:uid="{00000000-0005-0000-0000-0000B2060000}"/>
    <cellStyle name="Note 23" xfId="1657" xr:uid="{00000000-0005-0000-0000-0000B3060000}"/>
    <cellStyle name="Note 24" xfId="1658" xr:uid="{00000000-0005-0000-0000-0000B4060000}"/>
    <cellStyle name="Note 25" xfId="1659" xr:uid="{00000000-0005-0000-0000-0000B5060000}"/>
    <cellStyle name="Note 26" xfId="1660" xr:uid="{00000000-0005-0000-0000-0000B6060000}"/>
    <cellStyle name="Note 27" xfId="1661" xr:uid="{00000000-0005-0000-0000-0000B7060000}"/>
    <cellStyle name="Note 28" xfId="1662" xr:uid="{00000000-0005-0000-0000-0000B8060000}"/>
    <cellStyle name="Note 29" xfId="1663" xr:uid="{00000000-0005-0000-0000-0000B9060000}"/>
    <cellStyle name="Note 3" xfId="1664" xr:uid="{00000000-0005-0000-0000-0000BA060000}"/>
    <cellStyle name="Note 3 2" xfId="1665" xr:uid="{00000000-0005-0000-0000-0000BB060000}"/>
    <cellStyle name="Note 3 3" xfId="1666" xr:uid="{00000000-0005-0000-0000-0000BC060000}"/>
    <cellStyle name="Note 3 4" xfId="1667" xr:uid="{00000000-0005-0000-0000-0000BD060000}"/>
    <cellStyle name="Note 3_Idaho" xfId="1668" xr:uid="{00000000-0005-0000-0000-0000BE060000}"/>
    <cellStyle name="Note 30" xfId="1669" xr:uid="{00000000-0005-0000-0000-0000BF060000}"/>
    <cellStyle name="Note 31" xfId="1670" xr:uid="{00000000-0005-0000-0000-0000C0060000}"/>
    <cellStyle name="Note 32" xfId="1671" xr:uid="{00000000-0005-0000-0000-0000C1060000}"/>
    <cellStyle name="Note 33" xfId="1672" xr:uid="{00000000-0005-0000-0000-0000C2060000}"/>
    <cellStyle name="Note 34" xfId="1673" xr:uid="{00000000-0005-0000-0000-0000C3060000}"/>
    <cellStyle name="Note 35" xfId="1674" xr:uid="{00000000-0005-0000-0000-0000C4060000}"/>
    <cellStyle name="Note 36" xfId="1675" xr:uid="{00000000-0005-0000-0000-0000C5060000}"/>
    <cellStyle name="Note 37" xfId="1676" xr:uid="{00000000-0005-0000-0000-0000C6060000}"/>
    <cellStyle name="Note 38" xfId="1677" xr:uid="{00000000-0005-0000-0000-0000C7060000}"/>
    <cellStyle name="Note 39" xfId="1678" xr:uid="{00000000-0005-0000-0000-0000C8060000}"/>
    <cellStyle name="Note 4" xfId="1679" xr:uid="{00000000-0005-0000-0000-0000C9060000}"/>
    <cellStyle name="Note 4 2" xfId="1680" xr:uid="{00000000-0005-0000-0000-0000CA060000}"/>
    <cellStyle name="Note 4 3" xfId="1681" xr:uid="{00000000-0005-0000-0000-0000CB060000}"/>
    <cellStyle name="Note 4_Idaho" xfId="1682" xr:uid="{00000000-0005-0000-0000-0000CC060000}"/>
    <cellStyle name="Note 40" xfId="1683" xr:uid="{00000000-0005-0000-0000-0000CD060000}"/>
    <cellStyle name="Note 41" xfId="1684" xr:uid="{00000000-0005-0000-0000-0000CE060000}"/>
    <cellStyle name="Note 42" xfId="1685" xr:uid="{00000000-0005-0000-0000-0000CF060000}"/>
    <cellStyle name="Note 43" xfId="1686" xr:uid="{00000000-0005-0000-0000-0000D0060000}"/>
    <cellStyle name="Note 44" xfId="1687" xr:uid="{00000000-0005-0000-0000-0000D1060000}"/>
    <cellStyle name="Note 45" xfId="1688" xr:uid="{00000000-0005-0000-0000-0000D2060000}"/>
    <cellStyle name="Note 5" xfId="1689" xr:uid="{00000000-0005-0000-0000-0000D3060000}"/>
    <cellStyle name="Note 5 2" xfId="1690" xr:uid="{00000000-0005-0000-0000-0000D4060000}"/>
    <cellStyle name="Note 5_Idaho" xfId="1691" xr:uid="{00000000-0005-0000-0000-0000D5060000}"/>
    <cellStyle name="Note 6" xfId="1692" xr:uid="{00000000-0005-0000-0000-0000D6060000}"/>
    <cellStyle name="Note 7" xfId="1693" xr:uid="{00000000-0005-0000-0000-0000D7060000}"/>
    <cellStyle name="Note 8" xfId="1694" xr:uid="{00000000-0005-0000-0000-0000D8060000}"/>
    <cellStyle name="Note 9" xfId="1695" xr:uid="{00000000-0005-0000-0000-0000D9060000}"/>
    <cellStyle name="Output 2" xfId="1696" xr:uid="{00000000-0005-0000-0000-0000DA060000}"/>
    <cellStyle name="Output 2 2" xfId="1697" xr:uid="{00000000-0005-0000-0000-0000DB060000}"/>
    <cellStyle name="Output 2 3" xfId="1698" xr:uid="{00000000-0005-0000-0000-0000DC060000}"/>
    <cellStyle name="Output 2 4" xfId="1699" xr:uid="{00000000-0005-0000-0000-0000DD060000}"/>
    <cellStyle name="Output 2 5" xfId="1700" xr:uid="{00000000-0005-0000-0000-0000DE060000}"/>
    <cellStyle name="Output 2_Idaho" xfId="1701" xr:uid="{00000000-0005-0000-0000-0000DF060000}"/>
    <cellStyle name="Output 3" xfId="1702" xr:uid="{00000000-0005-0000-0000-0000E0060000}"/>
    <cellStyle name="Output 3 2" xfId="1703" xr:uid="{00000000-0005-0000-0000-0000E1060000}"/>
    <cellStyle name="Output 3 3" xfId="1704" xr:uid="{00000000-0005-0000-0000-0000E2060000}"/>
    <cellStyle name="Output 3 4" xfId="1705" xr:uid="{00000000-0005-0000-0000-0000E3060000}"/>
    <cellStyle name="Output 3_Idaho" xfId="1706" xr:uid="{00000000-0005-0000-0000-0000E4060000}"/>
    <cellStyle name="Output 4" xfId="1707" xr:uid="{00000000-0005-0000-0000-0000E5060000}"/>
    <cellStyle name="Output 4 2" xfId="1708" xr:uid="{00000000-0005-0000-0000-0000E6060000}"/>
    <cellStyle name="Output 4 3" xfId="1709" xr:uid="{00000000-0005-0000-0000-0000E7060000}"/>
    <cellStyle name="Output 4_Idaho" xfId="1710" xr:uid="{00000000-0005-0000-0000-0000E8060000}"/>
    <cellStyle name="Output 5" xfId="1711" xr:uid="{00000000-0005-0000-0000-0000E9060000}"/>
    <cellStyle name="Output 5 2" xfId="1712" xr:uid="{00000000-0005-0000-0000-0000EA060000}"/>
    <cellStyle name="Output 5_Idaho" xfId="1713" xr:uid="{00000000-0005-0000-0000-0000EB060000}"/>
    <cellStyle name="Output 6" xfId="1714" xr:uid="{00000000-0005-0000-0000-0000EC060000}"/>
    <cellStyle name="Output 7" xfId="1715" xr:uid="{00000000-0005-0000-0000-0000ED060000}"/>
    <cellStyle name="Percent" xfId="1847" builtinId="5"/>
    <cellStyle name="Percent 2" xfId="1716" xr:uid="{00000000-0005-0000-0000-0000EE060000}"/>
    <cellStyle name="Percent 2 2" xfId="1717" xr:uid="{00000000-0005-0000-0000-0000EF060000}"/>
    <cellStyle name="Percent 2 3" xfId="1718" xr:uid="{00000000-0005-0000-0000-0000F0060000}"/>
    <cellStyle name="Percent 2 4" xfId="1719" xr:uid="{00000000-0005-0000-0000-0000F1060000}"/>
    <cellStyle name="Percent 2 5" xfId="1720" xr:uid="{00000000-0005-0000-0000-0000F2060000}"/>
    <cellStyle name="Percent 2 6" xfId="1721" xr:uid="{00000000-0005-0000-0000-0000F3060000}"/>
    <cellStyle name="Percent 2 7" xfId="1722" xr:uid="{00000000-0005-0000-0000-0000F4060000}"/>
    <cellStyle name="Percent 3" xfId="1723" xr:uid="{00000000-0005-0000-0000-0000F5060000}"/>
    <cellStyle name="Style 1" xfId="1724" xr:uid="{00000000-0005-0000-0000-0000F6060000}"/>
    <cellStyle name="Style 21" xfId="1725" xr:uid="{00000000-0005-0000-0000-0000F7060000}"/>
    <cellStyle name="Style 22" xfId="1726" xr:uid="{00000000-0005-0000-0000-0000F8060000}"/>
    <cellStyle name="Style 23" xfId="1727" xr:uid="{00000000-0005-0000-0000-0000F9060000}"/>
    <cellStyle name="Style 24" xfId="1728" xr:uid="{00000000-0005-0000-0000-0000FA060000}"/>
    <cellStyle name="Style 25" xfId="1729" xr:uid="{00000000-0005-0000-0000-0000FB060000}"/>
    <cellStyle name="Style 26" xfId="1730" xr:uid="{00000000-0005-0000-0000-0000FC060000}"/>
    <cellStyle name="Style 27" xfId="1731" xr:uid="{00000000-0005-0000-0000-0000FD060000}"/>
    <cellStyle name="Title 2" xfId="1732" xr:uid="{00000000-0005-0000-0000-0000FE060000}"/>
    <cellStyle name="Title 2 2" xfId="1733" xr:uid="{00000000-0005-0000-0000-0000FF060000}"/>
    <cellStyle name="Title 2 3" xfId="1734" xr:uid="{00000000-0005-0000-0000-000000070000}"/>
    <cellStyle name="Title 2 4" xfId="1735" xr:uid="{00000000-0005-0000-0000-000001070000}"/>
    <cellStyle name="Title 2 5" xfId="1736" xr:uid="{00000000-0005-0000-0000-000002070000}"/>
    <cellStyle name="Title 3" xfId="1737" xr:uid="{00000000-0005-0000-0000-000003070000}"/>
    <cellStyle name="Title 3 2" xfId="1738" xr:uid="{00000000-0005-0000-0000-000004070000}"/>
    <cellStyle name="Title 3 3" xfId="1739" xr:uid="{00000000-0005-0000-0000-000005070000}"/>
    <cellStyle name="Title 3 4" xfId="1740" xr:uid="{00000000-0005-0000-0000-000006070000}"/>
    <cellStyle name="Title 4" xfId="1741" xr:uid="{00000000-0005-0000-0000-000007070000}"/>
    <cellStyle name="Title 4 2" xfId="1742" xr:uid="{00000000-0005-0000-0000-000008070000}"/>
    <cellStyle name="Title 4 3" xfId="1743" xr:uid="{00000000-0005-0000-0000-000009070000}"/>
    <cellStyle name="Title 5" xfId="1744" xr:uid="{00000000-0005-0000-0000-00000A070000}"/>
    <cellStyle name="Title 5 2" xfId="1745" xr:uid="{00000000-0005-0000-0000-00000B070000}"/>
    <cellStyle name="Title 6" xfId="1746" xr:uid="{00000000-0005-0000-0000-00000C070000}"/>
    <cellStyle name="Title 7" xfId="1747" xr:uid="{00000000-0005-0000-0000-00000D070000}"/>
    <cellStyle name="Total 2" xfId="1748" xr:uid="{00000000-0005-0000-0000-00000E070000}"/>
    <cellStyle name="Total 2 2" xfId="1749" xr:uid="{00000000-0005-0000-0000-00000F070000}"/>
    <cellStyle name="Total 2 3" xfId="1750" xr:uid="{00000000-0005-0000-0000-000010070000}"/>
    <cellStyle name="Total 2 4" xfId="1751" xr:uid="{00000000-0005-0000-0000-000011070000}"/>
    <cellStyle name="Total 2 5" xfId="1752" xr:uid="{00000000-0005-0000-0000-000012070000}"/>
    <cellStyle name="Total 2_Idaho" xfId="1753" xr:uid="{00000000-0005-0000-0000-000013070000}"/>
    <cellStyle name="Total 3" xfId="1754" xr:uid="{00000000-0005-0000-0000-000014070000}"/>
    <cellStyle name="Total 3 2" xfId="1755" xr:uid="{00000000-0005-0000-0000-000015070000}"/>
    <cellStyle name="Total 3 3" xfId="1756" xr:uid="{00000000-0005-0000-0000-000016070000}"/>
    <cellStyle name="Total 3 4" xfId="1757" xr:uid="{00000000-0005-0000-0000-000017070000}"/>
    <cellStyle name="Total 3_Idaho" xfId="1758" xr:uid="{00000000-0005-0000-0000-000018070000}"/>
    <cellStyle name="Total 4" xfId="1759" xr:uid="{00000000-0005-0000-0000-000019070000}"/>
    <cellStyle name="Total 4 2" xfId="1760" xr:uid="{00000000-0005-0000-0000-00001A070000}"/>
    <cellStyle name="Total 4 3" xfId="1761" xr:uid="{00000000-0005-0000-0000-00001B070000}"/>
    <cellStyle name="Total 4_Idaho" xfId="1762" xr:uid="{00000000-0005-0000-0000-00001C070000}"/>
    <cellStyle name="Total 5" xfId="1763" xr:uid="{00000000-0005-0000-0000-00001D070000}"/>
    <cellStyle name="Total 5 2" xfId="1764" xr:uid="{00000000-0005-0000-0000-00001E070000}"/>
    <cellStyle name="Total 5_Idaho" xfId="1765" xr:uid="{00000000-0005-0000-0000-00001F070000}"/>
    <cellStyle name="Total 6" xfId="1766" xr:uid="{00000000-0005-0000-0000-000020070000}"/>
    <cellStyle name="Total 7" xfId="1767" xr:uid="{00000000-0005-0000-0000-000021070000}"/>
    <cellStyle name="Total 8" xfId="1768" xr:uid="{00000000-0005-0000-0000-000022070000}"/>
    <cellStyle name="TRANSMISSION RELIABILITY PORTION OF PROJECT" xfId="1769" xr:uid="{00000000-0005-0000-0000-000023070000}"/>
    <cellStyle name="TRANSMISSION RELIABILITY PORTION OF PROJECT 2" xfId="1815" xr:uid="{00000000-0005-0000-0000-000024070000}"/>
    <cellStyle name="Warning Text 2" xfId="1770" xr:uid="{00000000-0005-0000-0000-000025070000}"/>
    <cellStyle name="Warning Text 2 2" xfId="1771" xr:uid="{00000000-0005-0000-0000-000026070000}"/>
    <cellStyle name="Warning Text 2 3" xfId="1772" xr:uid="{00000000-0005-0000-0000-000027070000}"/>
    <cellStyle name="Warning Text 2 4" xfId="1773" xr:uid="{00000000-0005-0000-0000-000028070000}"/>
    <cellStyle name="Warning Text 2 5" xfId="1774" xr:uid="{00000000-0005-0000-0000-000029070000}"/>
    <cellStyle name="Warning Text 3" xfId="1775" xr:uid="{00000000-0005-0000-0000-00002A070000}"/>
    <cellStyle name="Warning Text 3 2" xfId="1776" xr:uid="{00000000-0005-0000-0000-00002B070000}"/>
    <cellStyle name="Warning Text 3 3" xfId="1777" xr:uid="{00000000-0005-0000-0000-00002C070000}"/>
    <cellStyle name="Warning Text 3 4" xfId="1778" xr:uid="{00000000-0005-0000-0000-00002D070000}"/>
    <cellStyle name="Warning Text 4" xfId="1779" xr:uid="{00000000-0005-0000-0000-00002E070000}"/>
    <cellStyle name="Warning Text 4 2" xfId="1780" xr:uid="{00000000-0005-0000-0000-00002F070000}"/>
    <cellStyle name="Warning Text 4 3" xfId="1781" xr:uid="{00000000-0005-0000-0000-000030070000}"/>
    <cellStyle name="Warning Text 5" xfId="1782" xr:uid="{00000000-0005-0000-0000-000031070000}"/>
    <cellStyle name="Warning Text 5 2" xfId="1783" xr:uid="{00000000-0005-0000-0000-000032070000}"/>
    <cellStyle name="Warning Text 6" xfId="1784" xr:uid="{00000000-0005-0000-0000-000033070000}"/>
    <cellStyle name="Warning Text 7" xfId="1785" xr:uid="{00000000-0005-0000-0000-000034070000}"/>
    <cellStyle name="표준_ENERGY CONSUMP" xfId="1786" xr:uid="{00000000-0005-0000-0000-000035070000}"/>
    <cellStyle name="常规_海外市场服务网站资料操作BOM" xfId="1787" xr:uid="{00000000-0005-0000-0000-00003607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WA601rc\Copy%20of%20Models%20as%20Filed\Ram%20Dec%201998%20-%20WA%20Rate%20CaseRevis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arketing\PacifiCorp\PCorp%20EIA%20Sales%20Dat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keting\PacifiCorp\PCorp%20EIA%20Sales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22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9%20Projects\2009-137%20(PC)%20Utah%20Annual%20Report%20%7b6014.0011%7d\2008%20Annual%20Report\Utah%20HESI%200424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Projects\2009-137%20(PC)%20Utah%20Annual%20Report%20%7b6014.0011%7d\2008%20Annual%20Report\Utah%20HESI%200424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189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MANAGEMENT\CE%20MODELING%20and%20%20AMW%20REPORTING\TRACKING%20AND%20REPORTS\Savings%20Tracking\NEEA%20Funder%20Savings%20Tracking_FY2009_Feb4_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ES\Wyoming98\East%20West%20Rate%20Migrati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12-05-JAM%20upda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John%20Petrusich\DSM\Recovery%20Files\2007\11-2007-RECOV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ES\Wyoming98\EAST97%20B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1\Integration%20plans\Rate%20design%20options\Wyo%202001%20COS%20Summary%20-%201st%20Dra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639\Local%20Settings\Temporary%20Internet%20Files\Content.Outlook\7DES93QX\RECOV10%20-%20WA%20by%20Revenue%20Class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3.04%20Planning\SAP%20Upload%20Masters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GENERAL\Regulatory%20Accounting\JAN%20LEWIS\Profit%20center%20JV%20changes%20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9653\My%20Documents\Oregon%20Rate%20Case\SB%201149\Rebuttal\MC%20OR%202001%20Rebutt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s\PacifiCorp\2003%20Support\HVAC%20and%20Motor%20Trade%20Ally\Market%20Characterization\PCorp%20Utah%20EIA%20Sales%20Da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acifiCorp\2003%20Support\HVAC%20and%20Motor%20Trade%20Ally\Market%20Characterization\PCorp%20Utah%20EIA%20Sales%20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cky\SAP\Accrual\Old%20sheet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305A\Book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10829\Local%20Settings\Temporary%20Internet%20Files\OLK3E\Accrual\Old%20shee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0829\Local%20Settings\Temporary%20Internet%20Files\OLK3E\Accrual\Old%20shee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4">
          <cell r="AP14">
            <v>1</v>
          </cell>
        </row>
        <row r="15">
          <cell r="AK15" t="str">
            <v>WASHINGTON</v>
          </cell>
          <cell r="AL15">
            <v>3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923</v>
          </cell>
        </row>
        <row r="242">
          <cell r="AK242">
            <v>924</v>
          </cell>
        </row>
        <row r="243">
          <cell r="AK243">
            <v>925</v>
          </cell>
        </row>
        <row r="244">
          <cell r="AK244">
            <v>926</v>
          </cell>
        </row>
        <row r="245">
          <cell r="AK245">
            <v>927</v>
          </cell>
        </row>
        <row r="246">
          <cell r="AK246">
            <v>928</v>
          </cell>
        </row>
        <row r="247">
          <cell r="AK247">
            <v>929</v>
          </cell>
        </row>
        <row r="248">
          <cell r="AK248">
            <v>930</v>
          </cell>
        </row>
        <row r="249">
          <cell r="AK249">
            <v>931</v>
          </cell>
        </row>
        <row r="250">
          <cell r="AK250">
            <v>935</v>
          </cell>
        </row>
        <row r="251">
          <cell r="AK251">
            <v>1869</v>
          </cell>
        </row>
        <row r="252">
          <cell r="AK252">
            <v>2281</v>
          </cell>
        </row>
        <row r="253">
          <cell r="AK253">
            <v>2282</v>
          </cell>
        </row>
        <row r="254">
          <cell r="AK254">
            <v>2283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/>
      <sheetData sheetId="12"/>
      <sheetData sheetId="13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</v>
          </cell>
        </row>
        <row r="4">
          <cell r="B4" t="str">
            <v>SG</v>
          </cell>
          <cell r="E4">
            <v>0.99999999999999989</v>
          </cell>
          <cell r="F4">
            <v>0</v>
          </cell>
          <cell r="G4">
            <v>0.35082762132676287</v>
          </cell>
          <cell r="H4">
            <v>9.6944050780598742E-2</v>
          </cell>
          <cell r="I4">
            <v>0</v>
          </cell>
          <cell r="J4">
            <v>0.12676877833264519</v>
          </cell>
          <cell r="K4">
            <v>0.36303713480947541</v>
          </cell>
          <cell r="L4">
            <v>4.4512270624606991E-2</v>
          </cell>
          <cell r="M4">
            <v>1.6042572055640081E-2</v>
          </cell>
          <cell r="N4">
            <v>1.8675720702706947E-3</v>
          </cell>
          <cell r="O4">
            <v>0</v>
          </cell>
          <cell r="P4">
            <v>0</v>
          </cell>
          <cell r="S4" t="str">
            <v>SG</v>
          </cell>
          <cell r="V4">
            <v>0.99999999999999989</v>
          </cell>
          <cell r="W4">
            <v>2.2458211140863396E-2</v>
          </cell>
          <cell r="X4">
            <v>0.33705100044538938</v>
          </cell>
          <cell r="Y4">
            <v>9.3136981738394464E-2</v>
          </cell>
          <cell r="Z4">
            <v>1.6809430292650182E-2</v>
          </cell>
          <cell r="AA4">
            <v>0.12179157728178706</v>
          </cell>
          <cell r="AB4">
            <v>0.3487813850235344</v>
          </cell>
          <cell r="AC4">
            <v>4.2764450621661579E-2</v>
          </cell>
          <cell r="AD4">
            <v>1.5412729858099435E-2</v>
          </cell>
          <cell r="AE4">
            <v>1.7942335976200712E-3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0.99999999999999989</v>
          </cell>
          <cell r="F5">
            <v>0</v>
          </cell>
          <cell r="G5">
            <v>0.35082762132676287</v>
          </cell>
          <cell r="H5">
            <v>9.6944050780598742E-2</v>
          </cell>
          <cell r="I5">
            <v>0</v>
          </cell>
          <cell r="J5">
            <v>0.12676877833264519</v>
          </cell>
          <cell r="K5">
            <v>0.36303713480947541</v>
          </cell>
          <cell r="L5">
            <v>4.4512270624606991E-2</v>
          </cell>
          <cell r="M5">
            <v>1.6042572055640081E-2</v>
          </cell>
          <cell r="N5">
            <v>1.8675720702706947E-3</v>
          </cell>
          <cell r="O5">
            <v>0</v>
          </cell>
          <cell r="P5">
            <v>0</v>
          </cell>
          <cell r="S5" t="str">
            <v>SG-P</v>
          </cell>
          <cell r="V5">
            <v>0.99999999999999989</v>
          </cell>
          <cell r="W5">
            <v>2.2458211140863396E-2</v>
          </cell>
          <cell r="X5">
            <v>0.33705100044538938</v>
          </cell>
          <cell r="Y5">
            <v>9.3136981738394464E-2</v>
          </cell>
          <cell r="Z5">
            <v>1.6809430292650182E-2</v>
          </cell>
          <cell r="AA5">
            <v>0.12179157728178706</v>
          </cell>
          <cell r="AB5">
            <v>0.3487813850235344</v>
          </cell>
          <cell r="AC5">
            <v>4.2764450621661579E-2</v>
          </cell>
          <cell r="AD5">
            <v>1.5412729858099435E-2</v>
          </cell>
          <cell r="AE5">
            <v>1.7942335976200712E-3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0.99999999999999989</v>
          </cell>
          <cell r="F6">
            <v>0</v>
          </cell>
          <cell r="G6">
            <v>0.35082762132676287</v>
          </cell>
          <cell r="H6">
            <v>9.6944050780598742E-2</v>
          </cell>
          <cell r="I6">
            <v>0</v>
          </cell>
          <cell r="J6">
            <v>0.12676877833264519</v>
          </cell>
          <cell r="K6">
            <v>0.36303713480947541</v>
          </cell>
          <cell r="L6">
            <v>4.4512270624606991E-2</v>
          </cell>
          <cell r="M6">
            <v>1.6042572055640081E-2</v>
          </cell>
          <cell r="N6">
            <v>1.8675720702706947E-3</v>
          </cell>
          <cell r="O6">
            <v>0</v>
          </cell>
          <cell r="P6">
            <v>0</v>
          </cell>
          <cell r="S6" t="str">
            <v>SG-U</v>
          </cell>
          <cell r="V6">
            <v>0.99999999999999989</v>
          </cell>
          <cell r="W6">
            <v>2.2458211140863396E-2</v>
          </cell>
          <cell r="X6">
            <v>0.33705100044538938</v>
          </cell>
          <cell r="Y6">
            <v>9.3136981738394464E-2</v>
          </cell>
          <cell r="Z6">
            <v>1.6809430292650182E-2</v>
          </cell>
          <cell r="AA6">
            <v>0.12179157728178706</v>
          </cell>
          <cell r="AB6">
            <v>0.3487813850235344</v>
          </cell>
          <cell r="AC6">
            <v>4.2764450621661579E-2</v>
          </cell>
          <cell r="AD6">
            <v>1.5412729858099435E-2</v>
          </cell>
          <cell r="AE6">
            <v>1.7942335976200712E-3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</v>
          </cell>
          <cell r="G7">
            <v>0.61062301367655591</v>
          </cell>
          <cell r="H7">
            <v>0.1687332035653103</v>
          </cell>
          <cell r="I7">
            <v>0</v>
          </cell>
          <cell r="J7">
            <v>0.22064378275813379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3.798446928241208E-2</v>
          </cell>
          <cell r="X7">
            <v>0.5700678158524054</v>
          </cell>
          <cell r="Y7">
            <v>0.15752629627128048</v>
          </cell>
          <cell r="Z7">
            <v>2.8430460672099245E-2</v>
          </cell>
          <cell r="AA7">
            <v>0.20599095792180291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0.99999999999999989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0.85328237475201918</v>
          </cell>
          <cell r="L8">
            <v>0.1046216277684711</v>
          </cell>
          <cell r="M8">
            <v>3.7706456635492561E-2</v>
          </cell>
          <cell r="N8">
            <v>4.3895408440170688E-3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0.85328194887155995</v>
          </cell>
          <cell r="AC8">
            <v>0.10462179272099277</v>
          </cell>
          <cell r="AD8">
            <v>3.7706726148422638E-2</v>
          </cell>
          <cell r="AE8">
            <v>4.3895322590246028E-3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0</v>
          </cell>
          <cell r="G9">
            <v>0.35363759023409819</v>
          </cell>
          <cell r="H9">
            <v>9.8857468493969702E-2</v>
          </cell>
          <cell r="I9">
            <v>0</v>
          </cell>
          <cell r="J9">
            <v>0.12231266206771377</v>
          </cell>
          <cell r="K9">
            <v>0.36390182316585723</v>
          </cell>
          <cell r="L9">
            <v>4.4061064912498442E-2</v>
          </cell>
          <cell r="M9">
            <v>1.5340964445529893E-2</v>
          </cell>
          <cell r="N9">
            <v>1.8884266803327371E-3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2.2736771927125397E-2</v>
          </cell>
          <cell r="X9">
            <v>0.33973229739605371</v>
          </cell>
          <cell r="Y9">
            <v>9.4970319371257869E-2</v>
          </cell>
          <cell r="Z9">
            <v>1.6583971178378659E-2</v>
          </cell>
          <cell r="AA9">
            <v>0.11750323730399886</v>
          </cell>
          <cell r="AB9">
            <v>0.349592933061528</v>
          </cell>
          <cell r="AC9">
            <v>4.2328551098119158E-2</v>
          </cell>
          <cell r="AD9">
            <v>1.4737746323576542E-2</v>
          </cell>
          <cell r="AE9">
            <v>1.8141723399617937E-3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</v>
          </cell>
          <cell r="G10">
            <v>0.34239771460475693</v>
          </cell>
          <cell r="H10">
            <v>9.1203797640485848E-2</v>
          </cell>
          <cell r="I10">
            <v>0</v>
          </cell>
          <cell r="J10">
            <v>0.14013712712743945</v>
          </cell>
          <cell r="K10">
            <v>0.36044306974032991</v>
          </cell>
          <cell r="L10">
            <v>4.5865887760932651E-2</v>
          </cell>
          <cell r="M10">
            <v>1.8147394885970638E-2</v>
          </cell>
          <cell r="N10">
            <v>1.8050082400845669E-3</v>
          </cell>
          <cell r="O10">
            <v>0</v>
          </cell>
          <cell r="P10">
            <v>0</v>
          </cell>
          <cell r="S10" t="str">
            <v>SE</v>
          </cell>
          <cell r="V10">
            <v>1.0000000000000002</v>
          </cell>
          <cell r="W10">
            <v>2.1622528782077387E-2</v>
          </cell>
          <cell r="X10">
            <v>0.32900710959339652</v>
          </cell>
          <cell r="Y10">
            <v>8.7636968839804291E-2</v>
          </cell>
          <cell r="Z10">
            <v>1.7485807635464756E-2</v>
          </cell>
          <cell r="AA10">
            <v>0.13465659721515166</v>
          </cell>
          <cell r="AB10">
            <v>0.34634674090955353</v>
          </cell>
          <cell r="AC10">
            <v>4.4072149192288863E-2</v>
          </cell>
          <cell r="AD10">
            <v>1.7437680461668114E-2</v>
          </cell>
          <cell r="AE10">
            <v>1.734417370594904E-3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</v>
          </cell>
          <cell r="G11">
            <v>0.34239771460475693</v>
          </cell>
          <cell r="H11">
            <v>9.1203797640485848E-2</v>
          </cell>
          <cell r="I11">
            <v>0</v>
          </cell>
          <cell r="J11">
            <v>0.14013712712743945</v>
          </cell>
          <cell r="K11">
            <v>0.36044306974032991</v>
          </cell>
          <cell r="L11">
            <v>4.5865887760932651E-2</v>
          </cell>
          <cell r="M11">
            <v>1.8147394885970638E-2</v>
          </cell>
          <cell r="N11">
            <v>1.8050082400845669E-3</v>
          </cell>
          <cell r="O11">
            <v>0</v>
          </cell>
          <cell r="P11">
            <v>0</v>
          </cell>
          <cell r="S11" t="str">
            <v>SE-P</v>
          </cell>
          <cell r="V11">
            <v>1.0000000000000002</v>
          </cell>
          <cell r="W11">
            <v>2.1622528782077387E-2</v>
          </cell>
          <cell r="X11">
            <v>0.32900710959339652</v>
          </cell>
          <cell r="Y11">
            <v>8.7636968839804291E-2</v>
          </cell>
          <cell r="Z11">
            <v>1.7485807635464756E-2</v>
          </cell>
          <cell r="AA11">
            <v>0.13465659721515166</v>
          </cell>
          <cell r="AB11">
            <v>0.34634674090955353</v>
          </cell>
          <cell r="AC11">
            <v>4.4072149192288863E-2</v>
          </cell>
          <cell r="AD11">
            <v>1.7437680461668114E-2</v>
          </cell>
          <cell r="AE11">
            <v>1.734417370594904E-3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</v>
          </cell>
          <cell r="G12">
            <v>0.34239771460475693</v>
          </cell>
          <cell r="H12">
            <v>9.1203797640485848E-2</v>
          </cell>
          <cell r="I12">
            <v>0</v>
          </cell>
          <cell r="J12">
            <v>0.14013712712743945</v>
          </cell>
          <cell r="K12">
            <v>0.36044306974032991</v>
          </cell>
          <cell r="L12">
            <v>4.5865887760932651E-2</v>
          </cell>
          <cell r="M12">
            <v>1.8147394885970638E-2</v>
          </cell>
          <cell r="N12">
            <v>1.8050082400845669E-3</v>
          </cell>
          <cell r="O12">
            <v>0</v>
          </cell>
          <cell r="P12">
            <v>0</v>
          </cell>
          <cell r="S12" t="str">
            <v>SE-U</v>
          </cell>
          <cell r="V12">
            <v>1.0000000000000002</v>
          </cell>
          <cell r="W12">
            <v>2.1622528782077387E-2</v>
          </cell>
          <cell r="X12">
            <v>0.32900710959339652</v>
          </cell>
          <cell r="Y12">
            <v>8.7636968839804291E-2</v>
          </cell>
          <cell r="Z12">
            <v>1.7485807635464756E-2</v>
          </cell>
          <cell r="AA12">
            <v>0.13465659721515166</v>
          </cell>
          <cell r="AB12">
            <v>0.34634674090955353</v>
          </cell>
          <cell r="AC12">
            <v>4.4072149192288863E-2</v>
          </cell>
          <cell r="AD12">
            <v>1.7437680461668114E-2</v>
          </cell>
          <cell r="AE12">
            <v>1.734417370594904E-3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</v>
          </cell>
          <cell r="G13">
            <v>0.5967834325732877</v>
          </cell>
          <cell r="H13">
            <v>0.15896401493928805</v>
          </cell>
          <cell r="I13">
            <v>0</v>
          </cell>
          <cell r="J13">
            <v>0.24425255248742425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1.0000000000000002</v>
          </cell>
          <cell r="W13">
            <v>3.6622965334519877E-2</v>
          </cell>
          <cell r="X13">
            <v>0.55725285839078043</v>
          </cell>
          <cell r="Y13">
            <v>0.14843433458638208</v>
          </cell>
          <cell r="Z13">
            <v>2.9616430776150129E-2</v>
          </cell>
          <cell r="AA13">
            <v>0.22807341091216754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0.84559170272875595</v>
          </cell>
          <cell r="L14">
            <v>0.10760038792498812</v>
          </cell>
          <cell r="M14">
            <v>4.2573398769392527E-2</v>
          </cell>
          <cell r="N14">
            <v>4.2345105768634133E-3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0.84559170272875595</v>
          </cell>
          <cell r="AC14">
            <v>0.10760038792498812</v>
          </cell>
          <cell r="AD14">
            <v>4.2573398769392527E-2</v>
          </cell>
          <cell r="AE14">
            <v>4.2345105768634133E-3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0.99999999999999967</v>
          </cell>
          <cell r="F15">
            <v>0</v>
          </cell>
          <cell r="G15">
            <v>0.3335344419349226</v>
          </cell>
          <cell r="H15">
            <v>8.6764024570700427E-2</v>
          </cell>
          <cell r="I15">
            <v>0</v>
          </cell>
          <cell r="J15">
            <v>0.11006143148095635</v>
          </cell>
          <cell r="K15">
            <v>0.39761088335503381</v>
          </cell>
          <cell r="L15">
            <v>5.2028707667317028E-2</v>
          </cell>
          <cell r="M15">
            <v>1.86027893354191E-2</v>
          </cell>
          <cell r="N15">
            <v>1.3977216556503183E-3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0.99999999999999989</v>
          </cell>
          <cell r="W15">
            <v>2.8381458379249377E-2</v>
          </cell>
          <cell r="X15">
            <v>0.32000951495559621</v>
          </cell>
          <cell r="Y15">
            <v>8.3298350135781532E-2</v>
          </cell>
          <cell r="Z15">
            <v>1.1387504279758204E-2</v>
          </cell>
          <cell r="AA15">
            <v>0.10575392030715786</v>
          </cell>
          <cell r="AB15">
            <v>0.38211986314288027</v>
          </cell>
          <cell r="AC15">
            <v>4.9885822057145764E-2</v>
          </cell>
          <cell r="AD15">
            <v>1.7826485825883347E-2</v>
          </cell>
          <cell r="AE15">
            <v>1.3370809165474365E-3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0.99999999999999967</v>
          </cell>
          <cell r="F16">
            <v>0</v>
          </cell>
          <cell r="G16">
            <v>0.3335344419349226</v>
          </cell>
          <cell r="H16">
            <v>8.6764024570700427E-2</v>
          </cell>
          <cell r="I16">
            <v>0</v>
          </cell>
          <cell r="J16">
            <v>0.11006143148095635</v>
          </cell>
          <cell r="K16">
            <v>0.39761088335503381</v>
          </cell>
          <cell r="L16">
            <v>5.2028707667317028E-2</v>
          </cell>
          <cell r="M16">
            <v>1.86027893354191E-2</v>
          </cell>
          <cell r="N16">
            <v>1.3977216556503183E-3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0.99999999999999989</v>
          </cell>
          <cell r="W16">
            <v>2.8381458379249377E-2</v>
          </cell>
          <cell r="X16">
            <v>0.32000951495559621</v>
          </cell>
          <cell r="Y16">
            <v>8.3298350135781532E-2</v>
          </cell>
          <cell r="Z16">
            <v>1.1387504279758204E-2</v>
          </cell>
          <cell r="AA16">
            <v>0.10575392030715786</v>
          </cell>
          <cell r="AB16">
            <v>0.38211986314288027</v>
          </cell>
          <cell r="AC16">
            <v>4.9885822057145764E-2</v>
          </cell>
          <cell r="AD16">
            <v>1.7826485825883347E-2</v>
          </cell>
          <cell r="AE16">
            <v>1.3370809165474365E-3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0.99999999999999967</v>
          </cell>
          <cell r="F17">
            <v>0</v>
          </cell>
          <cell r="G17">
            <v>0.3335344419349226</v>
          </cell>
          <cell r="H17">
            <v>8.6764024570700427E-2</v>
          </cell>
          <cell r="I17">
            <v>0</v>
          </cell>
          <cell r="J17">
            <v>0.11006143148095635</v>
          </cell>
          <cell r="K17">
            <v>0.39761088335503381</v>
          </cell>
          <cell r="L17">
            <v>5.2028707667317028E-2</v>
          </cell>
          <cell r="M17">
            <v>1.86027893354191E-2</v>
          </cell>
          <cell r="N17">
            <v>1.3977216556503183E-3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0.99999999999999989</v>
          </cell>
          <cell r="W17">
            <v>2.8381458379249377E-2</v>
          </cell>
          <cell r="X17">
            <v>0.32000951495559621</v>
          </cell>
          <cell r="Y17">
            <v>8.3298350135781532E-2</v>
          </cell>
          <cell r="Z17">
            <v>1.1387504279758204E-2</v>
          </cell>
          <cell r="AA17">
            <v>0.10575392030715786</v>
          </cell>
          <cell r="AB17">
            <v>0.38211986314288027</v>
          </cell>
          <cell r="AC17">
            <v>4.9885822057145764E-2</v>
          </cell>
          <cell r="AD17">
            <v>1.7826485825883347E-2</v>
          </cell>
          <cell r="AE17">
            <v>1.3370809165474365E-3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0.99999999999999978</v>
          </cell>
          <cell r="F20">
            <v>0</v>
          </cell>
          <cell r="G20">
            <v>0.33353444193492265</v>
          </cell>
          <cell r="H20">
            <v>8.676402457070044E-2</v>
          </cell>
          <cell r="I20">
            <v>0</v>
          </cell>
          <cell r="J20">
            <v>0.11006143148095636</v>
          </cell>
          <cell r="K20">
            <v>0.39761088335503381</v>
          </cell>
          <cell r="L20">
            <v>5.2028707667317035E-2</v>
          </cell>
          <cell r="M20">
            <v>1.8602789335419104E-2</v>
          </cell>
          <cell r="N20">
            <v>1.3977216556503181E-3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2.8381458379249377E-2</v>
          </cell>
          <cell r="X20">
            <v>0.32000951495559621</v>
          </cell>
          <cell r="Y20">
            <v>8.3298350135781518E-2</v>
          </cell>
          <cell r="Z20">
            <v>1.1387504279758206E-2</v>
          </cell>
          <cell r="AA20">
            <v>0.1057539203071579</v>
          </cell>
          <cell r="AB20">
            <v>0.38211986314288027</v>
          </cell>
          <cell r="AC20">
            <v>4.9885822057145771E-2</v>
          </cell>
          <cell r="AD20">
            <v>1.7826485825883347E-2</v>
          </cell>
          <cell r="AE20">
            <v>1.3370809165474363E-3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0.99999999999999956</v>
          </cell>
          <cell r="F23">
            <v>0</v>
          </cell>
          <cell r="G23">
            <v>0.3397234556004271</v>
          </cell>
          <cell r="H23">
            <v>8.6658349600544082E-2</v>
          </cell>
          <cell r="I23">
            <v>0</v>
          </cell>
          <cell r="J23">
            <v>0.10942778357153662</v>
          </cell>
          <cell r="K23">
            <v>0.39468501328699757</v>
          </cell>
          <cell r="L23">
            <v>4.9777111608450844E-2</v>
          </cell>
          <cell r="M23">
            <v>1.8390637362508119E-2</v>
          </cell>
          <cell r="N23">
            <v>1.3376489695351634E-3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2.9070740076263393E-2</v>
          </cell>
          <cell r="X23">
            <v>0.32414496251842601</v>
          </cell>
          <cell r="Y23">
            <v>8.2782157924359195E-2</v>
          </cell>
          <cell r="Z23">
            <v>1.1188785030838313E-2</v>
          </cell>
          <cell r="AA23">
            <v>0.10455351658922471</v>
          </cell>
          <cell r="AB23">
            <v>0.38142535766988117</v>
          </cell>
          <cell r="AC23">
            <v>4.7896247639563121E-2</v>
          </cell>
          <cell r="AD23">
            <v>1.7656942493020709E-2</v>
          </cell>
          <cell r="AE23">
            <v>1.2812900584234762E-3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0</v>
          </cell>
          <cell r="G32">
            <v>0.68362755124766594</v>
          </cell>
          <cell r="H32">
            <v>0.14532373715039246</v>
          </cell>
          <cell r="I32">
            <v>0</v>
          </cell>
          <cell r="J32">
            <v>0.17104871160194157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1.0000000000000002</v>
          </cell>
          <cell r="W32">
            <v>8.0809844848375292E-2</v>
          </cell>
          <cell r="X32">
            <v>0.6225039206017049</v>
          </cell>
          <cell r="Y32">
            <v>0.13348927244014278</v>
          </cell>
          <cell r="Z32">
            <v>6.3998799639009051E-3</v>
          </cell>
          <cell r="AA32">
            <v>0.15679708214587634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0.99999999999999978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0.85178629561925034</v>
          </cell>
          <cell r="L33">
            <v>0.10789744734256068</v>
          </cell>
          <cell r="M33">
            <v>4.0316257038188759E-2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1.0000000000000002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0.85457085751677209</v>
          </cell>
          <cell r="AC33">
            <v>0.10614902050915211</v>
          </cell>
          <cell r="AD33">
            <v>3.9280121974075967E-2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0</v>
          </cell>
          <cell r="G34">
            <v>0.38149288161482081</v>
          </cell>
          <cell r="H34">
            <v>8.1096748004606242E-2</v>
          </cell>
          <cell r="I34">
            <v>0</v>
          </cell>
          <cell r="J34">
            <v>9.5452364034238318E-2</v>
          </cell>
          <cell r="K34">
            <v>0.37645377304501354</v>
          </cell>
          <cell r="L34">
            <v>4.768614071737675E-2</v>
          </cell>
          <cell r="M34">
            <v>1.7818092583944289E-2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4.6633588918287248E-2</v>
          </cell>
          <cell r="X34">
            <v>0.35923335811163459</v>
          </cell>
          <cell r="Y34">
            <v>7.7033731071444164E-2</v>
          </cell>
          <cell r="Z34">
            <v>3.6932303474028795E-3</v>
          </cell>
          <cell r="AA34">
            <v>9.048415680165392E-2</v>
          </cell>
          <cell r="AB34">
            <v>0.36141676044159859</v>
          </cell>
          <cell r="AC34">
            <v>4.4892749125503173E-2</v>
          </cell>
          <cell r="AD34">
            <v>1.6612425182475594E-2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0.34239771460475699</v>
          </cell>
          <cell r="H38">
            <v>9.1203797640485848E-2</v>
          </cell>
          <cell r="I38">
            <v>0</v>
          </cell>
          <cell r="J38">
            <v>0.14013712712743948</v>
          </cell>
          <cell r="K38">
            <v>0.36044306974032991</v>
          </cell>
          <cell r="L38">
            <v>4.5865887760932665E-2</v>
          </cell>
          <cell r="M38">
            <v>1.8147394885970638E-2</v>
          </cell>
          <cell r="N38">
            <v>1.8050082400845665E-3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2.1622528782077391E-2</v>
          </cell>
          <cell r="X38">
            <v>0.32900710959339652</v>
          </cell>
          <cell r="Y38">
            <v>8.7636968839804291E-2</v>
          </cell>
          <cell r="Z38">
            <v>1.748580763546476E-2</v>
          </cell>
          <cell r="AA38">
            <v>0.13465659721515166</v>
          </cell>
          <cell r="AB38">
            <v>0.34634674090955347</v>
          </cell>
          <cell r="AC38">
            <v>4.4072149192288856E-2</v>
          </cell>
          <cell r="AD38">
            <v>1.7437680461668117E-2</v>
          </cell>
          <cell r="AE38">
            <v>1.7344173705949044E-3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</v>
          </cell>
          <cell r="G47">
            <v>0.34730657541284082</v>
          </cell>
          <cell r="H47">
            <v>8.4116638875464944E-2</v>
          </cell>
          <cell r="I47">
            <v>0</v>
          </cell>
          <cell r="J47">
            <v>7.6767571223117642E-2</v>
          </cell>
          <cell r="K47">
            <v>0.4441034035877498</v>
          </cell>
          <cell r="L47">
            <v>3.8456347495961933E-2</v>
          </cell>
          <cell r="M47">
            <v>9.249463404864839E-3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2.8382689399591928E-2</v>
          </cell>
          <cell r="X47">
            <v>0.329148560578918</v>
          </cell>
          <cell r="Y47">
            <v>7.9718820680791197E-2</v>
          </cell>
          <cell r="Z47">
            <v>2.3899691987338403E-2</v>
          </cell>
          <cell r="AA47">
            <v>7.2753979786282258E-2</v>
          </cell>
          <cell r="AB47">
            <v>0.42088462006614125</v>
          </cell>
          <cell r="AC47">
            <v>3.6445758069429728E-2</v>
          </cell>
          <cell r="AD47">
            <v>8.7658794315072404E-3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0.68341769531166341</v>
          </cell>
          <cell r="H48">
            <v>0.16552177110179839</v>
          </cell>
          <cell r="I48">
            <v>0</v>
          </cell>
          <cell r="J48">
            <v>0.15106053358653826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1.0000000000000002</v>
          </cell>
          <cell r="W48">
            <v>5.3160686363156281E-2</v>
          </cell>
          <cell r="X48">
            <v>0.61649420002009325</v>
          </cell>
          <cell r="Y48">
            <v>0.14931309587290792</v>
          </cell>
          <cell r="Z48">
            <v>4.4764046564706547E-2</v>
          </cell>
          <cell r="AA48">
            <v>0.13626797117913605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0.90299935524706432</v>
          </cell>
          <cell r="L49">
            <v>7.8193629486897648E-2</v>
          </cell>
          <cell r="M49">
            <v>1.8807015266038046E-2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0.90299935524706432</v>
          </cell>
          <cell r="AC49">
            <v>7.8193629486897648E-2</v>
          </cell>
          <cell r="AD49">
            <v>1.8807015266038046E-2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1.0000000000000022</v>
          </cell>
          <cell r="F53">
            <v>0</v>
          </cell>
          <cell r="G53">
            <v>0.3816896906085675</v>
          </cell>
          <cell r="H53">
            <v>8.5957376024456481E-2</v>
          </cell>
          <cell r="I53">
            <v>0</v>
          </cell>
          <cell r="J53">
            <v>8.7750068936117392E-2</v>
          </cell>
          <cell r="K53">
            <v>0.36073559816351231</v>
          </cell>
          <cell r="L53">
            <v>5.1975161827008586E-2</v>
          </cell>
          <cell r="M53">
            <v>1.1563833346918261E-2</v>
          </cell>
          <cell r="N53">
            <v>1.0092868399971932E-3</v>
          </cell>
          <cell r="O53">
            <v>2.2886988525167861E-2</v>
          </cell>
          <cell r="P53">
            <v>-3.5680042717433657E-3</v>
          </cell>
          <cell r="S53" t="str">
            <v>EXCTAX</v>
          </cell>
          <cell r="V53">
            <v>0.98213597542665398</v>
          </cell>
          <cell r="W53">
            <v>1.5138877192655666E-2</v>
          </cell>
          <cell r="X53">
            <v>0.32943111278859438</v>
          </cell>
          <cell r="Y53">
            <v>7.5292075047269522E-2</v>
          </cell>
          <cell r="Z53">
            <v>0.11890483182898383</v>
          </cell>
          <cell r="AA53">
            <v>7.8791992825786555E-2</v>
          </cell>
          <cell r="AB53">
            <v>0.3093332592586997</v>
          </cell>
          <cell r="AC53">
            <v>4.4139979850285678E-2</v>
          </cell>
          <cell r="AD53">
            <v>1.0223252642474286E-2</v>
          </cell>
          <cell r="AE53">
            <v>8.8059399190434137E-4</v>
          </cell>
          <cell r="AF53">
            <v>0</v>
          </cell>
          <cell r="AG53">
            <v>0</v>
          </cell>
        </row>
        <row r="54">
          <cell r="B54" t="str">
            <v>INT</v>
          </cell>
          <cell r="E54">
            <v>0.99999999999999956</v>
          </cell>
          <cell r="F54">
            <v>0</v>
          </cell>
          <cell r="G54">
            <v>0.33881281027729271</v>
          </cell>
          <cell r="H54">
            <v>8.6426057659927835E-2</v>
          </cell>
          <cell r="I54">
            <v>0</v>
          </cell>
          <cell r="J54">
            <v>0.10913445705054542</v>
          </cell>
          <cell r="K54">
            <v>0.39362704082281841</v>
          </cell>
          <cell r="L54">
            <v>4.9643681628453555E-2</v>
          </cell>
          <cell r="M54">
            <v>1.8341340360409665E-2</v>
          </cell>
          <cell r="N54">
            <v>1.3340633361088525E-3</v>
          </cell>
          <cell r="O54">
            <v>0</v>
          </cell>
          <cell r="P54">
            <v>2.6805488644429869E-3</v>
          </cell>
          <cell r="S54" t="str">
            <v>INT</v>
          </cell>
          <cell r="V54">
            <v>0.99731945113555709</v>
          </cell>
          <cell r="W54">
            <v>2.8992814536963448E-2</v>
          </cell>
          <cell r="X54">
            <v>0.3232760761072323</v>
          </cell>
          <cell r="Y54">
            <v>8.2560256304938906E-2</v>
          </cell>
          <cell r="Z54">
            <v>1.1158792945829402E-2</v>
          </cell>
          <cell r="AA54">
            <v>0.10427325577905794</v>
          </cell>
          <cell r="AB54">
            <v>0.38040292836050937</v>
          </cell>
          <cell r="AC54">
            <v>4.7767859407341809E-2</v>
          </cell>
          <cell r="AD54">
            <v>1.7609612195871507E-2</v>
          </cell>
          <cell r="AE54">
            <v>1.277855497812347E-3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</v>
          </cell>
          <cell r="G55">
            <v>0.43662066258948778</v>
          </cell>
          <cell r="H55">
            <v>3.8253899152863841E-2</v>
          </cell>
          <cell r="I55">
            <v>0</v>
          </cell>
          <cell r="J55">
            <v>7.272931601924415E-2</v>
          </cell>
          <cell r="K55">
            <v>0.35874358220324826</v>
          </cell>
          <cell r="L55">
            <v>6.3004037500188292E-2</v>
          </cell>
          <cell r="M55">
            <v>3.0648502534967613E-2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2.5558241351315639E-2</v>
          </cell>
          <cell r="X55">
            <v>0.41597697773896186</v>
          </cell>
          <cell r="Y55">
            <v>3.6445232028106164E-2</v>
          </cell>
          <cell r="Z55">
            <v>2.1722353955588556E-2</v>
          </cell>
          <cell r="AA55">
            <v>6.929063066159033E-2</v>
          </cell>
          <cell r="AB55">
            <v>0.3417819720741474</v>
          </cell>
          <cell r="AC55">
            <v>6.0025169100440874E-2</v>
          </cell>
          <cell r="AD55">
            <v>2.9199423089849182E-2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0.99999999999999989</v>
          </cell>
          <cell r="F57">
            <v>3.1319071324450505E-2</v>
          </cell>
          <cell r="G57">
            <v>0.33884831382539715</v>
          </cell>
          <cell r="H57">
            <v>8.7665272136688857E-2</v>
          </cell>
          <cell r="I57">
            <v>9.1746113092770129E-3</v>
          </cell>
          <cell r="J57">
            <v>0.10743579459157279</v>
          </cell>
          <cell r="K57">
            <v>0.36105636042646722</v>
          </cell>
          <cell r="L57">
            <v>4.6988125623485429E-2</v>
          </cell>
          <cell r="M57">
            <v>1.6468237999570191E-2</v>
          </cell>
          <cell r="N57">
            <v>1.0442127630908393E-3</v>
          </cell>
          <cell r="O57">
            <v>0</v>
          </cell>
          <cell r="P57">
            <v>0</v>
          </cell>
          <cell r="S57" t="str">
            <v>TAXDEPR</v>
          </cell>
          <cell r="V57">
            <v>0.99999999999999989</v>
          </cell>
          <cell r="W57">
            <v>3.1319071324450505E-2</v>
          </cell>
          <cell r="X57">
            <v>0.33884831382539715</v>
          </cell>
          <cell r="Y57">
            <v>8.7665272136688857E-2</v>
          </cell>
          <cell r="Z57">
            <v>9.1746113092770129E-3</v>
          </cell>
          <cell r="AA57">
            <v>0.10743579459157279</v>
          </cell>
          <cell r="AB57">
            <v>0.36105636042646722</v>
          </cell>
          <cell r="AC57">
            <v>4.6988125623485429E-2</v>
          </cell>
          <cell r="AD57">
            <v>1.6468237999570191E-2</v>
          </cell>
          <cell r="AE57">
            <v>1.0442127630908393E-3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</v>
          </cell>
          <cell r="F58">
            <v>0</v>
          </cell>
          <cell r="G58">
            <v>0.34925100486525384</v>
          </cell>
          <cell r="H58">
            <v>3.2451583787493667E-2</v>
          </cell>
          <cell r="I58">
            <v>0</v>
          </cell>
          <cell r="J58">
            <v>8.2525559024667933E-2</v>
          </cell>
          <cell r="K58">
            <v>0.49046841848216705</v>
          </cell>
          <cell r="L58">
            <v>3.7565122505869131E-2</v>
          </cell>
          <cell r="M58">
            <v>7.7383113345484093E-3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</v>
          </cell>
          <cell r="W58">
            <v>1.9021506116633939E-2</v>
          </cell>
          <cell r="X58">
            <v>0.33476158270030576</v>
          </cell>
          <cell r="Y58">
            <v>2.7670162453887127E-2</v>
          </cell>
          <cell r="Z58">
            <v>2.2834501080535786E-2</v>
          </cell>
          <cell r="AA58">
            <v>7.9452870732245051E-2</v>
          </cell>
          <cell r="AB58">
            <v>0.47301133618230262</v>
          </cell>
          <cell r="AC58">
            <v>3.5933747331801928E-2</v>
          </cell>
          <cell r="AD58">
            <v>7.3142934022877885E-3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</v>
          </cell>
          <cell r="E59">
            <v>1.0000000000000002</v>
          </cell>
          <cell r="F59">
            <v>5.0588018361418574E-2</v>
          </cell>
          <cell r="G59">
            <v>0.54336459047092767</v>
          </cell>
          <cell r="H59">
            <v>0.12367959285937885</v>
          </cell>
          <cell r="I59">
            <v>-8.9326254637259475E-2</v>
          </cell>
          <cell r="J59">
            <v>0.12386593417984204</v>
          </cell>
          <cell r="K59">
            <v>0.32285230345311444</v>
          </cell>
          <cell r="L59">
            <v>2.054440652035749E-3</v>
          </cell>
          <cell r="M59">
            <v>-5.578034383271805E-2</v>
          </cell>
          <cell r="N59">
            <v>-2.670317789865024E-4</v>
          </cell>
          <cell r="O59">
            <v>0</v>
          </cell>
          <cell r="P59">
            <v>-2.1031249727753224E-2</v>
          </cell>
          <cell r="S59" t="str">
            <v>DITEXP</v>
          </cell>
          <cell r="V59">
            <v>1.0210888282473278</v>
          </cell>
          <cell r="W59">
            <v>5.0590871146978529E-2</v>
          </cell>
          <cell r="X59">
            <v>0.543395232166485</v>
          </cell>
          <cell r="Y59">
            <v>0.12368656746261493</v>
          </cell>
          <cell r="Z59">
            <v>-8.9331291969371077E-2</v>
          </cell>
          <cell r="AA59">
            <v>0.12387291929133372</v>
          </cell>
          <cell r="AB59">
            <v>0.32287050990632449</v>
          </cell>
          <cell r="AC59">
            <v>2.0545565071100479E-3</v>
          </cell>
          <cell r="AD59">
            <v>-5.578348942656753E-2</v>
          </cell>
          <cell r="AE59">
            <v>-2.6704683757997608E-4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1.0000000000000002</v>
          </cell>
          <cell r="F60">
            <v>1.9116246939984507E-2</v>
          </cell>
          <cell r="G60">
            <v>0.20805838140218072</v>
          </cell>
          <cell r="H60">
            <v>5.5878442500252319E-2</v>
          </cell>
          <cell r="I60">
            <v>1.0626278162979877E-2</v>
          </cell>
          <cell r="J60">
            <v>7.9882324149611036E-2</v>
          </cell>
          <cell r="K60">
            <v>0.50999998112374045</v>
          </cell>
          <cell r="L60">
            <v>6.9861762761910848E-2</v>
          </cell>
          <cell r="M60">
            <v>2.9841276994295347E-2</v>
          </cell>
          <cell r="N60">
            <v>3.4836429123730819E-3</v>
          </cell>
          <cell r="O60">
            <v>1.1653091121291802E-5</v>
          </cell>
          <cell r="P60">
            <v>1.3240009961550522E-2</v>
          </cell>
          <cell r="S60" t="str">
            <v>DITBAL</v>
          </cell>
          <cell r="V60">
            <v>0.98774775976513296</v>
          </cell>
          <cell r="W60">
            <v>2.0182516375821545E-2</v>
          </cell>
          <cell r="X60">
            <v>0.2291971279824393</v>
          </cell>
          <cell r="Y60">
            <v>6.0801305104889923E-2</v>
          </cell>
          <cell r="Z60">
            <v>7.2622677728882987E-3</v>
          </cell>
          <cell r="AA60">
            <v>7.6819950429562925E-2</v>
          </cell>
          <cell r="AB60">
            <v>0.50124849462251964</v>
          </cell>
          <cell r="AC60">
            <v>6.6213811835190373E-2</v>
          </cell>
          <cell r="AD60">
            <v>2.4069310782990405E-2</v>
          </cell>
          <cell r="AE60">
            <v>1.9529748588305287E-3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6.11E-3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1.9199999999999998E-2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0.99999999999999989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1.9769999999999999E-2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2.86E-2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2.8171999999999999E-2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3.8600000000000001E-3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0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B69" t="str">
            <v>SNPPS</v>
          </cell>
          <cell r="E69">
            <v>1</v>
          </cell>
          <cell r="F69">
            <v>0</v>
          </cell>
          <cell r="G69">
            <v>0.31099976565092724</v>
          </cell>
          <cell r="H69">
            <v>8.5938435976043948E-2</v>
          </cell>
          <cell r="I69">
            <v>0</v>
          </cell>
          <cell r="J69">
            <v>0.11237729858387135</v>
          </cell>
          <cell r="K69">
            <v>0.41869243523409899</v>
          </cell>
          <cell r="L69">
            <v>5.1336211088699679E-2</v>
          </cell>
          <cell r="M69">
            <v>1.8501973813008232E-2</v>
          </cell>
          <cell r="N69">
            <v>2.1538796533505911E-3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1.999585083642685E-2</v>
          </cell>
          <cell r="X69">
            <v>0.30009609789942271</v>
          </cell>
          <cell r="Y69">
            <v>8.292526873644622E-2</v>
          </cell>
          <cell r="Z69">
            <v>1.4966412893214348E-2</v>
          </cell>
          <cell r="AA69">
            <v>0.10843812079175877</v>
          </cell>
          <cell r="AB69">
            <v>0.40409577111570633</v>
          </cell>
          <cell r="AC69">
            <v>4.9546605387594971E-2</v>
          </cell>
          <cell r="AD69">
            <v>1.7857085338962419E-2</v>
          </cell>
          <cell r="AE69">
            <v>2.07878700046755E-3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</v>
          </cell>
          <cell r="F70">
            <v>0</v>
          </cell>
          <cell r="G70">
            <v>0.30600481740492458</v>
          </cell>
          <cell r="H70">
            <v>8.455818400336379E-2</v>
          </cell>
          <cell r="I70">
            <v>0</v>
          </cell>
          <cell r="J70">
            <v>0.11057241365324395</v>
          </cell>
          <cell r="K70">
            <v>0.425672357715976</v>
          </cell>
          <cell r="L70">
            <v>5.2192024912305186E-2</v>
          </cell>
          <cell r="M70">
            <v>1.8810415838965321E-2</v>
          </cell>
          <cell r="N70">
            <v>2.1897864712210257E-3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1.9331381760247152E-2</v>
          </cell>
          <cell r="X70">
            <v>0.29012380021789058</v>
          </cell>
          <cell r="Y70">
            <v>8.0169633221858341E-2</v>
          </cell>
          <cell r="Z70">
            <v>1.4469073788705647E-2</v>
          </cell>
          <cell r="AA70">
            <v>0.10483468433213584</v>
          </cell>
          <cell r="AB70">
            <v>0.41902238399193348</v>
          </cell>
          <cell r="AC70">
            <v>5.1376773013229564E-2</v>
          </cell>
          <cell r="AD70">
            <v>1.8516695805106394E-2</v>
          </cell>
          <cell r="AE70">
            <v>2.1555738688934195E-3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0.99999999999999989</v>
          </cell>
          <cell r="F71">
            <v>0</v>
          </cell>
          <cell r="G71">
            <v>0.32561328382540505</v>
          </cell>
          <cell r="H71">
            <v>8.9976583379124994E-2</v>
          </cell>
          <cell r="I71">
            <v>0</v>
          </cell>
          <cell r="J71">
            <v>0.11765777746724582</v>
          </cell>
          <cell r="K71">
            <v>0.3982715581755652</v>
          </cell>
          <cell r="L71">
            <v>4.8832391179206597E-2</v>
          </cell>
          <cell r="M71">
            <v>1.7599577445697692E-2</v>
          </cell>
          <cell r="N71">
            <v>2.0488285277544065E-3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2.0840892136044984E-2</v>
          </cell>
          <cell r="X71">
            <v>0.31277840877750146</v>
          </cell>
          <cell r="Y71">
            <v>8.6429759614952459E-2</v>
          </cell>
          <cell r="Z71">
            <v>1.5598905959168992E-2</v>
          </cell>
          <cell r="AA71">
            <v>0.11302080603339315</v>
          </cell>
          <cell r="AB71">
            <v>0.38511278936982263</v>
          </cell>
          <cell r="AC71">
            <v>4.7219082129812802E-2</v>
          </cell>
          <cell r="AD71">
            <v>1.7018222996779801E-2</v>
          </cell>
          <cell r="AE71">
            <v>1.9811329825239745E-3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0.99999999999999978</v>
          </cell>
          <cell r="F72">
            <v>0</v>
          </cell>
          <cell r="G72">
            <v>0.42918336099690912</v>
          </cell>
          <cell r="H72">
            <v>0.11859605975528251</v>
          </cell>
          <cell r="I72">
            <v>0</v>
          </cell>
          <cell r="J72">
            <v>0.15508200337396399</v>
          </cell>
          <cell r="K72">
            <v>0.25354310965206672</v>
          </cell>
          <cell r="L72">
            <v>3.1087121480726929E-2</v>
          </cell>
          <cell r="M72">
            <v>1.1204042825919119E-2</v>
          </cell>
          <cell r="N72">
            <v>1.304301915131304E-3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2.6905560189435573E-2</v>
          </cell>
          <cell r="X72">
            <v>0.40379645210888626</v>
          </cell>
          <cell r="Y72">
            <v>0.11158068878714779</v>
          </cell>
          <cell r="Z72">
            <v>2.0138163972735445E-2</v>
          </cell>
          <cell r="AA72">
            <v>0.14590968944801894</v>
          </cell>
          <cell r="AB72">
            <v>0.24887627287721659</v>
          </cell>
          <cell r="AC72">
            <v>3.0514980269496759E-2</v>
          </cell>
          <cell r="AD72">
            <v>1.0997899907096107E-2</v>
          </cell>
          <cell r="AE72">
            <v>1.2802924399667487E-3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</v>
          </cell>
          <cell r="G73">
            <v>0.53411027473518491</v>
          </cell>
          <cell r="H73">
            <v>0.14759047021597035</v>
          </cell>
          <cell r="I73">
            <v>0</v>
          </cell>
          <cell r="J73">
            <v>0.19299651141216384</v>
          </cell>
          <cell r="K73">
            <v>0.10691862265325058</v>
          </cell>
          <cell r="L73">
            <v>1.3109377003124995E-2</v>
          </cell>
          <cell r="M73">
            <v>4.7247224692447513E-3</v>
          </cell>
          <cell r="N73">
            <v>5.5002151106061097E-4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3.3411807214867917E-2</v>
          </cell>
          <cell r="X73">
            <v>0.50144167662441741</v>
          </cell>
          <cell r="Y73">
            <v>0.13856290062015486</v>
          </cell>
          <cell r="Z73">
            <v>2.5007933214586251E-2</v>
          </cell>
          <cell r="AA73">
            <v>0.18119326935748611</v>
          </cell>
          <cell r="AB73">
            <v>0.10272013994761194</v>
          </cell>
          <cell r="AC73">
            <v>1.2594623856842046E-2</v>
          </cell>
          <cell r="AD73">
            <v>4.539226678889079E-3</v>
          </cell>
          <cell r="AE73">
            <v>5.2842248514439738E-4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</v>
          </cell>
          <cell r="G74">
            <v>0.3522037602074003</v>
          </cell>
          <cell r="H74">
            <v>9.7324318665496595E-2</v>
          </cell>
          <cell r="I74">
            <v>0</v>
          </cell>
          <cell r="J74">
            <v>0.12726603520214344</v>
          </cell>
          <cell r="K74">
            <v>0.36111412335108189</v>
          </cell>
          <cell r="L74">
            <v>4.4276488666667183E-2</v>
          </cell>
          <cell r="M74">
            <v>1.5957594385514709E-2</v>
          </cell>
          <cell r="N74">
            <v>1.8576795216960398E-3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2.2542608934372429E-2</v>
          </cell>
          <cell r="X74">
            <v>0.33831763564438988</v>
          </cell>
          <cell r="Y74">
            <v>9.3486989835811857E-2</v>
          </cell>
          <cell r="Z74">
            <v>1.6872600008971093E-2</v>
          </cell>
          <cell r="AA74">
            <v>0.12224926914006089</v>
          </cell>
          <cell r="AB74">
            <v>0.34688547558774857</v>
          </cell>
          <cell r="AC74">
            <v>4.2531991181647785E-2</v>
          </cell>
          <cell r="AD74">
            <v>1.5328949182799879E-2</v>
          </cell>
          <cell r="AE74">
            <v>1.784480484197742E-3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0.99999999999999978</v>
          </cell>
          <cell r="F75">
            <v>0</v>
          </cell>
          <cell r="G75">
            <v>0.33313536928195198</v>
          </cell>
          <cell r="H75">
            <v>9.7421547751824294E-2</v>
          </cell>
          <cell r="I75">
            <v>0</v>
          </cell>
          <cell r="J75">
            <v>0.11384123488835274</v>
          </cell>
          <cell r="K75">
            <v>0.37181540034513777</v>
          </cell>
          <cell r="L75">
            <v>5.849999870203728E-2</v>
          </cell>
          <cell r="M75">
            <v>2.447738011018652E-2</v>
          </cell>
          <cell r="N75">
            <v>8.0906892050920795E-4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2.547225245280995E-2</v>
          </cell>
          <cell r="X75">
            <v>0.3212137757512355</v>
          </cell>
          <cell r="Y75">
            <v>9.3841899096559989E-2</v>
          </cell>
          <cell r="Z75">
            <v>7.9249006701563353E-3</v>
          </cell>
          <cell r="AA75">
            <v>0.11046489867123281</v>
          </cell>
          <cell r="AB75">
            <v>0.35995075912352414</v>
          </cell>
          <cell r="AC75">
            <v>5.6677829069205897E-2</v>
          </cell>
          <cell r="AD75">
            <v>2.3659924437277723E-2</v>
          </cell>
          <cell r="AE75">
            <v>7.9376072799761284E-4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0.99999999999999989</v>
          </cell>
          <cell r="F76">
            <v>0</v>
          </cell>
          <cell r="G76">
            <v>0.33522754849475356</v>
          </cell>
          <cell r="H76">
            <v>8.5751104893102864E-2</v>
          </cell>
          <cell r="I76">
            <v>0</v>
          </cell>
          <cell r="J76">
            <v>0.10369164383595707</v>
          </cell>
          <cell r="K76">
            <v>0.40772399827884498</v>
          </cell>
          <cell r="L76">
            <v>4.9400314315431702E-2</v>
          </cell>
          <cell r="M76">
            <v>1.7295490190368377E-2</v>
          </cell>
          <cell r="N76">
            <v>9.098999915413122E-4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0.99999999999999989</v>
          </cell>
          <cell r="W76">
            <v>2.7401908583428052E-2</v>
          </cell>
          <cell r="X76">
            <v>0.3212438771413344</v>
          </cell>
          <cell r="Y76">
            <v>8.2164520126930887E-2</v>
          </cell>
          <cell r="Z76">
            <v>1.5054317110295486E-2</v>
          </cell>
          <cell r="AA76">
            <v>0.10059001252616902</v>
          </cell>
          <cell r="AB76">
            <v>0.38775250157936814</v>
          </cell>
          <cell r="AC76">
            <v>4.7968418481520829E-2</v>
          </cell>
          <cell r="AD76">
            <v>1.6868057303454972E-2</v>
          </cell>
          <cell r="AE76">
            <v>9.563871474981702E-4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</v>
          </cell>
          <cell r="G77">
            <v>0.50578650344508791</v>
          </cell>
          <cell r="H77">
            <v>0.13924564452772667</v>
          </cell>
          <cell r="I77">
            <v>0</v>
          </cell>
          <cell r="J77">
            <v>0.18525541865525974</v>
          </cell>
          <cell r="K77">
            <v>0.14431463898665339</v>
          </cell>
          <cell r="L77">
            <v>1.7948472790601546E-2</v>
          </cell>
          <cell r="M77">
            <v>6.714400512768246E-3</v>
          </cell>
          <cell r="N77">
            <v>7.3492108190252147E-4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3.1668666626398209E-2</v>
          </cell>
          <cell r="X77">
            <v>0.47596403971658258</v>
          </cell>
          <cell r="Y77">
            <v>0.13102484980275309</v>
          </cell>
          <cell r="Z77">
            <v>2.3900997783024926E-2</v>
          </cell>
          <cell r="AA77">
            <v>0.17438289379977429</v>
          </cell>
          <cell r="AB77">
            <v>0.1386564321033838</v>
          </cell>
          <cell r="AC77">
            <v>1.7244806267758858E-2</v>
          </cell>
          <cell r="AD77">
            <v>6.4512085749695094E-3</v>
          </cell>
          <cell r="AE77">
            <v>7.0610532535475795E-4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0.99999999999999989</v>
          </cell>
          <cell r="F78">
            <v>0</v>
          </cell>
          <cell r="G78">
            <v>0.51865831554239317</v>
          </cell>
          <cell r="H78">
            <v>0.14271099483085953</v>
          </cell>
          <cell r="I78">
            <v>0</v>
          </cell>
          <cell r="J78">
            <v>0.19034694435469224</v>
          </cell>
          <cell r="K78">
            <v>0.12594196216235745</v>
          </cell>
          <cell r="L78">
            <v>1.5740635377385053E-2</v>
          </cell>
          <cell r="M78">
            <v>5.9620617674812906E-3</v>
          </cell>
          <cell r="N78">
            <v>6.3908596483125077E-4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3.2429025597961375E-2</v>
          </cell>
          <cell r="X78">
            <v>0.48749612526695679</v>
          </cell>
          <cell r="Y78">
            <v>0.13412357146179635</v>
          </cell>
          <cell r="Z78">
            <v>2.4505037165893608E-2</v>
          </cell>
          <cell r="AA78">
            <v>0.17897310368015043</v>
          </cell>
          <cell r="AB78">
            <v>0.12100675819227386</v>
          </cell>
          <cell r="AC78">
            <v>1.5123855907568401E-2</v>
          </cell>
          <cell r="AD78">
            <v>5.7284813285987451E-3</v>
          </cell>
          <cell r="AE78">
            <v>6.1404139880051221E-4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1.0000000000000022</v>
          </cell>
          <cell r="F79">
            <v>0</v>
          </cell>
          <cell r="G79">
            <v>0.39054989353496899</v>
          </cell>
          <cell r="H79">
            <v>8.7952713633348611E-2</v>
          </cell>
          <cell r="I79">
            <v>0</v>
          </cell>
          <cell r="J79">
            <v>8.9787020514086643E-2</v>
          </cell>
          <cell r="K79">
            <v>0.36910939153846445</v>
          </cell>
          <cell r="L79">
            <v>5.3181666724182022E-2</v>
          </cell>
          <cell r="M79">
            <v>1.183226582644744E-2</v>
          </cell>
          <cell r="N79">
            <v>1.0327155215501681E-3</v>
          </cell>
          <cell r="O79">
            <v>-3.4456672930459646E-3</v>
          </cell>
          <cell r="P79">
            <v>0</v>
          </cell>
          <cell r="S79" t="str">
            <v>IBT</v>
          </cell>
          <cell r="V79">
            <v>0.99999999999999922</v>
          </cell>
          <cell r="W79">
            <v>1.5414237510319392E-2</v>
          </cell>
          <cell r="X79">
            <v>0.33542311964031712</v>
          </cell>
          <cell r="Y79">
            <v>7.6661559021459838E-2</v>
          </cell>
          <cell r="Z79">
            <v>0.12106758616323952</v>
          </cell>
          <cell r="AA79">
            <v>8.0225136638089362E-2</v>
          </cell>
          <cell r="AB79">
            <v>0.31495970720787481</v>
          </cell>
          <cell r="AC79">
            <v>4.4942839845684909E-2</v>
          </cell>
          <cell r="AD79">
            <v>1.0409202898848247E-2</v>
          </cell>
          <cell r="AE79">
            <v>8.9661107416597584E-4</v>
          </cell>
          <cell r="AF79">
            <v>0</v>
          </cell>
          <cell r="AG79">
            <v>0</v>
          </cell>
        </row>
        <row r="80">
          <cell r="B80" t="str">
            <v>DITEXPRL</v>
          </cell>
          <cell r="E80">
            <v>1.0000000000000002</v>
          </cell>
          <cell r="F80">
            <v>2.4448454021395033E-2</v>
          </cell>
          <cell r="G80">
            <v>0.52298732707072593</v>
          </cell>
          <cell r="H80">
            <v>0.11931148242180901</v>
          </cell>
          <cell r="I80">
            <v>2.1814006162879294E-2</v>
          </cell>
          <cell r="J80">
            <v>0.15581519825253393</v>
          </cell>
          <cell r="K80">
            <v>0.16664568545740793</v>
          </cell>
          <cell r="L80">
            <v>7.6043078912605561E-3</v>
          </cell>
          <cell r="M80">
            <v>8.5074016072851973E-3</v>
          </cell>
          <cell r="N80">
            <v>-8.8674566347594248E-3</v>
          </cell>
          <cell r="O80">
            <v>0</v>
          </cell>
          <cell r="P80">
            <v>-1.826640625053743E-2</v>
          </cell>
          <cell r="S80" t="str">
            <v>DITEXPRL</v>
          </cell>
          <cell r="V80">
            <v>1.0182664062505375</v>
          </cell>
          <cell r="W80">
            <v>2.4448454021395033E-2</v>
          </cell>
          <cell r="X80">
            <v>0.52298732707072593</v>
          </cell>
          <cell r="Y80">
            <v>0.11931148242180903</v>
          </cell>
          <cell r="Z80">
            <v>2.1814006162879294E-2</v>
          </cell>
          <cell r="AA80">
            <v>0.15581519825253393</v>
          </cell>
          <cell r="AB80">
            <v>0.16664568545740796</v>
          </cell>
          <cell r="AC80">
            <v>7.6043078912605561E-3</v>
          </cell>
          <cell r="AD80">
            <v>8.5074016072851956E-3</v>
          </cell>
          <cell r="AE80">
            <v>-8.8674566347594248E-3</v>
          </cell>
          <cell r="AF80">
            <v>0</v>
          </cell>
          <cell r="AG80">
            <v>0</v>
          </cell>
        </row>
        <row r="81">
          <cell r="B81" t="str">
            <v>DITBALRL</v>
          </cell>
          <cell r="E81">
            <v>0.99999999999999989</v>
          </cell>
          <cell r="F81">
            <v>2.4622048212992194E-2</v>
          </cell>
          <cell r="G81">
            <v>0.29327015527105715</v>
          </cell>
          <cell r="H81">
            <v>7.6621633070413628E-2</v>
          </cell>
          <cell r="I81">
            <v>1.5313923770348013E-2</v>
          </cell>
          <cell r="J81">
            <v>0.10747418151053321</v>
          </cell>
          <cell r="K81">
            <v>0.38716253684819762</v>
          </cell>
          <cell r="L81">
            <v>5.4991640756182389E-2</v>
          </cell>
          <cell r="M81">
            <v>2.3666719559338793E-2</v>
          </cell>
          <cell r="N81">
            <v>3.5620336742395032E-3</v>
          </cell>
          <cell r="O81">
            <v>1.164448010082664E-5</v>
          </cell>
          <cell r="P81">
            <v>1.3303482846596645E-2</v>
          </cell>
          <cell r="S81" t="str">
            <v>DITBALRL</v>
          </cell>
          <cell r="V81">
            <v>0.98762446670206983</v>
          </cell>
          <cell r="W81">
            <v>2.4157709339552198E-2</v>
          </cell>
          <cell r="X81">
            <v>0.29056495504937208</v>
          </cell>
          <cell r="Y81">
            <v>7.1295099333930578E-2</v>
          </cell>
          <cell r="Z81">
            <v>1.0073739825824905E-2</v>
          </cell>
          <cell r="AA81">
            <v>9.0645542532472548E-2</v>
          </cell>
          <cell r="AB81">
            <v>0.4194128693745186</v>
          </cell>
          <cell r="AC81">
            <v>5.7711799101150055E-2</v>
          </cell>
          <cell r="AD81">
            <v>2.0797456384665059E-2</v>
          </cell>
          <cell r="AE81">
            <v>2.9652957605838374E-3</v>
          </cell>
          <cell r="AF81">
            <v>0</v>
          </cell>
          <cell r="AG81">
            <v>0</v>
          </cell>
        </row>
        <row r="82">
          <cell r="B82" t="str">
            <v>TAXDEPRL</v>
          </cell>
          <cell r="E82">
            <v>1</v>
          </cell>
          <cell r="F82">
            <v>3.1747297867528529E-2</v>
          </cell>
          <cell r="G82">
            <v>0.3454588694926759</v>
          </cell>
          <cell r="H82">
            <v>8.951565422866295E-2</v>
          </cell>
          <cell r="I82">
            <v>9.5164899859036568E-3</v>
          </cell>
          <cell r="J82">
            <v>0.10983768252885183</v>
          </cell>
          <cell r="K82">
            <v>0.35107939185167286</v>
          </cell>
          <cell r="L82">
            <v>4.5799423570699854E-2</v>
          </cell>
          <cell r="M82">
            <v>1.6054619402990831E-2</v>
          </cell>
          <cell r="N82">
            <v>9.9057107101362053E-4</v>
          </cell>
          <cell r="O82">
            <v>0</v>
          </cell>
          <cell r="P82">
            <v>0</v>
          </cell>
          <cell r="S82" t="str">
            <v>TAXDEPRL</v>
          </cell>
          <cell r="V82">
            <v>1</v>
          </cell>
          <cell r="W82">
            <v>3.1747297867528529E-2</v>
          </cell>
          <cell r="X82">
            <v>0.3454588694926759</v>
          </cell>
          <cell r="Y82">
            <v>8.951565422866295E-2</v>
          </cell>
          <cell r="Z82">
            <v>9.5164899859036568E-3</v>
          </cell>
          <cell r="AA82">
            <v>0.10983768252885183</v>
          </cell>
          <cell r="AB82">
            <v>0.35107939185167286</v>
          </cell>
          <cell r="AC82">
            <v>4.5799423570699854E-2</v>
          </cell>
          <cell r="AD82">
            <v>1.6054619402990831E-2</v>
          </cell>
          <cell r="AE82">
            <v>9.9057107101362053E-4</v>
          </cell>
          <cell r="AF82">
            <v>0</v>
          </cell>
          <cell r="AG82">
            <v>0</v>
          </cell>
        </row>
        <row r="83">
          <cell r="B83" t="str">
            <v>DITEXPMA</v>
          </cell>
          <cell r="E83">
            <v>1</v>
          </cell>
          <cell r="F83">
            <v>0</v>
          </cell>
          <cell r="G83">
            <v>0.48564572727640715</v>
          </cell>
          <cell r="H83">
            <v>0.12384482630949598</v>
          </cell>
          <cell r="I83">
            <v>0</v>
          </cell>
          <cell r="J83">
            <v>0.14701414386542996</v>
          </cell>
          <cell r="K83">
            <v>0.20244976054174327</v>
          </cell>
          <cell r="L83">
            <v>3.6497102475316762E-2</v>
          </cell>
          <cell r="M83">
            <v>1.0049671051121117E-2</v>
          </cell>
          <cell r="N83">
            <v>3.7377091568214696E-4</v>
          </cell>
          <cell r="O83">
            <v>0</v>
          </cell>
          <cell r="P83">
            <v>-5.875002435196325E-3</v>
          </cell>
          <cell r="S83" t="str">
            <v>DITEXPMA</v>
          </cell>
          <cell r="V83">
            <v>1.0190541125008514</v>
          </cell>
          <cell r="W83">
            <v>2.4162165037002661E-2</v>
          </cell>
          <cell r="X83">
            <v>0.55123647283214405</v>
          </cell>
          <cell r="Y83">
            <v>0.11897545851895405</v>
          </cell>
          <cell r="Z83">
            <v>2.2948216831901413E-2</v>
          </cell>
          <cell r="AA83">
            <v>0.16943053558424293</v>
          </cell>
          <cell r="AB83">
            <v>0.12709099115722403</v>
          </cell>
          <cell r="AC83">
            <v>5.6668542373037017E-3</v>
          </cell>
          <cell r="AD83">
            <v>8.1763816851274217E-3</v>
          </cell>
          <cell r="AE83">
            <v>-8.6329633830488847E-3</v>
          </cell>
          <cell r="AF83">
            <v>0</v>
          </cell>
          <cell r="AG83">
            <v>0</v>
          </cell>
        </row>
        <row r="84">
          <cell r="B84" t="str">
            <v>DITBALMA</v>
          </cell>
          <cell r="E84">
            <v>0.99999707095677981</v>
          </cell>
          <cell r="F84">
            <v>0</v>
          </cell>
          <cell r="G84">
            <v>0.26169060049660414</v>
          </cell>
          <cell r="H84">
            <v>6.1839345867432963E-2</v>
          </cell>
          <cell r="I84">
            <v>0</v>
          </cell>
          <cell r="J84">
            <v>7.7173252509691231E-2</v>
          </cell>
          <cell r="K84">
            <v>0.50610028504794224</v>
          </cell>
          <cell r="L84">
            <v>6.7719499596574736E-2</v>
          </cell>
          <cell r="M84">
            <v>2.4323684259870571E-2</v>
          </cell>
          <cell r="N84">
            <v>2.2726412664476176E-3</v>
          </cell>
          <cell r="O84">
            <v>0</v>
          </cell>
          <cell r="P84">
            <v>-1.1222380877835946E-3</v>
          </cell>
          <cell r="S84" t="str">
            <v>DITBALMA</v>
          </cell>
          <cell r="V84">
            <v>0.98763066692298385</v>
          </cell>
          <cell r="W84">
            <v>2.1108780068358229E-2</v>
          </cell>
          <cell r="X84">
            <v>0.23214208256515342</v>
          </cell>
          <cell r="Y84">
            <v>5.8570400939643628E-2</v>
          </cell>
          <cell r="Z84">
            <v>7.25929458119346E-3</v>
          </cell>
          <cell r="AA84">
            <v>7.3938501070354615E-2</v>
          </cell>
          <cell r="AB84">
            <v>0.49993252346757822</v>
          </cell>
          <cell r="AC84">
            <v>6.8008188712656042E-2</v>
          </cell>
          <cell r="AD84">
            <v>2.4524185164321411E-2</v>
          </cell>
          <cell r="AE84">
            <v>2.1467103537248654E-3</v>
          </cell>
          <cell r="AF84">
            <v>0</v>
          </cell>
          <cell r="AG84">
            <v>0</v>
          </cell>
        </row>
        <row r="85">
          <cell r="B85" t="str">
            <v>TAXDEPRMA</v>
          </cell>
          <cell r="E85">
            <v>1</v>
          </cell>
          <cell r="F85">
            <v>0</v>
          </cell>
          <cell r="G85">
            <v>0.35483642945318689</v>
          </cell>
          <cell r="H85">
            <v>9.1849273135129444E-2</v>
          </cell>
          <cell r="I85">
            <v>0</v>
          </cell>
          <cell r="J85">
            <v>0.1128247507636827</v>
          </cell>
          <cell r="K85">
            <v>0.3709213386718162</v>
          </cell>
          <cell r="L85">
            <v>4.8144038070712727E-2</v>
          </cell>
          <cell r="M85">
            <v>1.6829179252356632E-2</v>
          </cell>
          <cell r="N85">
            <v>1.0651453428735978E-3</v>
          </cell>
          <cell r="O85">
            <v>0</v>
          </cell>
          <cell r="P85">
            <v>3.5298453102418159E-3</v>
          </cell>
          <cell r="S85" t="str">
            <v>TAXDEPRMA</v>
          </cell>
          <cell r="V85">
            <v>0.99999999999999989</v>
          </cell>
          <cell r="W85">
            <v>3.1319071324450505E-2</v>
          </cell>
          <cell r="X85">
            <v>0.33884831382539715</v>
          </cell>
          <cell r="Y85">
            <v>8.7665272136688857E-2</v>
          </cell>
          <cell r="Z85">
            <v>9.1746113092770129E-3</v>
          </cell>
          <cell r="AA85">
            <v>0.10743579459157279</v>
          </cell>
          <cell r="AB85">
            <v>0.36105636042646722</v>
          </cell>
          <cell r="AC85">
            <v>4.6988125623485429E-2</v>
          </cell>
          <cell r="AD85">
            <v>1.6468237999570191E-2</v>
          </cell>
          <cell r="AE85">
            <v>1.0442127630908393E-3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1</v>
          </cell>
          <cell r="F86">
            <v>0</v>
          </cell>
          <cell r="G86">
            <v>0.34319127277498196</v>
          </cell>
          <cell r="H86">
            <v>8.6050771912269813E-2</v>
          </cell>
          <cell r="I86">
            <v>0</v>
          </cell>
          <cell r="J86">
            <v>0.10556579955111375</v>
          </cell>
          <cell r="K86">
            <v>0.39292205105799061</v>
          </cell>
          <cell r="L86">
            <v>5.2856504407368041E-2</v>
          </cell>
          <cell r="M86">
            <v>1.812174577545498E-2</v>
          </cell>
          <cell r="N86">
            <v>1.2918545208208977E-3</v>
          </cell>
          <cell r="O86">
            <v>0</v>
          </cell>
          <cell r="P86">
            <v>0</v>
          </cell>
          <cell r="S86" t="str">
            <v>SCHMDEXP</v>
          </cell>
          <cell r="V86">
            <v>1</v>
          </cell>
          <cell r="W86">
            <v>2.9719535642172622E-2</v>
          </cell>
          <cell r="X86">
            <v>0.32689968148662552</v>
          </cell>
          <cell r="Y86">
            <v>8.1893247050062901E-2</v>
          </cell>
          <cell r="Z86">
            <v>1.6596160900088881E-2</v>
          </cell>
          <cell r="AA86">
            <v>0.10040770919137852</v>
          </cell>
          <cell r="AB86">
            <v>0.37540892821007688</v>
          </cell>
          <cell r="AC86">
            <v>5.0526460106581308E-2</v>
          </cell>
          <cell r="AD86">
            <v>1.7317783812411714E-2</v>
          </cell>
          <cell r="AE86">
            <v>1.2304936006017346E-3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0.99999999999999956</v>
          </cell>
          <cell r="F87">
            <v>0</v>
          </cell>
          <cell r="G87">
            <v>0.35173085581134933</v>
          </cell>
          <cell r="H87">
            <v>8.7319881153653675E-2</v>
          </cell>
          <cell r="I87">
            <v>0</v>
          </cell>
          <cell r="J87">
            <v>0.13128662494790996</v>
          </cell>
          <cell r="K87">
            <v>0.36799853017825357</v>
          </cell>
          <cell r="L87">
            <v>4.446947846988953E-2</v>
          </cell>
          <cell r="M87">
            <v>1.6172066698832411E-2</v>
          </cell>
          <cell r="N87">
            <v>1.0225627401110771E-3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2.7464054850400925E-2</v>
          </cell>
          <cell r="X87">
            <v>0.33597494675764028</v>
          </cell>
          <cell r="Y87">
            <v>8.3272353887515527E-2</v>
          </cell>
          <cell r="Z87">
            <v>1.6533592188818055E-2</v>
          </cell>
          <cell r="AA87">
            <v>0.12635575317673564</v>
          </cell>
          <cell r="AB87">
            <v>0.35143267425223434</v>
          </cell>
          <cell r="AC87">
            <v>4.248879917662074E-2</v>
          </cell>
          <cell r="AD87">
            <v>1.5503056709335782E-2</v>
          </cell>
          <cell r="AE87">
            <v>9.7476900069865674E-4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</v>
          </cell>
          <cell r="G88">
            <v>0.35148404310881876</v>
          </cell>
          <cell r="H88">
            <v>9.712543953879417E-2</v>
          </cell>
          <cell r="I88">
            <v>0</v>
          </cell>
          <cell r="J88">
            <v>0.12700597113709844</v>
          </cell>
          <cell r="K88">
            <v>0.3637164014022336</v>
          </cell>
          <cell r="L88">
            <v>4.45955560395246E-2</v>
          </cell>
          <cell r="M88">
            <v>1.6072588773530475E-2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2.2498578846929265E-2</v>
          </cell>
          <cell r="X88">
            <v>0.33765683568444055</v>
          </cell>
          <cell r="Y88">
            <v>9.3304391612631363E-2</v>
          </cell>
          <cell r="Z88">
            <v>1.683964454867139E-2</v>
          </cell>
          <cell r="AA88">
            <v>0.12201049260688453</v>
          </cell>
          <cell r="AB88">
            <v>0.34940830514391114</v>
          </cell>
          <cell r="AC88">
            <v>4.2841317953700435E-2</v>
          </cell>
          <cell r="AD88">
            <v>1.544043360283146E-2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A Sales Data for PCorp UT"/>
      <sheetName val="EIA Sales Data for PCorp WA"/>
      <sheetName val="EIA Sales Data for PCorp OR"/>
      <sheetName val="EIA Sales Data for PCorp ID"/>
      <sheetName val="EIA Sales Data for PCorp WY"/>
      <sheetName val="EIA Sales Data for PCorp CA"/>
      <sheetName val="Building Stock Comparison"/>
      <sheetName val="CBE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>
            <v>8.6661020764769572E-2</v>
          </cell>
        </row>
        <row r="7">
          <cell r="G7">
            <v>0.25295284242573673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A Sales Data for PCorp UT"/>
      <sheetName val="EIA Sales Data for PCorp WA"/>
      <sheetName val="EIA Sales Data for PCorp OR"/>
      <sheetName val="EIA Sales Data for PCorp ID"/>
      <sheetName val="EIA Sales Data for PCorp WY"/>
      <sheetName val="EIA Sales Data for PCorp CA"/>
      <sheetName val="Building Stock Comparison"/>
      <sheetName val="CBE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>
            <v>8.6661020764769572E-2</v>
          </cell>
        </row>
        <row r="7">
          <cell r="G7">
            <v>0.25295284242573673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Details"/>
      <sheetName val="AvoidedCosts"/>
      <sheetName val="Load Shapes"/>
      <sheetName val="Calc"/>
      <sheetName val="Results adjusted for neg tRC"/>
      <sheetName val="SummaryResults"/>
      <sheetName val="Results"/>
      <sheetName val="Report Tables"/>
      <sheetName val="Life Cycle Retail Sales"/>
      <sheetName val="Line Loss Study"/>
    </sheetNames>
    <sheetDataSet>
      <sheetData sheetId="0" refreshError="1"/>
      <sheetData sheetId="1">
        <row r="3">
          <cell r="B3">
            <v>7.0999999999999994E-2</v>
          </cell>
        </row>
        <row r="4">
          <cell r="B4">
            <v>7.0999999999999994E-2</v>
          </cell>
        </row>
        <row r="16">
          <cell r="B16">
            <v>9</v>
          </cell>
          <cell r="C16">
            <v>30</v>
          </cell>
          <cell r="D16">
            <v>14</v>
          </cell>
          <cell r="E16">
            <v>6</v>
          </cell>
          <cell r="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Details"/>
      <sheetName val="AvoidedCosts"/>
      <sheetName val="Load Shapes"/>
      <sheetName val="Calc"/>
      <sheetName val="Results adjusted for neg tRC"/>
      <sheetName val="SummaryResults"/>
      <sheetName val="Results"/>
      <sheetName val="Report Tables"/>
      <sheetName val="Life Cycle Retail Sales"/>
      <sheetName val="Line Loss Study"/>
    </sheetNames>
    <sheetDataSet>
      <sheetData sheetId="0" refreshError="1"/>
      <sheetData sheetId="1">
        <row r="3">
          <cell r="B3">
            <v>7.0999999999999994E-2</v>
          </cell>
        </row>
        <row r="4">
          <cell r="B4">
            <v>7.0999999999999994E-2</v>
          </cell>
        </row>
        <row r="16">
          <cell r="B16">
            <v>9</v>
          </cell>
          <cell r="C16">
            <v>30</v>
          </cell>
          <cell r="D16">
            <v>14</v>
          </cell>
          <cell r="E16">
            <v>6</v>
          </cell>
          <cell r="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Funder Reports "/>
      <sheetName val="Funder Shares"/>
      <sheetName val="Funder Share Savings"/>
      <sheetName val="Regional Savings"/>
      <sheetName val="Service Territory"/>
      <sheetName val="Business Plan Cum Funder Report"/>
    </sheetNames>
    <sheetDataSet>
      <sheetData sheetId="0"/>
      <sheetData sheetId="1">
        <row r="3">
          <cell r="A3" t="str">
            <v>Avista</v>
          </cell>
        </row>
        <row r="4">
          <cell r="A4" t="str">
            <v>BPA</v>
          </cell>
        </row>
        <row r="5">
          <cell r="A5" t="str">
            <v>Clark</v>
          </cell>
        </row>
        <row r="6">
          <cell r="A6" t="str">
            <v>Cowlitz</v>
          </cell>
        </row>
        <row r="7">
          <cell r="A7" t="str">
            <v>ETO</v>
          </cell>
        </row>
        <row r="8">
          <cell r="A8" t="str">
            <v>EWEB</v>
          </cell>
        </row>
        <row r="9">
          <cell r="A9" t="str">
            <v>ID</v>
          </cell>
        </row>
        <row r="10">
          <cell r="A10" t="str">
            <v>NW</v>
          </cell>
        </row>
        <row r="11">
          <cell r="A11" t="str">
            <v>Pacific</v>
          </cell>
        </row>
        <row r="12">
          <cell r="A12" t="str">
            <v>PSE</v>
          </cell>
        </row>
        <row r="13">
          <cell r="A13" t="str">
            <v>Seattle</v>
          </cell>
        </row>
        <row r="14">
          <cell r="A14" t="str">
            <v>Sno</v>
          </cell>
        </row>
        <row r="15">
          <cell r="A15" t="str">
            <v>Tacoma</v>
          </cell>
        </row>
        <row r="16">
          <cell r="A16" t="str">
            <v>Total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CA Pub Purp (2)"/>
      <sheetName val="SOX-Dox"/>
      <sheetName val="Process"/>
      <sheetName val="Voltage"/>
      <sheetName val="Codes"/>
      <sheetName val="Delivery"/>
      <sheetName val="SCRInput2"/>
      <sheetName val="Inputs"/>
      <sheetName val="Sch 93 Transaction"/>
      <sheetName val="Trail Mtn."/>
      <sheetName val="DA Shopping"/>
      <sheetName val="Intervenor Funding"/>
      <sheetName val="Prorate 11-07"/>
      <sheetName val="Prorate 10-07"/>
      <sheetName val="Prorate 09-07"/>
      <sheetName val="Prorate 08-07"/>
      <sheetName val="Prorate 07-07"/>
      <sheetName val="Prorate 06-07"/>
      <sheetName val="Prorate 05-07"/>
      <sheetName val="Prorate 04-07"/>
      <sheetName val="Prorate 03-07"/>
      <sheetName val="Prorate 02-07"/>
      <sheetName val="Prorate 01-07"/>
      <sheetName val="WA SBC"/>
      <sheetName val="0103 Proration (191)"/>
      <sheetName val="WA SBC - Class 48T"/>
      <sheetName val="Utah DSM"/>
      <sheetName val="Idaho DSM"/>
      <sheetName val="CA Pub Purp"/>
      <sheetName val="Reasonableness"/>
      <sheetName val="No Longer Used --&gt;"/>
      <sheetName val="CA Pub Purp Revisions"/>
      <sheetName val="Sch 95 Deferred Acct."/>
      <sheetName val="Klamath"/>
      <sheetName val="Y2K"/>
      <sheetName val="Prorate 03-06"/>
      <sheetName val="Prorate 02-06"/>
      <sheetName val="Centralia Credit"/>
      <sheetName val="Prorate 01-06"/>
      <sheetName val="Module2"/>
    </sheetNames>
    <sheetDataSet>
      <sheetData sheetId="0"/>
      <sheetData sheetId="1" refreshError="1"/>
      <sheetData sheetId="2">
        <row r="2">
          <cell r="O2">
            <v>1</v>
          </cell>
        </row>
      </sheetData>
      <sheetData sheetId="3">
        <row r="2">
          <cell r="O2">
            <v>1</v>
          </cell>
        </row>
      </sheetData>
      <sheetData sheetId="4">
        <row r="2">
          <cell r="O2">
            <v>1</v>
          </cell>
        </row>
      </sheetData>
      <sheetData sheetId="5">
        <row r="1">
          <cell r="S1" t="str">
            <v>Month</v>
          </cell>
        </row>
        <row r="2">
          <cell r="O2">
            <v>1</v>
          </cell>
          <cell r="P2" t="str">
            <v>January</v>
          </cell>
        </row>
        <row r="3">
          <cell r="O3">
            <v>2</v>
          </cell>
          <cell r="P3" t="str">
            <v>February</v>
          </cell>
        </row>
        <row r="4">
          <cell r="O4">
            <v>3</v>
          </cell>
          <cell r="P4" t="str">
            <v>March</v>
          </cell>
        </row>
        <row r="5">
          <cell r="O5">
            <v>4</v>
          </cell>
          <cell r="P5" t="str">
            <v>April</v>
          </cell>
        </row>
        <row r="6">
          <cell r="O6">
            <v>5</v>
          </cell>
          <cell r="P6" t="str">
            <v>May</v>
          </cell>
        </row>
        <row r="7">
          <cell r="O7">
            <v>6</v>
          </cell>
          <cell r="P7" t="str">
            <v>June</v>
          </cell>
        </row>
        <row r="8">
          <cell r="O8">
            <v>7</v>
          </cell>
          <cell r="P8" t="str">
            <v>July</v>
          </cell>
        </row>
        <row r="9">
          <cell r="O9">
            <v>8</v>
          </cell>
          <cell r="P9" t="str">
            <v>August</v>
          </cell>
        </row>
        <row r="10">
          <cell r="O10">
            <v>9</v>
          </cell>
          <cell r="P10" t="str">
            <v>September</v>
          </cell>
        </row>
        <row r="11">
          <cell r="O11">
            <v>10</v>
          </cell>
          <cell r="P11" t="str">
            <v>October</v>
          </cell>
        </row>
        <row r="12">
          <cell r="O12">
            <v>11</v>
          </cell>
          <cell r="P12" t="str">
            <v>November</v>
          </cell>
        </row>
        <row r="13">
          <cell r="O13">
            <v>12</v>
          </cell>
          <cell r="P13" t="str">
            <v>December</v>
          </cell>
        </row>
      </sheetData>
      <sheetData sheetId="6">
        <row r="1">
          <cell r="S1" t="str">
            <v>Month</v>
          </cell>
        </row>
      </sheetData>
      <sheetData sheetId="7">
        <row r="1">
          <cell r="S1" t="str">
            <v>Month</v>
          </cell>
        </row>
      </sheetData>
      <sheetData sheetId="8">
        <row r="1">
          <cell r="S1" t="str">
            <v>Month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B5" t="str">
            <v>January 2001 - November 2007</v>
          </cell>
        </row>
      </sheetData>
      <sheetData sheetId="23">
        <row r="5">
          <cell r="B5" t="str">
            <v>January 2001 - November 2007</v>
          </cell>
        </row>
      </sheetData>
      <sheetData sheetId="24">
        <row r="5">
          <cell r="B5" t="str">
            <v>January 2001 - November 2007</v>
          </cell>
        </row>
      </sheetData>
      <sheetData sheetId="25">
        <row r="5">
          <cell r="B5" t="str">
            <v>January 2001 - November 2007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44">
          <cell r="H44">
            <v>1365266453</v>
          </cell>
        </row>
      </sheetData>
      <sheetData sheetId="33">
        <row r="44">
          <cell r="H44">
            <v>1365266453</v>
          </cell>
        </row>
      </sheetData>
      <sheetData sheetId="34">
        <row r="44">
          <cell r="H44">
            <v>1365266453</v>
          </cell>
        </row>
      </sheetData>
      <sheetData sheetId="35">
        <row r="44">
          <cell r="H44">
            <v>1365266453</v>
          </cell>
          <cell r="I44">
            <v>1204690917</v>
          </cell>
          <cell r="J44">
            <v>453760316</v>
          </cell>
        </row>
      </sheetData>
      <sheetData sheetId="36">
        <row r="44">
          <cell r="H44">
            <v>1365266453</v>
          </cell>
        </row>
      </sheetData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1001"/>
      <sheetName val="Prorate 04-10 - Supply"/>
      <sheetName val="Prorate 03-10 - Supply"/>
      <sheetName val="Prorate 02-10 - Supply"/>
      <sheetName val="Prorate 01-10 - Supply"/>
      <sheetName val="Prorate 04-10"/>
      <sheetName val="Prorate 03-10"/>
      <sheetName val="Prorate 02-10"/>
      <sheetName val="Prorate 01-10"/>
      <sheetName val="Independent Evaluator"/>
      <sheetName val="RAC Deferral"/>
      <sheetName val="Property Sales"/>
      <sheetName val="DA Shopping"/>
      <sheetName val="Trans Plan Reg Asset"/>
      <sheetName val="MEHC CIC Reg Asset"/>
      <sheetName val="Grid West Reg Asset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>
            <v>51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 t="str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01COSTL028 -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</sheetData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solidated Submissions"/>
      <sheetName val="CO Expense CE"/>
      <sheetName val="CO  Act Qty &amp; Price"/>
      <sheetName val="Projects"/>
      <sheetName val="Orders"/>
      <sheetName val="PCA Xfr Pricing"/>
      <sheetName val="PCA Revs"/>
      <sheetName val="PCA Bal Sheet"/>
      <sheetName val="SK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O DOWNLOAD FERC"/>
      <sheetName val="186000 DOWNLOAD FERC"/>
      <sheetName val="Buyout download FERC"/>
      <sheetName val="ENVIRONMENTAL DOWNLOAD FERC"/>
      <sheetName val="RETAIL ACCESS DOWNLOAD FERC"/>
      <sheetName val="Sheet1"/>
      <sheetName val="Add'l PC Changes"/>
      <sheetName val="PC Chgs Template 3"/>
      <sheetName val="PC Chgs Template 2"/>
      <sheetName val="PC Changes Template"/>
      <sheetName val="Reg Asset Default Chgs Rev"/>
      <sheetName val="Reg Asset Default Changes"/>
      <sheetName val="PC Table updated May 2003"/>
      <sheetName val="Sheet3"/>
      <sheetName val="PC J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A Sales Data for PCorp UT"/>
      <sheetName val="CBECS"/>
      <sheetName val="Cooled Sq Ft"/>
      <sheetName val="Comm Mrkt Est"/>
      <sheetName val="Equipment Info"/>
      <sheetName val="Potential savings analysis"/>
    </sheetNames>
    <sheetDataSet>
      <sheetData sheetId="0">
        <row r="9">
          <cell r="I9">
            <v>56141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A Sales Data for PCorp UT"/>
      <sheetName val="CBECS"/>
      <sheetName val="Cooled Sq Ft"/>
      <sheetName val="Comm Mrkt Est"/>
      <sheetName val="Equipment Info"/>
      <sheetName val="Potential savings analysis"/>
    </sheetNames>
    <sheetDataSet>
      <sheetData sheetId="0">
        <row r="9">
          <cell r="I9">
            <v>56141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 Red Cross-Old"/>
    </sheetNames>
    <sheetDataSet>
      <sheetData sheetId="0">
        <row r="2">
          <cell r="B2" t="str">
            <v>one month</v>
          </cell>
        </row>
        <row r="9">
          <cell r="B9" t="str">
            <v>Amt.in loc.cur.</v>
          </cell>
        </row>
        <row r="10">
          <cell r="B10">
            <v>3591.22</v>
          </cell>
        </row>
        <row r="11">
          <cell r="B11">
            <v>1157</v>
          </cell>
        </row>
        <row r="12">
          <cell r="B12">
            <v>4748.2199999999993</v>
          </cell>
        </row>
        <row r="13">
          <cell r="B13">
            <v>52</v>
          </cell>
        </row>
        <row r="14">
          <cell r="B14">
            <v>17293</v>
          </cell>
        </row>
        <row r="15">
          <cell r="B15">
            <v>36000</v>
          </cell>
        </row>
        <row r="16">
          <cell r="B16">
            <v>3851.53</v>
          </cell>
        </row>
        <row r="17">
          <cell r="B17">
            <v>637</v>
          </cell>
        </row>
        <row r="18">
          <cell r="B18">
            <v>57833.53</v>
          </cell>
        </row>
        <row r="19">
          <cell r="B19">
            <v>50000</v>
          </cell>
        </row>
        <row r="20">
          <cell r="B20">
            <v>194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P1">
            <v>1</v>
          </cell>
          <cell r="AQ1" t="str">
            <v>January</v>
          </cell>
        </row>
        <row r="2">
          <cell r="AP2">
            <v>2</v>
          </cell>
          <cell r="AQ2" t="str">
            <v>February</v>
          </cell>
        </row>
        <row r="3">
          <cell r="AP3">
            <v>3</v>
          </cell>
          <cell r="AQ3" t="str">
            <v>March</v>
          </cell>
        </row>
        <row r="4">
          <cell r="AP4">
            <v>4</v>
          </cell>
          <cell r="AQ4" t="str">
            <v>April</v>
          </cell>
        </row>
        <row r="5">
          <cell r="AP5">
            <v>5</v>
          </cell>
          <cell r="AQ5" t="str">
            <v>May</v>
          </cell>
        </row>
        <row r="6">
          <cell r="AP6">
            <v>6</v>
          </cell>
          <cell r="AQ6" t="str">
            <v>June</v>
          </cell>
        </row>
        <row r="7">
          <cell r="AP7">
            <v>7</v>
          </cell>
          <cell r="AQ7" t="str">
            <v>July</v>
          </cell>
        </row>
        <row r="8">
          <cell r="AP8">
            <v>8</v>
          </cell>
          <cell r="AQ8" t="str">
            <v>August</v>
          </cell>
        </row>
        <row r="9">
          <cell r="AP9">
            <v>9</v>
          </cell>
          <cell r="AQ9" t="str">
            <v>September</v>
          </cell>
        </row>
        <row r="10">
          <cell r="AP10">
            <v>10</v>
          </cell>
          <cell r="AQ10" t="str">
            <v>October</v>
          </cell>
        </row>
        <row r="11">
          <cell r="AP11">
            <v>11</v>
          </cell>
          <cell r="AQ11" t="str">
            <v>November</v>
          </cell>
        </row>
        <row r="12">
          <cell r="AP12">
            <v>12</v>
          </cell>
          <cell r="AQ12" t="str">
            <v>December</v>
          </cell>
        </row>
        <row r="41">
          <cell r="O41">
            <v>1326499816</v>
          </cell>
          <cell r="P41">
            <v>1122666395</v>
          </cell>
          <cell r="Q41">
            <v>1057302982</v>
          </cell>
          <cell r="R41">
            <v>1017904609</v>
          </cell>
          <cell r="S41">
            <v>931714034</v>
          </cell>
          <cell r="T41">
            <v>985735115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 Red Cross-Old"/>
    </sheetNames>
    <sheetDataSet>
      <sheetData sheetId="0">
        <row r="2">
          <cell r="B2" t="str">
            <v>one month</v>
          </cell>
        </row>
        <row r="9">
          <cell r="B9" t="str">
            <v>Amt.in loc.cur.</v>
          </cell>
        </row>
        <row r="10">
          <cell r="B10">
            <v>3591.22</v>
          </cell>
        </row>
        <row r="11">
          <cell r="B11">
            <v>1157</v>
          </cell>
        </row>
        <row r="12">
          <cell r="B12">
            <v>4748.2199999999993</v>
          </cell>
        </row>
        <row r="13">
          <cell r="B13">
            <v>52</v>
          </cell>
        </row>
        <row r="14">
          <cell r="B14">
            <v>17293</v>
          </cell>
        </row>
        <row r="15">
          <cell r="B15">
            <v>36000</v>
          </cell>
        </row>
        <row r="16">
          <cell r="B16">
            <v>3851.53</v>
          </cell>
        </row>
        <row r="17">
          <cell r="B17">
            <v>637</v>
          </cell>
        </row>
        <row r="18">
          <cell r="B18">
            <v>57833.53</v>
          </cell>
        </row>
        <row r="19">
          <cell r="B19">
            <v>50000</v>
          </cell>
        </row>
        <row r="20">
          <cell r="B20">
            <v>194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 Red Cross-Old"/>
    </sheetNames>
    <sheetDataSet>
      <sheetData sheetId="0">
        <row r="2">
          <cell r="B2" t="str">
            <v>one month</v>
          </cell>
        </row>
        <row r="9">
          <cell r="B9" t="str">
            <v>Amt.in loc.cur.</v>
          </cell>
        </row>
        <row r="10">
          <cell r="B10">
            <v>3591.22</v>
          </cell>
        </row>
        <row r="11">
          <cell r="B11">
            <v>1157</v>
          </cell>
        </row>
        <row r="12">
          <cell r="B12">
            <v>4748.2199999999993</v>
          </cell>
        </row>
        <row r="13">
          <cell r="B13">
            <v>52</v>
          </cell>
        </row>
        <row r="14">
          <cell r="B14">
            <v>17293</v>
          </cell>
        </row>
        <row r="15">
          <cell r="B15">
            <v>36000</v>
          </cell>
        </row>
        <row r="16">
          <cell r="B16">
            <v>3851.53</v>
          </cell>
        </row>
        <row r="17">
          <cell r="B17">
            <v>637</v>
          </cell>
        </row>
        <row r="18">
          <cell r="B18">
            <v>57833.53</v>
          </cell>
        </row>
        <row r="19">
          <cell r="B19">
            <v>50000</v>
          </cell>
        </row>
        <row r="20">
          <cell r="B20">
            <v>194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"/>
  <sheetViews>
    <sheetView tabSelected="1" workbookViewId="0">
      <pane xSplit="1" ySplit="4" topLeftCell="B95" activePane="bottomRight" state="frozen"/>
      <selection pane="topRight" activeCell="B1" sqref="B1"/>
      <selection pane="bottomLeft" activeCell="A5" sqref="A5"/>
      <selection pane="bottomRight" activeCell="A83" sqref="A83:XFD94"/>
    </sheetView>
  </sheetViews>
  <sheetFormatPr defaultColWidth="9.140625" defaultRowHeight="15" outlineLevelRow="2"/>
  <cols>
    <col min="1" max="1" width="17.7109375" style="44" bestFit="1" customWidth="1"/>
    <col min="2" max="2" width="13.85546875" style="43" customWidth="1"/>
    <col min="3" max="3" width="15.28515625" style="43" customWidth="1"/>
    <col min="4" max="4" width="14.42578125" style="43" customWidth="1"/>
    <col min="5" max="5" width="12.5703125" style="43" customWidth="1"/>
    <col min="6" max="6" width="16.7109375" style="43" customWidth="1"/>
    <col min="7" max="7" width="2.42578125" style="43" customWidth="1"/>
    <col min="8" max="8" width="11.28515625" style="43" bestFit="1" customWidth="1"/>
    <col min="9" max="9" width="15.28515625" style="43" bestFit="1" customWidth="1"/>
    <col min="10" max="10" width="12.5703125" style="43" bestFit="1" customWidth="1"/>
    <col min="11" max="11" width="11.7109375" style="43" customWidth="1"/>
    <col min="12" max="20" width="9.140625" style="43" customWidth="1"/>
    <col min="21" max="16384" width="9.140625" style="43"/>
  </cols>
  <sheetData>
    <row r="1" spans="1:6">
      <c r="A1" s="106"/>
      <c r="B1" s="106"/>
      <c r="C1" s="106"/>
      <c r="D1" s="106"/>
      <c r="E1" s="106"/>
      <c r="F1" s="106"/>
    </row>
    <row r="2" spans="1:6" ht="15.75">
      <c r="A2" s="107" t="s">
        <v>28</v>
      </c>
      <c r="B2" s="107"/>
      <c r="C2" s="107"/>
      <c r="D2" s="107"/>
      <c r="E2" s="107"/>
      <c r="F2" s="107"/>
    </row>
    <row r="3" spans="1:6">
      <c r="A3" s="40"/>
      <c r="B3" s="40"/>
      <c r="C3" s="40"/>
      <c r="D3" s="40"/>
      <c r="E3" s="40"/>
      <c r="F3" s="40"/>
    </row>
    <row r="4" spans="1:6" ht="45">
      <c r="A4" s="39"/>
      <c r="B4" s="41" t="s">
        <v>29</v>
      </c>
      <c r="C4" s="42" t="s">
        <v>30</v>
      </c>
      <c r="D4" s="38" t="s">
        <v>47</v>
      </c>
      <c r="E4" s="41" t="s">
        <v>31</v>
      </c>
      <c r="F4" s="38" t="s">
        <v>48</v>
      </c>
    </row>
    <row r="5" spans="1:6" hidden="1">
      <c r="A5" s="37" t="s">
        <v>71</v>
      </c>
      <c r="B5" s="35">
        <v>9195525</v>
      </c>
      <c r="C5" s="35">
        <v>-8819537</v>
      </c>
      <c r="D5" s="35">
        <v>765948.69</v>
      </c>
      <c r="E5" s="35">
        <v>530995.68999999994</v>
      </c>
      <c r="F5" s="35">
        <f>+D5+E5</f>
        <v>1296944.3799999999</v>
      </c>
    </row>
    <row r="6" spans="1:6" ht="7.5" hidden="1" customHeight="1">
      <c r="A6" s="35"/>
      <c r="B6" s="35"/>
      <c r="C6" s="35"/>
      <c r="D6" s="35"/>
      <c r="E6" s="35"/>
      <c r="F6" s="35"/>
    </row>
    <row r="7" spans="1:6" ht="15.75" hidden="1" thickBot="1">
      <c r="A7" s="37" t="s">
        <v>43</v>
      </c>
      <c r="B7" s="36">
        <v>9986359.3299999982</v>
      </c>
      <c r="C7" s="36">
        <v>-9918012</v>
      </c>
      <c r="D7" s="36">
        <v>834296.01999999979</v>
      </c>
      <c r="E7" s="36">
        <v>93015.599999999977</v>
      </c>
      <c r="F7" s="36">
        <v>1458307.3099999996</v>
      </c>
    </row>
    <row r="8" spans="1:6" ht="6.75" hidden="1" customHeight="1" thickTop="1">
      <c r="A8" s="35"/>
      <c r="B8" s="35"/>
      <c r="C8" s="35"/>
      <c r="D8" s="35"/>
      <c r="E8" s="35"/>
      <c r="F8" s="35"/>
    </row>
    <row r="9" spans="1:6" ht="15.75" hidden="1" thickBot="1">
      <c r="A9" s="37" t="s">
        <v>44</v>
      </c>
      <c r="B9" s="36">
        <v>9518485.0199999996</v>
      </c>
      <c r="C9" s="49">
        <v>-11140249</v>
      </c>
      <c r="D9" s="36">
        <v>-787467.9600000002</v>
      </c>
      <c r="E9" s="36">
        <v>-333893.13</v>
      </c>
      <c r="F9" s="36">
        <v>-497349.80000000028</v>
      </c>
    </row>
    <row r="10" spans="1:6" ht="6" hidden="1" customHeight="1" thickTop="1">
      <c r="A10" s="35"/>
      <c r="B10" s="35"/>
      <c r="C10" s="48"/>
      <c r="D10" s="35"/>
      <c r="E10" s="35"/>
      <c r="F10" s="35"/>
    </row>
    <row r="11" spans="1:6" ht="15.75" hidden="1" thickBot="1">
      <c r="A11" s="37" t="s">
        <v>45</v>
      </c>
      <c r="B11" s="49">
        <v>10985270.9</v>
      </c>
      <c r="C11" s="49">
        <v>-10463349.33</v>
      </c>
      <c r="D11" s="36">
        <v>-265546.39000000013</v>
      </c>
      <c r="E11" s="36">
        <v>1052909.6499999999</v>
      </c>
      <c r="F11" s="36">
        <v>1077481.4199999997</v>
      </c>
    </row>
    <row r="12" spans="1:6" ht="6" hidden="1" customHeight="1" thickTop="1">
      <c r="A12" s="35"/>
      <c r="B12" s="44"/>
      <c r="C12" s="44"/>
    </row>
    <row r="13" spans="1:6" outlineLevel="1">
      <c r="A13" s="35" t="s">
        <v>32</v>
      </c>
      <c r="B13" s="48">
        <v>434701.94</v>
      </c>
      <c r="C13" s="48">
        <v>-1021573</v>
      </c>
      <c r="D13" s="35">
        <f>+D11+B13+C13</f>
        <v>-852417.45000000019</v>
      </c>
      <c r="E13" s="59">
        <v>-243936.34</v>
      </c>
      <c r="F13" s="35">
        <f>D13+$E$5+$E$7+$E$9+$E$11+E13</f>
        <v>246674.01999999964</v>
      </c>
    </row>
    <row r="14" spans="1:6" outlineLevel="1">
      <c r="A14" s="35" t="s">
        <v>33</v>
      </c>
      <c r="B14" s="48">
        <v>1047571.6</v>
      </c>
      <c r="C14" s="48">
        <v>-886776.3</v>
      </c>
      <c r="D14" s="35">
        <f>+D13+B14+C14</f>
        <v>-691622.15000000026</v>
      </c>
      <c r="E14" s="59">
        <v>-35689.800000000003</v>
      </c>
      <c r="F14" s="35">
        <f>D14+$E$5+$E$7+$E$9+$E$11+SUM(E13:E14)</f>
        <v>371779.51999999955</v>
      </c>
    </row>
    <row r="15" spans="1:6" outlineLevel="1">
      <c r="A15" s="35" t="s">
        <v>34</v>
      </c>
      <c r="B15" s="48">
        <v>1343084.27</v>
      </c>
      <c r="C15" s="48">
        <v>-765986.1</v>
      </c>
      <c r="D15" s="35">
        <f t="shared" ref="D15:D24" si="0">+D14+B15+C15</f>
        <v>-114523.98000000021</v>
      </c>
      <c r="E15" s="59">
        <v>-397443.98</v>
      </c>
      <c r="F15" s="67">
        <f>D15+$E$5+$E$7+$E$9+$E$11+SUM(E13:E15)</f>
        <v>551433.70999999961</v>
      </c>
    </row>
    <row r="16" spans="1:6" ht="14.25" customHeight="1" outlineLevel="1">
      <c r="A16" s="35" t="s">
        <v>35</v>
      </c>
      <c r="B16" s="48">
        <v>1180880.43</v>
      </c>
      <c r="C16" s="48">
        <v>-716950.42</v>
      </c>
      <c r="D16" s="35">
        <f t="shared" si="0"/>
        <v>349406.02999999968</v>
      </c>
      <c r="E16" s="59">
        <v>-275696.56</v>
      </c>
      <c r="F16" s="67">
        <f>D16+$E$5+$E$7+$E$9+$E$11+SUM(E13:E16)</f>
        <v>739667.15999999945</v>
      </c>
    </row>
    <row r="17" spans="1:20" outlineLevel="1">
      <c r="A17" s="35" t="s">
        <v>19</v>
      </c>
      <c r="B17" s="48">
        <v>571483.89</v>
      </c>
      <c r="C17" s="48">
        <v>-735223.15</v>
      </c>
      <c r="D17" s="35">
        <f t="shared" si="0"/>
        <v>185666.76999999967</v>
      </c>
      <c r="E17" s="59">
        <v>502427.7</v>
      </c>
      <c r="F17" s="67">
        <f>D17+$E$5+$E$7+$E$9+$E$11+SUM(E13:E17)</f>
        <v>1078355.5999999996</v>
      </c>
    </row>
    <row r="18" spans="1:20" outlineLevel="1">
      <c r="A18" s="35" t="s">
        <v>36</v>
      </c>
      <c r="B18" s="48">
        <v>1049210.82</v>
      </c>
      <c r="C18" s="48">
        <v>-805633.56</v>
      </c>
      <c r="D18" s="35">
        <f t="shared" si="0"/>
        <v>429244.0299999998</v>
      </c>
      <c r="E18" s="59">
        <v>-65455.12</v>
      </c>
      <c r="F18" s="48">
        <f>D18+$E$5+$E$7+$E$9+$E$11+SUM(E13:E18)</f>
        <v>1256477.74</v>
      </c>
      <c r="H18" s="58"/>
    </row>
    <row r="19" spans="1:20" outlineLevel="1">
      <c r="A19" s="35" t="s">
        <v>37</v>
      </c>
      <c r="B19" s="48">
        <v>987492.18</v>
      </c>
      <c r="C19" s="48">
        <v>-1013351.12</v>
      </c>
      <c r="D19" s="35">
        <f t="shared" si="0"/>
        <v>403385.08999999997</v>
      </c>
      <c r="E19" s="59">
        <v>-52827.65</v>
      </c>
      <c r="F19" s="35">
        <f>D19+$E$5+$E$7+$E$9+$E$11+SUM(E13:E19)</f>
        <v>1177791.1499999999</v>
      </c>
    </row>
    <row r="20" spans="1:20" outlineLevel="1">
      <c r="A20" s="35" t="s">
        <v>38</v>
      </c>
      <c r="B20" s="48">
        <v>777200.68</v>
      </c>
      <c r="C20" s="48">
        <v>-934306.55</v>
      </c>
      <c r="D20" s="35">
        <f t="shared" si="0"/>
        <v>246279.21999999997</v>
      </c>
      <c r="E20" s="59">
        <v>56954.65</v>
      </c>
      <c r="F20" s="35">
        <f>D20+$E$5+$E$7+$E$9+$E$11+SUM(E13:E20)</f>
        <v>1077639.93</v>
      </c>
    </row>
    <row r="21" spans="1:20" outlineLevel="1">
      <c r="A21" s="35" t="s">
        <v>39</v>
      </c>
      <c r="B21" s="48">
        <v>1127417.8400000001</v>
      </c>
      <c r="C21" s="48">
        <v>-952828.13</v>
      </c>
      <c r="D21" s="35">
        <f t="shared" si="0"/>
        <v>420868.93000000005</v>
      </c>
      <c r="E21" s="59">
        <v>-104042.09</v>
      </c>
      <c r="F21" s="35">
        <f>D21+$E$5+$E$7+$E$9+$E$11+SUM(E13:E21)</f>
        <v>1148187.5499999998</v>
      </c>
    </row>
    <row r="22" spans="1:20" outlineLevel="1">
      <c r="A22" s="35" t="s">
        <v>40</v>
      </c>
      <c r="B22" s="48">
        <v>850563.5</v>
      </c>
      <c r="C22" s="48">
        <v>-809876.43</v>
      </c>
      <c r="D22" s="35">
        <f t="shared" si="0"/>
        <v>461556.00000000012</v>
      </c>
      <c r="E22" s="59">
        <v>248690.64</v>
      </c>
      <c r="F22" s="35">
        <f>D22+$E$5+$E$7+$E$9+$E$11+SUM(E13:E22)</f>
        <v>1437565.2600000002</v>
      </c>
    </row>
    <row r="23" spans="1:20" outlineLevel="1">
      <c r="A23" s="35" t="s">
        <v>41</v>
      </c>
      <c r="B23" s="48">
        <v>867733.6</v>
      </c>
      <c r="C23" s="48">
        <v>-831156.09</v>
      </c>
      <c r="D23" s="35">
        <f t="shared" si="0"/>
        <v>498133.51000000013</v>
      </c>
      <c r="E23" s="59">
        <v>-58923.68</v>
      </c>
      <c r="F23" s="35">
        <f>D23+$E$5+$E$7+$E$9+$E$11+SUM(E13:E23)</f>
        <v>1415219.09</v>
      </c>
    </row>
    <row r="24" spans="1:20" outlineLevel="1">
      <c r="A24" s="35" t="s">
        <v>42</v>
      </c>
      <c r="B24" s="48">
        <v>1755149.99</v>
      </c>
      <c r="C24" s="48">
        <v>-1057447.76</v>
      </c>
      <c r="D24" s="35">
        <f t="shared" si="0"/>
        <v>1195835.74</v>
      </c>
      <c r="E24" s="59">
        <v>-192095.89</v>
      </c>
      <c r="F24" s="35">
        <f>D24+$E$5+$E$7+$E$9+$E$11+SUM(E13:E24)</f>
        <v>1920825.43</v>
      </c>
      <c r="O24" s="58"/>
    </row>
    <row r="25" spans="1:20" ht="15.75" hidden="1" thickBot="1">
      <c r="A25" s="37" t="s">
        <v>46</v>
      </c>
      <c r="B25" s="49">
        <f>SUM(B13:B24)</f>
        <v>11992490.74</v>
      </c>
      <c r="C25" s="49">
        <f>SUM(C13:C24)</f>
        <v>-10531108.609999999</v>
      </c>
      <c r="D25" s="36">
        <f>+D24</f>
        <v>1195835.74</v>
      </c>
      <c r="E25" s="36">
        <f>SUM(E13:E24)</f>
        <v>-618038.11999999988</v>
      </c>
      <c r="F25" s="36">
        <f>+F24</f>
        <v>1920825.43</v>
      </c>
      <c r="K25" s="58"/>
      <c r="N25" s="58"/>
      <c r="O25" s="77"/>
      <c r="Q25" s="71"/>
      <c r="R25" s="58"/>
    </row>
    <row r="26" spans="1:20" ht="6" hidden="1" customHeight="1" thickTop="1">
      <c r="A26" s="35"/>
      <c r="B26" s="44"/>
      <c r="C26" s="44"/>
      <c r="K26" s="73"/>
      <c r="L26" s="74"/>
      <c r="M26" s="69"/>
      <c r="N26" s="76"/>
      <c r="O26" s="74"/>
      <c r="R26" s="69"/>
      <c r="S26" s="70"/>
      <c r="T26" s="69"/>
    </row>
    <row r="27" spans="1:20" outlineLevel="1">
      <c r="A27" s="35" t="s">
        <v>32</v>
      </c>
      <c r="B27" s="48">
        <v>662873.81999999995</v>
      </c>
      <c r="C27" s="48">
        <v>-1123601.33</v>
      </c>
      <c r="D27" s="35">
        <f>+D24+B27+C27</f>
        <v>735108.23</v>
      </c>
      <c r="E27" s="59">
        <v>282256.57</v>
      </c>
      <c r="F27" s="35">
        <f>D27+$E$5+$E$7+$E$9+$E$11+E27+$E$25</f>
        <v>1742354.49</v>
      </c>
      <c r="L27" s="71"/>
      <c r="O27" s="71"/>
      <c r="S27" s="71"/>
      <c r="T27" s="69"/>
    </row>
    <row r="28" spans="1:20" outlineLevel="1">
      <c r="A28" s="35" t="s">
        <v>33</v>
      </c>
      <c r="B28" s="48">
        <v>792700.18</v>
      </c>
      <c r="C28" s="48">
        <v>-925215.21</v>
      </c>
      <c r="D28" s="35">
        <f>+D27+B28+C28</f>
        <v>602593.20000000019</v>
      </c>
      <c r="E28" s="59">
        <v>-283374.17</v>
      </c>
      <c r="F28" s="35">
        <f>D28+$E$5+$E$7+$E$9+$E$11+$E$25+SUM(E27:E28)</f>
        <v>1326465.2900000005</v>
      </c>
      <c r="L28" s="71"/>
      <c r="O28" s="71"/>
      <c r="S28" s="71"/>
      <c r="T28" s="69"/>
    </row>
    <row r="29" spans="1:20" outlineLevel="1">
      <c r="A29" s="35" t="s">
        <v>34</v>
      </c>
      <c r="B29" s="48">
        <v>677187.72</v>
      </c>
      <c r="C29" s="48">
        <v>-810190.54</v>
      </c>
      <c r="D29" s="35">
        <f t="shared" ref="D29:D37" si="1">+D28+B29+C29</f>
        <v>469590.38000000012</v>
      </c>
      <c r="E29" s="59">
        <v>244706.38</v>
      </c>
      <c r="F29" s="67">
        <f>D29+$E$5+$E$7+$E$9+$E$11+$E$25+SUM(E27:E29)</f>
        <v>1438168.85</v>
      </c>
      <c r="G29" s="60"/>
      <c r="L29" s="71"/>
      <c r="O29" s="71"/>
      <c r="S29" s="71"/>
      <c r="T29" s="69"/>
    </row>
    <row r="30" spans="1:20" outlineLevel="1">
      <c r="A30" s="35" t="s">
        <v>35</v>
      </c>
      <c r="B30" s="48">
        <v>536607.44999999995</v>
      </c>
      <c r="C30" s="48">
        <v>-734411.94</v>
      </c>
      <c r="D30" s="35">
        <f t="shared" si="1"/>
        <v>271785.89000000013</v>
      </c>
      <c r="E30" s="59">
        <v>46409.27</v>
      </c>
      <c r="F30" s="67">
        <f>D30+$E$5+$E$7+$E$9+$E$11+$E$25+SUM(E27:E30)</f>
        <v>1286773.6300000001</v>
      </c>
      <c r="L30" s="71"/>
      <c r="O30" s="71"/>
      <c r="S30" s="71"/>
      <c r="T30" s="69"/>
    </row>
    <row r="31" spans="1:20" outlineLevel="1">
      <c r="A31" s="35" t="s">
        <v>19</v>
      </c>
      <c r="B31" s="48">
        <v>1171437.3600000001</v>
      </c>
      <c r="C31" s="48">
        <v>-753252.94</v>
      </c>
      <c r="D31" s="35">
        <f t="shared" si="1"/>
        <v>689970.31000000029</v>
      </c>
      <c r="E31" s="59">
        <v>32046.78</v>
      </c>
      <c r="F31" s="67">
        <f>D31+$E$5+$E$7+$E$9+$E$11+$E$25+SUM(E27:E31)</f>
        <v>1737004.8300000003</v>
      </c>
      <c r="L31" s="71"/>
      <c r="O31" s="71"/>
      <c r="S31" s="71"/>
      <c r="T31" s="69"/>
    </row>
    <row r="32" spans="1:20" outlineLevel="1">
      <c r="A32" s="35" t="s">
        <v>36</v>
      </c>
      <c r="B32" s="48">
        <v>903666</v>
      </c>
      <c r="C32" s="48">
        <v>-811915.85</v>
      </c>
      <c r="D32" s="35">
        <f t="shared" si="1"/>
        <v>781720.46000000031</v>
      </c>
      <c r="E32" s="59">
        <v>234052.05</v>
      </c>
      <c r="F32" s="67">
        <f>D32+$E$5+$E$7+$E$9+$E$11+$E$25+SUM(E27:E32)</f>
        <v>2062807.0300000007</v>
      </c>
      <c r="L32" s="72"/>
      <c r="O32" s="72"/>
      <c r="S32" s="71"/>
      <c r="T32" s="69"/>
    </row>
    <row r="33" spans="1:20" outlineLevel="1">
      <c r="A33" s="35" t="s">
        <v>37</v>
      </c>
      <c r="B33" s="48">
        <v>987844.8</v>
      </c>
      <c r="C33" s="48">
        <v>-837367.06</v>
      </c>
      <c r="D33" s="35">
        <f t="shared" si="1"/>
        <v>932198.20000000019</v>
      </c>
      <c r="E33" s="59">
        <v>-17401.66</v>
      </c>
      <c r="F33" s="67">
        <f>D33+$E$5+$E$7+$E$9+$E$11+$E$25+SUM(E27:E33)</f>
        <v>2195883.1100000003</v>
      </c>
      <c r="H33" s="58"/>
      <c r="L33" s="72"/>
      <c r="O33" s="72"/>
      <c r="S33" s="71"/>
    </row>
    <row r="34" spans="1:20" outlineLevel="1">
      <c r="A34" s="35" t="s">
        <v>38</v>
      </c>
      <c r="B34" s="48">
        <v>1043229.3</v>
      </c>
      <c r="C34" s="48">
        <v>-1019474.43</v>
      </c>
      <c r="D34" s="35">
        <f t="shared" si="1"/>
        <v>955953.07000000018</v>
      </c>
      <c r="E34" s="59">
        <v>-175664.62</v>
      </c>
      <c r="F34" s="67">
        <f>D34+$E$5+$E$7+$E$9+$E$11+$E$25+SUM(E27:E34)</f>
        <v>2043973.3600000006</v>
      </c>
      <c r="K34" s="58"/>
      <c r="L34" s="75"/>
      <c r="N34" s="58"/>
      <c r="O34" s="75"/>
      <c r="S34" s="71"/>
    </row>
    <row r="35" spans="1:20" outlineLevel="1">
      <c r="A35" s="35" t="s">
        <v>39</v>
      </c>
      <c r="B35" s="48">
        <v>1094241.3600000001</v>
      </c>
      <c r="C35" s="48">
        <v>-1057355.26</v>
      </c>
      <c r="D35" s="35">
        <f t="shared" si="1"/>
        <v>992839.17000000016</v>
      </c>
      <c r="E35" s="59">
        <v>-527229.31000000006</v>
      </c>
      <c r="F35" s="67">
        <f>D35+$E$5+$E$7+$E$9+$E$11+$E$25+SUM(E27:E35)</f>
        <v>1553630.1500000001</v>
      </c>
      <c r="S35" s="71"/>
    </row>
    <row r="36" spans="1:20" outlineLevel="1">
      <c r="A36" s="35" t="s">
        <v>40</v>
      </c>
      <c r="B36" s="48">
        <v>687103.13</v>
      </c>
      <c r="C36" s="48">
        <v>-971425.77</v>
      </c>
      <c r="D36" s="35">
        <f t="shared" si="1"/>
        <v>708516.53000000026</v>
      </c>
      <c r="E36" s="59">
        <v>281378.45</v>
      </c>
      <c r="F36" s="67">
        <f>D36+$E$5+$E$7+$E$9+$E$11+$E$25+SUM(E27:E36)</f>
        <v>1550685.9600000004</v>
      </c>
      <c r="L36" s="71"/>
      <c r="O36" s="71"/>
      <c r="S36" s="71"/>
    </row>
    <row r="37" spans="1:20" outlineLevel="1">
      <c r="A37" s="35" t="s">
        <v>41</v>
      </c>
      <c r="B37" s="48">
        <v>1095979.49</v>
      </c>
      <c r="C37" s="48">
        <v>-979113.35</v>
      </c>
      <c r="D37" s="35">
        <f t="shared" si="1"/>
        <v>825382.67000000027</v>
      </c>
      <c r="E37" s="59">
        <v>6409.31</v>
      </c>
      <c r="F37" s="67">
        <f>D37+$E$5+$E$7+$E$9+$E$11+$E$25+SUM(E27:E37)</f>
        <v>1673961.4100000006</v>
      </c>
      <c r="L37" s="71"/>
      <c r="O37" s="71"/>
      <c r="S37" s="71"/>
    </row>
    <row r="38" spans="1:20" outlineLevel="1">
      <c r="A38" s="35" t="s">
        <v>42</v>
      </c>
      <c r="B38" s="48">
        <v>1726781.91</v>
      </c>
      <c r="C38" s="48">
        <v>-1229348.6200000001</v>
      </c>
      <c r="D38" s="35">
        <f>+D37+B38+C38-0.2</f>
        <v>1322815.76</v>
      </c>
      <c r="E38" s="59">
        <v>304512.34999999998</v>
      </c>
      <c r="F38" s="67">
        <f>D38+$E$5+$E$7+$E$9+$E$11+$E$25+SUM(E27:E38)</f>
        <v>2475906.85</v>
      </c>
      <c r="L38" s="71"/>
      <c r="O38" s="71"/>
      <c r="S38" s="72"/>
    </row>
    <row r="39" spans="1:20" ht="15.75" hidden="1" thickBot="1">
      <c r="A39" s="37" t="s">
        <v>67</v>
      </c>
      <c r="B39" s="36">
        <f>SUM(B27:B38)</f>
        <v>11379652.520000001</v>
      </c>
      <c r="C39" s="36">
        <f>SUM(C27:C38)</f>
        <v>-11252672.299999997</v>
      </c>
      <c r="D39" s="36">
        <f>+D38</f>
        <v>1322815.76</v>
      </c>
      <c r="E39" s="36">
        <f>SUM(E27:E38)</f>
        <v>428101.4</v>
      </c>
      <c r="F39" s="36">
        <f>+F38</f>
        <v>2475906.85</v>
      </c>
      <c r="L39" s="71"/>
      <c r="O39" s="71"/>
    </row>
    <row r="40" spans="1:20" ht="6.75" hidden="1" customHeight="1" thickTop="1">
      <c r="A40" s="35"/>
      <c r="L40" s="71"/>
      <c r="O40" s="71"/>
    </row>
    <row r="41" spans="1:20" outlineLevel="1">
      <c r="A41" s="35" t="s">
        <v>32</v>
      </c>
      <c r="B41" s="48">
        <v>1150972.43</v>
      </c>
      <c r="C41" s="48">
        <v>-1523018.81</v>
      </c>
      <c r="D41" s="35">
        <f>+D38+B41+C41</f>
        <v>950769.37999999989</v>
      </c>
      <c r="E41" s="59">
        <v>-458874.48</v>
      </c>
      <c r="F41" s="35">
        <f>D41+$E$5+$E$7+$E$9+$E$11+E41+E39+E25</f>
        <v>1644985.99</v>
      </c>
      <c r="L41" s="71"/>
      <c r="O41" s="71"/>
      <c r="S41" s="71"/>
      <c r="T41" s="69"/>
    </row>
    <row r="42" spans="1:20" outlineLevel="1">
      <c r="A42" s="35" t="s">
        <v>33</v>
      </c>
      <c r="B42" s="48">
        <v>578636.99</v>
      </c>
      <c r="C42" s="48">
        <v>-1324980.28</v>
      </c>
      <c r="D42" s="35">
        <f>+D41+B42+C42</f>
        <v>204426.08999999985</v>
      </c>
      <c r="E42" s="59">
        <v>172695.23</v>
      </c>
      <c r="F42" s="35">
        <f>D42+$E$5+$E$7+$E$9+$E$11+$E$25+$E$39+SUM(E41:E42)</f>
        <v>1071337.9299999997</v>
      </c>
      <c r="L42" s="71"/>
      <c r="O42" s="71"/>
      <c r="S42" s="71"/>
      <c r="T42" s="69"/>
    </row>
    <row r="43" spans="1:20" outlineLevel="1">
      <c r="A43" s="35" t="s">
        <v>34</v>
      </c>
      <c r="B43" s="48">
        <v>751796.72</v>
      </c>
      <c r="C43" s="48">
        <v>-1091487.93</v>
      </c>
      <c r="D43" s="35">
        <f t="shared" ref="D43:D47" si="2">+D42+B43+C43</f>
        <v>-135265.12000000011</v>
      </c>
      <c r="E43" s="59">
        <v>-135103.99</v>
      </c>
      <c r="F43" s="67">
        <f>D43+$E$5+$E$7+$E$9+$E$11+$E$25+$E$39+SUM(E41:E43)</f>
        <v>596542.72999999986</v>
      </c>
      <c r="G43" s="60"/>
      <c r="L43" s="71"/>
      <c r="O43" s="71"/>
      <c r="S43" s="71"/>
      <c r="T43" s="69"/>
    </row>
    <row r="44" spans="1:20" outlineLevel="1">
      <c r="A44" s="35" t="s">
        <v>35</v>
      </c>
      <c r="B44" s="48">
        <v>955356.5</v>
      </c>
      <c r="C44" s="48">
        <v>-894774.18</v>
      </c>
      <c r="D44" s="35">
        <f t="shared" si="2"/>
        <v>-74682.800000000163</v>
      </c>
      <c r="E44" s="59">
        <v>346209.61</v>
      </c>
      <c r="F44" s="67">
        <f>D44+$E$5+$E$7+$E$9+$E$11+$E$25+$E$39+SUM(E41:E44)</f>
        <v>1003334.66</v>
      </c>
      <c r="L44" s="71"/>
      <c r="O44" s="71"/>
      <c r="S44" s="71"/>
      <c r="T44" s="69"/>
    </row>
    <row r="45" spans="1:20" outlineLevel="1">
      <c r="A45" s="35" t="s">
        <v>19</v>
      </c>
      <c r="B45" s="48">
        <v>1011604.46</v>
      </c>
      <c r="C45" s="48">
        <v>-877103.11</v>
      </c>
      <c r="D45" s="35">
        <f t="shared" si="2"/>
        <v>59818.549999999814</v>
      </c>
      <c r="E45" s="59">
        <v>-246905.60000000001</v>
      </c>
      <c r="F45" s="35">
        <f>D45+$E$5+$E$7+$E$9+$E$11+$E$25+$E$39+SUM(E41:E45)</f>
        <v>890930.40999999968</v>
      </c>
      <c r="L45" s="71"/>
      <c r="O45" s="71"/>
      <c r="S45" s="71"/>
      <c r="T45" s="69"/>
    </row>
    <row r="46" spans="1:20" outlineLevel="1">
      <c r="A46" s="35" t="s">
        <v>36</v>
      </c>
      <c r="B46" s="48">
        <v>971755.43</v>
      </c>
      <c r="C46" s="48">
        <v>-941012.68</v>
      </c>
      <c r="D46" s="35">
        <f t="shared" si="2"/>
        <v>90561.299999999814</v>
      </c>
      <c r="E46" s="59">
        <v>-166906.35</v>
      </c>
      <c r="F46" s="35">
        <f>D46+$E$5+$E$7+$E$9+$E$11+$E$25+$E$39+SUM(E41:E46)</f>
        <v>754766.80999999971</v>
      </c>
      <c r="L46" s="72"/>
      <c r="O46" s="72"/>
      <c r="S46" s="71"/>
      <c r="T46" s="69"/>
    </row>
    <row r="47" spans="1:20" outlineLevel="1">
      <c r="A47" s="35" t="s">
        <v>37</v>
      </c>
      <c r="B47" s="48">
        <v>780352.63</v>
      </c>
      <c r="C47" s="48">
        <v>-1092621.31</v>
      </c>
      <c r="D47" s="35">
        <f t="shared" si="2"/>
        <v>-221707.38000000024</v>
      </c>
      <c r="E47" s="59">
        <v>499361.73</v>
      </c>
      <c r="F47" s="48">
        <f>D47+$E$5+$E$7+$E$9+$E$11+$E$25+$E$39+SUM(E41:E47)</f>
        <v>941859.85999999987</v>
      </c>
      <c r="L47" s="72"/>
      <c r="O47" s="72"/>
      <c r="S47" s="71"/>
    </row>
    <row r="48" spans="1:20" outlineLevel="1">
      <c r="A48" s="35" t="s">
        <v>38</v>
      </c>
      <c r="B48" s="48">
        <v>857569.22</v>
      </c>
      <c r="C48" s="48">
        <v>-1228474.28</v>
      </c>
      <c r="D48" s="35">
        <f t="shared" ref="D48:D52" si="3">+D47+B48+C48</f>
        <v>-592612.44000000029</v>
      </c>
      <c r="E48" s="59">
        <v>-520125.06</v>
      </c>
      <c r="F48" s="48">
        <f>D48+$E$5+$E$7+$E$9+$E$11+$E$25+$E$39+SUM(E41:E48)</f>
        <v>50829.7399999997</v>
      </c>
      <c r="K48" s="58"/>
      <c r="L48" s="75"/>
      <c r="N48" s="58"/>
      <c r="O48" s="75"/>
      <c r="S48" s="71"/>
    </row>
    <row r="49" spans="1:19" outlineLevel="1">
      <c r="A49" s="35" t="s">
        <v>39</v>
      </c>
      <c r="B49" s="48">
        <v>853021.97</v>
      </c>
      <c r="C49" s="48">
        <v>-1175826.6000000001</v>
      </c>
      <c r="D49" s="35">
        <f t="shared" si="3"/>
        <v>-915417.07000000041</v>
      </c>
      <c r="E49" s="59">
        <v>209840.47</v>
      </c>
      <c r="F49" s="48">
        <f>D49+$E$5+$E$7+$E$9+$E$11+$E$25+$E$39+SUM(E41:E49)</f>
        <v>-62134.420000000391</v>
      </c>
      <c r="S49" s="71"/>
    </row>
    <row r="50" spans="1:19" outlineLevel="1">
      <c r="A50" s="35" t="s">
        <v>40</v>
      </c>
      <c r="B50" s="48">
        <v>449404.59</v>
      </c>
      <c r="C50" s="48">
        <v>-1031795.29</v>
      </c>
      <c r="D50" s="35">
        <f t="shared" si="3"/>
        <v>-1497807.7700000005</v>
      </c>
      <c r="E50" s="59">
        <v>41216.400000000001</v>
      </c>
      <c r="F50" s="48">
        <f>D50+$E$5+$E$7+$E$9+$E$11+$E$25+$E$39+SUM(E41:E50)</f>
        <v>-603308.72000000044</v>
      </c>
      <c r="L50" s="71"/>
      <c r="O50" s="71"/>
      <c r="S50" s="71"/>
    </row>
    <row r="51" spans="1:19" outlineLevel="1">
      <c r="A51" s="35" t="s">
        <v>41</v>
      </c>
      <c r="B51" s="48">
        <v>1005391.26</v>
      </c>
      <c r="C51" s="48">
        <v>-1140114.8799999999</v>
      </c>
      <c r="D51" s="35">
        <f t="shared" si="3"/>
        <v>-1632531.3900000004</v>
      </c>
      <c r="E51" s="59">
        <v>255011.49</v>
      </c>
      <c r="F51" s="48">
        <f>D51+$E$5+$E$7+$E$9+$E$11+$E$25+$E$39+SUM(E41:E51)</f>
        <v>-483020.85000000033</v>
      </c>
      <c r="L51" s="71"/>
      <c r="O51" s="71"/>
      <c r="S51" s="71"/>
    </row>
    <row r="52" spans="1:19" outlineLevel="1">
      <c r="A52" s="35" t="s">
        <v>42</v>
      </c>
      <c r="B52" s="48">
        <v>1942431.12</v>
      </c>
      <c r="C52" s="48">
        <v>-1351980.6</v>
      </c>
      <c r="D52" s="35">
        <f t="shared" si="3"/>
        <v>-1042080.8700000003</v>
      </c>
      <c r="E52" s="59">
        <v>-15825.82</v>
      </c>
      <c r="F52" s="48">
        <f>D52+$E$5+$E$7+$E$9+$E$11+$E$25+$E$39+SUM(E41:E52)</f>
        <v>91603.849999999657</v>
      </c>
      <c r="L52" s="71"/>
      <c r="O52" s="71"/>
      <c r="S52" s="72"/>
    </row>
    <row r="53" spans="1:19" ht="15.75" hidden="1" thickBot="1">
      <c r="A53" s="37" t="s">
        <v>69</v>
      </c>
      <c r="B53" s="36">
        <f>SUM(B41:B52)</f>
        <v>11308293.32</v>
      </c>
      <c r="C53" s="36">
        <f>SUM(C41:C52)</f>
        <v>-13673189.949999997</v>
      </c>
      <c r="D53" s="36">
        <f>+D52</f>
        <v>-1042080.8700000003</v>
      </c>
      <c r="E53" s="36">
        <f>SUM(E41:E52)</f>
        <v>-19406.369999999959</v>
      </c>
      <c r="F53" s="36">
        <f>+F52</f>
        <v>91603.849999999657</v>
      </c>
      <c r="L53" s="71"/>
      <c r="O53" s="71"/>
    </row>
    <row r="54" spans="1:19" ht="8.25" hidden="1" customHeight="1" thickTop="1">
      <c r="A54" s="35"/>
      <c r="L54" s="71"/>
      <c r="O54" s="71"/>
    </row>
    <row r="55" spans="1:19" outlineLevel="1">
      <c r="A55" s="35" t="s">
        <v>32</v>
      </c>
      <c r="B55" s="48">
        <v>782124.44</v>
      </c>
      <c r="C55" s="48">
        <v>-1402608.38</v>
      </c>
      <c r="D55" s="35">
        <f>+D52+B55+C55</f>
        <v>-1662564.8100000003</v>
      </c>
      <c r="E55" s="59">
        <v>36424.94</v>
      </c>
      <c r="F55" s="35">
        <f>D55+$E$5+$E$7+$E$9+$E$11+$E$25+$E$39+$E$53+E55</f>
        <v>-492455.15000000031</v>
      </c>
      <c r="L55" s="71"/>
      <c r="O55" s="71"/>
    </row>
    <row r="56" spans="1:19" outlineLevel="1">
      <c r="A56" s="35" t="s">
        <v>33</v>
      </c>
      <c r="B56" s="48">
        <v>615786.66</v>
      </c>
      <c r="C56" s="48">
        <v>-1181693.8799999999</v>
      </c>
      <c r="D56" s="35">
        <f>+D55+B56+C56</f>
        <v>-2228472.0300000003</v>
      </c>
      <c r="E56" s="59">
        <v>-210504.64</v>
      </c>
      <c r="F56" s="35">
        <f>D56+$E$5+$E$7+$E$9+$E$11+$E$25+$E$39+$E$53+SUM(E55:E56)</f>
        <v>-1268867.0099999998</v>
      </c>
      <c r="L56" s="71"/>
      <c r="O56" s="71"/>
    </row>
    <row r="57" spans="1:19" outlineLevel="1">
      <c r="A57" s="35" t="s">
        <v>34</v>
      </c>
      <c r="B57" s="48">
        <v>1175326.8500000001</v>
      </c>
      <c r="C57" s="48">
        <v>-1132853.32</v>
      </c>
      <c r="D57" s="35">
        <f t="shared" ref="D57:D66" si="4">+D56+B57+C57</f>
        <v>-2185998.5</v>
      </c>
      <c r="E57" s="59">
        <v>-152347.63</v>
      </c>
      <c r="F57" s="67">
        <f>D57+$E$5+$E$7+$E$9+$E$11+$E$25+$E$39+$E$53+SUM(E55:E57)</f>
        <v>-1378741.1099999999</v>
      </c>
      <c r="L57" s="71"/>
      <c r="O57" s="71"/>
    </row>
    <row r="58" spans="1:19" outlineLevel="1">
      <c r="A58" s="35" t="s">
        <v>35</v>
      </c>
      <c r="B58" s="48">
        <v>683461.22</v>
      </c>
      <c r="C58" s="48">
        <v>-959094.14</v>
      </c>
      <c r="D58" s="35">
        <f t="shared" si="4"/>
        <v>-2461631.42</v>
      </c>
      <c r="E58" s="59">
        <v>247621.48</v>
      </c>
      <c r="F58" s="67">
        <f>D58+$E$5+$E$7+$E$9+$E$11+$E$25+$E$39+$E$53+SUM(E55:E58)</f>
        <v>-1406752.5499999996</v>
      </c>
      <c r="I58" s="44"/>
      <c r="J58" s="44"/>
      <c r="K58" s="44"/>
      <c r="L58" s="83"/>
      <c r="O58" s="71"/>
    </row>
    <row r="59" spans="1:19" outlineLevel="1">
      <c r="A59" s="35" t="s">
        <v>19</v>
      </c>
      <c r="B59" s="48">
        <v>1058052.99</v>
      </c>
      <c r="C59" s="48">
        <v>-987166.6</v>
      </c>
      <c r="D59" s="35">
        <f t="shared" si="4"/>
        <v>-2390745.0299999998</v>
      </c>
      <c r="E59" s="59">
        <v>-419741.94</v>
      </c>
      <c r="F59" s="35">
        <f>D59+$E$5+$E$7+$E$9+$E$11+$E$25+$E$39+$E$53+SUM(E55:E59)</f>
        <v>-1755608.0999999994</v>
      </c>
      <c r="L59" s="71"/>
      <c r="O59" s="71"/>
    </row>
    <row r="60" spans="1:19" outlineLevel="1">
      <c r="A60" s="35" t="s">
        <v>36</v>
      </c>
      <c r="B60" s="48">
        <v>746766.06</v>
      </c>
      <c r="C60" s="48">
        <v>-982775.44</v>
      </c>
      <c r="D60" s="35">
        <f t="shared" si="4"/>
        <v>-2626754.4099999997</v>
      </c>
      <c r="E60" s="59">
        <v>100779.18</v>
      </c>
      <c r="F60" s="35">
        <f>D60+$E$5+$E$7+$E$9+$E$11+$E$25+$E$39+E53+SUM(E55:E60)</f>
        <v>-1890838.2999999993</v>
      </c>
      <c r="L60" s="71"/>
      <c r="O60" s="71"/>
    </row>
    <row r="61" spans="1:19" outlineLevel="1">
      <c r="A61" s="35" t="s">
        <v>37</v>
      </c>
      <c r="B61" s="48">
        <v>721560.93</v>
      </c>
      <c r="C61" s="48">
        <v>-1156302.24</v>
      </c>
      <c r="D61" s="35">
        <f t="shared" si="4"/>
        <v>-3061495.7199999997</v>
      </c>
      <c r="E61" s="59">
        <v>69845.009999999995</v>
      </c>
      <c r="F61" s="50">
        <f>D61+$E$5+$E$7+$E$9+$E$11+$E$25+$E$39+$E$53+SUM(E55:E61)</f>
        <v>-2255734.5999999992</v>
      </c>
      <c r="H61" s="58"/>
      <c r="L61" s="71"/>
      <c r="O61" s="71"/>
    </row>
    <row r="62" spans="1:19" outlineLevel="1">
      <c r="A62" s="35" t="s">
        <v>38</v>
      </c>
      <c r="B62" s="48">
        <v>1097711.52</v>
      </c>
      <c r="C62" s="48">
        <v>-1226721.96</v>
      </c>
      <c r="D62" s="35">
        <f t="shared" si="4"/>
        <v>-3190506.1599999997</v>
      </c>
      <c r="E62" s="59">
        <v>-151891.35999999999</v>
      </c>
      <c r="F62" s="48">
        <f>D62+$E$5+$E$7+$E$9+$E$11+$E$25+$E$39+$E$53+SUM(E55:E62)</f>
        <v>-2536636.4</v>
      </c>
      <c r="L62" s="71"/>
      <c r="O62" s="71"/>
    </row>
    <row r="63" spans="1:19" outlineLevel="1">
      <c r="A63" s="35" t="s">
        <v>39</v>
      </c>
      <c r="B63" s="48">
        <v>853003.39</v>
      </c>
      <c r="C63" s="48">
        <v>-1020474.84</v>
      </c>
      <c r="D63" s="35">
        <f t="shared" si="4"/>
        <v>-3357977.6099999994</v>
      </c>
      <c r="E63" s="59">
        <v>147074.54</v>
      </c>
      <c r="F63" s="48">
        <f>D63+$E$5+$E$7+$E$9+$E$11+$E$25+$E$39+E53+SUM(E55:E63)</f>
        <v>-2557033.3099999991</v>
      </c>
      <c r="L63" s="71"/>
      <c r="O63" s="71"/>
    </row>
    <row r="64" spans="1:19" outlineLevel="1">
      <c r="A64" s="35" t="s">
        <v>40</v>
      </c>
      <c r="B64" s="48">
        <v>748294.06</v>
      </c>
      <c r="C64" s="48">
        <v>-895193.54</v>
      </c>
      <c r="D64" s="35">
        <f t="shared" si="4"/>
        <v>-3504877.0899999994</v>
      </c>
      <c r="E64" s="59">
        <v>146869.63</v>
      </c>
      <c r="F64" s="48">
        <f>D64+$E$5+$E$7+$E$9+$E$11+$E$25+$E$39+$E$53+SUM(E55:E64)</f>
        <v>-2557063.1599999997</v>
      </c>
      <c r="L64" s="71"/>
      <c r="O64" s="71"/>
    </row>
    <row r="65" spans="1:15" outlineLevel="1">
      <c r="A65" s="35" t="s">
        <v>41</v>
      </c>
      <c r="B65" s="48">
        <v>1305630.6299999999</v>
      </c>
      <c r="C65" s="48">
        <v>-941637.44</v>
      </c>
      <c r="D65" s="35">
        <f t="shared" si="4"/>
        <v>-3140883.8999999994</v>
      </c>
      <c r="E65" s="59">
        <v>-196885.82</v>
      </c>
      <c r="F65" s="48">
        <f>D65+$E$5+$E$7+$E$9+$E$11+$E$25+$E$39+$E$53+SUM(E55:E65)</f>
        <v>-2389955.7899999991</v>
      </c>
      <c r="L65" s="71"/>
      <c r="O65" s="71"/>
    </row>
    <row r="66" spans="1:15" outlineLevel="1">
      <c r="A66" s="35" t="s">
        <v>42</v>
      </c>
      <c r="B66" s="48">
        <v>1463386.49</v>
      </c>
      <c r="C66" s="48">
        <v>-1162218.67</v>
      </c>
      <c r="D66" s="35">
        <f t="shared" si="4"/>
        <v>-2839716.0799999991</v>
      </c>
      <c r="E66" s="59">
        <v>249540.17</v>
      </c>
      <c r="F66" s="48">
        <f>D66+$E$5+$E$7+$E$9+$E$11+$E$25+$E$39+$E$53+SUM(E55:E66)</f>
        <v>-1839247.7999999986</v>
      </c>
      <c r="L66" s="71"/>
      <c r="O66" s="71"/>
    </row>
    <row r="67" spans="1:15" ht="15.75" thickBot="1">
      <c r="A67" s="37" t="s">
        <v>72</v>
      </c>
      <c r="B67" s="36">
        <f>SUM(B55:B66)</f>
        <v>11251105.24</v>
      </c>
      <c r="C67" s="36">
        <f>SUM(C55:C66)</f>
        <v>-13048740.449999999</v>
      </c>
      <c r="D67" s="36">
        <f>+D66</f>
        <v>-2839716.0799999991</v>
      </c>
      <c r="E67" s="36">
        <f>SUM(E55:E66)</f>
        <v>-133216.44000000003</v>
      </c>
      <c r="F67" s="36">
        <f>+F66</f>
        <v>-1839247.7999999986</v>
      </c>
      <c r="L67" s="71"/>
      <c r="O67" s="71"/>
    </row>
    <row r="68" spans="1:15" ht="6" customHeight="1" thickTop="1">
      <c r="A68" s="35"/>
      <c r="L68" s="71"/>
      <c r="O68" s="71"/>
    </row>
    <row r="69" spans="1:15" outlineLevel="2">
      <c r="A69" s="35" t="s">
        <v>32</v>
      </c>
      <c r="B69" s="48">
        <v>503543.53</v>
      </c>
      <c r="C69" s="48">
        <v>-1139913.55</v>
      </c>
      <c r="D69" s="35">
        <f>+D66+B69+C69</f>
        <v>-3476086.0999999987</v>
      </c>
      <c r="E69" s="59">
        <v>-234587.69</v>
      </c>
      <c r="F69" s="35">
        <f>D69+$E$5+$E$7+$E$9+$E$11+$E$25+$E$39+E69+$E$67+$E$53</f>
        <v>-2710205.5099999984</v>
      </c>
      <c r="L69" s="71"/>
      <c r="O69" s="71"/>
    </row>
    <row r="70" spans="1:15" outlineLevel="2">
      <c r="A70" s="35" t="s">
        <v>33</v>
      </c>
      <c r="B70" s="48">
        <v>535533.89</v>
      </c>
      <c r="C70" s="48">
        <v>-1185001.52</v>
      </c>
      <c r="D70" s="35">
        <f>+D69+B70+C70</f>
        <v>-4125553.7299999986</v>
      </c>
      <c r="E70" s="59">
        <v>-66436.12</v>
      </c>
      <c r="F70" s="35">
        <f>D70+$E$5+$E$7+$E$9+$E$11+$E$25+$E$39+$E$53+$E$67+SUM(E69:E70)</f>
        <v>-3426109.2599999984</v>
      </c>
      <c r="L70" s="71"/>
      <c r="O70" s="71"/>
    </row>
    <row r="71" spans="1:15" outlineLevel="2">
      <c r="A71" s="35" t="s">
        <v>34</v>
      </c>
      <c r="B71" s="48">
        <v>873253.06</v>
      </c>
      <c r="C71" s="48">
        <v>-1157273.33</v>
      </c>
      <c r="D71" s="35">
        <f t="shared" ref="D71:D80" si="5">+D70+B71+C71</f>
        <v>-4409573.9999999981</v>
      </c>
      <c r="E71" s="59">
        <v>181317.9</v>
      </c>
      <c r="F71" s="67">
        <f>D71+$E$5+$E$7+$E$9+$E$11+$E$25+$E$39+$E$53+$E$67+SUM(E69:E71)</f>
        <v>-3528811.629999998</v>
      </c>
      <c r="L71" s="71"/>
      <c r="O71" s="71"/>
    </row>
    <row r="72" spans="1:15" outlineLevel="2">
      <c r="A72" s="35" t="s">
        <v>35</v>
      </c>
      <c r="B72" s="48">
        <v>622377.09</v>
      </c>
      <c r="C72" s="48">
        <v>-829424.78</v>
      </c>
      <c r="D72" s="35">
        <f t="shared" si="5"/>
        <v>-4616621.6899999985</v>
      </c>
      <c r="E72" s="59">
        <v>-149621.35</v>
      </c>
      <c r="F72" s="67">
        <f>D72+$E$5+$E$7+$E$9+$E$11+$E$25+$E$39+$E$53+$E$67+SUM(E69:E72)</f>
        <v>-3885480.6699999981</v>
      </c>
      <c r="I72" s="44"/>
      <c r="L72" s="71"/>
      <c r="O72" s="71"/>
    </row>
    <row r="73" spans="1:15" outlineLevel="2">
      <c r="A73" s="35" t="s">
        <v>19</v>
      </c>
      <c r="B73" s="48">
        <v>631161.51</v>
      </c>
      <c r="C73" s="48">
        <v>-706614.47</v>
      </c>
      <c r="D73" s="35">
        <f t="shared" si="5"/>
        <v>-4692074.6499999985</v>
      </c>
      <c r="E73" s="59">
        <v>159213.19</v>
      </c>
      <c r="F73" s="35">
        <f>D73+$E$5+$E$7+$E$9+$E$11+$E$25+$E$39+$E$53+$E$67+SUM(E69:E73)</f>
        <v>-3801720.4399999981</v>
      </c>
      <c r="L73" s="71"/>
      <c r="O73" s="71"/>
    </row>
    <row r="74" spans="1:15" outlineLevel="2">
      <c r="A74" s="35" t="s">
        <v>36</v>
      </c>
      <c r="B74" s="48">
        <v>777942</v>
      </c>
      <c r="C74" s="48">
        <v>-776126.4</v>
      </c>
      <c r="D74" s="35">
        <f t="shared" si="5"/>
        <v>-4690259.0499999989</v>
      </c>
      <c r="E74" s="59">
        <v>-19284.25</v>
      </c>
      <c r="F74" s="89">
        <f>D74+$E$5+$E$7+$E$9+$E$11+$E$25+$E$39+$E$53+$E$67+SUM(E69:E74)</f>
        <v>-3819189.0899999985</v>
      </c>
      <c r="H74" s="58"/>
      <c r="L74" s="71"/>
      <c r="O74" s="71"/>
    </row>
    <row r="75" spans="1:15" outlineLevel="2">
      <c r="A75" s="35" t="s">
        <v>37</v>
      </c>
      <c r="B75" s="48">
        <v>443930.77</v>
      </c>
      <c r="C75" s="48">
        <v>-886854.12</v>
      </c>
      <c r="D75" s="35">
        <f t="shared" si="5"/>
        <v>-5133182.3999999994</v>
      </c>
      <c r="E75" s="59">
        <v>568318.5</v>
      </c>
      <c r="F75" s="50">
        <f>D75+$E$5+$E$7+$E$9+$E$11+$E$25+$E$39+$E$53+$E$67+SUM(E69:E75)</f>
        <v>-3693793.939999999</v>
      </c>
      <c r="H75" s="44"/>
      <c r="I75" s="44"/>
      <c r="J75" s="44"/>
      <c r="L75" s="71"/>
      <c r="O75" s="71"/>
    </row>
    <row r="76" spans="1:15" outlineLevel="2">
      <c r="A76" s="35" t="s">
        <v>38</v>
      </c>
      <c r="B76" s="48">
        <v>435674.27</v>
      </c>
      <c r="C76" s="48">
        <v>-924563.88</v>
      </c>
      <c r="D76" s="35">
        <f t="shared" si="5"/>
        <v>-5622072.0099999988</v>
      </c>
      <c r="E76" s="59">
        <v>77646.039999999994</v>
      </c>
      <c r="F76" s="50">
        <f>D76+$E$5+$E$7+$E$9+$E$11+$E$25+$E$39+$E$53+$E$67+SUM(E69:E76)</f>
        <v>-4105037.51</v>
      </c>
      <c r="L76" s="71"/>
      <c r="O76" s="71"/>
    </row>
    <row r="77" spans="1:15" outlineLevel="2">
      <c r="A77" s="35" t="s">
        <v>39</v>
      </c>
      <c r="B77" s="48">
        <v>389954.2</v>
      </c>
      <c r="C77" s="48">
        <v>-911398.73</v>
      </c>
      <c r="D77" s="35">
        <f t="shared" si="5"/>
        <v>-6143516.5399999991</v>
      </c>
      <c r="E77" s="59">
        <v>330396.11</v>
      </c>
      <c r="F77" s="50">
        <f>D77+$E$5+$E$7+$E$9+$E$11+$E$25+$E$39+$E$53+$E$67+SUM(E69:E77)</f>
        <v>-4296085.9300000006</v>
      </c>
      <c r="L77" s="71"/>
      <c r="O77" s="71"/>
    </row>
    <row r="78" spans="1:15" outlineLevel="2">
      <c r="A78" s="35" t="s">
        <v>40</v>
      </c>
      <c r="B78" s="48">
        <v>1684449.29</v>
      </c>
      <c r="C78" s="48">
        <v>-795170.7</v>
      </c>
      <c r="D78" s="35">
        <f t="shared" si="5"/>
        <v>-5254237.9499999993</v>
      </c>
      <c r="E78" s="59">
        <v>-910664.62</v>
      </c>
      <c r="F78" s="50">
        <f>D78+$E$5+$E$7+$E$9+$E$11+$E$25+$E$39+$E$53+$E$67+SUM(E69:E78)</f>
        <v>-4317471.96</v>
      </c>
      <c r="L78" s="71"/>
      <c r="O78" s="71"/>
    </row>
    <row r="79" spans="1:15" outlineLevel="2">
      <c r="A79" s="35" t="s">
        <v>41</v>
      </c>
      <c r="B79" s="48">
        <v>650514.93000000005</v>
      </c>
      <c r="C79" s="48">
        <v>-904659.76</v>
      </c>
      <c r="D79" s="35">
        <f t="shared" si="5"/>
        <v>-5508382.7799999993</v>
      </c>
      <c r="E79" s="59">
        <v>167312.82</v>
      </c>
      <c r="F79" s="95">
        <f>D79+$E$5+$E$7+$E$9+$E$11+$E$25+$E$39+$E$53+$E$67+SUM(E69:E79)</f>
        <v>-4404303.97</v>
      </c>
      <c r="L79" s="71"/>
      <c r="O79" s="71"/>
    </row>
    <row r="80" spans="1:15" outlineLevel="2">
      <c r="A80" s="35" t="s">
        <v>42</v>
      </c>
      <c r="B80" s="48">
        <v>1088979.74</v>
      </c>
      <c r="C80" s="48">
        <v>-1084610.92</v>
      </c>
      <c r="D80" s="35">
        <f t="shared" si="5"/>
        <v>-5504013.959999999</v>
      </c>
      <c r="E80" s="59">
        <v>680872.27</v>
      </c>
      <c r="F80" s="50">
        <f>D80+$E$5+$E$7+$E$9+$E$11+$E$25+$E$39+$E$53+$E$67+SUM(E69:E80)</f>
        <v>-3719062.88</v>
      </c>
      <c r="L80" s="71"/>
      <c r="O80" s="71"/>
    </row>
    <row r="81" spans="1:15" ht="15.75" outlineLevel="2" thickBot="1">
      <c r="A81" s="37" t="s">
        <v>75</v>
      </c>
      <c r="B81" s="49">
        <f>SUM(B69:B80)</f>
        <v>8637314.2799999993</v>
      </c>
      <c r="C81" s="49">
        <f>SUM(C69:C80)</f>
        <v>-11301612.16</v>
      </c>
      <c r="D81" s="36"/>
      <c r="E81" s="36">
        <f>SUM(E69:E80)</f>
        <v>784482.8</v>
      </c>
      <c r="F81" s="36"/>
      <c r="L81" s="71"/>
      <c r="O81" s="71"/>
    </row>
    <row r="82" spans="1:15" ht="5.25" customHeight="1" thickTop="1">
      <c r="A82" s="37"/>
      <c r="B82" s="59"/>
      <c r="C82" s="59"/>
      <c r="D82" s="67"/>
      <c r="E82" s="67"/>
      <c r="F82" s="67"/>
      <c r="L82" s="71"/>
      <c r="O82" s="71"/>
    </row>
    <row r="83" spans="1:15" ht="14.25" hidden="1" customHeight="1" outlineLevel="1">
      <c r="A83" s="35" t="s">
        <v>32</v>
      </c>
      <c r="B83" s="48">
        <v>1216472.55</v>
      </c>
      <c r="C83" s="48">
        <v>-1041396.54</v>
      </c>
      <c r="D83" s="35">
        <f>+D80+B83+C83</f>
        <v>-5328937.9499999993</v>
      </c>
      <c r="E83" s="59">
        <v>-204029.92</v>
      </c>
      <c r="F83" s="35">
        <f>D83+$E$5+$E$7+$E$9+$E$11+$E$25+$E$39+E83+$E$67+$E$81+$E$53</f>
        <v>-3748016.790000001</v>
      </c>
      <c r="L83" s="71"/>
      <c r="O83" s="71"/>
    </row>
    <row r="84" spans="1:15" ht="14.25" hidden="1" customHeight="1" outlineLevel="1">
      <c r="A84" s="35" t="s">
        <v>33</v>
      </c>
      <c r="B84" s="48">
        <v>607378.38</v>
      </c>
      <c r="C84" s="48">
        <v>-938799.86</v>
      </c>
      <c r="D84" s="35">
        <f>+D83+B84+C84</f>
        <v>-5660359.4299999997</v>
      </c>
      <c r="E84" s="59">
        <v>-814343.38</v>
      </c>
      <c r="F84" s="35">
        <f>D84+$E$5+$E$7+$E$9+$E$11+$E$25+$E$39+$E$53+$E$67+$E$81+SUM(E83:E84)</f>
        <v>-4893781.6500000013</v>
      </c>
      <c r="L84" s="71"/>
      <c r="O84" s="71"/>
    </row>
    <row r="85" spans="1:15" ht="14.25" hidden="1" customHeight="1" outlineLevel="1">
      <c r="A85" s="35" t="s">
        <v>34</v>
      </c>
      <c r="B85" s="48">
        <v>1186909.9099999999</v>
      </c>
      <c r="C85" s="48">
        <v>-847432.9</v>
      </c>
      <c r="D85" s="35">
        <f t="shared" ref="D85:D94" si="6">+D84+B85+C85</f>
        <v>-5320882.42</v>
      </c>
      <c r="E85" s="59">
        <v>-139506.57999999999</v>
      </c>
      <c r="F85" s="35">
        <f>D85+$E$5+$E$7+$E$9+$E$11+$E$25+$E$39+$E$53+$E$67+$E$81+SUM(E83:E85)</f>
        <v>-4693811.2200000007</v>
      </c>
      <c r="L85" s="71"/>
      <c r="O85" s="71"/>
    </row>
    <row r="86" spans="1:15" ht="14.25" hidden="1" customHeight="1" outlineLevel="1">
      <c r="A86" s="35" t="s">
        <v>35</v>
      </c>
      <c r="B86" s="48">
        <v>1092764.99</v>
      </c>
      <c r="C86" s="48">
        <v>-776448.65</v>
      </c>
      <c r="D86" s="35">
        <f t="shared" si="6"/>
        <v>-5004566.08</v>
      </c>
      <c r="E86" s="59">
        <v>341968.68</v>
      </c>
      <c r="F86" s="35">
        <f>D86+$E$5+$E$7+$E$9+$E$11+$E$25+$E$39+$E$53+$E$67+$E$81+SUM(E83:E86)</f>
        <v>-4035526.2000000011</v>
      </c>
      <c r="H86" s="105"/>
      <c r="L86" s="71"/>
      <c r="O86" s="71"/>
    </row>
    <row r="87" spans="1:15" ht="14.25" hidden="1" customHeight="1" outlineLevel="1">
      <c r="A87" s="35" t="s">
        <v>19</v>
      </c>
      <c r="B87" s="48">
        <v>1107922.8799999999</v>
      </c>
      <c r="C87" s="48">
        <v>-693316.78</v>
      </c>
      <c r="D87" s="35">
        <f t="shared" si="6"/>
        <v>-4589959.9800000004</v>
      </c>
      <c r="E87" s="59">
        <v>-199845.68</v>
      </c>
      <c r="F87" s="35">
        <f>D87+$E$5+$E$7+$E$9+$E$11+$E$25+$E$39+$E$53+$E$67+$E$81+SUM(E83:E87)</f>
        <v>-3820765.7800000003</v>
      </c>
      <c r="H87" s="105">
        <f>B87/SUM(B87:B94)</f>
        <v>0.1520299213076774</v>
      </c>
      <c r="L87" s="71"/>
      <c r="O87" s="71"/>
    </row>
    <row r="88" spans="1:15" ht="14.25" hidden="1" customHeight="1" outlineLevel="1">
      <c r="A88" s="35" t="s">
        <v>36</v>
      </c>
      <c r="B88" s="48">
        <v>856534.89</v>
      </c>
      <c r="C88" s="48">
        <v>-756245.99</v>
      </c>
      <c r="D88" s="35">
        <f t="shared" si="6"/>
        <v>-4489671.08</v>
      </c>
      <c r="E88" s="59">
        <v>-38025.33</v>
      </c>
      <c r="F88" s="35">
        <f>D88+$E$5+$E$7+$E$9+$E$11+$E$25+$E$39+$E$53+$E$67+$E$81+SUM(E83:E88)</f>
        <v>-3758502.21</v>
      </c>
      <c r="H88" s="105">
        <f>B88/SUM(B87:B94)</f>
        <v>0.11753429257095957</v>
      </c>
      <c r="L88" s="71"/>
      <c r="O88" s="71"/>
    </row>
    <row r="89" spans="1:15" ht="14.25" hidden="1" customHeight="1" outlineLevel="1">
      <c r="A89" s="35" t="s">
        <v>37</v>
      </c>
      <c r="B89" s="48">
        <v>867303.71</v>
      </c>
      <c r="C89" s="48">
        <v>-864390.97</v>
      </c>
      <c r="D89" s="35">
        <f t="shared" si="6"/>
        <v>-4486758.34</v>
      </c>
      <c r="E89" s="59">
        <v>-53554.76</v>
      </c>
      <c r="F89" s="67">
        <f>D89+$E$5+$E$7+$E$9+$E$11+$E$25+$E$39+$E$53+$E$67+$E$81+SUM(E83:E89)</f>
        <v>-3809144.23</v>
      </c>
      <c r="H89" s="105">
        <f>B89/SUM(B87:B94)</f>
        <v>0.11901199728013259</v>
      </c>
      <c r="L89" s="71"/>
      <c r="O89" s="71"/>
    </row>
    <row r="90" spans="1:15" ht="14.25" hidden="1" customHeight="1" outlineLevel="1">
      <c r="A90" s="35" t="s">
        <v>38</v>
      </c>
      <c r="B90" s="48">
        <v>657317.43999999994</v>
      </c>
      <c r="C90" s="48">
        <v>-972679.59</v>
      </c>
      <c r="D90" s="35">
        <f t="shared" si="6"/>
        <v>-4802120.49</v>
      </c>
      <c r="E90" s="59">
        <v>-31862.79</v>
      </c>
      <c r="F90" s="67">
        <f>D90+$E$5+$E$7+$E$9+$E$11+$E$25+$E$39+$E$53+$E$67+$E$81+SUM(E83:E90)</f>
        <v>-4156369.1700000013</v>
      </c>
      <c r="H90" s="105">
        <f>B90/SUM(B87:B94)</f>
        <v>9.0197540353498223E-2</v>
      </c>
      <c r="I90" s="43" t="s">
        <v>92</v>
      </c>
      <c r="L90" s="71"/>
      <c r="O90" s="71"/>
    </row>
    <row r="91" spans="1:15" ht="14.25" hidden="1" customHeight="1" outlineLevel="1">
      <c r="A91" s="35" t="s">
        <v>39</v>
      </c>
      <c r="B91" s="48">
        <v>578004.64</v>
      </c>
      <c r="C91" s="48">
        <v>-917569.58</v>
      </c>
      <c r="D91" s="35">
        <f t="shared" si="6"/>
        <v>-5141685.4300000006</v>
      </c>
      <c r="E91" s="59">
        <v>189230.09</v>
      </c>
      <c r="F91" s="35">
        <f>D91+$E$5+$E$7+$E$9+$E$11+$E$25+$E$39+$E$53+$E$67+$E$81+SUM(E83:E91)</f>
        <v>-4306704.0200000005</v>
      </c>
      <c r="H91" s="105">
        <f>B91/SUM(B87:B94)</f>
        <v>7.9314184697289056E-2</v>
      </c>
      <c r="L91" s="71"/>
      <c r="O91" s="71"/>
    </row>
    <row r="92" spans="1:15" ht="14.25" hidden="1" customHeight="1" outlineLevel="1">
      <c r="A92" s="35" t="s">
        <v>40</v>
      </c>
      <c r="B92" s="48">
        <v>981834.9</v>
      </c>
      <c r="C92" s="48">
        <v>-810361.76</v>
      </c>
      <c r="D92" s="35">
        <f t="shared" si="6"/>
        <v>-4970212.290000001</v>
      </c>
      <c r="E92" s="59">
        <v>25247.91</v>
      </c>
      <c r="F92" s="35">
        <f>D92+$E$5+$E$7+$E$9+$E$11+$E$25+$E$39+$E$53+$E$67+$E$81+SUM(E83:E92)</f>
        <v>-4109982.9700000021</v>
      </c>
      <c r="H92" s="105">
        <f>B92/SUM(B87:B94)</f>
        <v>0.13472804405314864</v>
      </c>
      <c r="L92" s="71"/>
      <c r="O92" s="71"/>
    </row>
    <row r="93" spans="1:15" ht="14.25" hidden="1" customHeight="1" outlineLevel="1">
      <c r="A93" s="35" t="s">
        <v>41</v>
      </c>
      <c r="B93" s="48">
        <v>837936.69</v>
      </c>
      <c r="C93" s="48">
        <v>-890410.15</v>
      </c>
      <c r="D93" s="35">
        <f t="shared" si="6"/>
        <v>-5022685.7500000009</v>
      </c>
      <c r="E93" s="59">
        <v>-46671.92</v>
      </c>
      <c r="F93" s="35">
        <f>D93+$E$5+$E$7+$E$9+$E$11+$E$25+$E$39+$E$53+$E$67+$E$81+SUM(E83:E93)</f>
        <v>-4209128.3500000015</v>
      </c>
      <c r="H93" s="105">
        <f>B93/SUM(B87:B94)</f>
        <v>0.11498223508256791</v>
      </c>
      <c r="I93" s="65" t="s">
        <v>92</v>
      </c>
      <c r="L93" s="71"/>
      <c r="O93" s="71"/>
    </row>
    <row r="94" spans="1:15" ht="14.25" hidden="1" customHeight="1" outlineLevel="1">
      <c r="A94" s="35" t="s">
        <v>42</v>
      </c>
      <c r="B94" s="48">
        <v>1400676.61</v>
      </c>
      <c r="C94" s="48">
        <v>-1049603.83</v>
      </c>
      <c r="D94" s="35">
        <f t="shared" si="6"/>
        <v>-4671612.9700000007</v>
      </c>
      <c r="E94" s="59">
        <v>267322.33</v>
      </c>
      <c r="F94" s="35">
        <f>D94+$E$5+$E$7+$E$9+$E$11+$E$25+$E$39+$E$53+$E$67+$E$81+SUM(E83:E94)</f>
        <v>-3590733.2400000012</v>
      </c>
      <c r="H94" s="105">
        <f>B94/SUM(B87:B94)</f>
        <v>0.19220178465472648</v>
      </c>
      <c r="L94" s="71"/>
      <c r="O94" s="71"/>
    </row>
    <row r="95" spans="1:15" ht="15.75" outlineLevel="1" thickBot="1">
      <c r="A95" s="37" t="s">
        <v>81</v>
      </c>
      <c r="B95" s="49">
        <f>SUM(B83:B94)</f>
        <v>11391057.589999998</v>
      </c>
      <c r="C95" s="49">
        <f>SUM(C83:C94)</f>
        <v>-10558656.6</v>
      </c>
      <c r="D95" s="36"/>
      <c r="E95" s="36">
        <f>SUM(E83:E94)</f>
        <v>-704071.35000000033</v>
      </c>
      <c r="F95" s="36"/>
      <c r="H95" s="105">
        <f>SUM(H86:H94)</f>
        <v>0.99999999999999978</v>
      </c>
      <c r="L95" s="71"/>
      <c r="O95" s="71"/>
    </row>
    <row r="96" spans="1:15" ht="15.75" thickTop="1">
      <c r="A96" s="37"/>
      <c r="B96" s="59"/>
      <c r="C96" s="59"/>
      <c r="D96" s="67"/>
      <c r="E96" s="67"/>
      <c r="F96" s="67"/>
      <c r="L96" s="71"/>
      <c r="O96" s="71"/>
    </row>
    <row r="97" spans="1:15">
      <c r="A97" s="35" t="s">
        <v>32</v>
      </c>
      <c r="B97" s="48">
        <v>789851.81</v>
      </c>
      <c r="C97" s="48">
        <v>-1043804.7</v>
      </c>
      <c r="D97" s="35">
        <f>+D94+B97+C97</f>
        <v>-4925565.8600000003</v>
      </c>
      <c r="E97" s="59">
        <v>-13449.29</v>
      </c>
      <c r="F97" s="35">
        <f>D97+$E$5+$E$7+$E$9+$E$11+$E$25+$E$39+E97+$E$67+$E$81+$E$53+$E$95</f>
        <v>-3858135.4200000009</v>
      </c>
      <c r="I97" s="43" t="s">
        <v>92</v>
      </c>
      <c r="L97" s="71"/>
      <c r="O97" s="71"/>
    </row>
    <row r="98" spans="1:15">
      <c r="A98" s="35" t="s">
        <v>33</v>
      </c>
      <c r="B98" s="48">
        <v>321717.28999999998</v>
      </c>
      <c r="C98" s="48">
        <v>-961785.14</v>
      </c>
      <c r="D98" s="35">
        <f>+D97+B98+C98</f>
        <v>-5565633.71</v>
      </c>
      <c r="E98" s="59">
        <v>-136492.21</v>
      </c>
      <c r="F98" s="35">
        <f>D98+$E$5+$E$7+$E$9+$E$11+$E$25+$E$39+$E$53+$E$67+$E$81+E95+SUM(E97:E98)</f>
        <v>-4634695.4800000014</v>
      </c>
      <c r="L98" s="71"/>
      <c r="O98" s="71"/>
    </row>
    <row r="99" spans="1:15">
      <c r="A99" s="35" t="s">
        <v>34</v>
      </c>
      <c r="B99" s="48">
        <v>1022703.3</v>
      </c>
      <c r="C99" s="48">
        <v>-876928.74</v>
      </c>
      <c r="D99" s="35">
        <f t="shared" ref="D99:D108" si="7">+D98+B99+C99</f>
        <v>-5419859.1500000004</v>
      </c>
      <c r="E99" s="59">
        <v>-165381.74</v>
      </c>
      <c r="F99" s="35">
        <f>D99+$E$5+$E$7+$E$9+$E$11+$E$25+$E$39+$E$53+$E$67+$E$81+$E$95+SUM(E97:E99)</f>
        <v>-4654302.660000002</v>
      </c>
      <c r="L99" s="71"/>
      <c r="O99" s="71"/>
    </row>
    <row r="100" spans="1:15" ht="15.75" thickBot="1">
      <c r="A100" s="35" t="s">
        <v>35</v>
      </c>
      <c r="B100" s="48">
        <v>629520.05000000005</v>
      </c>
      <c r="C100" s="48">
        <v>-773083.32</v>
      </c>
      <c r="D100" s="35">
        <f t="shared" si="7"/>
        <v>-5563422.4200000009</v>
      </c>
      <c r="F100" s="35">
        <f>D100+$E$5+$E$7+$E$9+$E$11+$E$25+$E$39+$E$53+$E$67+$E$81+$E$95+SUM(E97:E100)</f>
        <v>-4797865.9300000025</v>
      </c>
      <c r="H100" s="57" t="s">
        <v>65</v>
      </c>
      <c r="I100" s="65">
        <f>SUM(B97:B100)</f>
        <v>2763792.45</v>
      </c>
      <c r="L100" s="71"/>
      <c r="O100" s="71"/>
    </row>
    <row r="101" spans="1:15">
      <c r="A101" s="35" t="s">
        <v>19</v>
      </c>
      <c r="B101" s="34">
        <f>('2020-2021 Spend Forecast '!B24-I100)*H87</f>
        <v>1757909.2795010479</v>
      </c>
      <c r="C101" s="34">
        <f t="shared" ref="C101:C108" si="8">-10486031*(C87/$C$95)</f>
        <v>-688547.93969719415</v>
      </c>
      <c r="D101" s="35">
        <f t="shared" si="7"/>
        <v>-4494061.0801961469</v>
      </c>
      <c r="F101" s="35">
        <f>D101+$E$5+$E$7+$E$9+$E$11+$E$25+$E$39+$E$53+$E$67+$E$81+$E$95+SUM(E97:E101)</f>
        <v>-3728504.5901961476</v>
      </c>
      <c r="H101" s="56" t="s">
        <v>66</v>
      </c>
      <c r="I101" s="65" t="s">
        <v>92</v>
      </c>
      <c r="L101" s="71"/>
      <c r="O101" s="71"/>
    </row>
    <row r="102" spans="1:15">
      <c r="A102" s="35" t="s">
        <v>36</v>
      </c>
      <c r="B102" s="34">
        <f>('2020-2021 Spend Forecast '!B24-I100)*H88</f>
        <v>1359039.2061832042</v>
      </c>
      <c r="C102" s="34">
        <f t="shared" si="8"/>
        <v>-751044.30375789374</v>
      </c>
      <c r="D102" s="35">
        <f t="shared" si="7"/>
        <v>-3886066.1777708363</v>
      </c>
      <c r="F102" s="35">
        <f>D102+$E$5+$E$7+$E$9+$E$11+$E$25+$E$39+$E$53+$E$67+$E$81+$E$95+SUM(E97:E102)</f>
        <v>-3120509.687770837</v>
      </c>
      <c r="L102" s="71"/>
      <c r="O102" s="71"/>
    </row>
    <row r="103" spans="1:15">
      <c r="A103" s="35" t="s">
        <v>37</v>
      </c>
      <c r="B103" s="34">
        <f>('2020-2021 Spend Forecast '!B24-I100)*H89</f>
        <v>1376125.7822879206</v>
      </c>
      <c r="C103" s="34">
        <f t="shared" si="8"/>
        <v>-858445.43022074131</v>
      </c>
      <c r="D103" s="35">
        <f t="shared" si="7"/>
        <v>-3368385.8257036568</v>
      </c>
      <c r="F103" s="35">
        <f>D103+$E$5+$E$7+$E$9+$E$11+$E$25+$E$39+$E$53+$E$67+$E$81+$E$95+SUM(E97:E103)</f>
        <v>-2602829.335703657</v>
      </c>
      <c r="L103" s="71"/>
      <c r="O103" s="71"/>
    </row>
    <row r="104" spans="1:15">
      <c r="A104" s="35" t="s">
        <v>38</v>
      </c>
      <c r="B104" s="34">
        <f>('2020-2021 Spend Forecast '!B24-I100)*H90</f>
        <v>1042946.6240049789</v>
      </c>
      <c r="C104" s="34">
        <f t="shared" si="8"/>
        <v>-965989.20868468157</v>
      </c>
      <c r="D104" s="35">
        <f t="shared" si="7"/>
        <v>-3291428.4103833591</v>
      </c>
      <c r="F104" s="35">
        <f>D104+$E$5+$E$7+$E$9+$E$11+$E$25+$E$39+$E$53+$E$67+$E$81+$E$95+SUM(E97:E104)</f>
        <v>-2525871.9203833593</v>
      </c>
      <c r="L104" s="71"/>
      <c r="O104" s="71"/>
    </row>
    <row r="105" spans="1:15">
      <c r="A105" s="35" t="s">
        <v>39</v>
      </c>
      <c r="B105" s="34">
        <f>('2020-2021 Spend Forecast '!B24-I100)*H91</f>
        <v>917103.29174776375</v>
      </c>
      <c r="C105" s="34">
        <f t="shared" si="8"/>
        <v>-911258.26182631799</v>
      </c>
      <c r="D105" s="35">
        <f t="shared" si="7"/>
        <v>-3285583.3804619135</v>
      </c>
      <c r="F105" s="35">
        <f>D105+$E$5+$E$7+$E$9+$E$11+$E$25+$E$39+$E$53+$E$67+$E$81+$E$95+SUM(E97:E105)</f>
        <v>-2520026.8904619133</v>
      </c>
      <c r="L105" s="71"/>
      <c r="O105" s="71"/>
    </row>
    <row r="106" spans="1:15">
      <c r="A106" s="35" t="s">
        <v>40</v>
      </c>
      <c r="B106" s="34">
        <f>('2020-2021 Spend Forecast '!B24-I100)*H92</f>
        <v>1557849.1182057576</v>
      </c>
      <c r="C106" s="34">
        <f t="shared" si="8"/>
        <v>-804787.84929652512</v>
      </c>
      <c r="D106" s="35">
        <f t="shared" si="7"/>
        <v>-2532522.1115526808</v>
      </c>
      <c r="F106" s="35">
        <f>D106+$E$5+$E$7+$E$9+$E$11+$E$25+$E$39+$E$53+$E$67+$E$81+$E$95+SUM(E97:E106)</f>
        <v>-1766965.6215526806</v>
      </c>
      <c r="K106" s="65" t="s">
        <v>92</v>
      </c>
      <c r="L106" s="71"/>
      <c r="O106" s="71"/>
    </row>
    <row r="107" spans="1:15">
      <c r="A107" s="35" t="s">
        <v>41</v>
      </c>
      <c r="B107" s="34">
        <f>('2020-2021 Spend Forecast '!B24-I100)*H93</f>
        <v>1329529.9786438141</v>
      </c>
      <c r="C107" s="34">
        <f t="shared" si="8"/>
        <v>-884285.64251390193</v>
      </c>
      <c r="D107" s="35">
        <f t="shared" si="7"/>
        <v>-2087277.7754227687</v>
      </c>
      <c r="F107" s="35">
        <f>D107+$E$5+$E$7+$E$9+$E$11+$E$25+$E$39+$E$53+$E$67+$E$81+$E$95+SUM(E97:E107)</f>
        <v>-1321721.2854227687</v>
      </c>
      <c r="L107" s="71"/>
      <c r="O107" s="71"/>
    </row>
    <row r="108" spans="1:15">
      <c r="A108" s="35" t="s">
        <v>42</v>
      </c>
      <c r="B108" s="34">
        <f>('2020-2021 Spend Forecast '!B24-I100)*H94</f>
        <v>2222413.1794255124</v>
      </c>
      <c r="C108" s="34">
        <f t="shared" si="8"/>
        <v>-1042384.3407407275</v>
      </c>
      <c r="D108" s="35">
        <f t="shared" si="7"/>
        <v>-907248.93673798372</v>
      </c>
      <c r="F108" s="35">
        <f>D108+$E$5+$E$7+$E$9+$E$11+$E$25+$E$39+$E$53+$E$67+$E$81+$E$95+SUM(E97:E108)</f>
        <v>-141692.44673798396</v>
      </c>
      <c r="K108" s="43" t="s">
        <v>92</v>
      </c>
      <c r="L108" s="71"/>
      <c r="O108" s="71"/>
    </row>
    <row r="109" spans="1:15" ht="15.75" thickBot="1">
      <c r="A109" s="37" t="s">
        <v>82</v>
      </c>
      <c r="B109" s="36">
        <f>SUM(B97:B108)</f>
        <v>14326708.91</v>
      </c>
      <c r="C109" s="36">
        <f>SUM(C97:C108)</f>
        <v>-10562344.876737984</v>
      </c>
      <c r="D109" s="36"/>
      <c r="E109" s="36">
        <f>SUM(E97:E108)</f>
        <v>-315323.24</v>
      </c>
      <c r="F109" s="36"/>
      <c r="H109" s="65" t="s">
        <v>92</v>
      </c>
      <c r="I109" s="43" t="s">
        <v>92</v>
      </c>
      <c r="J109" s="72" t="s">
        <v>92</v>
      </c>
      <c r="L109" s="71"/>
      <c r="O109" s="71"/>
    </row>
    <row r="110" spans="1:15" ht="15.75" thickTop="1">
      <c r="A110" s="37"/>
      <c r="B110" s="67"/>
      <c r="C110" s="67"/>
      <c r="D110" s="67"/>
      <c r="E110" s="67"/>
      <c r="F110" s="67"/>
      <c r="I110" s="71" t="s">
        <v>92</v>
      </c>
      <c r="J110" s="72" t="s">
        <v>92</v>
      </c>
      <c r="L110" s="71"/>
      <c r="O110" s="71"/>
    </row>
    <row r="111" spans="1:15">
      <c r="A111" s="35" t="s">
        <v>32</v>
      </c>
      <c r="B111" s="34">
        <f>'2020-2021 Spend Forecast '!B24*(B97/$B$109)</f>
        <v>789851.81</v>
      </c>
      <c r="C111" s="34">
        <f t="shared" ref="C111:C113" si="9">-10486031*(C97/$C$109)</f>
        <v>-1036263.1186424587</v>
      </c>
      <c r="D111" s="35">
        <f>+D108+B111+C111</f>
        <v>-1153660.2453804424</v>
      </c>
      <c r="E111" s="59"/>
      <c r="F111" s="35">
        <f>D111+$E$5+$E$7+$E$9+$E$11+$E$25+$E$39+$E$67+$E$81+$E$53+$E$95+$E$109+SUM(E111)</f>
        <v>-388103.75538044272</v>
      </c>
      <c r="L111" s="71"/>
      <c r="O111" s="71"/>
    </row>
    <row r="112" spans="1:15">
      <c r="A112" s="35" t="s">
        <v>33</v>
      </c>
      <c r="B112" s="34">
        <f>'2020-2021 Spend Forecast '!B24*(B98/$B$109)</f>
        <v>321717.28999999998</v>
      </c>
      <c r="C112" s="34">
        <f t="shared" si="9"/>
        <v>-954836.15722402267</v>
      </c>
      <c r="D112" s="35">
        <f>+D111+B112+C112</f>
        <v>-1786779.1126044649</v>
      </c>
      <c r="E112" s="59"/>
      <c r="F112" s="35">
        <f>D112+$E$5+$E$7+$E$9+$E$11+$E$25+$E$39+$E$67+$E$81+$E$53+$E$95+$E$109+SUM($E$111:E112)</f>
        <v>-1021222.622604465</v>
      </c>
      <c r="L112" s="71"/>
      <c r="O112" s="71"/>
    </row>
    <row r="113" spans="1:15">
      <c r="A113" s="35" t="s">
        <v>34</v>
      </c>
      <c r="B113" s="34">
        <f>'2020-2021 Spend Forecast '!B24*(B99/$B$109)</f>
        <v>1022703.3</v>
      </c>
      <c r="C113" s="34">
        <f t="shared" si="9"/>
        <v>-870592.85222571029</v>
      </c>
      <c r="D113" s="35">
        <f t="shared" ref="D113:D122" si="10">+D112+B113+C113</f>
        <v>-1634668.6648301752</v>
      </c>
      <c r="E113" s="59"/>
      <c r="F113" s="35">
        <f>D113+$E$5+$E$7+$E$9+$E$11+$E$25+$E$39+$E$67+$E$81+$E$53+$E$95+$E$109+SUM($E$111:E113)</f>
        <v>-869112.17483017559</v>
      </c>
      <c r="L113" s="71"/>
      <c r="O113" s="71"/>
    </row>
    <row r="114" spans="1:15">
      <c r="A114" s="35" t="s">
        <v>35</v>
      </c>
      <c r="B114" s="34">
        <f>'2020-2021 Spend Forecast '!B24*(B100/$B$109)</f>
        <v>629520.05000000005</v>
      </c>
      <c r="C114" s="34">
        <f>-10486031*(C100/$C$109)</f>
        <v>-767497.72457785055</v>
      </c>
      <c r="D114" s="35">
        <f t="shared" si="10"/>
        <v>-1772646.3394080256</v>
      </c>
      <c r="F114" s="35">
        <f>D114+$E$5+$E$7+$E$9+$E$11+$E$25+$E$39+$E$67+$E$81+$E$53+$E$95+$E$109+SUM($E$111:E114)</f>
        <v>-1007089.8494080257</v>
      </c>
      <c r="K114" s="58"/>
      <c r="L114" s="75"/>
      <c r="N114" s="58"/>
      <c r="O114" s="75"/>
    </row>
    <row r="115" spans="1:15">
      <c r="A115" s="35" t="s">
        <v>19</v>
      </c>
      <c r="B115" s="34">
        <f>'2020-2021 Spend Forecast '!B24*(B101/$B$109)</f>
        <v>1757909.2795010479</v>
      </c>
      <c r="C115" s="34">
        <f t="shared" ref="C115:C122" si="11">-10486031*(C101/$C$109)</f>
        <v>-683573.1198810027</v>
      </c>
      <c r="D115" s="35">
        <f t="shared" si="10"/>
        <v>-698310.17978798039</v>
      </c>
      <c r="F115" s="35">
        <f>D115+$E$5+$E$7+$E$9+$E$11+$E$25+$E$39+$E$67+$E$81+$E$53+$E$95+$E$109+SUM($E$111:E115)</f>
        <v>67246.310212019365</v>
      </c>
    </row>
    <row r="116" spans="1:15">
      <c r="A116" s="35" t="s">
        <v>36</v>
      </c>
      <c r="B116" s="34">
        <f>'2020-2021 Spend Forecast '!B24*(B102/$B$109)</f>
        <v>1359039.2061832042</v>
      </c>
      <c r="C116" s="34">
        <f t="shared" si="11"/>
        <v>-745617.942179039</v>
      </c>
      <c r="D116" s="35">
        <f t="shared" si="10"/>
        <v>-84888.915783815202</v>
      </c>
      <c r="F116" s="35">
        <f>D116+$E$5+$E$7+$E$9+$E$11+$E$25+$E$39+$E$67+$E$81+$E$53+$E$95+$E$109+SUM($E$111:E116)</f>
        <v>680667.57421618444</v>
      </c>
    </row>
    <row r="117" spans="1:15">
      <c r="A117" s="35" t="s">
        <v>37</v>
      </c>
      <c r="B117" s="34">
        <f>'2020-2021 Spend Forecast '!B24*(B103/$B$109)</f>
        <v>1376125.7822879206</v>
      </c>
      <c r="C117" s="34">
        <f t="shared" si="11"/>
        <v>-852243.08599579264</v>
      </c>
      <c r="D117" s="35">
        <f t="shared" si="10"/>
        <v>438993.78050831263</v>
      </c>
      <c r="F117" s="35">
        <f>D117+$E$5+$E$7+$E$9+$E$11+$E$25+$E$39+$E$67+$E$81+$E$53+$E$95+$E$109+SUM($E$111:E117)</f>
        <v>1204550.2705083122</v>
      </c>
    </row>
    <row r="118" spans="1:15">
      <c r="A118" s="35" t="s">
        <v>38</v>
      </c>
      <c r="B118" s="34">
        <f>'2020-2021 Spend Forecast '!B24*(B104/$B$109)</f>
        <v>1042946.6240049789</v>
      </c>
      <c r="C118" s="34">
        <f t="shared" si="11"/>
        <v>-959009.85114030342</v>
      </c>
      <c r="D118" s="35">
        <f t="shared" si="10"/>
        <v>522930.55337298813</v>
      </c>
      <c r="F118" s="35">
        <f>D118+$E$5+$E$7+$E$9+$E$11+$E$25+$E$39+$E$67+$E$81+$E$53+$E$95+$E$109+SUM($E$111:E118)</f>
        <v>1288487.0433729882</v>
      </c>
    </row>
    <row r="119" spans="1:15">
      <c r="A119" s="35" t="s">
        <v>39</v>
      </c>
      <c r="B119" s="34">
        <f>'2020-2021 Spend Forecast '!B24*(B105/$B$109)</f>
        <v>917103.29174776387</v>
      </c>
      <c r="C119" s="34">
        <f t="shared" si="11"/>
        <v>-904674.34021790326</v>
      </c>
      <c r="D119" s="35">
        <f t="shared" si="10"/>
        <v>535359.50490284874</v>
      </c>
      <c r="F119" s="35">
        <f>D119+$E$5+$E$7+$E$9+$E$11+$E$25+$E$39+$E$67+$E$81+$E$53+$E$95+$E$109+SUM($E$111:E119)</f>
        <v>1300915.9949028487</v>
      </c>
    </row>
    <row r="120" spans="1:15">
      <c r="A120" s="35" t="s">
        <v>40</v>
      </c>
      <c r="B120" s="34">
        <f>'2020-2021 Spend Forecast '!B24*(B106/$B$109)</f>
        <v>1557849.1182057576</v>
      </c>
      <c r="C120" s="34">
        <f t="shared" si="11"/>
        <v>-798973.18584364897</v>
      </c>
      <c r="D120" s="35">
        <f t="shared" si="10"/>
        <v>1294235.4372649575</v>
      </c>
      <c r="F120" s="35">
        <f>D120+$E$5+$E$7+$E$9+$E$11+$E$25+$E$39+$E$67+$E$81+$E$53+$E$95+$E$109+SUM($E$111:E120)</f>
        <v>2059791.927264957</v>
      </c>
    </row>
    <row r="121" spans="1:15">
      <c r="A121" s="35" t="s">
        <v>41</v>
      </c>
      <c r="B121" s="34">
        <f>'2020-2021 Spend Forecast '!B24*(B107/$B$109)</f>
        <v>1329529.9786438141</v>
      </c>
      <c r="C121" s="34">
        <f t="shared" si="11"/>
        <v>-877896.60046769911</v>
      </c>
      <c r="D121" s="35">
        <f t="shared" si="10"/>
        <v>1745868.8154410725</v>
      </c>
      <c r="F121" s="35">
        <f>D121+$E$5+$E$7+$E$9+$E$11+$E$25+$E$39+$E$67+$E$81+$E$53+$E$95+$E$109+SUM($E$111:E121)</f>
        <v>2511425.3054410713</v>
      </c>
    </row>
    <row r="122" spans="1:15">
      <c r="A122" s="35" t="s">
        <v>42</v>
      </c>
      <c r="B122" s="34">
        <f>'2020-2021 Spend Forecast '!B24*(B108/$B$109)</f>
        <v>2222413.1794255124</v>
      </c>
      <c r="C122" s="34">
        <f t="shared" si="11"/>
        <v>-1034853.0216045681</v>
      </c>
      <c r="D122" s="35">
        <f t="shared" si="10"/>
        <v>2933428.9732620167</v>
      </c>
      <c r="F122" s="35">
        <f>D122+$E$5+$E$7+$E$9+$E$11+$E$25+$E$39+$E$67+$E$81+$E$53+$E$95+$E$109+SUM($E$111:E122)</f>
        <v>3698985.463262015</v>
      </c>
    </row>
    <row r="123" spans="1:15" ht="15.75" thickBot="1">
      <c r="A123" s="37" t="s">
        <v>91</v>
      </c>
      <c r="B123" s="36">
        <f>SUM(B111:B122)</f>
        <v>14326708.91</v>
      </c>
      <c r="C123" s="36">
        <f>SUM(C111:C122)</f>
        <v>-10486030.999999998</v>
      </c>
      <c r="D123" s="36"/>
      <c r="E123" s="36">
        <f>SUM(E111:E122)</f>
        <v>0</v>
      </c>
      <c r="F123" s="36"/>
      <c r="H123" s="65" t="s">
        <v>92</v>
      </c>
      <c r="I123" s="43" t="s">
        <v>92</v>
      </c>
    </row>
    <row r="124" spans="1:15" ht="15.75" thickTop="1">
      <c r="A124" s="35"/>
    </row>
    <row r="125" spans="1:15">
      <c r="D125" s="66" t="s">
        <v>86</v>
      </c>
      <c r="E125" s="65">
        <f>+E25+E11+E9+E7+E5+E39+E53+E67+E81+E95+E109</f>
        <v>765556.48999999976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ignoredErrors>
    <ignoredError sqref="F14:F15 F16:F23 F28 F29:F37 F42:F43 F44:F51 F56:F57 F58:F65 F70:F79 F84:F93 F98" formulaRange="1"/>
    <ignoredError sqref="D8 D10 D14:D25 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3"/>
  <sheetViews>
    <sheetView zoomScale="90" zoomScaleNormal="90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H5" sqref="H5"/>
    </sheetView>
  </sheetViews>
  <sheetFormatPr defaultColWidth="9.140625" defaultRowHeight="15" outlineLevelCol="1"/>
  <cols>
    <col min="1" max="1" width="38.5703125" style="1" customWidth="1"/>
    <col min="2" max="2" width="14" style="24" bestFit="1" customWidth="1"/>
    <col min="3" max="3" width="14" style="44" customWidth="1"/>
    <col min="4" max="4" width="2.7109375" style="24" customWidth="1"/>
    <col min="5" max="5" width="14.7109375" style="1" customWidth="1" outlineLevel="1"/>
    <col min="6" max="6" width="12.7109375" style="44" customWidth="1" outlineLevel="1"/>
    <col min="7" max="10" width="12.42578125" style="44" customWidth="1"/>
    <col min="11" max="14" width="12.7109375" style="44" customWidth="1" outlineLevel="1"/>
    <col min="15" max="15" width="13.42578125" style="1" customWidth="1"/>
    <col min="16" max="16" width="14.7109375" style="1" bestFit="1" customWidth="1"/>
    <col min="17" max="17" width="1.5703125" style="1" customWidth="1"/>
    <col min="18" max="18" width="6" customWidth="1"/>
    <col min="19" max="19" width="12.7109375" style="1" customWidth="1" outlineLevel="1"/>
    <col min="20" max="20" width="13.42578125" style="1" customWidth="1" outlineLevel="1"/>
    <col min="21" max="21" width="12.7109375" style="1" customWidth="1" outlineLevel="1"/>
    <col min="22" max="23" width="12.140625" style="1" customWidth="1" outlineLevel="1"/>
    <col min="24" max="24" width="12.7109375" style="1" customWidth="1" outlineLevel="1"/>
    <col min="25" max="25" width="13.42578125" style="1" customWidth="1" outlineLevel="1"/>
    <col min="26" max="30" width="12.7109375" style="1" customWidth="1" outlineLevel="1"/>
    <col min="31" max="31" width="14.140625" style="1" customWidth="1"/>
    <col min="32" max="32" width="5.42578125" style="1" customWidth="1"/>
    <col min="33" max="16384" width="9.140625" style="1"/>
  </cols>
  <sheetData>
    <row r="1" spans="1:35" ht="12" customHeight="1"/>
    <row r="2" spans="1:35" ht="9.75" customHeight="1" thickBot="1">
      <c r="E2" s="63"/>
      <c r="F2" s="64"/>
      <c r="G2" s="64"/>
      <c r="H2" s="64"/>
      <c r="I2" s="64"/>
      <c r="J2" s="64"/>
    </row>
    <row r="3" spans="1:35" s="4" customFormat="1" ht="48" customHeight="1">
      <c r="A3" s="2"/>
      <c r="B3" s="18" t="s">
        <v>87</v>
      </c>
      <c r="C3" s="18" t="s">
        <v>88</v>
      </c>
      <c r="D3" s="18"/>
      <c r="E3" s="90" t="s">
        <v>93</v>
      </c>
      <c r="F3" s="90" t="s">
        <v>94</v>
      </c>
      <c r="G3" s="53" t="s">
        <v>89</v>
      </c>
      <c r="H3" s="55">
        <v>44337</v>
      </c>
      <c r="I3" s="55">
        <v>44368</v>
      </c>
      <c r="J3" s="55">
        <v>44398</v>
      </c>
      <c r="K3" s="55">
        <v>44409</v>
      </c>
      <c r="L3" s="55">
        <v>44440</v>
      </c>
      <c r="M3" s="55">
        <v>44470</v>
      </c>
      <c r="N3" s="55">
        <v>44501</v>
      </c>
      <c r="O3" s="54">
        <v>44531</v>
      </c>
      <c r="P3" s="3" t="s">
        <v>85</v>
      </c>
      <c r="S3" s="55">
        <v>44562</v>
      </c>
      <c r="T3" s="55">
        <v>44593</v>
      </c>
      <c r="U3" s="55">
        <v>44621</v>
      </c>
      <c r="V3" s="55">
        <v>44652</v>
      </c>
      <c r="W3" s="55">
        <v>44682</v>
      </c>
      <c r="X3" s="55">
        <v>44713</v>
      </c>
      <c r="Y3" s="55">
        <v>44743</v>
      </c>
      <c r="Z3" s="55">
        <v>44774</v>
      </c>
      <c r="AA3" s="55">
        <v>44805</v>
      </c>
      <c r="AB3" s="55">
        <v>44835</v>
      </c>
      <c r="AC3" s="55">
        <v>44866</v>
      </c>
      <c r="AD3" s="55">
        <v>44896</v>
      </c>
      <c r="AE3" s="3" t="s">
        <v>90</v>
      </c>
    </row>
    <row r="4" spans="1:35" ht="21.75" customHeight="1">
      <c r="A4" s="5" t="s">
        <v>50</v>
      </c>
      <c r="B4" s="61">
        <v>865000</v>
      </c>
      <c r="C4" s="98">
        <f>P4</f>
        <v>765921.67999999993</v>
      </c>
      <c r="D4" s="19"/>
      <c r="E4" s="29">
        <v>99871.679999999993</v>
      </c>
      <c r="F4" s="29"/>
      <c r="G4" s="29">
        <f>SUM(E4:F4)</f>
        <v>99871.679999999993</v>
      </c>
      <c r="H4" s="29">
        <f t="shared" ref="H4:O6" si="0">W4</f>
        <v>95150</v>
      </c>
      <c r="I4" s="29">
        <f t="shared" si="0"/>
        <v>51900</v>
      </c>
      <c r="J4" s="29">
        <f t="shared" si="0"/>
        <v>51900</v>
      </c>
      <c r="K4" s="29">
        <f t="shared" si="0"/>
        <v>190300</v>
      </c>
      <c r="L4" s="29">
        <f t="shared" si="0"/>
        <v>43250</v>
      </c>
      <c r="M4" s="29">
        <f t="shared" si="0"/>
        <v>17300</v>
      </c>
      <c r="N4" s="29">
        <f t="shared" si="0"/>
        <v>34600</v>
      </c>
      <c r="O4" s="29">
        <f t="shared" si="0"/>
        <v>181650</v>
      </c>
      <c r="P4" s="29">
        <f>SUM(G4:O4)</f>
        <v>765921.67999999993</v>
      </c>
      <c r="R4" s="72"/>
      <c r="S4" s="29">
        <f>+$B$4*'% alloc by month '!C5</f>
        <v>51900</v>
      </c>
      <c r="T4" s="29">
        <f>+$B$4*'% alloc by month '!D5</f>
        <v>43250</v>
      </c>
      <c r="U4" s="29">
        <f>+$B$4*'% alloc by month '!E5</f>
        <v>43250</v>
      </c>
      <c r="V4" s="29">
        <f>+$B$4*'% alloc by month '!F5</f>
        <v>60550.000000000007</v>
      </c>
      <c r="W4" s="29">
        <f>+$B$4*'% alloc by month '!G5</f>
        <v>95150</v>
      </c>
      <c r="X4" s="29">
        <f>+$B$4*'% alloc by month '!H5</f>
        <v>51900</v>
      </c>
      <c r="Y4" s="29">
        <f>+$B$4*'% alloc by month '!I5</f>
        <v>51900</v>
      </c>
      <c r="Z4" s="29">
        <f>+$B$4*'% alloc by month '!J5</f>
        <v>190300</v>
      </c>
      <c r="AA4" s="29">
        <f>+$B$4*'% alloc by month '!K5</f>
        <v>43250</v>
      </c>
      <c r="AB4" s="29">
        <f>+$B$4*'% alloc by month '!L5</f>
        <v>17300</v>
      </c>
      <c r="AC4" s="29">
        <f>+$B$4*'% alloc by month '!M5</f>
        <v>34600</v>
      </c>
      <c r="AD4" s="29">
        <f>+$B$4*'% alloc by month '!N5</f>
        <v>181650</v>
      </c>
      <c r="AE4" s="29">
        <f>SUM(S4:AD4)</f>
        <v>865000</v>
      </c>
    </row>
    <row r="5" spans="1:35" ht="21.75" customHeight="1">
      <c r="A5" s="5" t="s">
        <v>49</v>
      </c>
      <c r="B5" s="103">
        <f>3771072</f>
        <v>3771072</v>
      </c>
      <c r="C5" s="98">
        <f t="shared" ref="C5:C6" si="1">P5</f>
        <v>3802456.0799999996</v>
      </c>
      <c r="D5" s="19"/>
      <c r="E5" s="29">
        <v>529895.88</v>
      </c>
      <c r="F5" s="29">
        <f>359747.11+9087.65</f>
        <v>368834.76</v>
      </c>
      <c r="G5" s="29">
        <f>SUM(E5:F5)</f>
        <v>898730.64</v>
      </c>
      <c r="H5" s="29">
        <f t="shared" si="0"/>
        <v>188553.60000000001</v>
      </c>
      <c r="I5" s="29">
        <f t="shared" si="0"/>
        <v>603371.52000000002</v>
      </c>
      <c r="J5" s="29">
        <f t="shared" si="0"/>
        <v>226264.31999999998</v>
      </c>
      <c r="K5" s="29">
        <f t="shared" si="0"/>
        <v>226264.31999999998</v>
      </c>
      <c r="L5" s="29">
        <f t="shared" si="0"/>
        <v>565660.79999999993</v>
      </c>
      <c r="M5" s="29">
        <f t="shared" si="0"/>
        <v>226264.31999999998</v>
      </c>
      <c r="N5" s="29">
        <f t="shared" si="0"/>
        <v>377107.20000000001</v>
      </c>
      <c r="O5" s="29">
        <f t="shared" si="0"/>
        <v>490239.36000000004</v>
      </c>
      <c r="P5" s="29">
        <f>SUM(G5:O5)</f>
        <v>3802456.0799999996</v>
      </c>
      <c r="R5" s="72"/>
      <c r="S5" s="29">
        <f>+$B$5*'% alloc by month '!C6</f>
        <v>226264.31999999998</v>
      </c>
      <c r="T5" s="29">
        <f>+$B$5*'% alloc by month '!D6</f>
        <v>301685.76000000001</v>
      </c>
      <c r="U5" s="29">
        <f>+$B$5*'% alloc by month '!E6</f>
        <v>226264.31999999998</v>
      </c>
      <c r="V5" s="29">
        <f>+$B$5*'% alloc by month '!F6</f>
        <v>113132.15999999999</v>
      </c>
      <c r="W5" s="29">
        <f>+$B$5*'% alloc by month '!G6</f>
        <v>188553.60000000001</v>
      </c>
      <c r="X5" s="29">
        <f>+$B$5*'% alloc by month '!H6</f>
        <v>603371.52000000002</v>
      </c>
      <c r="Y5" s="29">
        <f>+$B$5*'% alloc by month '!I6</f>
        <v>226264.31999999998</v>
      </c>
      <c r="Z5" s="29">
        <f>+$B$5*'% alloc by month '!J6</f>
        <v>226264.31999999998</v>
      </c>
      <c r="AA5" s="29">
        <f>+$B$5*'% alloc by month '!K6</f>
        <v>565660.79999999993</v>
      </c>
      <c r="AB5" s="29">
        <f>+$B$5*'% alloc by month '!L6</f>
        <v>226264.31999999998</v>
      </c>
      <c r="AC5" s="29">
        <f>+$B$5*'% alloc by month '!M6</f>
        <v>377107.20000000001</v>
      </c>
      <c r="AD5" s="29">
        <f>+$B$5*'% alloc by month '!N6</f>
        <v>490239.36000000004</v>
      </c>
      <c r="AE5" s="29">
        <f>SUM(S5:AD5)</f>
        <v>3771071.9999999995</v>
      </c>
    </row>
    <row r="6" spans="1:35" ht="21.75" customHeight="1">
      <c r="A6" s="5" t="s">
        <v>59</v>
      </c>
      <c r="B6" s="101">
        <v>266500</v>
      </c>
      <c r="C6" s="98">
        <f t="shared" si="1"/>
        <v>343870.53</v>
      </c>
      <c r="D6" s="19"/>
      <c r="E6" s="29">
        <v>40582.28</v>
      </c>
      <c r="F6" s="29">
        <v>151383.25</v>
      </c>
      <c r="G6" s="29">
        <f>SUM(E6:F6)</f>
        <v>191965.53</v>
      </c>
      <c r="H6" s="29">
        <f t="shared" si="0"/>
        <v>2665</v>
      </c>
      <c r="I6" s="29">
        <f t="shared" si="0"/>
        <v>2665</v>
      </c>
      <c r="J6" s="29">
        <f t="shared" si="0"/>
        <v>2665</v>
      </c>
      <c r="K6" s="29">
        <f t="shared" si="0"/>
        <v>2665</v>
      </c>
      <c r="L6" s="29">
        <f t="shared" si="0"/>
        <v>2665</v>
      </c>
      <c r="M6" s="29">
        <f t="shared" si="0"/>
        <v>5330</v>
      </c>
      <c r="N6" s="29">
        <f t="shared" si="0"/>
        <v>98605</v>
      </c>
      <c r="O6" s="29">
        <f t="shared" si="0"/>
        <v>34645</v>
      </c>
      <c r="P6" s="29">
        <f>SUM(G6:O6)</f>
        <v>343870.53</v>
      </c>
      <c r="R6" s="72"/>
      <c r="S6" s="85">
        <f>SUM($B$6)*'% alloc by month '!C7</f>
        <v>2665</v>
      </c>
      <c r="T6" s="85">
        <f>SUM($B$6)*'% alloc by month '!D7</f>
        <v>2665</v>
      </c>
      <c r="U6" s="85">
        <f>SUM($B$6)*'% alloc by month '!E7</f>
        <v>106600</v>
      </c>
      <c r="V6" s="85">
        <f>SUM($B$6)*'% alloc by month '!F7</f>
        <v>2665</v>
      </c>
      <c r="W6" s="85">
        <f>SUM($B$6)*'% alloc by month '!G7</f>
        <v>2665</v>
      </c>
      <c r="X6" s="85">
        <f>SUM($B$6)*'% alloc by month '!H7</f>
        <v>2665</v>
      </c>
      <c r="Y6" s="85">
        <f>SUM($B$6)*'% alloc by month '!I7</f>
        <v>2665</v>
      </c>
      <c r="Z6" s="85">
        <f>SUM($B$6)*'% alloc by month '!J7</f>
        <v>2665</v>
      </c>
      <c r="AA6" s="85">
        <f>SUM($B$6)*'% alloc by month '!K7</f>
        <v>2665</v>
      </c>
      <c r="AB6" s="85">
        <f>SUM($B$6)*'% alloc by month '!L7</f>
        <v>5330</v>
      </c>
      <c r="AC6" s="85">
        <f>SUM($B$6)*'% alloc by month '!M7</f>
        <v>98605</v>
      </c>
      <c r="AD6" s="85">
        <f>SUM($B$6)*'% alloc by month '!N7</f>
        <v>34645</v>
      </c>
      <c r="AE6" s="29">
        <f>SUM(S6:AD6)</f>
        <v>266500</v>
      </c>
    </row>
    <row r="7" spans="1:35" s="7" customFormat="1" ht="21.75" customHeight="1">
      <c r="A7" s="6" t="s">
        <v>0</v>
      </c>
      <c r="B7" s="86">
        <f>SUM(B4:B6)</f>
        <v>4902572</v>
      </c>
      <c r="C7" s="86">
        <f>SUM(C4:C6)</f>
        <v>4912248.29</v>
      </c>
      <c r="D7" s="23"/>
      <c r="E7" s="78">
        <f>SUM(E4:E6)</f>
        <v>670349.84000000008</v>
      </c>
      <c r="F7" s="96">
        <f>SUM(F4:F6)</f>
        <v>520218.01</v>
      </c>
      <c r="G7" s="78">
        <f>SUM(G4:G6)</f>
        <v>1190567.8500000001</v>
      </c>
      <c r="H7" s="78"/>
      <c r="I7" s="78"/>
      <c r="J7" s="78"/>
      <c r="K7" s="78">
        <f t="shared" ref="K7:N7" si="2">SUM(K4:K6)</f>
        <v>419229.31999999995</v>
      </c>
      <c r="L7" s="78">
        <f t="shared" si="2"/>
        <v>611575.79999999993</v>
      </c>
      <c r="M7" s="78">
        <f t="shared" si="2"/>
        <v>248894.31999999998</v>
      </c>
      <c r="N7" s="78">
        <f t="shared" si="2"/>
        <v>510312.2</v>
      </c>
      <c r="O7" s="78">
        <f t="shared" ref="O7:P7" si="3">SUM(O4:O6)</f>
        <v>706534.3600000001</v>
      </c>
      <c r="P7" s="78">
        <f t="shared" si="3"/>
        <v>4912248.29</v>
      </c>
      <c r="R7" s="72"/>
      <c r="S7" s="78">
        <f t="shared" ref="S7:AE7" si="4">SUM(S4:S6)</f>
        <v>280829.31999999995</v>
      </c>
      <c r="T7" s="78">
        <f t="shared" si="4"/>
        <v>347600.76</v>
      </c>
      <c r="U7" s="78">
        <f t="shared" si="4"/>
        <v>376114.31999999995</v>
      </c>
      <c r="V7" s="78">
        <f t="shared" si="4"/>
        <v>176347.16</v>
      </c>
      <c r="W7" s="78">
        <f t="shared" si="4"/>
        <v>286368.59999999998</v>
      </c>
      <c r="X7" s="78">
        <f t="shared" si="4"/>
        <v>657936.52</v>
      </c>
      <c r="Y7" s="78">
        <f t="shared" si="4"/>
        <v>280829.31999999995</v>
      </c>
      <c r="Z7" s="78">
        <f t="shared" si="4"/>
        <v>419229.31999999995</v>
      </c>
      <c r="AA7" s="78">
        <f t="shared" si="4"/>
        <v>611575.79999999993</v>
      </c>
      <c r="AB7" s="78">
        <f t="shared" si="4"/>
        <v>248894.31999999998</v>
      </c>
      <c r="AC7" s="78">
        <f t="shared" si="4"/>
        <v>510312.2</v>
      </c>
      <c r="AD7" s="88">
        <f t="shared" si="4"/>
        <v>706534.3600000001</v>
      </c>
      <c r="AE7" s="87">
        <f t="shared" si="4"/>
        <v>4902572</v>
      </c>
    </row>
    <row r="8" spans="1:35" s="8" customFormat="1" ht="21.75" customHeight="1">
      <c r="A8" s="5" t="s">
        <v>60</v>
      </c>
      <c r="B8" s="46"/>
      <c r="C8" s="102">
        <f>P8</f>
        <v>788763.01</v>
      </c>
      <c r="D8" s="47"/>
      <c r="E8" s="46">
        <v>788763.01</v>
      </c>
      <c r="F8" s="46"/>
      <c r="G8" s="29">
        <f>SUM(E8:F8)</f>
        <v>788763.01</v>
      </c>
      <c r="H8" s="100">
        <f t="shared" ref="H8:O8" si="5">W8</f>
        <v>0</v>
      </c>
      <c r="I8" s="100">
        <f t="shared" si="5"/>
        <v>0</v>
      </c>
      <c r="J8" s="100">
        <f t="shared" si="5"/>
        <v>0</v>
      </c>
      <c r="K8" s="100">
        <f t="shared" si="5"/>
        <v>0</v>
      </c>
      <c r="L8" s="100">
        <f t="shared" si="5"/>
        <v>0</v>
      </c>
      <c r="M8" s="100">
        <f t="shared" si="5"/>
        <v>0</v>
      </c>
      <c r="N8" s="100">
        <f t="shared" si="5"/>
        <v>0</v>
      </c>
      <c r="O8" s="100">
        <f t="shared" si="5"/>
        <v>0</v>
      </c>
      <c r="P8" s="29">
        <f>SUM(G8:O8)</f>
        <v>788763.01</v>
      </c>
      <c r="R8" s="72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29">
        <f>SUM(S8:AD8)</f>
        <v>0</v>
      </c>
    </row>
    <row r="9" spans="1:35" s="8" customFormat="1" ht="21.75" customHeight="1">
      <c r="A9" s="5" t="s">
        <v>55</v>
      </c>
      <c r="B9" s="104">
        <f>5581993-225000</f>
        <v>5356993</v>
      </c>
      <c r="C9" s="46">
        <f>P9</f>
        <v>4508343.9426000006</v>
      </c>
      <c r="D9" s="20"/>
      <c r="E9" s="46">
        <v>681246.02</v>
      </c>
      <c r="F9" s="46">
        <v>446607.73</v>
      </c>
      <c r="G9" s="29">
        <f>SUM(E9:F9)</f>
        <v>1127853.75</v>
      </c>
      <c r="H9" s="100">
        <f t="shared" ref="H9:H11" si="6">W9</f>
        <v>267849.65000000002</v>
      </c>
      <c r="I9" s="100">
        <f t="shared" ref="I9:I11" si="7">X9</f>
        <v>535699.30000000005</v>
      </c>
      <c r="J9" s="100">
        <f t="shared" ref="J9:J11" si="8">Y9</f>
        <v>267849.65000000002</v>
      </c>
      <c r="K9" s="100">
        <f t="shared" ref="K9:K11" si="9">Z9</f>
        <v>374989.51</v>
      </c>
      <c r="L9" s="100">
        <f t="shared" ref="L9:L11" si="10">AA9</f>
        <v>535699.30000000005</v>
      </c>
      <c r="M9" s="100">
        <f t="shared" ref="M9:M11" si="11">AB9</f>
        <v>589269.23</v>
      </c>
      <c r="N9" s="100">
        <f t="shared" ref="N9:N11" si="12">AC9</f>
        <v>535699.30000000005</v>
      </c>
      <c r="O9" s="100">
        <f t="shared" ref="O9:O11" si="13">AD9</f>
        <v>857118.88</v>
      </c>
      <c r="P9" s="85">
        <f>SUM(G9:O9)-($P$8*0.74)</f>
        <v>4508343.9426000006</v>
      </c>
      <c r="R9" s="72"/>
      <c r="S9" s="46">
        <f>+$B$9*'% alloc by month '!C8</f>
        <v>482129.37</v>
      </c>
      <c r="T9" s="46">
        <f>+$B$9*'% alloc by month '!D8</f>
        <v>374989.51</v>
      </c>
      <c r="U9" s="46">
        <f>+$B$9*'% alloc by month '!E8</f>
        <v>321419.58</v>
      </c>
      <c r="V9" s="46">
        <f>+$B$9*'% alloc by month '!F8</f>
        <v>214279.72</v>
      </c>
      <c r="W9" s="46">
        <f>+$B$9*'% alloc by month '!G8</f>
        <v>267849.65000000002</v>
      </c>
      <c r="X9" s="46">
        <f>+$B$9*'% alloc by month '!H8</f>
        <v>535699.30000000005</v>
      </c>
      <c r="Y9" s="46">
        <f>+$B$9*'% alloc by month '!I8</f>
        <v>267849.65000000002</v>
      </c>
      <c r="Z9" s="46">
        <f>+$B$9*'% alloc by month '!J8</f>
        <v>374989.51</v>
      </c>
      <c r="AA9" s="46">
        <f>+$B$9*'% alloc by month '!K8</f>
        <v>535699.30000000005</v>
      </c>
      <c r="AB9" s="46">
        <f>+$B$9*'% alloc by month '!L8</f>
        <v>589269.23</v>
      </c>
      <c r="AC9" s="46">
        <f>+$B$9*'% alloc by month '!M8</f>
        <v>535699.30000000005</v>
      </c>
      <c r="AD9" s="46">
        <f>+$B$9*'% alloc by month '!N8</f>
        <v>857118.88</v>
      </c>
      <c r="AE9" s="29">
        <f>SUM(S9:AD9)</f>
        <v>5356993</v>
      </c>
    </row>
    <row r="10" spans="1:35" s="8" customFormat="1" ht="21.75" customHeight="1">
      <c r="A10" s="5" t="s">
        <v>56</v>
      </c>
      <c r="B10" s="104">
        <v>1384815</v>
      </c>
      <c r="C10" s="46">
        <f t="shared" ref="C10:C11" si="14">P10</f>
        <v>1215204.8375000001</v>
      </c>
      <c r="D10" s="20"/>
      <c r="E10" s="46">
        <v>173658.03</v>
      </c>
      <c r="F10" s="46">
        <v>144733.71</v>
      </c>
      <c r="G10" s="29">
        <f>SUM(E10:F10)</f>
        <v>318391.74</v>
      </c>
      <c r="H10" s="100">
        <f t="shared" si="6"/>
        <v>318507.45</v>
      </c>
      <c r="I10" s="100">
        <f t="shared" si="7"/>
        <v>55392.6</v>
      </c>
      <c r="J10" s="100">
        <f t="shared" si="8"/>
        <v>110785.2</v>
      </c>
      <c r="K10" s="100">
        <f t="shared" si="9"/>
        <v>152329.65</v>
      </c>
      <c r="L10" s="100">
        <f t="shared" si="10"/>
        <v>27696.3</v>
      </c>
      <c r="M10" s="100">
        <f t="shared" si="11"/>
        <v>110785.2</v>
      </c>
      <c r="N10" s="100">
        <f t="shared" si="12"/>
        <v>124633.34999999999</v>
      </c>
      <c r="O10" s="100">
        <f t="shared" si="13"/>
        <v>193874.1</v>
      </c>
      <c r="P10" s="85">
        <f>SUM(G10:O10)-($P$8*0.25)</f>
        <v>1215204.8375000001</v>
      </c>
      <c r="R10" s="72"/>
      <c r="S10" s="46">
        <f>+$B$10*'% alloc by month '!C9</f>
        <v>69240.75</v>
      </c>
      <c r="T10" s="46">
        <f>+$B$10*'% alloc by month '!D9</f>
        <v>69240.75</v>
      </c>
      <c r="U10" s="46">
        <f>+$B$10*'% alloc by month '!E9</f>
        <v>96937.05</v>
      </c>
      <c r="V10" s="46">
        <f>+$B$10*'% alloc by month '!F9</f>
        <v>55392.6</v>
      </c>
      <c r="W10" s="46">
        <f>+$B$10*'% alloc by month '!G9</f>
        <v>318507.45</v>
      </c>
      <c r="X10" s="46">
        <f>+$B$10*'% alloc by month '!H9</f>
        <v>55392.6</v>
      </c>
      <c r="Y10" s="46">
        <f>+$B$10*'% alloc by month '!I9</f>
        <v>110785.2</v>
      </c>
      <c r="Z10" s="46">
        <f>+$B$10*'% alloc by month '!J9</f>
        <v>152329.65</v>
      </c>
      <c r="AA10" s="46">
        <f>+$B$10*'% alloc by month '!K9</f>
        <v>27696.3</v>
      </c>
      <c r="AB10" s="46">
        <f>+$B$10*'% alloc by month '!L9</f>
        <v>110785.2</v>
      </c>
      <c r="AC10" s="46">
        <f>+$B$10*'% alloc by month '!M9</f>
        <v>124633.34999999999</v>
      </c>
      <c r="AD10" s="46">
        <f>+$B$10*'% alloc by month '!N9</f>
        <v>193874.1</v>
      </c>
      <c r="AE10" s="29">
        <f>SUM(S10:AD10)</f>
        <v>1384815.0000000002</v>
      </c>
    </row>
    <row r="11" spans="1:35" s="8" customFormat="1" ht="21.75" customHeight="1">
      <c r="A11" s="5" t="s">
        <v>57</v>
      </c>
      <c r="B11" s="104">
        <v>936344</v>
      </c>
      <c r="C11" s="46">
        <f t="shared" si="14"/>
        <v>672654.99990000005</v>
      </c>
      <c r="D11" s="20"/>
      <c r="E11" s="46">
        <v>8164.18</v>
      </c>
      <c r="F11" s="46">
        <v>16937.650000000001</v>
      </c>
      <c r="G11" s="29">
        <f>SUM(E11:F11)</f>
        <v>25101.83</v>
      </c>
      <c r="H11" s="100">
        <f t="shared" si="6"/>
        <v>28090.32</v>
      </c>
      <c r="I11" s="100">
        <f t="shared" si="7"/>
        <v>177905.36000000002</v>
      </c>
      <c r="J11" s="100">
        <f t="shared" si="8"/>
        <v>18726.88</v>
      </c>
      <c r="K11" s="100">
        <f t="shared" si="9"/>
        <v>18726.88</v>
      </c>
      <c r="L11" s="100">
        <f t="shared" si="10"/>
        <v>168541.91999999998</v>
      </c>
      <c r="M11" s="100">
        <f t="shared" si="11"/>
        <v>9363.44</v>
      </c>
      <c r="N11" s="100">
        <f t="shared" si="12"/>
        <v>102997.84</v>
      </c>
      <c r="O11" s="100">
        <f t="shared" si="13"/>
        <v>131088.16</v>
      </c>
      <c r="P11" s="85">
        <f>SUM(G11:O11)-($P$8*0.01)</f>
        <v>672654.99990000005</v>
      </c>
      <c r="R11" s="72"/>
      <c r="S11" s="46">
        <f>+$B$11*'% alloc by month '!C10</f>
        <v>18726.88</v>
      </c>
      <c r="T11" s="46">
        <f>+$B$11*'% alloc by month '!D10</f>
        <v>65544.08</v>
      </c>
      <c r="U11" s="46">
        <f>+$B$11*'% alloc by month '!E10</f>
        <v>121724.72</v>
      </c>
      <c r="V11" s="46">
        <f>+$B$11*'% alloc by month '!F10</f>
        <v>74907.520000000004</v>
      </c>
      <c r="W11" s="46">
        <f>+$B$11*'% alloc by month '!G10</f>
        <v>28090.32</v>
      </c>
      <c r="X11" s="46">
        <f>+$B$11*'% alloc by month '!H10</f>
        <v>177905.36000000002</v>
      </c>
      <c r="Y11" s="46">
        <f>+$B$11*'% alloc by month '!I10</f>
        <v>18726.88</v>
      </c>
      <c r="Z11" s="46">
        <f>+$B$11*'% alloc by month '!J10</f>
        <v>18726.88</v>
      </c>
      <c r="AA11" s="46">
        <f>+$B$11*'% alloc by month '!K10</f>
        <v>168541.91999999998</v>
      </c>
      <c r="AB11" s="46">
        <f>+$B$11*'% alloc by month '!L10</f>
        <v>9363.44</v>
      </c>
      <c r="AC11" s="46">
        <f>+$B$11*'% alloc by month '!M10</f>
        <v>102997.84</v>
      </c>
      <c r="AD11" s="46">
        <f>+$B$11*'% alloc by month '!N10</f>
        <v>131088.16</v>
      </c>
      <c r="AE11" s="29">
        <f>SUM(S11:AD11)</f>
        <v>936344</v>
      </c>
      <c r="AG11" s="7"/>
      <c r="AH11" s="7"/>
      <c r="AI11" s="7"/>
    </row>
    <row r="12" spans="1:35" s="7" customFormat="1" ht="21.75" customHeight="1">
      <c r="A12" s="6" t="s">
        <v>58</v>
      </c>
      <c r="B12" s="21">
        <f>SUM(B8:B11)</f>
        <v>7678152</v>
      </c>
      <c r="C12" s="21">
        <f>SUM(C8:C11)</f>
        <v>7184966.790000001</v>
      </c>
      <c r="D12" s="45"/>
      <c r="E12" s="21">
        <f t="shared" ref="E12:P12" si="15">SUM(E8:E11)</f>
        <v>1651831.24</v>
      </c>
      <c r="F12" s="97">
        <f t="shared" si="15"/>
        <v>608279.09</v>
      </c>
      <c r="G12" s="21">
        <f t="shared" si="15"/>
        <v>2260110.33</v>
      </c>
      <c r="H12" s="21"/>
      <c r="I12" s="21"/>
      <c r="J12" s="21"/>
      <c r="K12" s="21">
        <f t="shared" si="15"/>
        <v>546046.04</v>
      </c>
      <c r="L12" s="21">
        <f t="shared" si="15"/>
        <v>731937.52</v>
      </c>
      <c r="M12" s="21">
        <f t="shared" si="15"/>
        <v>709417.86999999988</v>
      </c>
      <c r="N12" s="21">
        <f t="shared" si="15"/>
        <v>763330.49</v>
      </c>
      <c r="O12" s="21">
        <f t="shared" si="15"/>
        <v>1182081.1399999999</v>
      </c>
      <c r="P12" s="21">
        <f t="shared" si="15"/>
        <v>7184966.790000001</v>
      </c>
      <c r="R12" s="72"/>
      <c r="S12" s="21">
        <f t="shared" ref="S12:AE12" si="16">SUM(S8:S11)</f>
        <v>570097</v>
      </c>
      <c r="T12" s="21">
        <f t="shared" si="16"/>
        <v>509774.34</v>
      </c>
      <c r="U12" s="21">
        <f t="shared" si="16"/>
        <v>540081.35</v>
      </c>
      <c r="V12" s="21">
        <f t="shared" si="16"/>
        <v>344579.84000000003</v>
      </c>
      <c r="W12" s="21">
        <f t="shared" si="16"/>
        <v>614447.42000000004</v>
      </c>
      <c r="X12" s="21">
        <f t="shared" si="16"/>
        <v>768997.26</v>
      </c>
      <c r="Y12" s="21">
        <f t="shared" si="16"/>
        <v>397361.73000000004</v>
      </c>
      <c r="Z12" s="21">
        <f t="shared" si="16"/>
        <v>546046.04</v>
      </c>
      <c r="AA12" s="21">
        <f t="shared" si="16"/>
        <v>731937.52</v>
      </c>
      <c r="AB12" s="21">
        <f t="shared" si="16"/>
        <v>709417.86999999988</v>
      </c>
      <c r="AC12" s="21">
        <f t="shared" si="16"/>
        <v>763330.49</v>
      </c>
      <c r="AD12" s="21">
        <f t="shared" si="16"/>
        <v>1182081.1399999999</v>
      </c>
      <c r="AE12" s="21">
        <f t="shared" si="16"/>
        <v>7678152</v>
      </c>
      <c r="AG12" s="8"/>
      <c r="AH12" s="8"/>
    </row>
    <row r="13" spans="1:35" s="8" customFormat="1" ht="21.75" customHeight="1">
      <c r="A13" s="5" t="s">
        <v>1</v>
      </c>
      <c r="B13" s="20">
        <v>842389</v>
      </c>
      <c r="C13" s="19">
        <f>P13</f>
        <v>930399.45000000007</v>
      </c>
      <c r="D13" s="19"/>
      <c r="E13" s="29">
        <v>258488.38</v>
      </c>
      <c r="F13" s="29">
        <v>31695.43</v>
      </c>
      <c r="G13" s="29">
        <f>SUM(E13:F13)</f>
        <v>290183.81</v>
      </c>
      <c r="H13" s="29">
        <f t="shared" ref="H13:O13" si="17">W13</f>
        <v>0</v>
      </c>
      <c r="I13" s="29">
        <f t="shared" si="17"/>
        <v>0</v>
      </c>
      <c r="J13" s="29">
        <f t="shared" si="17"/>
        <v>219021.14</v>
      </c>
      <c r="K13" s="29">
        <f t="shared" si="17"/>
        <v>0</v>
      </c>
      <c r="L13" s="29">
        <f t="shared" si="17"/>
        <v>219021.14</v>
      </c>
      <c r="M13" s="29">
        <f t="shared" si="17"/>
        <v>0</v>
      </c>
      <c r="N13" s="29">
        <f t="shared" si="17"/>
        <v>0</v>
      </c>
      <c r="O13" s="29">
        <f t="shared" si="17"/>
        <v>202173.36</v>
      </c>
      <c r="P13" s="29">
        <f>SUM(G13:O13)</f>
        <v>930399.45000000007</v>
      </c>
      <c r="R13" s="72"/>
      <c r="S13" s="29">
        <f>+$B$13*'% alloc by month '!C13</f>
        <v>0</v>
      </c>
      <c r="T13" s="29">
        <f>+$B$13*'% alloc by month '!D13</f>
        <v>0</v>
      </c>
      <c r="U13" s="29">
        <f>+$B$13*'% alloc by month '!E13</f>
        <v>0</v>
      </c>
      <c r="V13" s="29">
        <f>+$B$13*'% alloc by month '!F13</f>
        <v>202173.36</v>
      </c>
      <c r="W13" s="29">
        <f>+$B$13*'% alloc by month '!G13</f>
        <v>0</v>
      </c>
      <c r="X13" s="29">
        <f>+$B$13*'% alloc by month '!H13</f>
        <v>0</v>
      </c>
      <c r="Y13" s="29">
        <f>+$B$13*'% alloc by month '!I13</f>
        <v>219021.14</v>
      </c>
      <c r="Z13" s="29">
        <f>+$B$13*'% alloc by month '!J13</f>
        <v>0</v>
      </c>
      <c r="AA13" s="29">
        <f>+$B$13*'% alloc by month '!K13</f>
        <v>219021.14</v>
      </c>
      <c r="AB13" s="29">
        <f>+$B$13*'% alloc by month '!L13</f>
        <v>0</v>
      </c>
      <c r="AC13" s="29">
        <f>+$B$13*'% alloc by month '!M13</f>
        <v>0</v>
      </c>
      <c r="AD13" s="29">
        <f>+$B$13*'% alloc by month '!N13</f>
        <v>202173.36</v>
      </c>
      <c r="AE13" s="29">
        <f>SUM(S13:AD13)</f>
        <v>842389</v>
      </c>
    </row>
    <row r="14" spans="1:35" s="8" customFormat="1" ht="21.75" customHeight="1">
      <c r="A14" s="5" t="s">
        <v>2</v>
      </c>
      <c r="B14" s="33"/>
      <c r="C14" s="99"/>
      <c r="D14" s="19"/>
      <c r="E14" s="29">
        <v>0</v>
      </c>
      <c r="F14" s="29"/>
      <c r="G14" s="29">
        <f>SUM(E14:F14)</f>
        <v>0</v>
      </c>
      <c r="H14" s="29"/>
      <c r="I14" s="29"/>
      <c r="J14" s="29"/>
      <c r="K14" s="29"/>
      <c r="L14" s="29"/>
      <c r="M14" s="29"/>
      <c r="N14" s="29"/>
      <c r="O14" s="29"/>
      <c r="P14" s="29">
        <f>SUM(G14:O14)</f>
        <v>0</v>
      </c>
      <c r="R14" s="7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>
        <f>SUM(S14:AD14)</f>
        <v>0</v>
      </c>
    </row>
    <row r="15" spans="1:35" s="8" customFormat="1" ht="21.75" customHeight="1">
      <c r="A15" s="5" t="s">
        <v>3</v>
      </c>
      <c r="B15" s="33"/>
      <c r="C15" s="99"/>
      <c r="D15" s="19"/>
      <c r="E15" s="29">
        <v>0</v>
      </c>
      <c r="F15" s="29"/>
      <c r="G15" s="29">
        <f>SUM(E15:F15)</f>
        <v>0</v>
      </c>
      <c r="H15" s="29"/>
      <c r="I15" s="29"/>
      <c r="J15" s="29"/>
      <c r="K15" s="29"/>
      <c r="L15" s="29"/>
      <c r="M15" s="29"/>
      <c r="N15" s="29"/>
      <c r="O15" s="29"/>
      <c r="P15" s="29">
        <f>SUM(G15:O15)</f>
        <v>0</v>
      </c>
      <c r="R15" s="7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>
        <f>SUM(S15:AD15)</f>
        <v>0</v>
      </c>
    </row>
    <row r="16" spans="1:35" s="7" customFormat="1" ht="21.75" customHeight="1">
      <c r="A16" s="6" t="s">
        <v>4</v>
      </c>
      <c r="B16" s="21">
        <f>+B7+B12+SUM(B13:B15)</f>
        <v>13423113</v>
      </c>
      <c r="C16" s="21">
        <f>+C7+C12+SUM(C13:C15)</f>
        <v>13027614.530000001</v>
      </c>
      <c r="D16" s="21"/>
      <c r="E16" s="21">
        <f t="shared" ref="E16:P16" si="18">+E7+E12+SUM(E13:E15)</f>
        <v>2580669.46</v>
      </c>
      <c r="F16" s="97">
        <f t="shared" si="18"/>
        <v>1160192.53</v>
      </c>
      <c r="G16" s="21">
        <f t="shared" si="18"/>
        <v>3740861.99</v>
      </c>
      <c r="H16" s="21"/>
      <c r="I16" s="21"/>
      <c r="J16" s="21"/>
      <c r="K16" s="21">
        <f t="shared" ref="K16:N16" si="19">+K7+K12+SUM(K13:K15)</f>
        <v>965275.36</v>
      </c>
      <c r="L16" s="21">
        <f t="shared" si="19"/>
        <v>1562534.46</v>
      </c>
      <c r="M16" s="21">
        <f t="shared" si="19"/>
        <v>958312.18999999983</v>
      </c>
      <c r="N16" s="21">
        <f t="shared" si="19"/>
        <v>1273642.69</v>
      </c>
      <c r="O16" s="21">
        <f t="shared" si="18"/>
        <v>2090788.8599999999</v>
      </c>
      <c r="P16" s="21">
        <f t="shared" si="18"/>
        <v>13027614.530000001</v>
      </c>
      <c r="R16" s="72"/>
      <c r="S16" s="21">
        <f t="shared" ref="S16" si="20">+S7+S12+SUM(S13:S15)</f>
        <v>850926.32</v>
      </c>
      <c r="T16" s="21">
        <f t="shared" ref="T16" si="21">+T7+T12+SUM(T13:T15)</f>
        <v>857375.10000000009</v>
      </c>
      <c r="U16" s="21">
        <f t="shared" ref="U16" si="22">+U7+U12+SUM(U13:U15)</f>
        <v>916195.66999999993</v>
      </c>
      <c r="V16" s="21">
        <f t="shared" ref="V16" si="23">+V7+V12+SUM(V13:V15)</f>
        <v>723100.36</v>
      </c>
      <c r="W16" s="21">
        <f t="shared" ref="W16" si="24">+W7+W12+SUM(W13:W15)</f>
        <v>900816.02</v>
      </c>
      <c r="X16" s="21">
        <f t="shared" ref="X16" si="25">+X7+X12+SUM(X13:X15)</f>
        <v>1426933.78</v>
      </c>
      <c r="Y16" s="21">
        <f t="shared" ref="Y16" si="26">+Y7+Y12+SUM(Y13:Y15)</f>
        <v>897212.19000000006</v>
      </c>
      <c r="Z16" s="21">
        <f t="shared" ref="Z16" si="27">+Z7+Z12+SUM(Z13:Z15)</f>
        <v>965275.36</v>
      </c>
      <c r="AA16" s="21">
        <f t="shared" ref="AA16" si="28">+AA7+AA12+SUM(AA13:AA15)</f>
        <v>1562534.46</v>
      </c>
      <c r="AB16" s="21">
        <f t="shared" ref="AB16" si="29">+AB7+AB12+SUM(AB13:AB15)</f>
        <v>958312.18999999983</v>
      </c>
      <c r="AC16" s="21">
        <f t="shared" ref="AC16" si="30">+AC7+AC12+SUM(AC13:AC15)</f>
        <v>1273642.69</v>
      </c>
      <c r="AD16" s="21">
        <f t="shared" ref="AD16" si="31">+AD7+AD12+SUM(AD13:AD15)</f>
        <v>2090788.8599999999</v>
      </c>
      <c r="AE16" s="21">
        <f t="shared" ref="AE16" si="32">+AE7+AE12+SUM(AE13:AE15)</f>
        <v>13423113</v>
      </c>
      <c r="AG16" s="68"/>
      <c r="AH16" s="8"/>
    </row>
    <row r="17" spans="1:33" s="7" customFormat="1" ht="21.75" customHeight="1">
      <c r="A17" s="5" t="s">
        <v>70</v>
      </c>
      <c r="B17" s="61">
        <v>64523</v>
      </c>
      <c r="C17" s="98">
        <f>P17</f>
        <v>48392.25</v>
      </c>
      <c r="D17" s="19"/>
      <c r="E17" s="29">
        <v>0</v>
      </c>
      <c r="F17" s="29"/>
      <c r="G17" s="29">
        <f t="shared" ref="G17:G23" si="33">SUM(E17:F17)</f>
        <v>0</v>
      </c>
      <c r="H17" s="29">
        <f t="shared" ref="H17:O17" si="34">W17</f>
        <v>0</v>
      </c>
      <c r="I17" s="29">
        <f t="shared" si="34"/>
        <v>0</v>
      </c>
      <c r="J17" s="29">
        <f t="shared" si="34"/>
        <v>0</v>
      </c>
      <c r="K17" s="29">
        <f t="shared" si="34"/>
        <v>16130.75</v>
      </c>
      <c r="L17" s="29">
        <f t="shared" si="34"/>
        <v>0</v>
      </c>
      <c r="M17" s="29">
        <f t="shared" si="34"/>
        <v>16130.75</v>
      </c>
      <c r="N17" s="29">
        <f t="shared" si="34"/>
        <v>0</v>
      </c>
      <c r="O17" s="29">
        <f t="shared" si="34"/>
        <v>16130.75</v>
      </c>
      <c r="P17" s="29">
        <f t="shared" ref="P17:P23" si="35">SUM(G17:O17)</f>
        <v>48392.25</v>
      </c>
      <c r="R17" s="72"/>
      <c r="S17" s="29"/>
      <c r="T17" s="29"/>
      <c r="U17" s="29">
        <f>+$B$17/4</f>
        <v>16130.75</v>
      </c>
      <c r="V17" s="29"/>
      <c r="W17" s="29"/>
      <c r="X17" s="29"/>
      <c r="Y17" s="29"/>
      <c r="Z17" s="29">
        <f>+$B$17/4</f>
        <v>16130.75</v>
      </c>
      <c r="AA17" s="29"/>
      <c r="AB17" s="29">
        <f>+$B$17/4</f>
        <v>16130.75</v>
      </c>
      <c r="AC17" s="29"/>
      <c r="AD17" s="29">
        <f>+$B$17/4</f>
        <v>16130.75</v>
      </c>
      <c r="AE17" s="29">
        <f>SUM(S17:AD17)</f>
        <v>64523</v>
      </c>
    </row>
    <row r="18" spans="1:33" s="8" customFormat="1" ht="21.75" customHeight="1">
      <c r="A18" s="5" t="s">
        <v>51</v>
      </c>
      <c r="B18" s="61">
        <v>250000</v>
      </c>
      <c r="C18" s="98">
        <f t="shared" ref="C18:C22" si="36">P18</f>
        <v>302501.71000000002</v>
      </c>
      <c r="D18" s="19"/>
      <c r="E18" s="29">
        <v>77501.710000000006</v>
      </c>
      <c r="F18" s="29">
        <v>0</v>
      </c>
      <c r="G18" s="29">
        <f t="shared" si="33"/>
        <v>77501.710000000006</v>
      </c>
      <c r="H18" s="29">
        <f t="shared" ref="H18:H22" si="37">W18</f>
        <v>17500</v>
      </c>
      <c r="I18" s="29">
        <f t="shared" ref="I18:I22" si="38">X18</f>
        <v>45000</v>
      </c>
      <c r="J18" s="29">
        <f t="shared" ref="J18:J22" si="39">Y18</f>
        <v>77500</v>
      </c>
      <c r="K18" s="29">
        <f t="shared" ref="K18:K22" si="40">Z18</f>
        <v>5000</v>
      </c>
      <c r="L18" s="29">
        <f t="shared" ref="L18:L22" si="41">AA18</f>
        <v>0</v>
      </c>
      <c r="M18" s="29">
        <f t="shared" ref="M18:M22" si="42">AB18</f>
        <v>5000</v>
      </c>
      <c r="N18" s="29">
        <f t="shared" ref="N18:N22" si="43">AC18</f>
        <v>5000</v>
      </c>
      <c r="O18" s="29">
        <f t="shared" ref="O18:O22" si="44">AD18</f>
        <v>70000</v>
      </c>
      <c r="P18" s="29">
        <f t="shared" si="35"/>
        <v>302501.71000000002</v>
      </c>
      <c r="R18" s="72"/>
      <c r="S18" s="29">
        <f>+$B$18*'% alloc by month '!C14</f>
        <v>0</v>
      </c>
      <c r="T18" s="29">
        <f>+$B$18*'% alloc by month '!D14</f>
        <v>5000</v>
      </c>
      <c r="U18" s="29">
        <f>+$B$18*'% alloc by month '!E14</f>
        <v>17500</v>
      </c>
      <c r="V18" s="29">
        <f>+$B$18*'% alloc by month '!F14</f>
        <v>2500</v>
      </c>
      <c r="W18" s="29">
        <f>+$B$18*'% alloc by month '!G14</f>
        <v>17500</v>
      </c>
      <c r="X18" s="29">
        <f>+$B$18*'% alloc by month '!H14</f>
        <v>45000</v>
      </c>
      <c r="Y18" s="29">
        <f>+$B$18*'% alloc by month '!I14</f>
        <v>77500</v>
      </c>
      <c r="Z18" s="29">
        <f>+$B$18*'% alloc by month '!J14</f>
        <v>5000</v>
      </c>
      <c r="AA18" s="29">
        <f>+$B$18*'% alloc by month '!K14</f>
        <v>0</v>
      </c>
      <c r="AB18" s="29">
        <f>+$B$18*'% alloc by month '!L14</f>
        <v>5000</v>
      </c>
      <c r="AC18" s="29">
        <f>+$B$18*'% alloc by month '!M14</f>
        <v>5000</v>
      </c>
      <c r="AD18" s="29">
        <f>+$B$18*'% alloc by month '!N14</f>
        <v>70000</v>
      </c>
      <c r="AE18" s="29">
        <f t="shared" ref="AE18:AE23" si="45">SUM(S18:AD18)</f>
        <v>250000</v>
      </c>
    </row>
    <row r="19" spans="1:33" s="8" customFormat="1" ht="21.75" customHeight="1">
      <c r="A19" s="5" t="s">
        <v>52</v>
      </c>
      <c r="B19" s="61">
        <v>259662</v>
      </c>
      <c r="C19" s="98">
        <f t="shared" si="36"/>
        <v>232364.04</v>
      </c>
      <c r="D19" s="19"/>
      <c r="E19" s="29">
        <v>73970.22</v>
      </c>
      <c r="F19" s="29">
        <v>0</v>
      </c>
      <c r="G19" s="29">
        <f t="shared" si="33"/>
        <v>73970.22</v>
      </c>
      <c r="H19" s="29">
        <f t="shared" si="37"/>
        <v>15579.72</v>
      </c>
      <c r="I19" s="29">
        <f t="shared" si="38"/>
        <v>36352.68</v>
      </c>
      <c r="J19" s="29">
        <f t="shared" si="39"/>
        <v>23369.579999999998</v>
      </c>
      <c r="K19" s="29">
        <f t="shared" si="40"/>
        <v>25966.2</v>
      </c>
      <c r="L19" s="29">
        <f t="shared" si="41"/>
        <v>12983.1</v>
      </c>
      <c r="M19" s="29">
        <f t="shared" si="42"/>
        <v>7789.86</v>
      </c>
      <c r="N19" s="29">
        <f t="shared" si="43"/>
        <v>10386.48</v>
      </c>
      <c r="O19" s="29">
        <f t="shared" si="44"/>
        <v>25966.2</v>
      </c>
      <c r="P19" s="29">
        <f t="shared" si="35"/>
        <v>232364.04</v>
      </c>
      <c r="R19" s="72"/>
      <c r="S19" s="29">
        <f>SUM(+$B$19)*'% alloc by month '!C16</f>
        <v>15579.72</v>
      </c>
      <c r="T19" s="29">
        <f>SUM(+$B$19)*'% alloc by month '!D16</f>
        <v>51932.4</v>
      </c>
      <c r="U19" s="29">
        <f>SUM(+$B$19)*'% alloc by month '!E16</f>
        <v>31159.439999999999</v>
      </c>
      <c r="V19" s="29">
        <f>SUM(+$B$19)*'% alloc by month '!F16</f>
        <v>2596.62</v>
      </c>
      <c r="W19" s="29">
        <f>SUM(+$B$19)*'% alloc by month '!G16</f>
        <v>15579.72</v>
      </c>
      <c r="X19" s="29">
        <f>SUM(+$B$19)*'% alloc by month '!H16</f>
        <v>36352.68</v>
      </c>
      <c r="Y19" s="29">
        <f>SUM(+$B$19)*'% alloc by month '!I16</f>
        <v>23369.579999999998</v>
      </c>
      <c r="Z19" s="29">
        <f>SUM(+$B$19)*'% alloc by month '!J16</f>
        <v>25966.2</v>
      </c>
      <c r="AA19" s="29">
        <f>SUM(+$B$19)*'% alloc by month '!K16</f>
        <v>12983.1</v>
      </c>
      <c r="AB19" s="29">
        <f>SUM(+$B$19)*'% alloc by month '!L16</f>
        <v>7789.86</v>
      </c>
      <c r="AC19" s="29">
        <f>SUM(+$B$19)*'% alloc by month '!M16</f>
        <v>10386.48</v>
      </c>
      <c r="AD19" s="29">
        <f>SUM(+$B$19)*'% alloc by month '!N16</f>
        <v>25966.2</v>
      </c>
      <c r="AE19" s="29">
        <f>SUM(S19:AD19)</f>
        <v>259662</v>
      </c>
    </row>
    <row r="20" spans="1:33" s="8" customFormat="1" ht="21.75" customHeight="1">
      <c r="A20" s="5" t="s">
        <v>53</v>
      </c>
      <c r="B20" s="61">
        <v>95367.91</v>
      </c>
      <c r="C20" s="98">
        <f t="shared" si="36"/>
        <v>49274.425800000012</v>
      </c>
      <c r="D20" s="19"/>
      <c r="E20" s="29">
        <v>3211.11</v>
      </c>
      <c r="F20" s="29">
        <f>1392.62+8430.89</f>
        <v>9823.5099999999984</v>
      </c>
      <c r="G20" s="29">
        <f t="shared" si="33"/>
        <v>13034.619999999999</v>
      </c>
      <c r="H20" s="29">
        <f t="shared" si="37"/>
        <v>13351.507400000002</v>
      </c>
      <c r="I20" s="29">
        <f t="shared" si="38"/>
        <v>9536.7910000000011</v>
      </c>
      <c r="J20" s="29">
        <f t="shared" si="39"/>
        <v>7629.4328000000005</v>
      </c>
      <c r="K20" s="29">
        <f t="shared" si="40"/>
        <v>1907.3582000000001</v>
      </c>
      <c r="L20" s="29">
        <f t="shared" si="41"/>
        <v>953.67910000000006</v>
      </c>
      <c r="M20" s="29">
        <f t="shared" si="42"/>
        <v>953.67910000000006</v>
      </c>
      <c r="N20" s="29">
        <f t="shared" si="43"/>
        <v>953.67910000000006</v>
      </c>
      <c r="O20" s="29">
        <f t="shared" si="44"/>
        <v>953.67910000000006</v>
      </c>
      <c r="P20" s="29">
        <f t="shared" si="35"/>
        <v>49274.425800000012</v>
      </c>
      <c r="R20" s="72"/>
      <c r="S20" s="29">
        <f>SUM(+$B$20)*'% alloc by month '!C17</f>
        <v>7629.4328000000005</v>
      </c>
      <c r="T20" s="29">
        <f>SUM(+$B$20)*'% alloc by month '!D17</f>
        <v>17166.2238</v>
      </c>
      <c r="U20" s="29">
        <f>SUM(+$B$20)*'% alloc by month '!E17</f>
        <v>16212.544700000002</v>
      </c>
      <c r="V20" s="29">
        <f>SUM(+$B$20)*'% alloc by month '!F17</f>
        <v>18119.902900000001</v>
      </c>
      <c r="W20" s="29">
        <f>SUM(+$B$20)*'% alloc by month '!G17</f>
        <v>13351.507400000002</v>
      </c>
      <c r="X20" s="29">
        <f>SUM(+$B$20)*'% alloc by month '!H17</f>
        <v>9536.7910000000011</v>
      </c>
      <c r="Y20" s="29">
        <f>SUM(+$B$20)*'% alloc by month '!I17</f>
        <v>7629.4328000000005</v>
      </c>
      <c r="Z20" s="29">
        <f>SUM(+$B$20)*'% alloc by month '!J17</f>
        <v>1907.3582000000001</v>
      </c>
      <c r="AA20" s="29">
        <f>SUM(+$B$20)*'% alloc by month '!K17</f>
        <v>953.67910000000006</v>
      </c>
      <c r="AB20" s="29">
        <f>SUM(+$B$20)*'% alloc by month '!L17</f>
        <v>953.67910000000006</v>
      </c>
      <c r="AC20" s="29">
        <f>SUM(+$B$20)*'% alloc by month '!M17</f>
        <v>953.67910000000006</v>
      </c>
      <c r="AD20" s="29">
        <f>SUM(+$B$20)*'% alloc by month '!N17</f>
        <v>953.67910000000006</v>
      </c>
      <c r="AE20" s="29">
        <f>SUM(S20:AD20)</f>
        <v>95367.909999999974</v>
      </c>
    </row>
    <row r="21" spans="1:33" s="8" customFormat="1" ht="21.75" customHeight="1">
      <c r="A21" s="5" t="s">
        <v>76</v>
      </c>
      <c r="B21" s="20">
        <v>148543</v>
      </c>
      <c r="C21" s="98">
        <f t="shared" si="36"/>
        <v>98255.159999999989</v>
      </c>
      <c r="D21" s="19"/>
      <c r="E21" s="29">
        <v>28439.95</v>
      </c>
      <c r="F21" s="29"/>
      <c r="G21" s="29">
        <f t="shared" si="33"/>
        <v>28439.95</v>
      </c>
      <c r="H21" s="29">
        <f t="shared" si="37"/>
        <v>7427.1500000000005</v>
      </c>
      <c r="I21" s="29">
        <f t="shared" si="38"/>
        <v>7427.1500000000005</v>
      </c>
      <c r="J21" s="29">
        <f t="shared" si="39"/>
        <v>14854.300000000001</v>
      </c>
      <c r="K21" s="29">
        <f t="shared" si="40"/>
        <v>5941.72</v>
      </c>
      <c r="L21" s="29">
        <f t="shared" si="41"/>
        <v>4456.29</v>
      </c>
      <c r="M21" s="29">
        <f t="shared" si="42"/>
        <v>5941.72</v>
      </c>
      <c r="N21" s="29">
        <f t="shared" si="43"/>
        <v>1485.43</v>
      </c>
      <c r="O21" s="29">
        <f t="shared" si="44"/>
        <v>22281.45</v>
      </c>
      <c r="P21" s="29">
        <f t="shared" si="35"/>
        <v>98255.159999999989</v>
      </c>
      <c r="R21" s="72"/>
      <c r="S21" s="29">
        <f>SUM(+$B$21)*'% alloc by month '!C15</f>
        <v>19310.59</v>
      </c>
      <c r="T21" s="29">
        <f>SUM(+$B$21)*'% alloc by month '!D15</f>
        <v>28223.170000000002</v>
      </c>
      <c r="U21" s="29">
        <f>SUM(+$B$21)*'% alloc by month '!E15</f>
        <v>19310.59</v>
      </c>
      <c r="V21" s="29">
        <f>SUM(+$B$21)*'% alloc by month '!F15</f>
        <v>11883.44</v>
      </c>
      <c r="W21" s="29">
        <f>SUM(+$B$21)*'% alloc by month '!G15</f>
        <v>7427.1500000000005</v>
      </c>
      <c r="X21" s="29">
        <f>SUM(+$B$21)*'% alloc by month '!H15</f>
        <v>7427.1500000000005</v>
      </c>
      <c r="Y21" s="29">
        <f>SUM(+$B$21)*'% alloc by month '!I15</f>
        <v>14854.300000000001</v>
      </c>
      <c r="Z21" s="29">
        <f>SUM(+$B$21)*'% alloc by month '!J15</f>
        <v>5941.72</v>
      </c>
      <c r="AA21" s="29">
        <f>SUM(+$B$21)*'% alloc by month '!K15</f>
        <v>4456.29</v>
      </c>
      <c r="AB21" s="29">
        <f>SUM(+$B$21)*'% alloc by month '!L15</f>
        <v>5941.72</v>
      </c>
      <c r="AC21" s="29">
        <f>SUM(+$B$21)*'% alloc by month '!M15</f>
        <v>1485.43</v>
      </c>
      <c r="AD21" s="29">
        <f>SUM(+$B$21)*'% alloc by month '!N15</f>
        <v>22281.45</v>
      </c>
      <c r="AE21" s="29">
        <f t="shared" si="45"/>
        <v>148543</v>
      </c>
      <c r="AG21" s="84"/>
    </row>
    <row r="22" spans="1:33" s="8" customFormat="1" ht="21.75" customHeight="1">
      <c r="A22" s="5" t="s">
        <v>77</v>
      </c>
      <c r="B22" s="61">
        <v>85500</v>
      </c>
      <c r="C22" s="98">
        <f t="shared" si="36"/>
        <v>42750</v>
      </c>
      <c r="D22" s="19"/>
      <c r="E22" s="29"/>
      <c r="F22" s="29"/>
      <c r="G22" s="29">
        <f>SUM(E22:F22)</f>
        <v>0</v>
      </c>
      <c r="H22" s="29">
        <f t="shared" si="37"/>
        <v>0</v>
      </c>
      <c r="I22" s="29">
        <f t="shared" si="38"/>
        <v>21375</v>
      </c>
      <c r="J22" s="29">
        <f t="shared" si="39"/>
        <v>0</v>
      </c>
      <c r="K22" s="29">
        <f t="shared" si="40"/>
        <v>0</v>
      </c>
      <c r="L22" s="29">
        <f t="shared" si="41"/>
        <v>21375</v>
      </c>
      <c r="M22" s="29">
        <f t="shared" si="42"/>
        <v>0</v>
      </c>
      <c r="N22" s="29">
        <f t="shared" si="43"/>
        <v>0</v>
      </c>
      <c r="O22" s="29">
        <f t="shared" si="44"/>
        <v>0</v>
      </c>
      <c r="P22" s="29">
        <f t="shared" si="35"/>
        <v>42750</v>
      </c>
      <c r="R22" s="72"/>
      <c r="S22" s="20">
        <f>+$B$22/4</f>
        <v>21375</v>
      </c>
      <c r="T22" s="20"/>
      <c r="U22" s="20">
        <f>+$B$22/4</f>
        <v>21375</v>
      </c>
      <c r="V22" s="20"/>
      <c r="W22" s="20"/>
      <c r="X22" s="20">
        <f>+$B$22/4</f>
        <v>21375</v>
      </c>
      <c r="Y22" s="20"/>
      <c r="Z22" s="20"/>
      <c r="AA22" s="20">
        <f>+$B$22/4</f>
        <v>21375</v>
      </c>
      <c r="AB22" s="20"/>
      <c r="AC22" s="20"/>
      <c r="AD22" s="20"/>
      <c r="AE22" s="29">
        <f t="shared" si="45"/>
        <v>85500</v>
      </c>
    </row>
    <row r="23" spans="1:33" s="8" customFormat="1" ht="22.5" customHeight="1">
      <c r="A23" s="5" t="s">
        <v>54</v>
      </c>
      <c r="B23" s="61"/>
      <c r="C23" s="98"/>
      <c r="D23" s="19"/>
      <c r="E23" s="29">
        <v>0</v>
      </c>
      <c r="F23" s="29"/>
      <c r="G23" s="29">
        <f t="shared" si="33"/>
        <v>0</v>
      </c>
      <c r="H23" s="29"/>
      <c r="I23" s="29"/>
      <c r="J23" s="29"/>
      <c r="K23" s="29"/>
      <c r="L23" s="29"/>
      <c r="M23" s="29"/>
      <c r="N23" s="29"/>
      <c r="O23" s="29"/>
      <c r="P23" s="29">
        <f t="shared" si="35"/>
        <v>0</v>
      </c>
      <c r="R23" s="7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>
        <f t="shared" si="45"/>
        <v>0</v>
      </c>
    </row>
    <row r="24" spans="1:33" s="7" customFormat="1" ht="21.75" customHeight="1" thickBot="1">
      <c r="A24" s="9" t="s">
        <v>5</v>
      </c>
      <c r="B24" s="10">
        <f>SUM(B16:B23)</f>
        <v>14326708.91</v>
      </c>
      <c r="C24" s="10">
        <f>SUM(C16:C23)</f>
        <v>13801152.115800001</v>
      </c>
      <c r="D24" s="22"/>
      <c r="E24" s="10">
        <f t="shared" ref="E24:O24" si="46">SUM(E16:E23)</f>
        <v>2763792.45</v>
      </c>
      <c r="F24" s="10">
        <f t="shared" si="46"/>
        <v>1170016.04</v>
      </c>
      <c r="G24" s="10">
        <f t="shared" si="46"/>
        <v>3933808.4900000007</v>
      </c>
      <c r="H24" s="10"/>
      <c r="I24" s="10"/>
      <c r="J24" s="10"/>
      <c r="K24" s="10">
        <f t="shared" ref="K24:N24" si="47">SUM(K16:K23)</f>
        <v>1020221.3881999999</v>
      </c>
      <c r="L24" s="10">
        <f t="shared" si="47"/>
        <v>1602302.5291000002</v>
      </c>
      <c r="M24" s="10">
        <f t="shared" si="47"/>
        <v>994128.19909999974</v>
      </c>
      <c r="N24" s="10">
        <f t="shared" si="47"/>
        <v>1291468.2790999999</v>
      </c>
      <c r="O24" s="10">
        <f t="shared" si="46"/>
        <v>2226120.9391000001</v>
      </c>
      <c r="P24" s="10">
        <f>P16+SUM(P17:P23)</f>
        <v>13801152.115800001</v>
      </c>
      <c r="R24" s="72"/>
      <c r="S24" s="10">
        <f>SUM(S16:S23)</f>
        <v>914821.06279999984</v>
      </c>
      <c r="T24" s="10">
        <f t="shared" ref="T24:AD24" si="48">SUM(T16:T23)</f>
        <v>959696.89380000019</v>
      </c>
      <c r="U24" s="10">
        <f t="shared" si="48"/>
        <v>1037883.9946999998</v>
      </c>
      <c r="V24" s="10">
        <f t="shared" si="48"/>
        <v>758200.32289999991</v>
      </c>
      <c r="W24" s="10">
        <f t="shared" si="48"/>
        <v>954674.39740000002</v>
      </c>
      <c r="X24" s="10">
        <f t="shared" si="48"/>
        <v>1546625.4009999998</v>
      </c>
      <c r="Y24" s="10">
        <f t="shared" si="48"/>
        <v>1020565.5028</v>
      </c>
      <c r="Z24" s="10">
        <f t="shared" si="48"/>
        <v>1020221.3881999999</v>
      </c>
      <c r="AA24" s="10">
        <f t="shared" si="48"/>
        <v>1602302.5291000002</v>
      </c>
      <c r="AB24" s="10">
        <f t="shared" si="48"/>
        <v>994128.19909999974</v>
      </c>
      <c r="AC24" s="10">
        <f t="shared" si="48"/>
        <v>1291468.2790999999</v>
      </c>
      <c r="AD24" s="10">
        <f t="shared" si="48"/>
        <v>2226120.9391000001</v>
      </c>
      <c r="AE24" s="10">
        <f>AE16+SUM(AE17:AE23)</f>
        <v>14326708.91</v>
      </c>
    </row>
    <row r="25" spans="1:33" s="7" customFormat="1">
      <c r="A25" s="11"/>
      <c r="B25" s="62" t="s">
        <v>92</v>
      </c>
      <c r="D25" s="28"/>
      <c r="E25" s="80"/>
      <c r="F25" s="91"/>
      <c r="G25" s="28"/>
      <c r="H25" s="28"/>
      <c r="I25" s="28"/>
      <c r="J25" s="28"/>
      <c r="K25" s="28"/>
      <c r="L25" s="28"/>
      <c r="M25" s="28"/>
      <c r="N25" s="28"/>
      <c r="O25" s="11"/>
      <c r="P25" s="12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12"/>
    </row>
    <row r="26" spans="1:33" s="7" customFormat="1">
      <c r="A26" s="11"/>
      <c r="B26" s="62" t="s">
        <v>92</v>
      </c>
      <c r="C26" s="62" t="s">
        <v>92</v>
      </c>
      <c r="D26" s="28"/>
      <c r="E26" s="80"/>
      <c r="F26" s="79"/>
      <c r="G26" s="28"/>
      <c r="H26" s="28"/>
      <c r="I26" s="28"/>
      <c r="J26" s="28"/>
      <c r="K26" s="28"/>
      <c r="L26" s="28"/>
      <c r="M26" s="28"/>
      <c r="N26" s="28"/>
      <c r="O26" s="11"/>
      <c r="P26" s="12"/>
      <c r="S26" s="12"/>
      <c r="T26" s="28" t="s">
        <v>92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3" s="7" customFormat="1" ht="16.5" customHeight="1">
      <c r="A27" s="13" t="s">
        <v>80</v>
      </c>
      <c r="D27" s="27"/>
      <c r="E27" s="14"/>
      <c r="F27" s="14"/>
      <c r="G27" s="14"/>
      <c r="H27" s="14"/>
      <c r="I27" s="14"/>
      <c r="J27" s="14"/>
      <c r="K27" s="93">
        <f>-10724950.46*('SBC Balancing Acct-current rate'!$C$76/'SBC Balancing Acct-current rate'!$C$81)</f>
        <v>-877388.2583938702</v>
      </c>
      <c r="L27" s="93">
        <f>-10724950.46*('SBC Balancing Acct-current rate'!$C$77/'SBC Balancing Acct-current rate'!$C$81)</f>
        <v>-864894.85660751222</v>
      </c>
      <c r="M27" s="93">
        <f>-10724950.46*('SBC Balancing Acct-current rate'!$C$78/'SBC Balancing Acct-current rate'!$C$81)</f>
        <v>-754597.33036384091</v>
      </c>
      <c r="N27" s="93">
        <f>-10724950.46*('SBC Balancing Acct-current rate'!$C$79/'SBC Balancing Acct-current rate'!$C$81)</f>
        <v>-858499.74072685663</v>
      </c>
      <c r="O27" s="93">
        <f>-10838842.96*('SBC Balancing Acct-current rate'!$C$80/'SBC Balancing Acct-current rate'!$C$81)</f>
        <v>-1040199.1563813427</v>
      </c>
      <c r="P27" s="12"/>
      <c r="S27" s="93">
        <f>-10724950.46*('SBC Balancing Acct-current rate'!$C$69/'SBC Balancing Acct-current rate'!$C$81)</f>
        <v>-1081749.7697985712</v>
      </c>
      <c r="T27" s="93">
        <f>-10724950.46*('SBC Balancing Acct-current rate'!$C$70/'SBC Balancing Acct-current rate'!$C$81)</f>
        <v>-1124537.1383390934</v>
      </c>
      <c r="U27" s="93">
        <f>-10724950.46*('SBC Balancing Acct-current rate'!$C$71/'SBC Balancing Acct-current rate'!$C$81)</f>
        <v>-1098223.7717250804</v>
      </c>
      <c r="V27" s="93">
        <f>-10724950.46*('SBC Balancing Acct-current rate'!$C$72/'SBC Balancing Acct-current rate'!$C$81)</f>
        <v>-787103.60520780785</v>
      </c>
      <c r="W27" s="93">
        <f>-10724950.46*('SBC Balancing Acct-current rate'!$C$73/'SBC Balancing Acct-current rate'!$C$81)</f>
        <v>-670559.65801866236</v>
      </c>
      <c r="X27" s="93">
        <f>-10724950.46*('SBC Balancing Acct-current rate'!$C$74/'SBC Balancing Acct-current rate'!$C$81)</f>
        <v>-736524.7606141658</v>
      </c>
      <c r="Y27" s="93">
        <f>-10724950.46*('SBC Balancing Acct-current rate'!$C$75/'SBC Balancing Acct-current rate'!$C$81)</f>
        <v>-841602.62868610909</v>
      </c>
      <c r="Z27" s="93">
        <f>-10724950.46*('SBC Balancing Acct-current rate'!$C$76/'SBC Balancing Acct-current rate'!$C$81)</f>
        <v>-877388.2583938702</v>
      </c>
      <c r="AA27" s="93">
        <f>-10724950.46*('SBC Balancing Acct-current rate'!$C$77/'SBC Balancing Acct-current rate'!$C$81)</f>
        <v>-864894.85660751222</v>
      </c>
      <c r="AB27" s="93">
        <f>-10724950.46*('SBC Balancing Acct-current rate'!$C$78/'SBC Balancing Acct-current rate'!$C$81)</f>
        <v>-754597.33036384091</v>
      </c>
      <c r="AC27" s="93">
        <f>-10724950.46*('SBC Balancing Acct-current rate'!$C$79/'SBC Balancing Acct-current rate'!$C$81)</f>
        <v>-858499.74072685663</v>
      </c>
      <c r="AD27" s="93">
        <f>-10724950.46*('SBC Balancing Acct-current rate'!$C$80/'SBC Balancing Acct-current rate'!$C$81)</f>
        <v>-1029268.9415184306</v>
      </c>
      <c r="AE27" s="94">
        <f>SUM(S27:AD27)</f>
        <v>-10724950.460000001</v>
      </c>
    </row>
    <row r="28" spans="1:33">
      <c r="A28" s="15" t="s">
        <v>6</v>
      </c>
      <c r="D28" s="25"/>
      <c r="E28" s="15"/>
      <c r="F28" s="25"/>
      <c r="G28" s="25"/>
      <c r="H28" s="25"/>
      <c r="I28" s="25"/>
      <c r="J28" s="25"/>
      <c r="O28" s="15"/>
      <c r="P28" s="15"/>
    </row>
    <row r="29" spans="1:33">
      <c r="A29" s="26" t="s">
        <v>61</v>
      </c>
      <c r="B29" s="17"/>
      <c r="C29" s="17"/>
      <c r="D29" s="26"/>
      <c r="E29" s="26"/>
      <c r="F29" s="26"/>
      <c r="G29" s="26"/>
      <c r="H29" s="26"/>
      <c r="I29" s="26"/>
      <c r="J29" s="26"/>
      <c r="O29" s="92"/>
      <c r="P29" s="16"/>
      <c r="Q29" s="17"/>
      <c r="S29" s="92"/>
      <c r="T29" s="92"/>
      <c r="U29" s="92"/>
      <c r="V29" s="92"/>
      <c r="W29" s="92"/>
      <c r="X29" s="92"/>
      <c r="Y29" s="92"/>
      <c r="Z29" s="44"/>
      <c r="AE29" s="81"/>
    </row>
    <row r="30" spans="1:33">
      <c r="A30" s="26" t="s">
        <v>83</v>
      </c>
      <c r="B30" s="17"/>
      <c r="C30" s="17"/>
      <c r="D30" s="26"/>
      <c r="E30" s="44"/>
      <c r="P30" s="81"/>
      <c r="Q30" s="17"/>
      <c r="S30" s="17"/>
      <c r="AE30" s="81"/>
    </row>
    <row r="31" spans="1:33">
      <c r="A31" s="26" t="s">
        <v>84</v>
      </c>
      <c r="D31" s="26"/>
      <c r="E31" s="44"/>
      <c r="P31" s="81"/>
    </row>
    <row r="32" spans="1:33">
      <c r="A32" s="26"/>
      <c r="D32" s="44"/>
      <c r="E32" s="44"/>
    </row>
    <row r="33" spans="1:5">
      <c r="A33" s="26"/>
      <c r="D33" s="44"/>
      <c r="E33" s="44"/>
    </row>
  </sheetData>
  <pageMargins left="0.7" right="0.7" top="0.75" bottom="0.75" header="0.3" footer="0.3"/>
  <pageSetup scale="63" fitToHeight="8" orientation="landscape" r:id="rId1"/>
  <ignoredErrors>
    <ignoredError sqref="G7 G12 G16 P7 P12 AE7 AE12 AE16" formula="1"/>
    <ignoredError sqref="AE2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6"/>
  <sheetViews>
    <sheetView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F8" sqref="F8"/>
    </sheetView>
  </sheetViews>
  <sheetFormatPr defaultRowHeight="15"/>
  <cols>
    <col min="1" max="1" width="3.42578125" customWidth="1"/>
    <col min="2" max="2" width="25.28515625" customWidth="1"/>
    <col min="3" max="8" width="7.140625" customWidth="1"/>
    <col min="9" max="9" width="7.7109375" bestFit="1" customWidth="1"/>
    <col min="10" max="14" width="7.140625" customWidth="1"/>
    <col min="15" max="15" width="9.140625" style="51"/>
  </cols>
  <sheetData>
    <row r="2" spans="2:15">
      <c r="C2" s="31" t="s">
        <v>15</v>
      </c>
      <c r="D2" s="31" t="s">
        <v>16</v>
      </c>
      <c r="E2" s="31" t="s">
        <v>17</v>
      </c>
      <c r="F2" s="31" t="s">
        <v>18</v>
      </c>
      <c r="G2" s="31" t="s">
        <v>19</v>
      </c>
      <c r="H2" s="31" t="s">
        <v>20</v>
      </c>
      <c r="I2" s="31" t="s">
        <v>21</v>
      </c>
      <c r="J2" s="31" t="s">
        <v>22</v>
      </c>
      <c r="K2" s="31" t="s">
        <v>23</v>
      </c>
      <c r="L2" s="31" t="s">
        <v>24</v>
      </c>
      <c r="M2" s="31" t="s">
        <v>25</v>
      </c>
      <c r="N2" s="31" t="s">
        <v>26</v>
      </c>
      <c r="O2" s="31" t="s">
        <v>27</v>
      </c>
    </row>
    <row r="4" spans="2:15" s="43" customFormat="1">
      <c r="B4" s="30" t="s">
        <v>73</v>
      </c>
      <c r="O4" s="51"/>
    </row>
    <row r="5" spans="2:15" s="43" customFormat="1">
      <c r="B5" s="43" t="s">
        <v>8</v>
      </c>
      <c r="C5" s="52">
        <v>0.06</v>
      </c>
      <c r="D5" s="52">
        <v>0.05</v>
      </c>
      <c r="E5" s="52">
        <v>0.05</v>
      </c>
      <c r="F5" s="52">
        <v>7.0000000000000007E-2</v>
      </c>
      <c r="G5" s="52">
        <v>0.11</v>
      </c>
      <c r="H5" s="52">
        <v>0.06</v>
      </c>
      <c r="I5" s="52">
        <v>0.06</v>
      </c>
      <c r="J5" s="52">
        <v>0.22</v>
      </c>
      <c r="K5" s="52">
        <v>0.05</v>
      </c>
      <c r="L5" s="52">
        <v>0.02</v>
      </c>
      <c r="M5" s="52">
        <v>0.04</v>
      </c>
      <c r="N5" s="52">
        <v>0.21</v>
      </c>
      <c r="O5" s="51">
        <f t="shared" ref="O5:O12" si="0">SUM(C5:N5)</f>
        <v>1.0000000000000002</v>
      </c>
    </row>
    <row r="6" spans="2:15" s="43" customFormat="1">
      <c r="B6" s="43" t="s">
        <v>7</v>
      </c>
      <c r="C6" s="52">
        <v>0.06</v>
      </c>
      <c r="D6" s="52">
        <v>0.08</v>
      </c>
      <c r="E6" s="52">
        <v>0.06</v>
      </c>
      <c r="F6" s="52">
        <v>0.03</v>
      </c>
      <c r="G6" s="52">
        <v>0.05</v>
      </c>
      <c r="H6" s="52">
        <v>0.16</v>
      </c>
      <c r="I6" s="52">
        <v>0.06</v>
      </c>
      <c r="J6" s="52">
        <v>0.06</v>
      </c>
      <c r="K6" s="52">
        <v>0.15</v>
      </c>
      <c r="L6" s="52">
        <v>0.06</v>
      </c>
      <c r="M6" s="52">
        <v>0.1</v>
      </c>
      <c r="N6" s="52">
        <v>0.13</v>
      </c>
      <c r="O6" s="51">
        <f t="shared" si="0"/>
        <v>1</v>
      </c>
    </row>
    <row r="7" spans="2:15" s="43" customFormat="1">
      <c r="B7" s="43" t="s">
        <v>9</v>
      </c>
      <c r="C7" s="52">
        <v>0.01</v>
      </c>
      <c r="D7" s="52">
        <v>0.01</v>
      </c>
      <c r="E7" s="52">
        <v>0.4</v>
      </c>
      <c r="F7" s="52">
        <v>0.01</v>
      </c>
      <c r="G7" s="52">
        <v>0.01</v>
      </c>
      <c r="H7" s="52">
        <v>0.01</v>
      </c>
      <c r="I7" s="52">
        <v>0.01</v>
      </c>
      <c r="J7" s="52">
        <v>0.01</v>
      </c>
      <c r="K7" s="52">
        <v>0.01</v>
      </c>
      <c r="L7" s="52">
        <v>0.02</v>
      </c>
      <c r="M7" s="52">
        <v>0.37</v>
      </c>
      <c r="N7" s="52">
        <v>0.13</v>
      </c>
      <c r="O7" s="51">
        <f t="shared" si="0"/>
        <v>1</v>
      </c>
    </row>
    <row r="8" spans="2:15" s="43" customFormat="1">
      <c r="B8" s="43" t="s">
        <v>64</v>
      </c>
      <c r="C8" s="52">
        <v>0.09</v>
      </c>
      <c r="D8" s="52">
        <v>7.0000000000000007E-2</v>
      </c>
      <c r="E8" s="52">
        <v>0.06</v>
      </c>
      <c r="F8" s="52">
        <v>0.04</v>
      </c>
      <c r="G8" s="52">
        <v>0.05</v>
      </c>
      <c r="H8" s="52">
        <v>0.1</v>
      </c>
      <c r="I8" s="52">
        <v>0.05</v>
      </c>
      <c r="J8" s="52">
        <v>7.0000000000000007E-2</v>
      </c>
      <c r="K8" s="52">
        <v>0.1</v>
      </c>
      <c r="L8" s="52">
        <v>0.11</v>
      </c>
      <c r="M8" s="52">
        <v>0.1</v>
      </c>
      <c r="N8" s="52">
        <v>0.16</v>
      </c>
      <c r="O8" s="51">
        <f t="shared" si="0"/>
        <v>1</v>
      </c>
    </row>
    <row r="9" spans="2:15" s="43" customFormat="1">
      <c r="B9" s="43" t="s">
        <v>62</v>
      </c>
      <c r="C9" s="52">
        <v>0.05</v>
      </c>
      <c r="D9" s="52">
        <v>0.05</v>
      </c>
      <c r="E9" s="52">
        <v>7.0000000000000007E-2</v>
      </c>
      <c r="F9" s="52">
        <v>0.04</v>
      </c>
      <c r="G9" s="52">
        <v>0.23</v>
      </c>
      <c r="H9" s="52">
        <v>0.04</v>
      </c>
      <c r="I9" s="52">
        <v>0.08</v>
      </c>
      <c r="J9" s="52">
        <v>0.11</v>
      </c>
      <c r="K9" s="52">
        <v>0.02</v>
      </c>
      <c r="L9" s="52">
        <v>0.08</v>
      </c>
      <c r="M9" s="52">
        <v>0.09</v>
      </c>
      <c r="N9" s="52">
        <v>0.14000000000000001</v>
      </c>
      <c r="O9" s="51">
        <f t="shared" si="0"/>
        <v>1</v>
      </c>
    </row>
    <row r="10" spans="2:15" s="43" customFormat="1">
      <c r="B10" s="43" t="s">
        <v>63</v>
      </c>
      <c r="C10" s="52">
        <v>0.02</v>
      </c>
      <c r="D10" s="52">
        <v>7.0000000000000007E-2</v>
      </c>
      <c r="E10" s="52">
        <v>0.13</v>
      </c>
      <c r="F10" s="52">
        <v>0.08</v>
      </c>
      <c r="G10" s="52">
        <v>0.03</v>
      </c>
      <c r="H10" s="52">
        <v>0.19</v>
      </c>
      <c r="I10" s="52">
        <v>0.02</v>
      </c>
      <c r="J10" s="52">
        <v>0.02</v>
      </c>
      <c r="K10" s="52">
        <v>0.18</v>
      </c>
      <c r="L10" s="52">
        <v>0.01</v>
      </c>
      <c r="M10" s="52">
        <v>0.11</v>
      </c>
      <c r="N10" s="52">
        <v>0.14000000000000001</v>
      </c>
      <c r="O10" s="51">
        <f t="shared" si="0"/>
        <v>1</v>
      </c>
    </row>
    <row r="11" spans="2:15" s="43" customFormat="1">
      <c r="B11" s="43" t="s">
        <v>68</v>
      </c>
      <c r="C11" s="52">
        <v>0.05</v>
      </c>
      <c r="D11" s="52">
        <v>0.12</v>
      </c>
      <c r="E11" s="52">
        <v>0.03</v>
      </c>
      <c r="F11" s="52">
        <v>0.01</v>
      </c>
      <c r="G11" s="52">
        <v>0.15</v>
      </c>
      <c r="H11" s="52">
        <v>0.02</v>
      </c>
      <c r="I11" s="52">
        <v>0.1</v>
      </c>
      <c r="J11" s="52">
        <v>0.16</v>
      </c>
      <c r="K11" s="52">
        <v>0.06</v>
      </c>
      <c r="L11" s="52">
        <v>0.04</v>
      </c>
      <c r="M11" s="52">
        <v>0.15</v>
      </c>
      <c r="N11" s="52">
        <v>0.11</v>
      </c>
      <c r="O11" s="51">
        <f t="shared" si="0"/>
        <v>1</v>
      </c>
    </row>
    <row r="12" spans="2:15" s="43" customFormat="1">
      <c r="B12" s="43" t="s">
        <v>10</v>
      </c>
      <c r="C12" s="52">
        <v>0.2</v>
      </c>
      <c r="D12" s="52">
        <v>0</v>
      </c>
      <c r="E12" s="52">
        <v>0.2</v>
      </c>
      <c r="F12" s="52">
        <v>0</v>
      </c>
      <c r="G12" s="52">
        <v>0</v>
      </c>
      <c r="H12" s="52">
        <v>0</v>
      </c>
      <c r="I12" s="52">
        <v>0</v>
      </c>
      <c r="J12" s="52">
        <v>0.2</v>
      </c>
      <c r="K12" s="52">
        <v>0.2</v>
      </c>
      <c r="L12" s="52">
        <v>0</v>
      </c>
      <c r="M12" s="52">
        <v>0</v>
      </c>
      <c r="N12" s="52">
        <v>0.2</v>
      </c>
      <c r="O12" s="51">
        <f t="shared" si="0"/>
        <v>1</v>
      </c>
    </row>
    <row r="13" spans="2:15" s="43" customFormat="1">
      <c r="B13" s="43" t="s">
        <v>11</v>
      </c>
      <c r="C13" s="52">
        <v>0</v>
      </c>
      <c r="D13" s="52">
        <v>0</v>
      </c>
      <c r="E13" s="52">
        <v>0</v>
      </c>
      <c r="F13" s="52">
        <v>0.24</v>
      </c>
      <c r="G13" s="52">
        <v>0</v>
      </c>
      <c r="H13" s="52">
        <v>0</v>
      </c>
      <c r="I13" s="52">
        <v>0.26</v>
      </c>
      <c r="J13" s="52">
        <v>0</v>
      </c>
      <c r="K13" s="52">
        <v>0.26</v>
      </c>
      <c r="L13" s="52">
        <v>0</v>
      </c>
      <c r="M13" s="52">
        <v>0</v>
      </c>
      <c r="N13" s="52">
        <v>0.24</v>
      </c>
      <c r="O13" s="51">
        <f>SUM(C13:N13)</f>
        <v>1</v>
      </c>
    </row>
    <row r="14" spans="2:15" s="43" customFormat="1">
      <c r="B14" s="43" t="s">
        <v>12</v>
      </c>
      <c r="C14" s="52">
        <v>0</v>
      </c>
      <c r="D14" s="52">
        <v>0.02</v>
      </c>
      <c r="E14" s="52">
        <v>7.0000000000000007E-2</v>
      </c>
      <c r="F14" s="52">
        <v>0.01</v>
      </c>
      <c r="G14" s="52">
        <v>7.0000000000000007E-2</v>
      </c>
      <c r="H14" s="52">
        <v>0.18</v>
      </c>
      <c r="I14" s="52">
        <v>0.31</v>
      </c>
      <c r="J14" s="52">
        <v>0.02</v>
      </c>
      <c r="K14" s="52">
        <v>0</v>
      </c>
      <c r="L14" s="52">
        <v>0.02</v>
      </c>
      <c r="M14" s="52">
        <v>0.02</v>
      </c>
      <c r="N14" s="52">
        <v>0.28000000000000003</v>
      </c>
      <c r="O14" s="51">
        <f>SUM(C14:N14)</f>
        <v>1</v>
      </c>
    </row>
    <row r="15" spans="2:15" s="43" customFormat="1">
      <c r="B15" s="43" t="s">
        <v>78</v>
      </c>
      <c r="C15" s="52">
        <v>0.13</v>
      </c>
      <c r="D15" s="52">
        <v>0.19</v>
      </c>
      <c r="E15" s="52">
        <v>0.13</v>
      </c>
      <c r="F15" s="52">
        <v>0.08</v>
      </c>
      <c r="G15" s="52">
        <v>0.05</v>
      </c>
      <c r="H15" s="52">
        <v>0.05</v>
      </c>
      <c r="I15" s="52">
        <v>0.1</v>
      </c>
      <c r="J15" s="52">
        <v>0.04</v>
      </c>
      <c r="K15" s="52">
        <v>0.03</v>
      </c>
      <c r="L15" s="52">
        <v>0.04</v>
      </c>
      <c r="M15" s="52">
        <v>0.01</v>
      </c>
      <c r="N15" s="52">
        <v>0.15</v>
      </c>
      <c r="O15" s="51">
        <f>SUM(C15:N15)</f>
        <v>1.0000000000000002</v>
      </c>
    </row>
    <row r="16" spans="2:15" s="43" customFormat="1">
      <c r="B16" s="43" t="s">
        <v>13</v>
      </c>
      <c r="C16" s="52">
        <v>0.06</v>
      </c>
      <c r="D16" s="52">
        <v>0.2</v>
      </c>
      <c r="E16" s="52">
        <v>0.12</v>
      </c>
      <c r="F16" s="52">
        <v>0.01</v>
      </c>
      <c r="G16" s="52">
        <v>0.06</v>
      </c>
      <c r="H16" s="52">
        <v>0.14000000000000001</v>
      </c>
      <c r="I16" s="52">
        <v>0.09</v>
      </c>
      <c r="J16" s="52">
        <v>0.1</v>
      </c>
      <c r="K16" s="52">
        <v>0.05</v>
      </c>
      <c r="L16" s="52">
        <v>0.03</v>
      </c>
      <c r="M16" s="52">
        <v>0.04</v>
      </c>
      <c r="N16" s="52">
        <v>0.1</v>
      </c>
      <c r="O16" s="51">
        <f>SUM(C16:N16)</f>
        <v>1.0000000000000002</v>
      </c>
    </row>
    <row r="17" spans="2:15" s="43" customFormat="1">
      <c r="B17" s="43" t="s">
        <v>14</v>
      </c>
      <c r="C17" s="32">
        <v>0.08</v>
      </c>
      <c r="D17" s="32">
        <v>0.18</v>
      </c>
      <c r="E17" s="32">
        <v>0.17</v>
      </c>
      <c r="F17" s="32">
        <v>0.19</v>
      </c>
      <c r="G17" s="32">
        <v>0.14000000000000001</v>
      </c>
      <c r="H17" s="32">
        <v>0.1</v>
      </c>
      <c r="I17" s="32">
        <v>0.08</v>
      </c>
      <c r="J17" s="32">
        <v>0.02</v>
      </c>
      <c r="K17" s="32">
        <v>0.01</v>
      </c>
      <c r="L17" s="32">
        <v>0.01</v>
      </c>
      <c r="M17" s="32">
        <v>0.01</v>
      </c>
      <c r="N17" s="32">
        <v>0.01</v>
      </c>
      <c r="O17" s="51">
        <f>SUM(C17:N17)</f>
        <v>1</v>
      </c>
    </row>
    <row r="18" spans="2:15" s="43" customFormat="1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51"/>
    </row>
    <row r="19" spans="2:15" s="43" customFormat="1"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51"/>
    </row>
    <row r="20" spans="2:15" s="43" customFormat="1">
      <c r="O20" s="51"/>
    </row>
    <row r="21" spans="2:15">
      <c r="B21" s="30" t="s">
        <v>74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2:15">
      <c r="B22" s="43" t="s">
        <v>8</v>
      </c>
      <c r="C22" s="82"/>
      <c r="D22" s="82"/>
      <c r="E22" s="82"/>
      <c r="F22" s="82"/>
      <c r="G22" s="52">
        <v>0.23</v>
      </c>
      <c r="H22" s="52">
        <v>0.08</v>
      </c>
      <c r="I22" s="52">
        <v>0.08</v>
      </c>
      <c r="J22" s="52">
        <v>0.23</v>
      </c>
      <c r="K22" s="52">
        <v>0.05</v>
      </c>
      <c r="L22" s="52">
        <v>0.05</v>
      </c>
      <c r="M22" s="52">
        <v>0.05</v>
      </c>
      <c r="N22" s="52">
        <v>0.23</v>
      </c>
      <c r="O22" s="51">
        <f t="shared" ref="O22:O32" si="1">SUM(C22:N22)</f>
        <v>1.0000000000000002</v>
      </c>
    </row>
    <row r="23" spans="2:15">
      <c r="B23" s="43" t="s">
        <v>7</v>
      </c>
      <c r="C23" s="82"/>
      <c r="D23" s="82"/>
      <c r="E23" s="82"/>
      <c r="F23" s="82"/>
      <c r="G23" s="52">
        <v>0.06</v>
      </c>
      <c r="H23" s="52">
        <v>0.2</v>
      </c>
      <c r="I23" s="52">
        <v>0.1</v>
      </c>
      <c r="J23" s="52">
        <v>0.08</v>
      </c>
      <c r="K23" s="52">
        <v>0.19</v>
      </c>
      <c r="L23" s="52">
        <v>0.08</v>
      </c>
      <c r="M23" s="52">
        <v>0.13</v>
      </c>
      <c r="N23" s="52">
        <v>0.16</v>
      </c>
      <c r="O23" s="51">
        <f t="shared" si="1"/>
        <v>1</v>
      </c>
    </row>
    <row r="24" spans="2:15">
      <c r="B24" s="43" t="s">
        <v>9</v>
      </c>
      <c r="C24" s="82"/>
      <c r="D24" s="82"/>
      <c r="E24" s="82"/>
      <c r="F24" s="82"/>
      <c r="G24" s="52">
        <v>0.01</v>
      </c>
      <c r="H24" s="52">
        <v>0.03</v>
      </c>
      <c r="I24" s="52">
        <v>0.01</v>
      </c>
      <c r="J24" s="52">
        <v>0.01</v>
      </c>
      <c r="K24" s="52">
        <v>7.0000000000000007E-2</v>
      </c>
      <c r="L24" s="52">
        <v>0.01</v>
      </c>
      <c r="M24" s="52">
        <v>0.7</v>
      </c>
      <c r="N24" s="52">
        <v>0.16</v>
      </c>
      <c r="O24" s="51">
        <f t="shared" si="1"/>
        <v>1</v>
      </c>
    </row>
    <row r="25" spans="2:15">
      <c r="B25" s="43" t="s">
        <v>64</v>
      </c>
      <c r="C25" s="82"/>
      <c r="D25" s="82"/>
      <c r="E25" s="82"/>
      <c r="F25" s="82"/>
      <c r="G25" s="52">
        <v>0.12</v>
      </c>
      <c r="H25" s="52">
        <v>0.13</v>
      </c>
      <c r="I25" s="52">
        <v>7.0000000000000007E-2</v>
      </c>
      <c r="J25" s="52">
        <v>0.08</v>
      </c>
      <c r="K25" s="52">
        <v>0.13</v>
      </c>
      <c r="L25" s="52">
        <v>0.14000000000000001</v>
      </c>
      <c r="M25" s="52">
        <v>0.12</v>
      </c>
      <c r="N25" s="52">
        <v>0.21</v>
      </c>
      <c r="O25" s="51">
        <f t="shared" si="1"/>
        <v>1</v>
      </c>
    </row>
    <row r="26" spans="2:15">
      <c r="B26" s="43" t="s">
        <v>62</v>
      </c>
      <c r="C26" s="82"/>
      <c r="D26" s="82"/>
      <c r="E26" s="82"/>
      <c r="F26" s="82"/>
      <c r="G26" s="52">
        <v>0.28000000000000003</v>
      </c>
      <c r="H26" s="52">
        <v>0.09</v>
      </c>
      <c r="I26" s="52">
        <v>0.1</v>
      </c>
      <c r="J26" s="52">
        <v>0.13</v>
      </c>
      <c r="K26" s="52">
        <v>0.02</v>
      </c>
      <c r="L26" s="52">
        <v>0.1</v>
      </c>
      <c r="M26" s="52">
        <v>0.11</v>
      </c>
      <c r="N26" s="52">
        <v>0.17</v>
      </c>
      <c r="O26" s="51">
        <f t="shared" si="1"/>
        <v>1</v>
      </c>
    </row>
    <row r="27" spans="2:15">
      <c r="B27" s="43" t="s">
        <v>63</v>
      </c>
      <c r="C27" s="82"/>
      <c r="D27" s="82"/>
      <c r="E27" s="82"/>
      <c r="F27" s="82"/>
      <c r="G27" s="52">
        <v>0.03</v>
      </c>
      <c r="H27" s="52">
        <v>0.24</v>
      </c>
      <c r="I27" s="52">
        <v>0.13</v>
      </c>
      <c r="J27" s="52">
        <v>0.02</v>
      </c>
      <c r="K27" s="52">
        <v>0.24</v>
      </c>
      <c r="L27" s="52">
        <v>0.02</v>
      </c>
      <c r="M27" s="52">
        <v>0.14000000000000001</v>
      </c>
      <c r="N27" s="52">
        <v>0.18</v>
      </c>
      <c r="O27" s="51">
        <f t="shared" si="1"/>
        <v>1</v>
      </c>
    </row>
    <row r="28" spans="2:15">
      <c r="B28" s="43" t="s">
        <v>68</v>
      </c>
      <c r="C28" s="82"/>
      <c r="D28" s="82"/>
      <c r="E28" s="82"/>
      <c r="F28" s="82"/>
      <c r="G28" s="52">
        <v>0.18</v>
      </c>
      <c r="H28" s="52">
        <v>0.04</v>
      </c>
      <c r="I28" s="52">
        <v>0.13</v>
      </c>
      <c r="J28" s="52">
        <v>0.21</v>
      </c>
      <c r="K28" s="52">
        <v>0.08</v>
      </c>
      <c r="L28" s="52">
        <v>0.05</v>
      </c>
      <c r="M28" s="52">
        <v>0.18</v>
      </c>
      <c r="N28" s="52">
        <v>0.13</v>
      </c>
      <c r="O28" s="51">
        <f t="shared" si="1"/>
        <v>0.99999999999999989</v>
      </c>
    </row>
    <row r="29" spans="2:15">
      <c r="B29" s="43" t="s">
        <v>10</v>
      </c>
      <c r="C29" s="82"/>
      <c r="D29" s="82"/>
      <c r="E29" s="82"/>
      <c r="F29" s="82"/>
      <c r="G29" s="52">
        <v>0</v>
      </c>
      <c r="H29" s="52">
        <v>0</v>
      </c>
      <c r="I29" s="52">
        <v>0.02</v>
      </c>
      <c r="J29" s="52">
        <v>0.34</v>
      </c>
      <c r="K29" s="52">
        <v>0.32</v>
      </c>
      <c r="L29" s="52">
        <v>0</v>
      </c>
      <c r="M29" s="52">
        <v>0</v>
      </c>
      <c r="N29" s="52">
        <v>0.32</v>
      </c>
      <c r="O29" s="51">
        <f t="shared" si="1"/>
        <v>1</v>
      </c>
    </row>
    <row r="30" spans="2:15">
      <c r="B30" s="43" t="s">
        <v>11</v>
      </c>
      <c r="C30" s="82"/>
      <c r="D30" s="82"/>
      <c r="E30" s="82"/>
      <c r="F30" s="82"/>
      <c r="G30" s="52">
        <v>0.24</v>
      </c>
      <c r="H30" s="52">
        <v>0</v>
      </c>
      <c r="I30" s="52">
        <v>0.26</v>
      </c>
      <c r="J30" s="52">
        <v>0</v>
      </c>
      <c r="K30" s="52">
        <v>0.26</v>
      </c>
      <c r="L30" s="52">
        <v>0</v>
      </c>
      <c r="M30" s="52">
        <v>0</v>
      </c>
      <c r="N30" s="52">
        <v>0.24</v>
      </c>
      <c r="O30" s="51">
        <f t="shared" si="1"/>
        <v>1</v>
      </c>
    </row>
    <row r="31" spans="2:15">
      <c r="B31" s="43" t="s">
        <v>12</v>
      </c>
      <c r="C31" s="82"/>
      <c r="D31" s="82"/>
      <c r="E31" s="82"/>
      <c r="F31" s="82"/>
      <c r="G31" s="52">
        <v>0.08</v>
      </c>
      <c r="H31" s="52">
        <v>0.2</v>
      </c>
      <c r="I31" s="52">
        <v>0.34</v>
      </c>
      <c r="J31" s="52">
        <v>0.03</v>
      </c>
      <c r="K31" s="52">
        <v>0.02</v>
      </c>
      <c r="L31" s="52">
        <v>0.02</v>
      </c>
      <c r="M31" s="52">
        <v>0.01</v>
      </c>
      <c r="N31" s="52">
        <v>0.3</v>
      </c>
      <c r="O31" s="51">
        <f t="shared" si="1"/>
        <v>1.0000000000000002</v>
      </c>
    </row>
    <row r="32" spans="2:15">
      <c r="B32" s="43" t="s">
        <v>79</v>
      </c>
      <c r="C32" s="82"/>
      <c r="D32" s="82"/>
      <c r="E32" s="82"/>
      <c r="F32" s="82"/>
      <c r="G32" s="32">
        <v>0.1</v>
      </c>
      <c r="H32" s="32">
        <v>0.1</v>
      </c>
      <c r="I32" s="32">
        <v>0.2</v>
      </c>
      <c r="J32" s="52">
        <v>0.1</v>
      </c>
      <c r="K32" s="32">
        <v>0.1</v>
      </c>
      <c r="L32" s="32">
        <v>0.1</v>
      </c>
      <c r="M32" s="32">
        <v>0.1</v>
      </c>
      <c r="N32" s="32">
        <v>0.2</v>
      </c>
      <c r="O32" s="51">
        <f t="shared" si="1"/>
        <v>1</v>
      </c>
    </row>
    <row r="33" spans="2:15">
      <c r="B33" s="43" t="s">
        <v>13</v>
      </c>
      <c r="C33" s="82"/>
      <c r="D33" s="82"/>
      <c r="E33" s="82"/>
      <c r="F33" s="82"/>
      <c r="G33" s="32">
        <v>0.12</v>
      </c>
      <c r="H33" s="32">
        <v>0.22</v>
      </c>
      <c r="I33" s="32">
        <v>0.15</v>
      </c>
      <c r="J33" s="32">
        <v>0.15</v>
      </c>
      <c r="K33" s="32">
        <v>0.09</v>
      </c>
      <c r="L33" s="32">
        <v>0.05</v>
      </c>
      <c r="M33" s="32">
        <v>0.06</v>
      </c>
      <c r="N33" s="32">
        <v>0.16</v>
      </c>
      <c r="O33" s="51">
        <f>SUM(C33:N33)</f>
        <v>1</v>
      </c>
    </row>
    <row r="34" spans="2:15">
      <c r="B34" s="43" t="s">
        <v>14</v>
      </c>
      <c r="C34" s="82"/>
      <c r="D34" s="82"/>
      <c r="E34" s="82"/>
      <c r="F34" s="82"/>
      <c r="G34" s="32">
        <v>0.25</v>
      </c>
      <c r="H34" s="32">
        <v>0.2</v>
      </c>
      <c r="I34" s="32">
        <v>0.15</v>
      </c>
      <c r="J34" s="32">
        <v>0.15</v>
      </c>
      <c r="K34" s="32">
        <v>0.1</v>
      </c>
      <c r="L34" s="32">
        <v>0.05</v>
      </c>
      <c r="M34" s="32">
        <v>0.05</v>
      </c>
      <c r="N34" s="32">
        <v>0.05</v>
      </c>
      <c r="O34" s="51">
        <f>SUM(C34:N34)</f>
        <v>1</v>
      </c>
    </row>
    <row r="35" spans="2:15">
      <c r="B35" s="43"/>
      <c r="C35" s="82"/>
      <c r="D35" s="82"/>
      <c r="E35" s="82"/>
      <c r="F35" s="82"/>
      <c r="G35" s="32"/>
      <c r="H35" s="32"/>
      <c r="I35" s="32"/>
      <c r="J35" s="32"/>
      <c r="K35" s="32"/>
      <c r="L35" s="32"/>
      <c r="M35" s="32"/>
      <c r="N35" s="32"/>
    </row>
    <row r="36" spans="2: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C2369E3E006349B53A22E0333D746B" ma:contentTypeVersion="36" ma:contentTypeDescription="" ma:contentTypeScope="" ma:versionID="f3c2a1b693166a62d4812a22cde3599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Exemption</CaseType>
    <IndustryCode xmlns="dc463f71-b30c-4ab2-9473-d307f9d35888">140</IndustryCode>
    <CaseStatus xmlns="dc463f71-b30c-4ab2-9473-d307f9d35888">Closed</CaseStatus>
    <OpenedDate xmlns="dc463f71-b30c-4ab2-9473-d307f9d35888">2021-05-21T07:00:00+00:00</OpenedDate>
    <SignificantOrder xmlns="dc463f71-b30c-4ab2-9473-d307f9d35888">false</SignificantOrder>
    <Date1 xmlns="dc463f71-b30c-4ab2-9473-d307f9d35888">2021-05-20T07:00:00+00:00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707202-EECB-4BD9-890B-99E877C7C9A7}"/>
</file>

<file path=customXml/itemProps2.xml><?xml version="1.0" encoding="utf-8"?>
<ds:datastoreItem xmlns:ds="http://schemas.openxmlformats.org/officeDocument/2006/customXml" ds:itemID="{5A9E8DDA-FA2B-47A6-BCF9-9A72DAEDC92A}"/>
</file>

<file path=customXml/itemProps3.xml><?xml version="1.0" encoding="utf-8"?>
<ds:datastoreItem xmlns:ds="http://schemas.openxmlformats.org/officeDocument/2006/customXml" ds:itemID="{DFE89AED-C903-43EE-BD22-D94D7902BB4A}"/>
</file>

<file path=customXml/itemProps4.xml><?xml version="1.0" encoding="utf-8"?>
<ds:datastoreItem xmlns:ds="http://schemas.openxmlformats.org/officeDocument/2006/customXml" ds:itemID="{5A02E95F-4224-4709-B130-7CA40332DE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SBC Balancing Acct-current rate</vt:lpstr>
      <vt:lpstr>2020-2021 Spend Forecast </vt:lpstr>
      <vt:lpstr>% alloc by month 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p14818</dc:creator>
  <cp:lastModifiedBy>Jones JR, Don (DSM)</cp:lastModifiedBy>
  <dcterms:created xsi:type="dcterms:W3CDTF">2011-08-12T20:33:32Z</dcterms:created>
  <dcterms:modified xsi:type="dcterms:W3CDTF">2021-05-18T20:54:09Z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0x0101006E56B4D1795A2E4DB2F0B01679ED314A001BC2369E3E006349B53A22E0333D746B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