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Conservation Rate\2025\Effective May 1, 2025\FILED\"/>
    </mc:Choice>
  </mc:AlternateContent>
  <bookViews>
    <workbookView xWindow="0" yWindow="0" windowWidth="28800" windowHeight="10785" tabRatio="765"/>
  </bookViews>
  <sheets>
    <sheet name="Rates" sheetId="4" r:id="rId1"/>
    <sheet name="Allocation" sheetId="3" r:id="rId2"/>
    <sheet name="Rate Impacts--&gt;" sheetId="21" r:id="rId3"/>
    <sheet name="Rate Impacts Sch 120" sheetId="48" r:id="rId4"/>
    <sheet name="Typical Res Bill Sch 120" sheetId="49" r:id="rId5"/>
    <sheet name="Sch. 120" sheetId="50" r:id="rId6"/>
    <sheet name="Workpapers--&gt;" sheetId="25" r:id="rId7"/>
    <sheet name="Rev Requirement" sheetId="47" r:id="rId8"/>
    <sheet name="Forecasted Volume" sheetId="17" r:id="rId9"/>
    <sheet name="Conversion Factor" sheetId="3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BS_Elec_totbudget_2015">'[2]2015 Sector View Elect'!$S$71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_2yGas_Budget" comment="This is the sum of the 2, single-year BEM gas budgets.">#REF!</definedName>
    <definedName name="BEM_2yrElectric_Budget" comment="This is the sum of the 2, single-year BEM electirc budgets.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rochr_elec_totbudget_2015">'[2]2015 Sector View Elect'!$S$66</definedName>
    <definedName name="CBWorkbookPriority" hidden="1">-2060790043</definedName>
    <definedName name="ciloadctr_elec_totbudget_2015">'[2]2015 Sector View Elect'!$S$96</definedName>
    <definedName name="Company">'[3]Named Ranges E'!$B$2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ductn_elec_totbudget_2015">'[2]2015 Sector View Elect'!$S$67</definedName>
    <definedName name="ee" hidden="1">{#N/A,#N/A,FALSE,"Month ";#N/A,#N/A,FALSE,"YTD";#N/A,#N/A,FALSE,"12 mo ended"}</definedName>
    <definedName name="eecomm_elec_totbudget_2015">'[2]2015 Sector View Elect'!$S$75</definedName>
    <definedName name="ElecVehclChgIncent_Elect_2015">'[2]2015 Sector View Elect'!$S$94</definedName>
    <definedName name="enrgyadv_elec_totbudget_2015">'[2]2015 Sector View Elect'!$S$64</definedName>
    <definedName name="events_elec_totbudget_2015">'[2]2015 Sector View Elect'!$S$65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uelconv_elec_totsavings_2015">'[2]2015 Sector View Elect'!$T$21</definedName>
    <definedName name="hmappl_elec_totsavings_2015">'[2]2015 Sector View Elect'!$T$14</definedName>
    <definedName name="hmenrgyrpts_elec_totsavings_2015">'[2]2015 Sector View Elect'!$T$18</definedName>
    <definedName name="homep_elec_totsavings_2015">'[2]2015 Sector View Elect'!$T$8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ghting_elec_totsavings_2015">'[2]2015 Sector View Elect'!$T$16</definedName>
    <definedName name="liw_elec_totsavings_2015">'[2]2015 Sector View Elect'!$T$7</definedName>
    <definedName name="lu_labor_title">[4]lookups!$H$6:$H$18</definedName>
    <definedName name="lu_m_life">[4]lookups!$F$6:$F$35</definedName>
    <definedName name="lu_unit_type">[4]lookups!$D$6:$D$11</definedName>
    <definedName name="mfnewconst_elec_totsavings_2015">'[2]2015 Sector View Elect'!$T$23</definedName>
    <definedName name="mftretro_elec_totsavings_2015">'[2]2015 Sector View Elect'!$T$22</definedName>
    <definedName name="MHDS_2015_totsavings_elec">'[2]2015 Sector View Elect'!$T$17</definedName>
    <definedName name="mktint_elec_totbudget_2015">'[2]2015 Sector View Elect'!$S$70</definedName>
    <definedName name="netmtr_elec_totbudget_2015">'[2]2015 Sector View Elect'!$S$93</definedName>
    <definedName name="onlineex_elec_totbudget_2015">'[2]2015 Sector View Elect'!$S$69</definedName>
    <definedName name="OthElec_2015_Totbudget_E">'[2]2015 Sector View Elect'!$S$98</definedName>
    <definedName name="OthElectric_2yrElectirc_Budget" comment="This is the sum of the 2, single-year Other Electric electric budgets.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ilots_2yrElec_Budget" comment="This is the sum of the 2, single-year electirc Pilot budgets.">#REF!</definedName>
    <definedName name="Pilots_2yrElectric_Budget" comment="This is the sum of the 2, single-year electirc Pilot budgets.">#REF!</definedName>
    <definedName name="Pilots_2yrGas_Budgets" comment="This is the sum of the 2, single-year gas Pilots budgets.">#REF!</definedName>
    <definedName name="PortSupp_2015_Totbudget_E">'[2]2015 Sector View Elect'!$S$77</definedName>
    <definedName name="PortSupp_2yrElectric_Budget" comment="This is the sum of the 2, single-year electric Portfolio Support budgets.">#REF!,#REF!,#REF!</definedName>
    <definedName name="PortSupp_2yrGas_Budgets" comment="This is the sum of the 2, single-year Portfolio Support gas budgets.">#REF!,#REF!,#REF!</definedName>
    <definedName name="PrgmsvcAnalytics_Totbudget_Elec_2015">'[2]2015 Sector View Elect'!$S$73</definedName>
    <definedName name="prgmsvcSyst_elec_totbudget_2015">'[2]2015 Sector View Elect'!$S$72</definedName>
    <definedName name="_xlnm.Print_Area" localSheetId="1">Allocation!$A$1:$I$25</definedName>
    <definedName name="_xlnm.Print_Area" localSheetId="8">'Forecasted Volume'!$A$1:$N$30</definedName>
    <definedName name="_xlnm.Print_Area" localSheetId="3">'Rate Impacts Sch 120'!$A$1:$X$39</definedName>
    <definedName name="_xlnm.Print_Area" localSheetId="0">Rates!$A$1:$G$24</definedName>
    <definedName name="_xlnm.Print_Area" localSheetId="4">'Typical Res Bill Sch 120'!$B$1:$H$43</definedName>
    <definedName name="RateCase">'[3]Named Ranges E'!$B$7</definedName>
    <definedName name="RebtProc_Elec_TotBudget_2015">'[2]2015 Sector View Elect'!$S$74</definedName>
    <definedName name="ref_labor_rows">'[5]1_LOOKUPS'!$P$15</definedName>
    <definedName name="ref_labor_start">INDEX([5]!T_LABOR_OPTIONS[Labor_Name],1,1)</definedName>
    <definedName name="Regional_2yrElectric_Budget" comment="This is the sum of the 2, single-year electric regional budgets.">#REF!</definedName>
    <definedName name="Regional_2yrGas_Budgets" comment="This is the sum of the 2, single-year Regional gas budgets.">#REF!</definedName>
    <definedName name="REM_2yrElectric_Budget" comment="This is the total 2-year REM electric budget, summing the 2, single-year budgets.">#REF!</definedName>
    <definedName name="REM_2yrGas_Budget" comment="This is the sum of the 2, single-year REM gas budgets.">#REF!</definedName>
    <definedName name="Res_and_Compl_2yrElectric_Budget" comment="This is the sum of the 2, single-year electric Research &amp; Compliance electric budgets.">#REF!</definedName>
    <definedName name="Res_Compl_2yrGas_Budget" comment="This is the sum of the 2, single-year gas budgets for Research &amp; Compliance.">#REF!</definedName>
    <definedName name="resdr_elec_totbudget_2015">'[2]2015 Sector View Elect'!$S$97</definedName>
    <definedName name="SAPBEXhrIndnt" hidden="1">"Wide"</definedName>
    <definedName name="SAPsysID" hidden="1">"708C5W7SBKP804JT78WJ0JNKI"</definedName>
    <definedName name="SAPwbID" hidden="1">"ARS"</definedName>
    <definedName name="sfnewconst_elec_totsavings_2015">'[2]2015 Sector View Elect'!$T$19</definedName>
    <definedName name="sfspcht_elec_totsavings_2015">'[2]2015 Sector View Elect'!$T$12</definedName>
    <definedName name="sfwtrht_elec_totsavings_2015">'[2]2015 Sector View Elect'!$T$9</definedName>
    <definedName name="SFWx_ARRA_Totsavings_2015_Elec">'[2]2015 Sector View Elect'!$T$11</definedName>
    <definedName name="sfwx_elec_totsavings_2015">'[2]2015 Sector View Elect'!$T$10</definedName>
    <definedName name="shwrhd_elec_totsavings_2015">'[2]2015 Sector View Elect'!$T$15</definedName>
    <definedName name="TestYear">'[3]Named Ranges E'!$B$3</definedName>
    <definedName name="Transfer" hidden="1">#REF!</definedName>
    <definedName name="Transfers" hidden="1">#REF!</definedName>
    <definedName name="trdallysupp_elec_totbudget_2015">'[2]2015 Sector View Elect'!$S$76</definedName>
    <definedName name="val_dual">[6]lookups!$B$44:$B$45</definedName>
    <definedName name="val_notes">'[5]1_LOOKUPS'!$P$20:$P$22</definedName>
    <definedName name="val_Y1">[7]LOOKUPS!$B$4</definedName>
    <definedName name="val_Y2">[7]LOOKUPS!$B$5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12"/>
</workbook>
</file>

<file path=xl/calcChain.xml><?xml version="1.0" encoding="utf-8"?>
<calcChain xmlns="http://schemas.openxmlformats.org/spreadsheetml/2006/main">
  <c r="V29" i="48" l="1"/>
  <c r="X29" i="48"/>
  <c r="I16" i="50"/>
  <c r="X18" i="48"/>
  <c r="C8" i="50" l="1"/>
  <c r="G33" i="49"/>
  <c r="G32" i="49"/>
  <c r="G34" i="49" s="1"/>
  <c r="H34" i="49" s="1"/>
  <c r="G30" i="49"/>
  <c r="H30" i="49" s="1"/>
  <c r="G27" i="49"/>
  <c r="G26" i="49"/>
  <c r="G25" i="49"/>
  <c r="G24" i="49"/>
  <c r="G23" i="49"/>
  <c r="G22" i="49"/>
  <c r="G21" i="49"/>
  <c r="G20" i="49"/>
  <c r="D19" i="49"/>
  <c r="G15" i="49"/>
  <c r="H15" i="49" s="1"/>
  <c r="D13" i="49"/>
  <c r="B4" i="49"/>
  <c r="B2" i="49"/>
  <c r="T35" i="48"/>
  <c r="Q35" i="48"/>
  <c r="P35" i="48"/>
  <c r="N35" i="48"/>
  <c r="M35" i="48"/>
  <c r="L35" i="48"/>
  <c r="J35" i="48"/>
  <c r="I35" i="48"/>
  <c r="T34" i="48"/>
  <c r="Q34" i="48"/>
  <c r="L34" i="48"/>
  <c r="J34" i="48"/>
  <c r="I34" i="48"/>
  <c r="T33" i="48"/>
  <c r="T31" i="48"/>
  <c r="T28" i="48"/>
  <c r="S35" i="48"/>
  <c r="R35" i="48"/>
  <c r="O35" i="48"/>
  <c r="K35" i="48"/>
  <c r="G35" i="48"/>
  <c r="E35" i="48"/>
  <c r="D35" i="48"/>
  <c r="S34" i="48"/>
  <c r="R34" i="48"/>
  <c r="P34" i="48"/>
  <c r="O34" i="48"/>
  <c r="N34" i="48"/>
  <c r="M34" i="48"/>
  <c r="K34" i="48"/>
  <c r="G34" i="48"/>
  <c r="E34" i="48"/>
  <c r="D34" i="48"/>
  <c r="Q33" i="48"/>
  <c r="P33" i="48"/>
  <c r="J33" i="48"/>
  <c r="I33" i="48"/>
  <c r="Q32" i="48"/>
  <c r="P32" i="48"/>
  <c r="J32" i="48"/>
  <c r="I32" i="48"/>
  <c r="D32" i="48"/>
  <c r="S31" i="48"/>
  <c r="R31" i="48"/>
  <c r="Q31" i="48"/>
  <c r="P31" i="48"/>
  <c r="O31" i="48"/>
  <c r="N31" i="48"/>
  <c r="J31" i="48"/>
  <c r="I31" i="48"/>
  <c r="Q30" i="48"/>
  <c r="P30" i="48"/>
  <c r="O30" i="48"/>
  <c r="N30" i="48"/>
  <c r="J30" i="48"/>
  <c r="I30" i="48"/>
  <c r="Q29" i="48"/>
  <c r="P29" i="48"/>
  <c r="J29" i="48"/>
  <c r="I29" i="48"/>
  <c r="A12" i="48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8" i="48" s="1"/>
  <c r="A29" i="48" s="1"/>
  <c r="A30" i="48" s="1"/>
  <c r="A31" i="48" s="1"/>
  <c r="A32" i="48" s="1"/>
  <c r="A33" i="48" s="1"/>
  <c r="A34" i="48" s="1"/>
  <c r="A35" i="48" s="1"/>
  <c r="A36" i="48" s="1"/>
  <c r="N28" i="48"/>
  <c r="M28" i="48"/>
  <c r="K28" i="48"/>
  <c r="G28" i="48"/>
  <c r="D28" i="48"/>
  <c r="E7" i="48"/>
  <c r="W6" i="48"/>
  <c r="D29" i="48" l="1"/>
  <c r="D33" i="48"/>
  <c r="R28" i="48"/>
  <c r="F21" i="48"/>
  <c r="H21" i="48" s="1"/>
  <c r="F14" i="48"/>
  <c r="H14" i="48" s="1"/>
  <c r="H30" i="48" s="1"/>
  <c r="G33" i="48"/>
  <c r="G29" i="48"/>
  <c r="G30" i="48"/>
  <c r="R33" i="48"/>
  <c r="K33" i="48"/>
  <c r="F20" i="48"/>
  <c r="H20" i="48" s="1"/>
  <c r="U20" i="48" s="1"/>
  <c r="K30" i="48"/>
  <c r="K36" i="48" s="1"/>
  <c r="K31" i="48"/>
  <c r="M33" i="48"/>
  <c r="M30" i="48"/>
  <c r="M31" i="48"/>
  <c r="J28" i="48"/>
  <c r="R32" i="48"/>
  <c r="F19" i="48"/>
  <c r="H19" i="48" s="1"/>
  <c r="F11" i="48"/>
  <c r="H11" i="48" s="1"/>
  <c r="F34" i="48"/>
  <c r="R29" i="48"/>
  <c r="S32" i="48"/>
  <c r="P28" i="48"/>
  <c r="P36" i="48" s="1"/>
  <c r="S29" i="48"/>
  <c r="T32" i="48"/>
  <c r="K32" i="48"/>
  <c r="O32" i="48"/>
  <c r="T29" i="48"/>
  <c r="N32" i="48"/>
  <c r="D30" i="48"/>
  <c r="F17" i="48"/>
  <c r="H17" i="48" s="1"/>
  <c r="E31" i="48"/>
  <c r="U21" i="48"/>
  <c r="D28" i="49"/>
  <c r="E28" i="49" s="1"/>
  <c r="G31" i="48"/>
  <c r="F35" i="48"/>
  <c r="N29" i="48"/>
  <c r="O29" i="48"/>
  <c r="N33" i="48"/>
  <c r="F12" i="48"/>
  <c r="H12" i="48" s="1"/>
  <c r="H28" i="48" s="1"/>
  <c r="I25" i="48"/>
  <c r="O25" i="48"/>
  <c r="O33" i="48"/>
  <c r="O28" i="48"/>
  <c r="P25" i="48"/>
  <c r="J25" i="48"/>
  <c r="R30" i="48"/>
  <c r="U19" i="48"/>
  <c r="Q25" i="48"/>
  <c r="S30" i="48"/>
  <c r="E28" i="48"/>
  <c r="F28" i="48" s="1"/>
  <c r="M25" i="48"/>
  <c r="T30" i="48"/>
  <c r="S33" i="48"/>
  <c r="K25" i="48"/>
  <c r="F22" i="48"/>
  <c r="H22" i="48" s="1"/>
  <c r="U22" i="48" s="1"/>
  <c r="F24" i="48"/>
  <c r="H24" i="48" s="1"/>
  <c r="K29" i="48"/>
  <c r="D31" i="48"/>
  <c r="Q28" i="48"/>
  <c r="Q36" i="48" s="1"/>
  <c r="S25" i="48"/>
  <c r="F13" i="48"/>
  <c r="F18" i="48" s="1"/>
  <c r="H18" i="48" s="1"/>
  <c r="U18" i="48" s="1"/>
  <c r="F31" i="48"/>
  <c r="E32" i="48"/>
  <c r="F32" i="48" s="1"/>
  <c r="M29" i="48"/>
  <c r="R25" i="48"/>
  <c r="T25" i="48"/>
  <c r="D25" i="48"/>
  <c r="F15" i="48"/>
  <c r="H15" i="48" s="1"/>
  <c r="H31" i="48" s="1"/>
  <c r="G32" i="48"/>
  <c r="S28" i="48"/>
  <c r="J36" i="48"/>
  <c r="D36" i="48"/>
  <c r="U24" i="48"/>
  <c r="H35" i="48"/>
  <c r="E33" i="48"/>
  <c r="F33" i="48" s="1"/>
  <c r="N25" i="48"/>
  <c r="G18" i="49"/>
  <c r="M32" i="48"/>
  <c r="E30" i="49"/>
  <c r="F16" i="48"/>
  <c r="H16" i="48" s="1"/>
  <c r="F23" i="48"/>
  <c r="H23" i="48" s="1"/>
  <c r="I28" i="48"/>
  <c r="I36" i="48" s="1"/>
  <c r="E12" i="49"/>
  <c r="E13" i="49" s="1"/>
  <c r="E30" i="48"/>
  <c r="F30" i="48" s="1"/>
  <c r="G12" i="49"/>
  <c r="D34" i="49"/>
  <c r="E34" i="49" s="1"/>
  <c r="E25" i="48"/>
  <c r="E15" i="49"/>
  <c r="G25" i="48"/>
  <c r="E29" i="48"/>
  <c r="F29" i="48" s="1"/>
  <c r="D10" i="47"/>
  <c r="F11" i="4" s="1"/>
  <c r="F25" i="48" l="1"/>
  <c r="D41" i="49"/>
  <c r="R36" i="48"/>
  <c r="C12" i="47"/>
  <c r="E12" i="4" s="1"/>
  <c r="G36" i="48"/>
  <c r="T36" i="48"/>
  <c r="F10" i="4"/>
  <c r="S36" i="48"/>
  <c r="N36" i="48"/>
  <c r="H13" i="48"/>
  <c r="H29" i="48" s="1"/>
  <c r="O36" i="48"/>
  <c r="M36" i="48"/>
  <c r="D35" i="49"/>
  <c r="H25" i="48"/>
  <c r="H33" i="48"/>
  <c r="U35" i="48"/>
  <c r="E36" i="48"/>
  <c r="F36" i="48" s="1"/>
  <c r="G13" i="49"/>
  <c r="H12" i="49"/>
  <c r="H13" i="49" s="1"/>
  <c r="H34" i="48"/>
  <c r="U23" i="48"/>
  <c r="H32" i="48"/>
  <c r="E35" i="49"/>
  <c r="E37" i="49" s="1"/>
  <c r="E10" i="47"/>
  <c r="E8" i="47"/>
  <c r="E12" i="47" s="1"/>
  <c r="G12" i="4" l="1"/>
  <c r="H36" i="48"/>
  <c r="U34" i="48"/>
  <c r="B12" i="34"/>
  <c r="J25" i="17" l="1"/>
  <c r="K25" i="17"/>
  <c r="L25" i="17"/>
  <c r="M25" i="17"/>
  <c r="H26" i="17" l="1"/>
  <c r="L24" i="17"/>
  <c r="G26" i="17"/>
  <c r="K24" i="17"/>
  <c r="I25" i="17"/>
  <c r="F25" i="17"/>
  <c r="H25" i="17"/>
  <c r="G25" i="17"/>
  <c r="I24" i="17"/>
  <c r="F24" i="17"/>
  <c r="F27" i="17" s="1"/>
  <c r="E24" i="17"/>
  <c r="J24" i="17"/>
  <c r="J27" i="17" s="1"/>
  <c r="D26" i="17"/>
  <c r="E25" i="17"/>
  <c r="D24" i="17"/>
  <c r="D25" i="17"/>
  <c r="C24" i="17"/>
  <c r="G24" i="17"/>
  <c r="L26" i="17"/>
  <c r="L27" i="17" s="1"/>
  <c r="C25" i="17"/>
  <c r="E26" i="17"/>
  <c r="K26" i="17"/>
  <c r="K27" i="17" s="1"/>
  <c r="F26" i="17"/>
  <c r="J26" i="17"/>
  <c r="H24" i="17"/>
  <c r="H27" i="17" s="1"/>
  <c r="C26" i="17"/>
  <c r="M26" i="17"/>
  <c r="N20" i="17"/>
  <c r="C21" i="50" s="1"/>
  <c r="I26" i="17"/>
  <c r="M24" i="17"/>
  <c r="B22" i="17"/>
  <c r="G27" i="17" l="1"/>
  <c r="M27" i="17"/>
  <c r="G21" i="50"/>
  <c r="F21" i="50"/>
  <c r="I21" i="50" s="1"/>
  <c r="C27" i="17"/>
  <c r="D27" i="17"/>
  <c r="E27" i="17"/>
  <c r="I27" i="17"/>
  <c r="N9" i="17"/>
  <c r="N11" i="17"/>
  <c r="C12" i="50" s="1"/>
  <c r="N15" i="17"/>
  <c r="C16" i="50" s="1"/>
  <c r="N19" i="17"/>
  <c r="C20" i="50" s="1"/>
  <c r="N17" i="17"/>
  <c r="C18" i="50" s="1"/>
  <c r="N13" i="17"/>
  <c r="C14" i="50" s="1"/>
  <c r="N8" i="17"/>
  <c r="C9" i="50" s="1"/>
  <c r="G18" i="50" l="1"/>
  <c r="F18" i="50"/>
  <c r="I18" i="50" s="1"/>
  <c r="F9" i="50"/>
  <c r="F16" i="50"/>
  <c r="G16" i="50"/>
  <c r="H16" i="50" s="1"/>
  <c r="V18" i="48" s="1"/>
  <c r="W18" i="48" s="1"/>
  <c r="F14" i="50"/>
  <c r="G20" i="50"/>
  <c r="F20" i="50"/>
  <c r="I20" i="50" s="1"/>
  <c r="F12" i="50"/>
  <c r="H21" i="50"/>
  <c r="V23" i="48" s="1"/>
  <c r="N18" i="17"/>
  <c r="C19" i="50" s="1"/>
  <c r="N10" i="17"/>
  <c r="C11" i="50" s="1"/>
  <c r="N14" i="17"/>
  <c r="C15" i="50" s="1"/>
  <c r="N12" i="17"/>
  <c r="C13" i="50" s="1"/>
  <c r="N16" i="17"/>
  <c r="C17" i="50" s="1"/>
  <c r="N21" i="17"/>
  <c r="C22" i="50" s="1"/>
  <c r="L14" i="48" l="1"/>
  <c r="H20" i="50"/>
  <c r="V22" i="48" s="1"/>
  <c r="V34" i="48"/>
  <c r="X34" i="48" s="1"/>
  <c r="W23" i="48"/>
  <c r="W34" i="48" s="1"/>
  <c r="X23" i="48"/>
  <c r="L16" i="48"/>
  <c r="F22" i="50"/>
  <c r="I22" i="50" s="1"/>
  <c r="G22" i="50"/>
  <c r="H22" i="50" s="1"/>
  <c r="V24" i="48" s="1"/>
  <c r="G17" i="50"/>
  <c r="F17" i="50"/>
  <c r="I17" i="50" s="1"/>
  <c r="L11" i="48"/>
  <c r="F13" i="50"/>
  <c r="F15" i="50"/>
  <c r="L17" i="48" s="1"/>
  <c r="F11" i="50"/>
  <c r="F19" i="50"/>
  <c r="I19" i="50" s="1"/>
  <c r="G19" i="50"/>
  <c r="H19" i="50" s="1"/>
  <c r="V21" i="48" s="1"/>
  <c r="H18" i="50"/>
  <c r="V20" i="48" s="1"/>
  <c r="E22" i="34"/>
  <c r="V35" i="48" l="1"/>
  <c r="X35" i="48" s="1"/>
  <c r="X24" i="48"/>
  <c r="W24" i="48"/>
  <c r="W35" i="48" s="1"/>
  <c r="H17" i="50"/>
  <c r="V19" i="48" s="1"/>
  <c r="W20" i="48"/>
  <c r="X20" i="48"/>
  <c r="X21" i="48"/>
  <c r="W21" i="48"/>
  <c r="L13" i="48"/>
  <c r="L32" i="48"/>
  <c r="U16" i="48"/>
  <c r="L33" i="48"/>
  <c r="U17" i="48"/>
  <c r="L15" i="48"/>
  <c r="W22" i="48"/>
  <c r="X22" i="48"/>
  <c r="U11" i="48"/>
  <c r="L30" i="48"/>
  <c r="U14" i="48"/>
  <c r="G11" i="3"/>
  <c r="G12" i="3"/>
  <c r="G13" i="3"/>
  <c r="G14" i="3"/>
  <c r="G15" i="3"/>
  <c r="U32" i="48" l="1"/>
  <c r="L29" i="48"/>
  <c r="U13" i="48"/>
  <c r="W19" i="48"/>
  <c r="X19" i="48"/>
  <c r="L31" i="48"/>
  <c r="U15" i="48"/>
  <c r="U30" i="48"/>
  <c r="U33" i="48"/>
  <c r="C6" i="17"/>
  <c r="U31" i="48" l="1"/>
  <c r="U29" i="48"/>
  <c r="A2" i="17"/>
  <c r="B4" i="3"/>
  <c r="B2" i="3"/>
  <c r="B26" i="17" l="1"/>
  <c r="B25" i="17"/>
  <c r="B24" i="17"/>
  <c r="M22" i="17"/>
  <c r="L22" i="17"/>
  <c r="K22" i="17"/>
  <c r="J22" i="17"/>
  <c r="I22" i="17"/>
  <c r="H22" i="17"/>
  <c r="G22" i="17"/>
  <c r="F22" i="17"/>
  <c r="E22" i="17"/>
  <c r="D22" i="17"/>
  <c r="C22" i="17"/>
  <c r="D19" i="3"/>
  <c r="D15" i="3"/>
  <c r="H15" i="3" s="1"/>
  <c r="D13" i="3"/>
  <c r="H13" i="3" s="1"/>
  <c r="N7" i="17"/>
  <c r="C10" i="50" s="1"/>
  <c r="D6" i="17"/>
  <c r="E6" i="17" s="1"/>
  <c r="F6" i="17" s="1"/>
  <c r="G6" i="17" s="1"/>
  <c r="H6" i="17" s="1"/>
  <c r="I6" i="17" s="1"/>
  <c r="J6" i="17" s="1"/>
  <c r="K6" i="17" s="1"/>
  <c r="L6" i="17" s="1"/>
  <c r="M6" i="17" s="1"/>
  <c r="D9" i="3" s="1"/>
  <c r="F10" i="50" l="1"/>
  <c r="C23" i="50"/>
  <c r="A4" i="17"/>
  <c r="H28" i="17"/>
  <c r="D28" i="17"/>
  <c r="L28" i="17"/>
  <c r="I28" i="17"/>
  <c r="E28" i="17"/>
  <c r="M28" i="17"/>
  <c r="D20" i="3"/>
  <c r="N25" i="17"/>
  <c r="G17" i="4" s="1"/>
  <c r="D18" i="3"/>
  <c r="D14" i="3"/>
  <c r="H14" i="3" s="1"/>
  <c r="D11" i="3"/>
  <c r="H11" i="3" s="1"/>
  <c r="N24" i="17"/>
  <c r="G16" i="4" s="1"/>
  <c r="B27" i="17"/>
  <c r="B28" i="17" s="1"/>
  <c r="F28" i="17"/>
  <c r="J28" i="17"/>
  <c r="C28" i="17"/>
  <c r="G28" i="17"/>
  <c r="K28" i="17"/>
  <c r="D12" i="3"/>
  <c r="H12" i="3" s="1"/>
  <c r="N22" i="17"/>
  <c r="N26" i="17"/>
  <c r="C24" i="50" l="1"/>
  <c r="L12" i="48"/>
  <c r="F23" i="50"/>
  <c r="H16" i="3"/>
  <c r="N27" i="17"/>
  <c r="N28" i="17" s="1"/>
  <c r="U12" i="48" l="1"/>
  <c r="L25" i="48"/>
  <c r="L28" i="48"/>
  <c r="L36" i="48" s="1"/>
  <c r="A10" i="4"/>
  <c r="A11" i="4" s="1"/>
  <c r="A12" i="4" s="1"/>
  <c r="A13" i="4" s="1"/>
  <c r="A15" i="4" s="1"/>
  <c r="A16" i="4" s="1"/>
  <c r="A17" i="4" s="1"/>
  <c r="A18" i="4" s="1"/>
  <c r="U25" i="48" l="1"/>
  <c r="U28" i="48"/>
  <c r="U36" i="48" s="1"/>
  <c r="A20" i="4"/>
  <c r="A21" i="4" s="1"/>
  <c r="A22" i="4" s="1"/>
  <c r="A23" i="4" s="1"/>
  <c r="A24" i="4" s="1"/>
  <c r="G20" i="3"/>
  <c r="G19" i="3"/>
  <c r="G18" i="3"/>
  <c r="H18" i="3" l="1"/>
  <c r="H20" i="3"/>
  <c r="H19" i="3"/>
  <c r="D16" i="3" l="1"/>
  <c r="G18" i="4"/>
  <c r="H21" i="3"/>
  <c r="D21" i="3"/>
  <c r="D22" i="3" l="1"/>
  <c r="D23" i="3" s="1"/>
  <c r="H22" i="3"/>
  <c r="I16" i="3" s="1"/>
  <c r="D10" i="4" s="1"/>
  <c r="I21" i="3" l="1"/>
  <c r="I22" i="3" l="1"/>
  <c r="E10" i="4"/>
  <c r="D11" i="4"/>
  <c r="D12" i="4" s="1"/>
  <c r="G10" i="4" l="1"/>
  <c r="G21" i="4" s="1"/>
  <c r="E11" i="4"/>
  <c r="G11" i="4" s="1"/>
  <c r="G22" i="4" s="1"/>
  <c r="E15" i="50" l="1"/>
  <c r="G15" i="50" s="1"/>
  <c r="H15" i="50" s="1"/>
  <c r="E14" i="50"/>
  <c r="G14" i="50" s="1"/>
  <c r="H14" i="50" s="1"/>
  <c r="E13" i="50"/>
  <c r="G13" i="50" s="1"/>
  <c r="H13" i="50" s="1"/>
  <c r="E12" i="50"/>
  <c r="G12" i="50" s="1"/>
  <c r="H12" i="50" s="1"/>
  <c r="E11" i="50"/>
  <c r="G11" i="50" s="1"/>
  <c r="H11" i="50" s="1"/>
  <c r="E10" i="50"/>
  <c r="G10" i="50" s="1"/>
  <c r="H10" i="50" s="1"/>
  <c r="E9" i="50"/>
  <c r="E13" i="4"/>
  <c r="G24" i="4"/>
  <c r="G13" i="4"/>
  <c r="V12" i="48" l="1"/>
  <c r="I10" i="50"/>
  <c r="G19" i="49"/>
  <c r="G28" i="49" s="1"/>
  <c r="G9" i="50"/>
  <c r="V15" i="48"/>
  <c r="I13" i="50"/>
  <c r="I15" i="50"/>
  <c r="V17" i="48"/>
  <c r="V13" i="48"/>
  <c r="I11" i="50"/>
  <c r="V14" i="48"/>
  <c r="I12" i="50"/>
  <c r="V16" i="48"/>
  <c r="I14" i="50"/>
  <c r="X13" i="48" l="1"/>
  <c r="W13" i="48"/>
  <c r="W29" i="48" s="1"/>
  <c r="V30" i="48"/>
  <c r="X30" i="48" s="1"/>
  <c r="W14" i="48"/>
  <c r="W30" i="48" s="1"/>
  <c r="X14" i="48"/>
  <c r="X17" i="48"/>
  <c r="V33" i="48"/>
  <c r="X33" i="48" s="1"/>
  <c r="W17" i="48"/>
  <c r="W33" i="48" s="1"/>
  <c r="V32" i="48"/>
  <c r="X32" i="48" s="1"/>
  <c r="X16" i="48"/>
  <c r="W16" i="48"/>
  <c r="W32" i="48" s="1"/>
  <c r="V31" i="48"/>
  <c r="X31" i="48" s="1"/>
  <c r="X15" i="48"/>
  <c r="W15" i="48"/>
  <c r="W31" i="48" s="1"/>
  <c r="G23" i="50"/>
  <c r="H9" i="50"/>
  <c r="G41" i="49"/>
  <c r="G35" i="49"/>
  <c r="H28" i="49"/>
  <c r="H35" i="49" s="1"/>
  <c r="H37" i="49" s="1"/>
  <c r="H38" i="49" s="1"/>
  <c r="H39" i="49" s="1"/>
  <c r="X12" i="48"/>
  <c r="W12" i="48"/>
  <c r="V11" i="48" l="1"/>
  <c r="H23" i="50"/>
  <c r="I23" i="50" s="1"/>
  <c r="I9" i="50"/>
  <c r="V28" i="48" l="1"/>
  <c r="V25" i="48"/>
  <c r="X25" i="48" s="1"/>
  <c r="X11" i="48"/>
  <c r="W11" i="48"/>
  <c r="W25" i="48" l="1"/>
  <c r="W28" i="48"/>
  <c r="W36" i="48" s="1"/>
  <c r="X28" i="48"/>
  <c r="V36" i="48"/>
  <c r="X36" i="48" s="1"/>
</calcChain>
</file>

<file path=xl/sharedStrings.xml><?xml version="1.0" encoding="utf-8"?>
<sst xmlns="http://schemas.openxmlformats.org/spreadsheetml/2006/main" count="326" uniqueCount="207">
  <si>
    <t>41T</t>
  </si>
  <si>
    <t>85T</t>
  </si>
  <si>
    <t>87T</t>
  </si>
  <si>
    <t>Total</t>
  </si>
  <si>
    <t>Schedule</t>
  </si>
  <si>
    <t xml:space="preserve">Line No. </t>
  </si>
  <si>
    <t>Description</t>
  </si>
  <si>
    <t>Amount</t>
  </si>
  <si>
    <t>Conversion Factor</t>
  </si>
  <si>
    <t>Revenue Requirement</t>
  </si>
  <si>
    <t>Total to be Recovered</t>
  </si>
  <si>
    <t>Puget Sound Energy</t>
  </si>
  <si>
    <t>Forecasted</t>
  </si>
  <si>
    <t>Volume</t>
  </si>
  <si>
    <t>Demand</t>
  </si>
  <si>
    <t xml:space="preserve"> Commodity</t>
  </si>
  <si>
    <t>Projected</t>
  </si>
  <si>
    <t>Gas Cost</t>
  </si>
  <si>
    <t>Recovery</t>
  </si>
  <si>
    <t>Total Firm</t>
  </si>
  <si>
    <t>Total Interruptible</t>
  </si>
  <si>
    <t>Residential</t>
  </si>
  <si>
    <t>Residential Propane</t>
  </si>
  <si>
    <t>Commercial &amp; Industrial</t>
  </si>
  <si>
    <t>Interruptible</t>
  </si>
  <si>
    <t>Limited Interruptible</t>
  </si>
  <si>
    <t>Non-exclusive Interruptible</t>
  </si>
  <si>
    <t>Check</t>
  </si>
  <si>
    <t>Percent</t>
  </si>
  <si>
    <t>of</t>
  </si>
  <si>
    <t>Firm Schedules</t>
  </si>
  <si>
    <t>Interruptible Schedules</t>
  </si>
  <si>
    <t>Projected Sales Volume (Therms)</t>
  </si>
  <si>
    <t>Allocation</t>
  </si>
  <si>
    <t>Costs</t>
  </si>
  <si>
    <t>With Revenue</t>
  </si>
  <si>
    <t>Sensitive Items</t>
  </si>
  <si>
    <t>Conversion</t>
  </si>
  <si>
    <t>Factor</t>
  </si>
  <si>
    <t>$/therm</t>
  </si>
  <si>
    <t>Line</t>
  </si>
  <si>
    <t>Calculation of Schedule 120 Rates</t>
  </si>
  <si>
    <t>Large Volume</t>
  </si>
  <si>
    <t>86T</t>
  </si>
  <si>
    <t>Contracts</t>
  </si>
  <si>
    <t>$/mantle</t>
  </si>
  <si>
    <t>Proposed Rates</t>
  </si>
  <si>
    <t>Schedule 16 Gas Lights (line 11E * 19 therms/mantle)</t>
  </si>
  <si>
    <r>
      <t>Schedule 101 Volumetric Rates</t>
    </r>
    <r>
      <rPr>
        <vertAlign val="superscript"/>
        <sz val="11"/>
        <color theme="1"/>
        <rFont val="Calibri"/>
        <family val="2"/>
      </rPr>
      <t xml:space="preserve"> (1)</t>
    </r>
  </si>
  <si>
    <t>31T</t>
  </si>
  <si>
    <t>Total Transportation</t>
  </si>
  <si>
    <t>Total Delivered</t>
  </si>
  <si>
    <t>Residential Lights</t>
  </si>
  <si>
    <t>(a)</t>
  </si>
  <si>
    <t>(b)</t>
  </si>
  <si>
    <t>(c)</t>
  </si>
  <si>
    <t>(d)</t>
  </si>
  <si>
    <t>(e)</t>
  </si>
  <si>
    <t>Development of Firm and Interruptible Allocation Factors</t>
  </si>
  <si>
    <t>No.</t>
  </si>
  <si>
    <t>(f)=(d)+(e)</t>
  </si>
  <si>
    <t>(g)=(c)*(f)</t>
  </si>
  <si>
    <t>(h)</t>
  </si>
  <si>
    <t>Forecasted Therm Volumes</t>
  </si>
  <si>
    <t>Estimated Under (Over) Collection from Prior Year</t>
  </si>
  <si>
    <t>Rate Change Impacts by Rate Schedule</t>
  </si>
  <si>
    <t>Base Sch.</t>
  </si>
  <si>
    <t>Therms</t>
  </si>
  <si>
    <t>Sch. 120</t>
  </si>
  <si>
    <t>Rate</t>
  </si>
  <si>
    <t>Base Schedule</t>
  </si>
  <si>
    <t>Sch. 101</t>
  </si>
  <si>
    <t>Sch. 106</t>
  </si>
  <si>
    <t>Sch. 129</t>
  </si>
  <si>
    <t>Sch. 140</t>
  </si>
  <si>
    <t>Sch. 142</t>
  </si>
  <si>
    <t>Total Forecasted</t>
  </si>
  <si>
    <t>Revenue</t>
  </si>
  <si>
    <t>Rate Class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</si>
  <si>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</si>
  <si>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</si>
  <si>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</si>
  <si>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</si>
  <si>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</si>
  <si>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</si>
  <si>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</si>
  <si>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</si>
  <si>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</si>
  <si>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</si>
  <si>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</si>
  <si>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</si>
  <si>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</si>
  <si>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</si>
  <si>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</si>
  <si>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</si>
  <si>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</si>
  <si>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</si>
  <si>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</si>
  <si>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</si>
  <si>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</si>
  <si>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</si>
  <si>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</si>
  <si>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</si>
  <si>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</si>
  <si>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</si>
  <si>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</si>
  <si>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</si>
  <si>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</si>
  <si>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</si>
  <si>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</si>
  <si>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</si>
  <si>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</si>
  <si>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</si>
  <si>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</si>
  <si>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</si>
  <si>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</si>
  <si>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</si>
  <si>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t>Typical Residential Bill Impacts</t>
  </si>
  <si>
    <t>Schedule 120 Conservation</t>
  </si>
  <si>
    <t>Current Rates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</si>
  <si>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</si>
  <si>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</si>
  <si>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</si>
  <si>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</si>
  <si>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</si>
  <si>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</si>
  <si>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 (Sch. 23)</t>
  </si>
  <si>
    <t>Subtotal</t>
  </si>
  <si>
    <t>Volumetric charges ($/therm)</t>
  </si>
  <si>
    <t>Delivery charge (Sch. 23)</t>
  </si>
  <si>
    <t>Decoupling charge (Sch. 142)</t>
  </si>
  <si>
    <t>Conservation charge (Sch. 120)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</si>
  <si>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</si>
  <si>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</si>
  <si>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</si>
  <si>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</si>
  <si>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</si>
  <si>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</si>
  <si>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</si>
  <si>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Gas Schedule 120</t>
  </si>
  <si>
    <t>Conservation Program Tracker</t>
  </si>
  <si>
    <t>Current</t>
  </si>
  <si>
    <t>Proposed</t>
  </si>
  <si>
    <t>Sched 120</t>
  </si>
  <si>
    <t>Volume (Therms)</t>
  </si>
  <si>
    <t>DESCRIPTION</t>
  </si>
  <si>
    <t>BAD DEBTS</t>
  </si>
  <si>
    <t>ANNUAL FILING FEE</t>
  </si>
  <si>
    <t>SUM OF TAXES OTHER</t>
  </si>
  <si>
    <t>PUGET SOUND ENERGY-GAS</t>
  </si>
  <si>
    <t>CONVERSION FACTOR - GAS</t>
  </si>
  <si>
    <t>LINE</t>
  </si>
  <si>
    <t>NO.</t>
  </si>
  <si>
    <t>RATE</t>
  </si>
  <si>
    <t>CONVERSION FACTOR EXCLUDING FEDERAL INCOME TAX ( 1 - LINE 5)</t>
  </si>
  <si>
    <t>Revenue Adjustment Factor (RAF)</t>
  </si>
  <si>
    <t>Note: Updated to new UTC Fees</t>
  </si>
  <si>
    <t>Sch. 141D</t>
  </si>
  <si>
    <t>Sch. 141R</t>
  </si>
  <si>
    <t>Q</t>
  </si>
  <si>
    <t>Dist. Pipeline Provisional (Sch. 141D)</t>
  </si>
  <si>
    <t>Rates Subject to Refund (Sch. 141R)</t>
  </si>
  <si>
    <t>Gas Conservation</t>
  </si>
  <si>
    <t>Conservation Revenue Requirement</t>
  </si>
  <si>
    <t>Sch. 111</t>
  </si>
  <si>
    <t>R</t>
  </si>
  <si>
    <t>Cap &amp; Invest Non-Vol Credit (Sch. 111)</t>
  </si>
  <si>
    <t>Low Income charge (Sch. 129)</t>
  </si>
  <si>
    <t>Low Income Discount charge (Sch. 129D)</t>
  </si>
  <si>
    <t>Property Tax charge (Sch. 140)</t>
  </si>
  <si>
    <t>Cap &amp; Invest charge (Sch. 111)</t>
  </si>
  <si>
    <t>Firm Schedules 23,31,41 (line 2E / line 7E)</t>
  </si>
  <si>
    <t>Interruptible Schedules 85,86,87 (line 3E / line 8E)</t>
  </si>
  <si>
    <t>Sch. 129D</t>
  </si>
  <si>
    <t>2025 Gas Schedule 120 Conservation Filing</t>
  </si>
  <si>
    <t>Proposed Rates Effective May 1, 2025</t>
  </si>
  <si>
    <t xml:space="preserve">Source: F2024 Load Forecast Calendar Month Therms (5-30-2024)  </t>
  </si>
  <si>
    <t>88T</t>
  </si>
  <si>
    <r>
      <rPr>
        <vertAlign val="superscript"/>
        <sz val="10"/>
        <color theme="1"/>
        <rFont val="Calibri"/>
        <family val="2"/>
      </rPr>
      <t xml:space="preserve">(1) </t>
    </r>
    <r>
      <rPr>
        <sz val="10"/>
        <color theme="1"/>
        <rFont val="Calibri"/>
        <family val="2"/>
        <scheme val="minor"/>
      </rPr>
      <t>UG-240708, Volumetric Schedule 101 rates effective November 1, 2024 (excluding revenue sensitive items)</t>
    </r>
  </si>
  <si>
    <t>FOR THE TWELVE MONTHS ENDED June 30, 2023</t>
  </si>
  <si>
    <t>2024 GENERAL RATE CASE</t>
  </si>
  <si>
    <t xml:space="preserve">FEDERAL INCOME TAX </t>
  </si>
  <si>
    <t xml:space="preserve">CONVERSION FACTOR INCL FEDERAL INCOME TAX ( 1 - LINE 5 - LINE 8 ) </t>
  </si>
  <si>
    <t>Effective May 2025</t>
  </si>
  <si>
    <t>2025 Conservation Costs (12  Months)</t>
  </si>
  <si>
    <t>2025 Gas Schedule 120 Conservation</t>
  </si>
  <si>
    <t>12ME Apr. 2026</t>
  </si>
  <si>
    <t>UG-240005</t>
  </si>
  <si>
    <t>May 2025 -</t>
  </si>
  <si>
    <t>Sch. 141LNG</t>
  </si>
  <si>
    <t>Sch. 141PFG</t>
  </si>
  <si>
    <t xml:space="preserve">Revenue at </t>
  </si>
  <si>
    <t>Apr. 2026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</si>
  <si>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</si>
  <si>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S</t>
  </si>
  <si>
    <t>T=sum(G:S)</t>
  </si>
  <si>
    <t>U</t>
  </si>
  <si>
    <t>V=T+U</t>
  </si>
  <si>
    <t>W=U/T</t>
  </si>
  <si>
    <t>Exclusive Interruptible Transportation</t>
  </si>
  <si>
    <t>Exclusive interruptible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</si>
  <si>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2023, at approved rates from UG-240005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</si>
  <si>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29, 2025.</t>
    </r>
  </si>
  <si>
    <t>check</t>
  </si>
  <si>
    <t>LNG charge (Sch. 141LNG)</t>
  </si>
  <si>
    <t>Participatory Funding (Sch. 141PFG)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</si>
  <si>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29,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</si>
</sst>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_);_(&quot;$&quot;* \(#,##0.00000\);_(&quot;$&quot;* &quot;-&quot;??_);_(@_)"/>
    <numFmt numFmtId="166" formatCode="0.000000"/>
    <numFmt numFmtId="167" formatCode="_(&quot;$&quot;* #,##0.000000_);_(&quot;$&quot;* \(#,##0.000000\);_(&quot;$&quot;* &quot;-&quot;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_(&quot;$&quot;* #,##0.00_);_(&quot;$&quot;* \(#,##0.00\);_(&quot;$&quot;* &quot;-&quot;_);_(@_)"/>
    <numFmt numFmtId="171" formatCode="0.0%"/>
    <numFmt numFmtId="172" formatCode="0.00000000"/>
    <numFmt numFmtId="173" formatCode="_(* #,##0.000000_);_(* \(#,##0.000000\);_(* &quot;-&quot;??_);_(@_)"/>
    <numFmt numFmtId="174" formatCode="#,##0.000000_);\(#,##0.000000\)"/>
    <numFmt numFmtId="175" formatCode="0.00000"/>
    <numFmt numFmtId="176" formatCode="0.0000%"/>
  </numFmts>
  <fonts count="24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rgb="FF00808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08">
    <xf numFmtId="0" fontId="0" fillId="0" borderId="0" xfId="0"/>
    <xf numFmtId="10" fontId="0" fillId="0" borderId="0" xfId="0" applyNumberFormat="1" applyFont="1"/>
    <xf numFmtId="0" fontId="0" fillId="0" borderId="0" xfId="0" applyFont="1"/>
    <xf numFmtId="3" fontId="0" fillId="0" borderId="2" xfId="0" applyNumberFormat="1" applyFont="1" applyBorder="1"/>
    <xf numFmtId="10" fontId="0" fillId="0" borderId="2" xfId="0" applyNumberFormat="1" applyFont="1" applyBorder="1"/>
    <xf numFmtId="164" fontId="0" fillId="0" borderId="0" xfId="0" applyNumberFormat="1" applyFont="1"/>
    <xf numFmtId="164" fontId="1" fillId="0" borderId="0" xfId="0" applyNumberFormat="1" applyFont="1" applyFill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2" fontId="0" fillId="0" borderId="0" xfId="0" applyNumberFormat="1" applyFont="1"/>
    <xf numFmtId="167" fontId="0" fillId="0" borderId="0" xfId="0" applyNumberFormat="1" applyFont="1"/>
    <xf numFmtId="39" fontId="0" fillId="0" borderId="0" xfId="0" applyNumberFormat="1" applyFont="1"/>
    <xf numFmtId="0" fontId="0" fillId="0" borderId="1" xfId="0" applyFont="1" applyFill="1" applyBorder="1" applyAlignment="1">
      <alignment horizontal="center"/>
    </xf>
    <xf numFmtId="42" fontId="0" fillId="0" borderId="2" xfId="0" applyNumberFormat="1" applyFont="1" applyBorder="1"/>
    <xf numFmtId="164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164" fontId="4" fillId="0" borderId="0" xfId="0" applyNumberFormat="1" applyFont="1" applyFill="1"/>
    <xf numFmtId="0" fontId="8" fillId="0" borderId="0" xfId="0" applyFont="1" applyAlignment="1">
      <alignment horizontal="centerContinuous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3" fillId="0" borderId="0" xfId="0" applyNumberFormat="1" applyFont="1"/>
    <xf numFmtId="165" fontId="0" fillId="0" borderId="0" xfId="0" applyNumberFormat="1"/>
    <xf numFmtId="42" fontId="0" fillId="0" borderId="0" xfId="0" applyNumberFormat="1"/>
    <xf numFmtId="42" fontId="8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8" fillId="0" borderId="2" xfId="0" applyNumberFormat="1" applyFont="1" applyBorder="1"/>
    <xf numFmtId="3" fontId="0" fillId="0" borderId="0" xfId="0" applyNumberFormat="1"/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3" fontId="12" fillId="0" borderId="0" xfId="0" applyNumberFormat="1" applyFont="1" applyBorder="1"/>
    <xf numFmtId="42" fontId="12" fillId="0" borderId="0" xfId="0" applyNumberFormat="1" applyFont="1" applyBorder="1"/>
    <xf numFmtId="0" fontId="12" fillId="0" borderId="0" xfId="0" applyFont="1"/>
    <xf numFmtId="42" fontId="12" fillId="0" borderId="0" xfId="0" applyNumberFormat="1" applyFont="1"/>
    <xf numFmtId="10" fontId="12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9" fontId="12" fillId="0" borderId="0" xfId="0" applyNumberFormat="1" applyFont="1" applyFill="1"/>
    <xf numFmtId="168" fontId="12" fillId="0" borderId="0" xfId="0" applyNumberFormat="1" applyFont="1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169" fontId="12" fillId="0" borderId="2" xfId="0" applyNumberFormat="1" applyFont="1" applyFill="1" applyBorder="1"/>
    <xf numFmtId="165" fontId="0" fillId="0" borderId="2" xfId="0" applyNumberFormat="1" applyBorder="1"/>
    <xf numFmtId="168" fontId="12" fillId="0" borderId="2" xfId="0" applyNumberFormat="1" applyFont="1" applyFill="1" applyBorder="1"/>
    <xf numFmtId="0" fontId="12" fillId="0" borderId="0" xfId="0" applyFont="1" applyFill="1"/>
    <xf numFmtId="0" fontId="12" fillId="0" borderId="0" xfId="0" applyFont="1" applyBorder="1"/>
    <xf numFmtId="44" fontId="12" fillId="0" borderId="0" xfId="0" applyNumberFormat="1" applyFont="1"/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Continuous"/>
    </xf>
    <xf numFmtId="0" fontId="8" fillId="0" borderId="1" xfId="0" applyFont="1" applyBorder="1" applyAlignment="1">
      <alignment horizontal="centerContinuous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/>
    <xf numFmtId="170" fontId="8" fillId="0" borderId="0" xfId="0" applyNumberFormat="1" applyFont="1"/>
    <xf numFmtId="0" fontId="14" fillId="0" borderId="0" xfId="0" applyFont="1" applyBorder="1"/>
    <xf numFmtId="44" fontId="14" fillId="0" borderId="0" xfId="0" applyNumberFormat="1" applyFont="1" applyBorder="1"/>
    <xf numFmtId="44" fontId="8" fillId="0" borderId="0" xfId="0" applyNumberFormat="1" applyFont="1"/>
    <xf numFmtId="44" fontId="8" fillId="0" borderId="2" xfId="0" applyNumberFormat="1" applyFont="1" applyBorder="1"/>
    <xf numFmtId="164" fontId="14" fillId="0" borderId="0" xfId="0" applyNumberFormat="1" applyFont="1" applyBorder="1"/>
    <xf numFmtId="164" fontId="8" fillId="0" borderId="0" xfId="0" applyNumberFormat="1" applyFont="1"/>
    <xf numFmtId="164" fontId="3" fillId="0" borderId="0" xfId="0" applyNumberFormat="1" applyFont="1" applyFill="1"/>
    <xf numFmtId="164" fontId="8" fillId="0" borderId="2" xfId="0" applyNumberFormat="1" applyFont="1" applyBorder="1"/>
    <xf numFmtId="170" fontId="8" fillId="0" borderId="2" xfId="0" applyNumberFormat="1" applyFont="1" applyBorder="1"/>
    <xf numFmtId="164" fontId="8" fillId="0" borderId="0" xfId="0" applyNumberFormat="1" applyFont="1" applyBorder="1"/>
    <xf numFmtId="44" fontId="8" fillId="0" borderId="0" xfId="0" applyNumberFormat="1" applyFont="1" applyBorder="1"/>
    <xf numFmtId="171" fontId="8" fillId="0" borderId="0" xfId="0" applyNumberFormat="1" applyFont="1"/>
    <xf numFmtId="171" fontId="8" fillId="0" borderId="0" xfId="0" applyNumberFormat="1" applyFont="1" applyBorder="1"/>
    <xf numFmtId="10" fontId="8" fillId="0" borderId="0" xfId="0" applyNumberFormat="1" applyFont="1"/>
    <xf numFmtId="0" fontId="8" fillId="0" borderId="0" xfId="0" applyFont="1" applyFill="1" applyAlignment="1"/>
    <xf numFmtId="0" fontId="8" fillId="0" borderId="0" xfId="0" applyFont="1" applyAlignment="1"/>
    <xf numFmtId="171" fontId="0" fillId="0" borderId="0" xfId="0" applyNumberFormat="1" applyFont="1"/>
    <xf numFmtId="165" fontId="1" fillId="0" borderId="0" xfId="0" applyNumberFormat="1" applyFont="1"/>
    <xf numFmtId="165" fontId="1" fillId="0" borderId="1" xfId="0" applyNumberFormat="1" applyFont="1" applyBorder="1"/>
    <xf numFmtId="165" fontId="0" fillId="0" borderId="0" xfId="0" applyNumberFormat="1" applyFont="1"/>
    <xf numFmtId="165" fontId="0" fillId="0" borderId="2" xfId="0" applyNumberFormat="1" applyFont="1" applyBorder="1"/>
    <xf numFmtId="3" fontId="8" fillId="0" borderId="0" xfId="0" applyNumberFormat="1" applyFont="1" applyFill="1" applyBorder="1"/>
    <xf numFmtId="164" fontId="8" fillId="0" borderId="0" xfId="0" applyNumberFormat="1" applyFont="1" applyFill="1" applyBorder="1"/>
    <xf numFmtId="165" fontId="0" fillId="0" borderId="0" xfId="0" applyNumberFormat="1" applyFont="1" applyFill="1" applyBorder="1"/>
    <xf numFmtId="44" fontId="0" fillId="0" borderId="0" xfId="0" applyNumberFormat="1" applyFont="1" applyFill="1" applyBorder="1"/>
    <xf numFmtId="3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16" fillId="0" borderId="0" xfId="1" applyNumberFormat="1" applyFont="1" applyFill="1" applyAlignment="1"/>
    <xf numFmtId="166" fontId="16" fillId="0" borderId="0" xfId="1" applyNumberFormat="1" applyFont="1" applyFill="1" applyAlignment="1">
      <alignment horizontal="right"/>
    </xf>
    <xf numFmtId="0" fontId="17" fillId="0" borderId="0" xfId="1" applyNumberFormat="1" applyFont="1" applyAlignment="1"/>
    <xf numFmtId="0" fontId="16" fillId="0" borderId="0" xfId="1" applyNumberFormat="1" applyFont="1" applyFill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  <protection locked="0"/>
    </xf>
    <xf numFmtId="0" fontId="16" fillId="0" borderId="0" xfId="1" applyNumberFormat="1" applyFont="1" applyFill="1" applyAlignment="1">
      <alignment horizontal="center"/>
    </xf>
    <xf numFmtId="0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 applyProtection="1">
      <protection locked="0"/>
    </xf>
    <xf numFmtId="0" fontId="16" fillId="0" borderId="1" xfId="1" applyNumberFormat="1" applyFont="1" applyFill="1" applyBorder="1" applyAlignment="1"/>
    <xf numFmtId="0" fontId="16" fillId="0" borderId="1" xfId="1" applyNumberFormat="1" applyFont="1" applyFill="1" applyBorder="1" applyAlignment="1">
      <alignment horizontal="right"/>
    </xf>
    <xf numFmtId="0" fontId="17" fillId="0" borderId="0" xfId="1" applyNumberFormat="1" applyFont="1" applyFill="1" applyAlignment="1"/>
    <xf numFmtId="0" fontId="17" fillId="0" borderId="0" xfId="1" applyNumberFormat="1" applyFont="1" applyFill="1" applyAlignment="1">
      <alignment horizontal="center"/>
    </xf>
    <xf numFmtId="172" fontId="17" fillId="0" borderId="0" xfId="1" applyNumberFormat="1" applyFont="1" applyAlignment="1"/>
    <xf numFmtId="173" fontId="17" fillId="0" borderId="4" xfId="2" applyNumberFormat="1" applyFont="1" applyBorder="1" applyAlignment="1"/>
    <xf numFmtId="0" fontId="17" fillId="2" borderId="0" xfId="1" applyNumberFormat="1" applyFont="1" applyFill="1" applyAlignment="1"/>
    <xf numFmtId="44" fontId="0" fillId="0" borderId="0" xfId="0" applyNumberFormat="1" applyFont="1"/>
    <xf numFmtId="0" fontId="18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centerContinuous"/>
    </xf>
    <xf numFmtId="0" fontId="19" fillId="0" borderId="0" xfId="0" quotePrefix="1" applyFont="1" applyFill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15" fillId="0" borderId="1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quotePrefix="1" applyFont="1" applyFill="1" applyBorder="1" applyAlignment="1">
      <alignment horizontal="left"/>
    </xf>
    <xf numFmtId="169" fontId="15" fillId="0" borderId="0" xfId="0" applyNumberFormat="1" applyFont="1" applyFill="1" applyBorder="1"/>
    <xf numFmtId="174" fontId="15" fillId="0" borderId="0" xfId="0" applyNumberFormat="1" applyFont="1" applyFill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/>
    <xf numFmtId="0" fontId="18" fillId="0" borderId="0" xfId="0" applyFont="1" applyFill="1" applyBorder="1" applyAlignment="1">
      <alignment horizontal="left"/>
    </xf>
    <xf numFmtId="169" fontId="18" fillId="0" borderId="3" xfId="0" applyNumberFormat="1" applyFont="1" applyFill="1" applyBorder="1"/>
    <xf numFmtId="174" fontId="18" fillId="0" borderId="0" xfId="0" applyNumberFormat="1" applyFont="1" applyFill="1" applyBorder="1"/>
    <xf numFmtId="37" fontId="5" fillId="0" borderId="0" xfId="0" applyNumberFormat="1" applyFont="1" applyFill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8" fillId="0" borderId="2" xfId="0" applyNumberFormat="1" applyFont="1" applyFill="1" applyBorder="1"/>
    <xf numFmtId="44" fontId="8" fillId="0" borderId="0" xfId="0" applyNumberFormat="1" applyFont="1" applyFill="1" applyBorder="1"/>
    <xf numFmtId="44" fontId="14" fillId="0" borderId="0" xfId="0" applyNumberFormat="1" applyFont="1" applyFill="1"/>
    <xf numFmtId="0" fontId="8" fillId="0" borderId="0" xfId="0" applyFont="1" applyFill="1"/>
    <xf numFmtId="164" fontId="8" fillId="0" borderId="2" xfId="0" applyNumberFormat="1" applyFont="1" applyFill="1" applyBorder="1"/>
    <xf numFmtId="165" fontId="1" fillId="0" borderId="0" xfId="0" applyNumberFormat="1" applyFont="1" applyFill="1"/>
    <xf numFmtId="3" fontId="3" fillId="0" borderId="0" xfId="0" applyNumberFormat="1" applyFont="1" applyFill="1"/>
    <xf numFmtId="0" fontId="0" fillId="0" borderId="0" xfId="0" applyFont="1" applyFill="1" applyAlignment="1">
      <alignment horizontal="centerContinuous"/>
    </xf>
    <xf numFmtId="0" fontId="0" fillId="0" borderId="1" xfId="0" applyFont="1" applyFill="1" applyBorder="1"/>
    <xf numFmtId="3" fontId="0" fillId="0" borderId="2" xfId="0" applyNumberFormat="1" applyFont="1" applyFill="1" applyBorder="1"/>
    <xf numFmtId="3" fontId="0" fillId="0" borderId="1" xfId="0" applyNumberFormat="1" applyFont="1" applyFill="1" applyBorder="1"/>
    <xf numFmtId="0" fontId="5" fillId="0" borderId="0" xfId="0" applyFont="1" applyFill="1" applyAlignment="1">
      <alignment horizontal="left"/>
    </xf>
    <xf numFmtId="168" fontId="5" fillId="0" borderId="0" xfId="0" applyNumberFormat="1" applyFont="1" applyFill="1"/>
    <xf numFmtId="0" fontId="0" fillId="0" borderId="1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10" fontId="3" fillId="0" borderId="0" xfId="0" applyNumberFormat="1" applyFont="1" applyFill="1"/>
    <xf numFmtId="169" fontId="0" fillId="0" borderId="0" xfId="0" applyNumberFormat="1" applyFont="1" applyFill="1"/>
    <xf numFmtId="10" fontId="0" fillId="0" borderId="0" xfId="0" applyNumberFormat="1" applyFont="1" applyFill="1"/>
    <xf numFmtId="10" fontId="0" fillId="0" borderId="2" xfId="0" applyNumberFormat="1" applyFont="1" applyFill="1" applyBorder="1"/>
    <xf numFmtId="0" fontId="0" fillId="0" borderId="0" xfId="0" applyAlignment="1">
      <alignment horizontal="centerContinuous"/>
    </xf>
    <xf numFmtId="171" fontId="0" fillId="0" borderId="1" xfId="0" applyNumberFormat="1" applyFont="1" applyBorder="1"/>
    <xf numFmtId="42" fontId="0" fillId="0" borderId="2" xfId="0" applyNumberFormat="1" applyFont="1" applyFill="1" applyBorder="1"/>
    <xf numFmtId="43" fontId="0" fillId="0" borderId="0" xfId="0" applyNumberFormat="1" applyFont="1" applyFill="1"/>
    <xf numFmtId="175" fontId="0" fillId="0" borderId="0" xfId="0" applyNumberFormat="1" applyFont="1" applyFill="1"/>
    <xf numFmtId="165" fontId="0" fillId="0" borderId="0" xfId="0" applyNumberFormat="1" applyFont="1" applyFill="1"/>
    <xf numFmtId="0" fontId="5" fillId="0" borderId="0" xfId="0" applyFont="1"/>
    <xf numFmtId="43" fontId="5" fillId="0" borderId="0" xfId="3" applyFont="1" applyFill="1"/>
    <xf numFmtId="0" fontId="22" fillId="0" borderId="0" xfId="0" applyNumberFormat="1" applyFont="1" applyFill="1" applyAlignment="1">
      <alignment horizontal="left"/>
    </xf>
    <xf numFmtId="0" fontId="22" fillId="0" borderId="0" xfId="0" applyNumberFormat="1" applyFont="1" applyFill="1" applyAlignment="1"/>
    <xf numFmtId="166" fontId="22" fillId="0" borderId="0" xfId="0" applyNumberFormat="1" applyFont="1" applyFill="1" applyAlignment="1"/>
    <xf numFmtId="176" fontId="22" fillId="0" borderId="0" xfId="0" applyNumberFormat="1" applyFont="1" applyFill="1" applyAlignment="1">
      <alignment horizontal="center"/>
    </xf>
    <xf numFmtId="166" fontId="22" fillId="0" borderId="1" xfId="0" applyNumberFormat="1" applyFont="1" applyFill="1" applyBorder="1" applyAlignment="1"/>
    <xf numFmtId="0" fontId="22" fillId="0" borderId="0" xfId="0" applyNumberFormat="1" applyFont="1" applyFill="1" applyAlignment="1">
      <alignment horizontal="center"/>
    </xf>
    <xf numFmtId="166" fontId="22" fillId="0" borderId="0" xfId="0" applyNumberFormat="1" applyFont="1" applyFill="1" applyBorder="1" applyAlignment="1"/>
    <xf numFmtId="9" fontId="22" fillId="0" borderId="0" xfId="0" applyNumberFormat="1" applyFont="1" applyFill="1" applyAlignment="1">
      <alignment horizontal="center"/>
    </xf>
    <xf numFmtId="166" fontId="22" fillId="0" borderId="5" xfId="0" applyNumberFormat="1" applyFont="1" applyFill="1" applyBorder="1" applyAlignment="1" applyProtection="1">
      <protection locked="0"/>
    </xf>
    <xf numFmtId="0" fontId="15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horizontal="center" wrapText="1"/>
    </xf>
    <xf numFmtId="169" fontId="18" fillId="0" borderId="6" xfId="0" applyNumberFormat="1" applyFont="1" applyFill="1" applyBorder="1"/>
    <xf numFmtId="0" fontId="18" fillId="0" borderId="0" xfId="0" applyFont="1" applyFill="1"/>
    <xf numFmtId="0" fontId="18" fillId="0" borderId="0" xfId="0" applyFont="1" applyFill="1" applyBorder="1"/>
    <xf numFmtId="169" fontId="23" fillId="0" borderId="0" xfId="0" applyNumberFormat="1" applyFont="1" applyFill="1" applyBorder="1"/>
    <xf numFmtId="168" fontId="0" fillId="0" borderId="0" xfId="0" applyNumberFormat="1" applyFont="1" applyFill="1" applyBorder="1"/>
    <xf numFmtId="37" fontId="15" fillId="0" borderId="0" xfId="0" applyNumberFormat="1" applyFont="1" applyFill="1" applyBorder="1"/>
    <xf numFmtId="0" fontId="0" fillId="0" borderId="0" xfId="0" applyFont="1" applyFill="1" applyAlignment="1">
      <alignment horizontal="center"/>
    </xf>
    <xf numFmtId="3" fontId="3" fillId="0" borderId="0" xfId="0" applyNumberFormat="1" applyFont="1"/>
    <xf numFmtId="168" fontId="5" fillId="0" borderId="0" xfId="3" applyNumberFormat="1" applyFont="1"/>
    <xf numFmtId="0" fontId="3" fillId="0" borderId="1" xfId="0" applyFont="1" applyFill="1" applyBorder="1" applyAlignment="1">
      <alignment horizontal="center"/>
    </xf>
    <xf numFmtId="166" fontId="3" fillId="0" borderId="0" xfId="0" applyNumberFormat="1" applyFont="1" applyFill="1"/>
    <xf numFmtId="42" fontId="3" fillId="0" borderId="2" xfId="0" applyNumberFormat="1" applyFont="1" applyFill="1" applyBorder="1"/>
    <xf numFmtId="17" fontId="0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2" fontId="0" fillId="0" borderId="0" xfId="0" applyNumberFormat="1" applyFill="1" applyBorder="1" applyAlignment="1">
      <alignment horizontal="center"/>
    </xf>
    <xf numFmtId="42" fontId="0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/>
    <xf numFmtId="42" fontId="8" fillId="0" borderId="0" xfId="0" applyNumberFormat="1" applyFont="1" applyFill="1"/>
    <xf numFmtId="42" fontId="1" fillId="0" borderId="0" xfId="0" applyNumberFormat="1" applyFont="1" applyFill="1"/>
    <xf numFmtId="42" fontId="0" fillId="0" borderId="2" xfId="0" applyNumberFormat="1" applyFill="1" applyBorder="1"/>
    <xf numFmtId="42" fontId="8" fillId="0" borderId="2" xfId="0" applyNumberFormat="1" applyFont="1" applyFill="1" applyBorder="1"/>
    <xf numFmtId="42" fontId="0" fillId="0" borderId="0" xfId="0" applyNumberFormat="1" applyFill="1"/>
    <xf numFmtId="10" fontId="0" fillId="0" borderId="0" xfId="0" applyNumberFormat="1" applyFill="1"/>
    <xf numFmtId="165" fontId="3" fillId="0" borderId="0" xfId="0" applyNumberFormat="1" applyFont="1" applyFill="1"/>
    <xf numFmtId="17" fontId="1" fillId="0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44" fontId="1" fillId="0" borderId="0" xfId="0" applyNumberFormat="1" applyFont="1" applyFill="1"/>
    <xf numFmtId="3" fontId="1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7" fontId="0" fillId="0" borderId="0" xfId="0" applyNumberFormat="1" applyFont="1" applyFill="1" applyAlignment="1">
      <alignment horizontal="center"/>
    </xf>
    <xf numFmtId="0" fontId="16" fillId="0" borderId="0" xfId="1" applyNumberFormat="1" applyFont="1" applyFill="1" applyAlignment="1" applyProtection="1">
      <alignment horizontal="center"/>
      <protection locked="0"/>
    </xf>
    <xf numFmtId="0" fontId="16" fillId="0" borderId="0" xfId="1" applyNumberFormat="1" applyFont="1" applyAlignment="1">
      <alignment horizontal="center"/>
    </xf>
    <xf numFmtId="0" fontId="16" fillId="0" borderId="0" xfId="1" applyNumberFormat="1" applyFont="1" applyFill="1" applyAlignment="1">
      <alignment horizontal="center"/>
    </xf>
  </cellXfs>
  <cellStyles count="4">
    <cellStyle name="Comma" xfId="3" builtinId="3"/>
    <cellStyle name="Comma 5" xfId="2"/>
    <cellStyle name="Normal" xfId="0" builtinId="0"/>
    <cellStyle name="Normal - Style1 2 2 3 4" xfId="1"/>
  </cellStyles>
  <dxfs count="0"/>
  <tableStyles count="0" defaultTableStyle="TableStyleMedium9" defaultPivotStyle="PivotStyleLight16"/>
  <colors>
    <mruColors>
      <color rgb="FF0000FF"/>
      <color rgb="FF008080"/>
      <color rgb="FF00999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1\sopscci\2-Budget%20&amp;%20Administration\WUTC_Filing_Program_Planning\2014-2015%20Biennium\2015%20ACP\Exhibit%201\Exhibit%201_Replacement%20filing%20to%20correct%20Rebate%20Processing%20error_Ver2.50__0403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4E-ELECTRIC-REV-REQ-MODEL-22GRC-01-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ottg\AppData\Local\Microsoft\Windows\Temporary%20Internet%20Files\Content.Outlook\GD41MWUJ\Master_2016(17)_REM_Program_Planner_08072015_UNLOCKED%20(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-Energy%20Efficiency\Portfolio%20Operations\Planners\2024_25\Master_Copies\2024_2025_ProgramPlanner_Master_BusinessLightingGran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1\sopscci\1-Biennial%20Planning\2018-2019\Planning%20Teams\R&amp;R\Program_Planners\August11_MasterFiles\2018(19)_RandRProgramPlanner_Master_MultiFamilyNewConstruct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mst\AppData\Local\Microsoft\Windows\INetCache\Content.Outlook\19OYDOB3\2020_2021_RandRProgramPlanner_Master_041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First"/>
      <sheetName val="Budget Category Descriptions"/>
      <sheetName val="Building the 2-year elec. tgt"/>
      <sheetName val="Portfolio--2015 only"/>
      <sheetName val="2015 Sector View Elect"/>
      <sheetName val="2015 Sector View Gas"/>
      <sheetName val=" LIW Detail_REM E201_Elec"/>
      <sheetName val="REM E214 Title Tab "/>
      <sheetName val="HomePrint Detail_REM_E214 Elec"/>
      <sheetName val="WaterHea_Detail_REM_E214 Elec"/>
      <sheetName val="Wx_Detail_REM E214 Elec"/>
      <sheetName val="SpcHeat Detail_REM_E214 Elec"/>
      <sheetName val="HmAppplc_Detail_REM_E214 Elec"/>
      <sheetName val="ShwrHead_Detail_REM_E214  Elec"/>
      <sheetName val="Lighting Detail_REM_E214 Elec"/>
      <sheetName val="MHDS Detail_REM_E214 Elec."/>
      <sheetName val="ARRAWx Detail_REM_E214 Elec"/>
      <sheetName val="HER Detail_REM_E214 elec."/>
      <sheetName val="SFNC Detail_REM E215 Elec"/>
      <sheetName val="NCMfgHome Detail_REM E215 Elec"/>
      <sheetName val="FuelConv Detail_REM E216 Elec"/>
      <sheetName val="MF Retr Detail_REM E217 Elec"/>
      <sheetName val="MFNC Detail_REM E218 Elec"/>
      <sheetName val="LIW Detail_REM G201 Gas"/>
      <sheetName val="REM Gas Sch 214 Title"/>
      <sheetName val="HmPrint Detail_REM G214 Gas"/>
      <sheetName val="WtrHeat Detail_REM G214 Gas"/>
      <sheetName val="Wx Detail_REM G214 Gas"/>
      <sheetName val="SpHeat Detail_REM G214 Gas"/>
      <sheetName val="ShwrHead Detail_REM G214 Gas"/>
      <sheetName val="HmApplSvgs Detail_REM G214 Gas"/>
      <sheetName val="MHDS Detail_REM G214 Gas"/>
      <sheetName val="WebTstat Detail_REM G214 Gas"/>
      <sheetName val="HER Detail_REM G214 gas"/>
      <sheetName val="SFNC Detail_REM G215 Gas"/>
      <sheetName val="NCMfgHomes Detail_REM G215 Gas"/>
      <sheetName val="MF Retr Detail_REM G217 Gas"/>
      <sheetName val="MFNC Detail_REM G218 Gas"/>
      <sheetName val="CI Retr Detail_BEM E250 Elec"/>
      <sheetName val="Bus Lgt Grnts_BEM E250 Elect"/>
      <sheetName val="CI NC Detail_BEM E251 Elec"/>
      <sheetName val="RCM Detail_BEM E253 Elec"/>
      <sheetName val="Cancelled--SBL_Sch 255 Elec"/>
      <sheetName val="LPSD_Detail_BEM E258 Elec"/>
      <sheetName val="TechEval Detail_BEM E261 Elec"/>
      <sheetName val="Comm Lgt Mkdn_E262 Elec"/>
      <sheetName val="Comm Kit-Laund_E262 elec"/>
      <sheetName val="Comm DI_E262 Elec"/>
      <sheetName val="Comm HVAC_E262 elec"/>
      <sheetName val="Comm Lgt_E262 Elec"/>
      <sheetName val="Sm Bus DI_E262 Elec"/>
      <sheetName val="CI Retr Detail_BEM G250 Gas"/>
      <sheetName val="CI NC Detail_BEM G251 Gas"/>
      <sheetName val="RCM Detail_BEM 253 Gas"/>
      <sheetName val="TechEval Detail_BEM G261 Gas"/>
      <sheetName val="Sm Bus DI_G262 Gas"/>
      <sheetName val="Comm Kit-Laund_G262 Gas"/>
      <sheetName val="Comm DI_G262 Gas"/>
      <sheetName val="Comm HVAC_G262 Gas"/>
      <sheetName val="REM Pilots E249 Elec"/>
      <sheetName val="BEM Pilots E249 Elec"/>
      <sheetName val="REM Pilots Detail G249 Gas"/>
      <sheetName val="BEM Pilots Detail G249 Gas"/>
      <sheetName val="NEEA Detail_E254 elec"/>
      <sheetName val="T&amp;D Detail_Reg E292 elec"/>
      <sheetName val="Gas MktTrans_Detail_Gas"/>
      <sheetName val="Portf Suppt Cust Eng Elec Title"/>
      <sheetName val="Engy Adv Detail_PSCE  Elec"/>
      <sheetName val="Events Detail_PSCE Elec"/>
      <sheetName val="Brochures Detail_PSCE Elec"/>
      <sheetName val="Educatn Detail_PSCE E202 Elec"/>
      <sheetName val="Port Suppt_Web Exp Elec Title"/>
      <sheetName val="CustOnline Detail_PSWE_Elec"/>
      <sheetName val="Mkt Intgn Detail_PSWE_Elec"/>
      <sheetName val="ABS Detail_PSWE_Elec"/>
      <sheetName val="Rebt Procg Detail_Elec"/>
      <sheetName val="EEC Detail_PS_Elec"/>
      <sheetName val="TradeAlly Detail_PS_ Elec"/>
      <sheetName val="Port Supp Cust Engage Gas Title"/>
      <sheetName val="Engy Adv Detail_PSCE_Gas"/>
      <sheetName val="Events Detail_PSCE_Gas"/>
      <sheetName val="Brochure Detail_PSCE_Gas"/>
      <sheetName val="Eductn Detail_PSCE_G207 Gas"/>
      <sheetName val="Port Supp_Web Exp Gas Title"/>
      <sheetName val="CustOnline Detail_PSWE_Gas"/>
      <sheetName val="Mkt Intg Detail_PSWE_Gas"/>
      <sheetName val="ABS Detail_PSWE_Gas"/>
      <sheetName val="Rebt Procg_Detail Gas"/>
      <sheetName val="EEC Detail_PS_Gas"/>
      <sheetName val="TradeAlly Detail_PS_gas"/>
      <sheetName val="SuppCrv Detail_R&amp;C_Elec"/>
      <sheetName val="Strat Plan Detail_R&amp;C_Elec"/>
      <sheetName val="Mktg Resch Detail_PS_ Elec"/>
      <sheetName val="Eval Detail_R&amp;C_Elec"/>
      <sheetName val="BECAR Detail_R&amp;C Elec"/>
      <sheetName val="VTeam Detail_R&amp;C_Elec"/>
      <sheetName val="Data &amp; Systms Svcs R&amp;C_ Elec"/>
      <sheetName val="Prog Develpmt_R&amp;C Elec"/>
      <sheetName val="Supp Crv Detail_R&amp;C_gas"/>
      <sheetName val="Strat Pln Detail_R&amp;C_Gas"/>
      <sheetName val="Mktg Rsch Detail_PS_gas"/>
      <sheetName val="Eval Detail_R&amp;C_Gas"/>
      <sheetName val="Vteam Detail_R&amp;C_Gas"/>
      <sheetName val="Data &amp; Systms Svcs_R&amp;C_Gas"/>
      <sheetName val="Prog Develpmnt_R&amp;C Gas"/>
      <sheetName val="Net Mtr Details_Oth Elec E150"/>
      <sheetName val="ElecVehChgInctv_E195_Elec"/>
      <sheetName val="Cancelled_Oth Elec_Renw Ed E248"/>
      <sheetName val="CI Load Details_Oth Elec E271"/>
      <sheetName val="Suspended_Oth Elec_Res DR"/>
      <sheetName val="BEM In-house savings"/>
      <sheetName val="BEM Contracted savings"/>
      <sheetName val="Rebates Detail_BEM E262 Elec"/>
      <sheetName val="Rebates Detail_BEM G262 Gas"/>
      <sheetName val="Sheet1"/>
    </sheetNames>
    <sheetDataSet>
      <sheetData sheetId="0"/>
      <sheetData sheetId="1"/>
      <sheetData sheetId="2"/>
      <sheetData sheetId="3"/>
      <sheetData sheetId="4">
        <row r="7">
          <cell r="T7">
            <v>1571214.29</v>
          </cell>
        </row>
        <row r="8">
          <cell r="T8">
            <v>3009000</v>
          </cell>
        </row>
        <row r="9">
          <cell r="T9">
            <v>634500</v>
          </cell>
        </row>
        <row r="10">
          <cell r="T10">
            <v>2315958.7099999995</v>
          </cell>
        </row>
        <row r="11">
          <cell r="T11">
            <v>294000</v>
          </cell>
        </row>
        <row r="12">
          <cell r="T12">
            <v>7841910</v>
          </cell>
        </row>
        <row r="14">
          <cell r="T14">
            <v>11386446</v>
          </cell>
        </row>
        <row r="15">
          <cell r="T15">
            <v>4138680</v>
          </cell>
        </row>
        <row r="16">
          <cell r="T16">
            <v>66609297.258661754</v>
          </cell>
        </row>
        <row r="17">
          <cell r="T17">
            <v>4665981</v>
          </cell>
        </row>
        <row r="18">
          <cell r="T18">
            <v>472500</v>
          </cell>
        </row>
        <row r="19">
          <cell r="T19">
            <v>0</v>
          </cell>
        </row>
        <row r="21">
          <cell r="T21">
            <v>2062500</v>
          </cell>
        </row>
        <row r="22">
          <cell r="T22">
            <v>25861860</v>
          </cell>
        </row>
        <row r="23">
          <cell r="T23">
            <v>1057398.7120000001</v>
          </cell>
        </row>
        <row r="64">
          <cell r="S64">
            <v>1060385.3394399998</v>
          </cell>
        </row>
        <row r="65">
          <cell r="S65">
            <v>530378.69305</v>
          </cell>
        </row>
        <row r="66">
          <cell r="S66">
            <v>80222.005000000005</v>
          </cell>
        </row>
        <row r="67">
          <cell r="S67">
            <v>81135.196939999994</v>
          </cell>
        </row>
        <row r="69">
          <cell r="S69">
            <v>562455</v>
          </cell>
        </row>
        <row r="70">
          <cell r="S70">
            <v>298797.19500000001</v>
          </cell>
        </row>
        <row r="71">
          <cell r="S71">
            <v>67586</v>
          </cell>
        </row>
        <row r="72">
          <cell r="S72">
            <v>825839.83129999996</v>
          </cell>
        </row>
        <row r="73">
          <cell r="S73">
            <v>453835.93251999997</v>
          </cell>
        </row>
        <row r="74">
          <cell r="S74">
            <v>740193.16032000002</v>
          </cell>
        </row>
        <row r="75">
          <cell r="S75">
            <v>814515.85100000002</v>
          </cell>
        </row>
        <row r="76">
          <cell r="S76">
            <v>60333</v>
          </cell>
        </row>
        <row r="77">
          <cell r="S77">
            <v>5575677.2045699991</v>
          </cell>
        </row>
        <row r="93">
          <cell r="S93">
            <v>760196.40487241256</v>
          </cell>
        </row>
        <row r="94">
          <cell r="S94">
            <v>2878145.7829999998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3638342.1878724126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  <sheetName val="GRC24-Variable Cost_TY (2)"/>
    </sheetNames>
    <sheetDataSet>
      <sheetData sheetId="0"/>
      <sheetData sheetId="1"/>
      <sheetData sheetId="2"/>
      <sheetData sheetId="3"/>
      <sheetData sheetId="4"/>
      <sheetData sheetId="5">
        <row r="65">
          <cell r="G65">
            <v>-41561778.390603453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31">
          <cell r="C31">
            <v>-29004336.642303798</v>
          </cell>
        </row>
      </sheetData>
      <sheetData sheetId="14"/>
      <sheetData sheetId="15"/>
      <sheetData sheetId="16"/>
      <sheetData sheetId="17"/>
      <sheetData sheetId="18">
        <row r="30">
          <cell r="C30">
            <v>95361604.0746582</v>
          </cell>
        </row>
      </sheetData>
      <sheetData sheetId="19"/>
      <sheetData sheetId="20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Reference"/>
      <sheetName val="Summary"/>
      <sheetName val="E201_18230611"/>
      <sheetName val="G201_18230661"/>
      <sheetName val="Shell_LIW_E"/>
      <sheetName val="Shell_E"/>
      <sheetName val="G214_18230434G"/>
      <sheetName val="18230625_HP"/>
      <sheetName val="18230626_WHeat"/>
      <sheetName val="18230628_SpHeat"/>
      <sheetName val="18230638_SpHeat"/>
      <sheetName val="18230627_Wx"/>
      <sheetName val="18230637_Wx"/>
      <sheetName val="18230634_MHDS"/>
      <sheetName val="18230612_FConv"/>
      <sheetName val="18230461_HER"/>
      <sheetName val="18230738_HER"/>
      <sheetName val="18230522_RER"/>
      <sheetName val="18230622_RER"/>
      <sheetName val="18230434_HApp"/>
      <sheetName val="18230434G_HApp"/>
      <sheetName val="18230435_SH"/>
      <sheetName val="18230700_SH"/>
      <sheetName val="18230440_RLg"/>
      <sheetName val="18230714_BLg"/>
      <sheetName val="18230687_WET"/>
      <sheetName val="TBD_WET_E"/>
      <sheetName val="18230501_ARRA"/>
      <sheetName val="18602231_ARRA"/>
      <sheetName val="18230405_SFNC"/>
      <sheetName val="18230684_SFNC"/>
      <sheetName val="18230407_MFR"/>
      <sheetName val="18230736_MFR"/>
      <sheetName val="18230486_MFNC"/>
      <sheetName val="18230673_MFNC"/>
      <sheetName val="18230433_SFMH"/>
      <sheetName val="18230716_CKit"/>
      <sheetName val="18231027_CKit"/>
      <sheetName val="18230717_CDI"/>
      <sheetName val="18231028_CDI"/>
      <sheetName val="18230718_CHVAC"/>
      <sheetName val="18231029_CHVAC"/>
      <sheetName val="18231022_SBDI"/>
      <sheetName val="18231134_SBDI"/>
      <sheetName val="18230746_E"/>
      <sheetName val="18231031_G"/>
      <sheetName val="Small Ag DI - E"/>
      <sheetName val="Small Ag DI - G"/>
      <sheetName val="Lodging DI - E"/>
      <sheetName val="Lodging DI - G"/>
      <sheetName val="lookups"/>
      <sheetName val="CE_Res_Elect"/>
      <sheetName val="CE_Res_ElectWO"/>
      <sheetName val="CE_Res_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6">
          <cell r="D6" t="str">
            <v>calculated</v>
          </cell>
          <cell r="F6">
            <v>1</v>
          </cell>
          <cell r="H6" t="str">
            <v>Energy Advisor</v>
          </cell>
        </row>
        <row r="7">
          <cell r="D7" t="str">
            <v>per home</v>
          </cell>
          <cell r="F7">
            <v>2</v>
          </cell>
          <cell r="H7" t="str">
            <v>Energy Management Engineer</v>
          </cell>
        </row>
        <row r="8">
          <cell r="D8" t="str">
            <v>per unit</v>
          </cell>
          <cell r="F8">
            <v>3</v>
          </cell>
          <cell r="H8" t="str">
            <v>Market Analyst</v>
          </cell>
        </row>
        <row r="9">
          <cell r="D9" t="str">
            <v>per ton</v>
          </cell>
          <cell r="F9">
            <v>4</v>
          </cell>
          <cell r="H9" t="str">
            <v>Market Manager</v>
          </cell>
        </row>
        <row r="10">
          <cell r="D10" t="str">
            <v>linear foot</v>
          </cell>
          <cell r="F10">
            <v>5</v>
          </cell>
          <cell r="H10" t="str">
            <v>Program Coordinator</v>
          </cell>
        </row>
        <row r="11">
          <cell r="D11" t="str">
            <v>square foot</v>
          </cell>
          <cell r="F11">
            <v>6</v>
          </cell>
          <cell r="H11" t="str">
            <v>Program Implementer</v>
          </cell>
        </row>
        <row r="12">
          <cell r="F12">
            <v>7</v>
          </cell>
          <cell r="H12" t="str">
            <v>Program Manager</v>
          </cell>
        </row>
        <row r="13">
          <cell r="F13">
            <v>8</v>
          </cell>
          <cell r="H13" t="str">
            <v>Quality Assurance Specialist</v>
          </cell>
        </row>
        <row r="14">
          <cell r="F14">
            <v>9</v>
          </cell>
          <cell r="H14" t="str">
            <v>Rebate Processor</v>
          </cell>
        </row>
        <row r="15">
          <cell r="F15">
            <v>10</v>
          </cell>
          <cell r="H15" t="str">
            <v>Senior Evaluation Analyst</v>
          </cell>
        </row>
        <row r="16">
          <cell r="F16">
            <v>11</v>
          </cell>
          <cell r="H16" t="str">
            <v xml:space="preserve">Senior Market Analyst </v>
          </cell>
        </row>
        <row r="17">
          <cell r="F17">
            <v>12</v>
          </cell>
          <cell r="H17" t="str">
            <v>Supervisor</v>
          </cell>
        </row>
        <row r="18">
          <cell r="F18">
            <v>13</v>
          </cell>
          <cell r="H18" t="str">
            <v>Other</v>
          </cell>
        </row>
        <row r="19">
          <cell r="F19">
            <v>14</v>
          </cell>
        </row>
        <row r="20">
          <cell r="F20">
            <v>15</v>
          </cell>
        </row>
        <row r="21">
          <cell r="F21">
            <v>16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</sheetData>
      <sheetData sheetId="52"/>
      <sheetData sheetId="53"/>
      <sheetData sheetId="5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"/>
      <sheetName val="NOTES"/>
      <sheetName val="_MAIN_E"/>
      <sheetName val="_EXBT2_MAIN_E"/>
      <sheetName val="_MAIN_VAR_E"/>
      <sheetName val="_EXBT2_MAIN_VAR_E"/>
      <sheetName val="_MAIN_LIW_E"/>
      <sheetName val="_EXBT2_MAIN_LIW_E"/>
      <sheetName val="18230724_E"/>
      <sheetName val="_MAIN_CG_G"/>
      <sheetName val="_MAIN_SPD_E"/>
      <sheetName val="1_LOOKUPS"/>
      <sheetName val="RATES_TITLE"/>
      <sheetName val="PROGRAMS"/>
      <sheetName val="AVOIDEDCOSTS"/>
      <sheetName val="2024_2025_ProgramPlanner_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6">
          <cell r="B26">
            <v>0</v>
          </cell>
        </row>
      </sheetData>
      <sheetData sheetId="9"/>
      <sheetData sheetId="10"/>
      <sheetData sheetId="11">
        <row r="15">
          <cell r="P15">
            <v>9</v>
          </cell>
        </row>
        <row r="20">
          <cell r="P20" t="str">
            <v>Spending</v>
          </cell>
        </row>
        <row r="21">
          <cell r="P21" t="str">
            <v>Savings</v>
          </cell>
        </row>
        <row r="22">
          <cell r="P22" t="str">
            <v>Both</v>
          </cell>
        </row>
      </sheetData>
      <sheetData sheetId="12"/>
      <sheetData sheetId="13"/>
      <sheetData sheetId="14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18230486_E"/>
      <sheetName val="18230673_G"/>
      <sheetName val="x_LIW"/>
      <sheetName val="CE_Res_Elect"/>
      <sheetName val="CE_Res_ElectWO"/>
      <sheetName val="CE_Res_Gas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4">
          <cell r="B44" t="str">
            <v>Yes</v>
          </cell>
        </row>
        <row r="45">
          <cell r="B45" t="str">
            <v>No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"/>
      <sheetName val="_MAIN"/>
      <sheetName val="_MAIN_VAR"/>
      <sheetName val="_MAIN_LIW"/>
      <sheetName val="NOTES"/>
      <sheetName val="_EXBT2_MAIN"/>
      <sheetName val="AVOIDEDCOSTS"/>
      <sheetName val="RATES"/>
      <sheetName val="PROGRAMS"/>
      <sheetName val="LABORTITLE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2020</v>
          </cell>
        </row>
        <row r="5">
          <cell r="B5">
            <v>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="90" zoomScaleNormal="90" workbookViewId="0">
      <selection activeCell="E28" sqref="E28"/>
    </sheetView>
  </sheetViews>
  <sheetFormatPr defaultColWidth="8.7109375" defaultRowHeight="15" x14ac:dyDescent="0.25"/>
  <cols>
    <col min="1" max="1" width="4.7109375" style="2" customWidth="1"/>
    <col min="2" max="2" width="3.42578125" style="2" customWidth="1"/>
    <col min="3" max="3" width="28.5703125" style="2" customWidth="1"/>
    <col min="4" max="4" width="10.140625" style="2" bestFit="1" customWidth="1"/>
    <col min="5" max="5" width="15.140625" style="2" customWidth="1"/>
    <col min="6" max="6" width="13" style="2" customWidth="1"/>
    <col min="7" max="7" width="15.140625" style="2" customWidth="1"/>
    <col min="8" max="8" width="8.7109375" style="2"/>
    <col min="9" max="9" width="12.28515625" style="2" bestFit="1" customWidth="1"/>
    <col min="10" max="10" width="12" style="2" bestFit="1" customWidth="1"/>
    <col min="11" max="11" width="33.140625" style="2" customWidth="1"/>
    <col min="12" max="16384" width="8.7109375" style="2"/>
  </cols>
  <sheetData>
    <row r="1" spans="1:9" x14ac:dyDescent="0.25">
      <c r="A1" s="201" t="s">
        <v>11</v>
      </c>
      <c r="B1" s="201"/>
      <c r="C1" s="201"/>
      <c r="D1" s="201"/>
      <c r="E1" s="201"/>
      <c r="F1" s="201"/>
      <c r="G1" s="201"/>
    </row>
    <row r="2" spans="1:9" x14ac:dyDescent="0.25">
      <c r="A2" s="201" t="s">
        <v>174</v>
      </c>
      <c r="B2" s="201"/>
      <c r="C2" s="201"/>
      <c r="D2" s="201"/>
      <c r="E2" s="201"/>
      <c r="F2" s="201"/>
      <c r="G2" s="201"/>
    </row>
    <row r="3" spans="1:9" x14ac:dyDescent="0.25">
      <c r="A3" s="201" t="s">
        <v>41</v>
      </c>
      <c r="B3" s="201"/>
      <c r="C3" s="201"/>
      <c r="D3" s="201"/>
      <c r="E3" s="201"/>
      <c r="F3" s="201"/>
      <c r="G3" s="201"/>
    </row>
    <row r="4" spans="1:9" x14ac:dyDescent="0.25">
      <c r="A4" s="201" t="s">
        <v>175</v>
      </c>
      <c r="B4" s="201"/>
      <c r="C4" s="201"/>
      <c r="D4" s="201"/>
      <c r="E4" s="201"/>
      <c r="F4" s="201"/>
      <c r="G4" s="201"/>
    </row>
    <row r="5" spans="1:9" x14ac:dyDescent="0.25">
      <c r="A5" s="17"/>
      <c r="B5" s="17"/>
      <c r="C5" s="17"/>
      <c r="D5" s="17"/>
      <c r="E5" s="17"/>
      <c r="F5" s="17"/>
      <c r="G5" s="17"/>
    </row>
    <row r="6" spans="1:9" x14ac:dyDescent="0.25">
      <c r="A6" s="172" t="s">
        <v>40</v>
      </c>
      <c r="B6" s="17"/>
      <c r="C6" s="17"/>
      <c r="D6" s="10"/>
      <c r="E6" s="10"/>
      <c r="F6" s="10" t="s">
        <v>37</v>
      </c>
      <c r="G6" s="10" t="s">
        <v>35</v>
      </c>
    </row>
    <row r="7" spans="1:9" x14ac:dyDescent="0.25">
      <c r="A7" s="14" t="s">
        <v>59</v>
      </c>
      <c r="B7" s="139" t="s">
        <v>6</v>
      </c>
      <c r="C7" s="139"/>
      <c r="D7" s="14" t="s">
        <v>33</v>
      </c>
      <c r="E7" s="14" t="s">
        <v>34</v>
      </c>
      <c r="F7" s="14" t="s">
        <v>38</v>
      </c>
      <c r="G7" s="14" t="s">
        <v>36</v>
      </c>
      <c r="I7" s="10"/>
    </row>
    <row r="8" spans="1:9" x14ac:dyDescent="0.25">
      <c r="A8" s="140"/>
      <c r="B8" s="141"/>
      <c r="C8" s="141" t="s">
        <v>53</v>
      </c>
      <c r="D8" s="10" t="s">
        <v>54</v>
      </c>
      <c r="E8" s="10" t="s">
        <v>55</v>
      </c>
      <c r="F8" s="10" t="s">
        <v>56</v>
      </c>
      <c r="G8" s="10" t="s">
        <v>57</v>
      </c>
      <c r="I8" s="10"/>
    </row>
    <row r="9" spans="1:9" x14ac:dyDescent="0.25">
      <c r="A9" s="172">
        <v>1</v>
      </c>
      <c r="B9" s="17" t="s">
        <v>9</v>
      </c>
      <c r="C9" s="17"/>
      <c r="D9" s="17"/>
      <c r="E9" s="18"/>
      <c r="F9" s="17"/>
      <c r="G9" s="18"/>
    </row>
    <row r="10" spans="1:9" x14ac:dyDescent="0.25">
      <c r="A10" s="172">
        <f>A9+1</f>
        <v>2</v>
      </c>
      <c r="B10" s="17"/>
      <c r="C10" s="17" t="s">
        <v>30</v>
      </c>
      <c r="D10" s="142">
        <f>Allocation!I16</f>
        <v>0.95934700798273831</v>
      </c>
      <c r="E10" s="18">
        <f>E12*D10</f>
        <v>34929645.965628929</v>
      </c>
      <c r="F10" s="176">
        <f>'Rev Requirement'!D8</f>
        <v>0.95369999999999999</v>
      </c>
      <c r="G10" s="143">
        <f>E10/F10</f>
        <v>36625402.082026772</v>
      </c>
      <c r="I10" s="12"/>
    </row>
    <row r="11" spans="1:9" x14ac:dyDescent="0.25">
      <c r="A11" s="172">
        <f t="shared" ref="A11:A24" si="0">A10+1</f>
        <v>3</v>
      </c>
      <c r="B11" s="17"/>
      <c r="C11" s="17" t="s">
        <v>31</v>
      </c>
      <c r="D11" s="144">
        <f>1-D10</f>
        <v>4.0652992017261691E-2</v>
      </c>
      <c r="E11" s="18">
        <f>E12-E10</f>
        <v>1480167.8712610751</v>
      </c>
      <c r="F11" s="176">
        <f>'Rev Requirement'!D10</f>
        <v>0.95369999999999999</v>
      </c>
      <c r="G11" s="18">
        <f>E11/F11</f>
        <v>1552026.707833779</v>
      </c>
    </row>
    <row r="12" spans="1:9" x14ac:dyDescent="0.25">
      <c r="A12" s="172">
        <f t="shared" si="0"/>
        <v>4</v>
      </c>
      <c r="B12" s="17"/>
      <c r="C12" s="17" t="s">
        <v>3</v>
      </c>
      <c r="D12" s="145">
        <f>SUM(D10:D11)</f>
        <v>1</v>
      </c>
      <c r="E12" s="177">
        <f>'Rev Requirement'!C12</f>
        <v>36409813.836890005</v>
      </c>
      <c r="F12" s="17"/>
      <c r="G12" s="177">
        <f>'Rev Requirement'!E12</f>
        <v>38177428.789860547</v>
      </c>
      <c r="I12" s="152"/>
    </row>
    <row r="13" spans="1:9" x14ac:dyDescent="0.25">
      <c r="A13" s="172">
        <f t="shared" si="0"/>
        <v>5</v>
      </c>
      <c r="B13" s="17"/>
      <c r="C13" s="17" t="s">
        <v>27</v>
      </c>
      <c r="D13" s="17"/>
      <c r="E13" s="18">
        <f>E12-SUM(E10:E11)</f>
        <v>0</v>
      </c>
      <c r="F13" s="17"/>
      <c r="G13" s="18">
        <f>G12-SUM(G10:G11)</f>
        <v>0</v>
      </c>
    </row>
    <row r="14" spans="1:9" x14ac:dyDescent="0.25">
      <c r="A14" s="172"/>
      <c r="B14" s="17"/>
      <c r="C14" s="17"/>
      <c r="D14" s="17"/>
      <c r="E14" s="17"/>
      <c r="F14" s="17"/>
      <c r="G14" s="17"/>
    </row>
    <row r="15" spans="1:9" x14ac:dyDescent="0.25">
      <c r="A15" s="172">
        <f>A13+1</f>
        <v>6</v>
      </c>
      <c r="B15" s="17" t="s">
        <v>32</v>
      </c>
      <c r="C15" s="17"/>
      <c r="D15" s="17"/>
      <c r="E15" s="17"/>
      <c r="F15" s="17"/>
      <c r="G15" s="17"/>
    </row>
    <row r="16" spans="1:9" x14ac:dyDescent="0.25">
      <c r="A16" s="172">
        <f t="shared" si="0"/>
        <v>7</v>
      </c>
      <c r="B16" s="17"/>
      <c r="C16" s="17" t="s">
        <v>30</v>
      </c>
      <c r="D16" s="17"/>
      <c r="E16" s="17"/>
      <c r="F16" s="17"/>
      <c r="G16" s="132">
        <f>'Forecasted Volume'!N24</f>
        <v>852506144</v>
      </c>
    </row>
    <row r="17" spans="1:9" x14ac:dyDescent="0.25">
      <c r="A17" s="172">
        <f t="shared" si="0"/>
        <v>8</v>
      </c>
      <c r="B17" s="17"/>
      <c r="C17" s="17" t="s">
        <v>31</v>
      </c>
      <c r="D17" s="17"/>
      <c r="E17" s="17"/>
      <c r="F17" s="17"/>
      <c r="G17" s="132">
        <f>'Forecasted Volume'!N25</f>
        <v>40050994</v>
      </c>
    </row>
    <row r="18" spans="1:9" x14ac:dyDescent="0.25">
      <c r="A18" s="172">
        <f t="shared" si="0"/>
        <v>9</v>
      </c>
      <c r="B18" s="17"/>
      <c r="C18" s="17" t="s">
        <v>3</v>
      </c>
      <c r="D18" s="17"/>
      <c r="E18" s="17"/>
      <c r="F18" s="17"/>
      <c r="G18" s="135">
        <f>SUM(G16:G17)</f>
        <v>892557138</v>
      </c>
    </row>
    <row r="19" spans="1:9" x14ac:dyDescent="0.25">
      <c r="A19" s="172"/>
      <c r="B19" s="17"/>
      <c r="C19" s="17"/>
      <c r="D19" s="17"/>
      <c r="E19" s="17"/>
      <c r="F19" s="17"/>
      <c r="G19" s="17"/>
    </row>
    <row r="20" spans="1:9" x14ac:dyDescent="0.25">
      <c r="A20" s="172">
        <f>A18+1</f>
        <v>10</v>
      </c>
      <c r="B20" s="17" t="s">
        <v>46</v>
      </c>
      <c r="C20" s="17"/>
      <c r="D20" s="17"/>
      <c r="E20" s="17"/>
      <c r="F20" s="17"/>
      <c r="G20" s="17"/>
    </row>
    <row r="21" spans="1:9" x14ac:dyDescent="0.25">
      <c r="A21" s="172">
        <f t="shared" si="0"/>
        <v>11</v>
      </c>
      <c r="B21" s="17"/>
      <c r="C21" s="17" t="s">
        <v>171</v>
      </c>
      <c r="D21" s="17"/>
      <c r="E21" s="17"/>
      <c r="F21" s="17" t="s">
        <v>39</v>
      </c>
      <c r="G21" s="88">
        <f>ROUND(G10/G16,5)</f>
        <v>4.2959999999999998E-2</v>
      </c>
      <c r="H21" s="150"/>
      <c r="I21" s="151"/>
    </row>
    <row r="22" spans="1:9" x14ac:dyDescent="0.25">
      <c r="A22" s="172">
        <f t="shared" si="0"/>
        <v>12</v>
      </c>
      <c r="B22" s="17"/>
      <c r="C22" s="17" t="s">
        <v>172</v>
      </c>
      <c r="D22" s="17"/>
      <c r="E22" s="17"/>
      <c r="F22" s="17" t="s">
        <v>39</v>
      </c>
      <c r="G22" s="88">
        <f>ROUND(G11/G17,5)</f>
        <v>3.875E-2</v>
      </c>
      <c r="H22" s="150"/>
      <c r="I22" s="151"/>
    </row>
    <row r="23" spans="1:9" x14ac:dyDescent="0.25">
      <c r="A23" s="172">
        <f t="shared" si="0"/>
        <v>13</v>
      </c>
      <c r="B23" s="17"/>
      <c r="C23" s="17"/>
      <c r="D23" s="17"/>
      <c r="E23" s="17"/>
      <c r="F23" s="17"/>
      <c r="G23" s="89"/>
    </row>
    <row r="24" spans="1:9" x14ac:dyDescent="0.25">
      <c r="A24" s="172">
        <f t="shared" si="0"/>
        <v>14</v>
      </c>
      <c r="B24" s="17"/>
      <c r="C24" s="17" t="s">
        <v>47</v>
      </c>
      <c r="D24" s="17"/>
      <c r="E24" s="17"/>
      <c r="F24" s="17" t="s">
        <v>45</v>
      </c>
      <c r="G24" s="89">
        <f>ROUND(G21*19,2)</f>
        <v>0.82</v>
      </c>
    </row>
    <row r="25" spans="1:9" x14ac:dyDescent="0.25">
      <c r="A25" s="17"/>
      <c r="B25" s="17"/>
      <c r="C25" s="17"/>
      <c r="D25" s="17"/>
      <c r="E25" s="17"/>
      <c r="F25" s="17"/>
      <c r="G25" s="17"/>
    </row>
    <row r="26" spans="1:9" x14ac:dyDescent="0.25">
      <c r="G26" s="13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H14" sqref="H14"/>
    </sheetView>
  </sheetViews>
  <sheetFormatPr defaultRowHeight="15" x14ac:dyDescent="0.25"/>
  <cols>
    <col min="1" max="1" width="7" customWidth="1"/>
    <col min="2" max="2" width="61.28515625" customWidth="1"/>
    <col min="3" max="3" width="3.85546875" customWidth="1"/>
    <col min="5" max="5" width="14.5703125" customWidth="1"/>
  </cols>
  <sheetData>
    <row r="1" spans="1:8" x14ac:dyDescent="0.25">
      <c r="A1" s="92"/>
      <c r="B1" s="92"/>
      <c r="C1" s="92"/>
      <c r="D1" s="92"/>
      <c r="E1" s="93"/>
    </row>
    <row r="2" spans="1:8" x14ac:dyDescent="0.25">
      <c r="A2" s="94"/>
      <c r="B2" s="205" t="s">
        <v>149</v>
      </c>
      <c r="C2" s="205"/>
      <c r="D2" s="205"/>
      <c r="E2" s="205"/>
    </row>
    <row r="3" spans="1:8" x14ac:dyDescent="0.25">
      <c r="A3" s="95"/>
      <c r="B3" s="206" t="s">
        <v>150</v>
      </c>
      <c r="C3" s="206"/>
      <c r="D3" s="206"/>
      <c r="E3" s="206"/>
    </row>
    <row r="4" spans="1:8" x14ac:dyDescent="0.25">
      <c r="A4" s="96"/>
      <c r="B4" s="207" t="s">
        <v>179</v>
      </c>
      <c r="C4" s="207"/>
      <c r="D4" s="207"/>
      <c r="E4" s="207"/>
    </row>
    <row r="5" spans="1:8" x14ac:dyDescent="0.25">
      <c r="A5" s="96"/>
      <c r="B5" s="207" t="s">
        <v>180</v>
      </c>
      <c r="C5" s="207"/>
      <c r="D5" s="207"/>
      <c r="E5" s="207"/>
    </row>
    <row r="6" spans="1:8" x14ac:dyDescent="0.25">
      <c r="A6" s="92"/>
      <c r="B6" s="92"/>
      <c r="C6" s="92"/>
      <c r="D6" s="92"/>
      <c r="E6" s="92"/>
    </row>
    <row r="7" spans="1:8" x14ac:dyDescent="0.25">
      <c r="A7" s="97" t="s">
        <v>151</v>
      </c>
      <c r="B7" s="92"/>
      <c r="C7" s="92"/>
      <c r="D7" s="92"/>
      <c r="E7" s="92"/>
    </row>
    <row r="8" spans="1:8" x14ac:dyDescent="0.25">
      <c r="A8" s="98" t="s">
        <v>152</v>
      </c>
      <c r="B8" s="99" t="s">
        <v>145</v>
      </c>
      <c r="C8" s="100"/>
      <c r="D8" s="100"/>
      <c r="E8" s="101" t="s">
        <v>153</v>
      </c>
    </row>
    <row r="9" spans="1:8" x14ac:dyDescent="0.25">
      <c r="A9" s="102"/>
      <c r="B9" s="102"/>
      <c r="C9" s="102"/>
      <c r="D9" s="102"/>
      <c r="E9" s="103"/>
    </row>
    <row r="10" spans="1:8" x14ac:dyDescent="0.25">
      <c r="A10" s="103">
        <v>1</v>
      </c>
      <c r="B10" s="154" t="s">
        <v>146</v>
      </c>
      <c r="C10" s="155"/>
      <c r="D10" s="155"/>
      <c r="E10" s="156">
        <v>2.8909999999999999E-3</v>
      </c>
      <c r="G10" s="153"/>
      <c r="H10" s="182"/>
    </row>
    <row r="11" spans="1:8" x14ac:dyDescent="0.25">
      <c r="A11" s="103">
        <v>2</v>
      </c>
      <c r="B11" s="154" t="s">
        <v>147</v>
      </c>
      <c r="C11" s="155"/>
      <c r="D11" s="155"/>
      <c r="E11" s="156">
        <v>5.0000000000000001E-3</v>
      </c>
      <c r="G11" s="152"/>
    </row>
    <row r="12" spans="1:8" x14ac:dyDescent="0.25">
      <c r="A12" s="103">
        <v>3</v>
      </c>
      <c r="B12" s="154" t="str">
        <f>"STATE UTILITY TAX - NET OF BAD DEBTS ( "&amp;D12*100&amp;"% - ( LINE 1 * "&amp;D12*100&amp;"%) )"</f>
        <v>STATE UTILITY TAX - NET OF BAD DEBTS ( 3.852% - ( LINE 1 * 3.852%) )</v>
      </c>
      <c r="C12" s="155"/>
      <c r="D12" s="157">
        <v>3.8519999999999999E-2</v>
      </c>
      <c r="E12" s="158">
        <v>3.8408999999999999E-2</v>
      </c>
    </row>
    <row r="13" spans="1:8" x14ac:dyDescent="0.25">
      <c r="A13" s="103">
        <v>4</v>
      </c>
      <c r="B13" s="154"/>
      <c r="C13" s="155"/>
      <c r="D13" s="159"/>
      <c r="E13" s="160"/>
    </row>
    <row r="14" spans="1:8" x14ac:dyDescent="0.25">
      <c r="A14" s="103">
        <v>5</v>
      </c>
      <c r="B14" s="154" t="s">
        <v>148</v>
      </c>
      <c r="C14" s="155"/>
      <c r="D14" s="159"/>
      <c r="E14" s="156">
        <v>4.6300000000000001E-2</v>
      </c>
    </row>
    <row r="15" spans="1:8" x14ac:dyDescent="0.25">
      <c r="A15" s="103">
        <v>6</v>
      </c>
      <c r="B15" s="155"/>
      <c r="C15" s="155"/>
      <c r="D15" s="159"/>
      <c r="E15" s="156"/>
    </row>
    <row r="16" spans="1:8" x14ac:dyDescent="0.25">
      <c r="A16" s="103">
        <v>7</v>
      </c>
      <c r="B16" s="155" t="s">
        <v>154</v>
      </c>
      <c r="C16" s="155"/>
      <c r="D16" s="159"/>
      <c r="E16" s="156">
        <v>0.95369999999999999</v>
      </c>
    </row>
    <row r="17" spans="1:5" x14ac:dyDescent="0.25">
      <c r="A17" s="103">
        <v>8</v>
      </c>
      <c r="B17" s="154" t="s">
        <v>181</v>
      </c>
      <c r="C17" s="155"/>
      <c r="D17" s="161">
        <v>0.21</v>
      </c>
      <c r="E17" s="156">
        <v>0.20027700000000001</v>
      </c>
    </row>
    <row r="18" spans="1:5" x14ac:dyDescent="0.25">
      <c r="A18" s="103">
        <v>9</v>
      </c>
      <c r="B18" s="154" t="s">
        <v>182</v>
      </c>
      <c r="C18" s="155"/>
      <c r="D18" s="155"/>
      <c r="E18" s="162">
        <v>0.75342299999999995</v>
      </c>
    </row>
    <row r="19" spans="1:5" x14ac:dyDescent="0.25">
      <c r="A19" s="102"/>
      <c r="B19" s="102"/>
      <c r="C19" s="102"/>
      <c r="D19" s="102"/>
      <c r="E19" s="103"/>
    </row>
    <row r="20" spans="1:5" x14ac:dyDescent="0.25">
      <c r="A20" s="94"/>
      <c r="B20" s="94"/>
      <c r="C20" s="94"/>
      <c r="D20" s="94"/>
      <c r="E20" s="94"/>
    </row>
    <row r="21" spans="1:5" x14ac:dyDescent="0.25">
      <c r="A21" s="94"/>
      <c r="B21" s="94"/>
      <c r="C21" s="94"/>
      <c r="D21" s="94"/>
      <c r="E21" s="104"/>
    </row>
    <row r="22" spans="1:5" ht="15.75" thickBot="1" x14ac:dyDescent="0.3">
      <c r="A22" s="94"/>
      <c r="B22" s="94" t="s">
        <v>155</v>
      </c>
      <c r="C22" s="94"/>
      <c r="D22" s="94"/>
      <c r="E22" s="105">
        <f>1/E16</f>
        <v>1.0485477613505296</v>
      </c>
    </row>
    <row r="23" spans="1:5" ht="15.75" thickTop="1" x14ac:dyDescent="0.25">
      <c r="A23" s="94"/>
      <c r="B23" s="94"/>
      <c r="C23" s="94"/>
      <c r="D23" s="94"/>
      <c r="E23" s="94"/>
    </row>
    <row r="24" spans="1:5" x14ac:dyDescent="0.25">
      <c r="A24" s="94"/>
      <c r="B24" s="94"/>
      <c r="C24" s="94"/>
      <c r="D24" s="94"/>
      <c r="E24" s="94"/>
    </row>
    <row r="25" spans="1:5" x14ac:dyDescent="0.25">
      <c r="A25" s="94"/>
      <c r="B25" s="106" t="s">
        <v>156</v>
      </c>
      <c r="C25" s="94"/>
      <c r="D25" s="94"/>
      <c r="E25" s="94"/>
    </row>
  </sheetData>
  <mergeCells count="4">
    <mergeCell ref="B2:E2"/>
    <mergeCell ref="B3:E3"/>
    <mergeCell ref="B4:E4"/>
    <mergeCell ref="B5:E5"/>
  </mergeCells>
  <pageMargins left="0.7" right="0.7" top="0.75" bottom="0.75" header="0.3" footer="0.3"/>
  <pageSetup scale="93" orientation="portrait" horizontalDpi="90" verticalDpi="90" r:id="rId1"/>
  <headerFooter>
    <oddFooter>&amp;L&amp;F
&amp;A&amp;C&amp;P&amp;R&amp;D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zoomScale="90" zoomScaleNormal="90" workbookViewId="0">
      <selection activeCell="D12" sqref="D12"/>
    </sheetView>
  </sheetViews>
  <sheetFormatPr defaultColWidth="8.7109375" defaultRowHeight="15" x14ac:dyDescent="0.25"/>
  <cols>
    <col min="1" max="1" width="4.7109375" style="2" customWidth="1"/>
    <col min="2" max="2" width="8.7109375" style="2"/>
    <col min="3" max="3" width="27" style="2" customWidth="1"/>
    <col min="4" max="4" width="19.7109375" style="2" bestFit="1" customWidth="1"/>
    <col min="5" max="7" width="12.7109375" style="2" customWidth="1"/>
    <col min="8" max="8" width="14.5703125" style="2" bestFit="1" customWidth="1"/>
    <col min="9" max="9" width="10" style="2" customWidth="1"/>
    <col min="10" max="21" width="8.7109375" style="2"/>
    <col min="22" max="22" width="13.28515625" style="2" bestFit="1" customWidth="1"/>
    <col min="23" max="16384" width="8.7109375" style="2"/>
  </cols>
  <sheetData>
    <row r="1" spans="1:22" x14ac:dyDescent="0.25">
      <c r="B1" s="201" t="s">
        <v>11</v>
      </c>
      <c r="C1" s="201"/>
      <c r="D1" s="201"/>
      <c r="E1" s="201"/>
      <c r="F1" s="201"/>
      <c r="G1" s="201"/>
      <c r="H1" s="201"/>
      <c r="I1" s="201"/>
    </row>
    <row r="2" spans="1:22" x14ac:dyDescent="0.25">
      <c r="B2" s="201" t="str">
        <f>Rates!A2</f>
        <v>2025 Gas Schedule 120 Conservation Filing</v>
      </c>
      <c r="C2" s="201"/>
      <c r="D2" s="201"/>
      <c r="E2" s="201"/>
      <c r="F2" s="201"/>
      <c r="G2" s="201"/>
      <c r="H2" s="201"/>
      <c r="I2" s="201"/>
    </row>
    <row r="3" spans="1:22" x14ac:dyDescent="0.25">
      <c r="B3" s="201" t="s">
        <v>58</v>
      </c>
      <c r="C3" s="201"/>
      <c r="D3" s="201"/>
      <c r="E3" s="201"/>
      <c r="F3" s="201"/>
      <c r="G3" s="201"/>
      <c r="H3" s="201"/>
      <c r="I3" s="201"/>
    </row>
    <row r="4" spans="1:22" x14ac:dyDescent="0.25">
      <c r="B4" s="201" t="str">
        <f>Rates!A4</f>
        <v>Proposed Rates Effective May 1, 2025</v>
      </c>
      <c r="C4" s="201"/>
      <c r="D4" s="201"/>
      <c r="E4" s="201"/>
      <c r="F4" s="201"/>
      <c r="G4" s="201"/>
      <c r="H4" s="201"/>
      <c r="I4" s="201"/>
    </row>
    <row r="5" spans="1:22" x14ac:dyDescent="0.25">
      <c r="B5" s="17"/>
      <c r="C5" s="17"/>
      <c r="D5" s="17"/>
      <c r="E5" s="17"/>
      <c r="F5" s="17"/>
      <c r="G5" s="17"/>
      <c r="H5" s="17"/>
      <c r="I5" s="17"/>
    </row>
    <row r="6" spans="1:22" x14ac:dyDescent="0.25">
      <c r="B6" s="17"/>
      <c r="C6" s="17"/>
      <c r="D6" s="17"/>
      <c r="E6" s="17"/>
      <c r="F6" s="17"/>
      <c r="G6" s="17"/>
      <c r="H6" s="17"/>
      <c r="I6" s="17"/>
    </row>
    <row r="7" spans="1:22" x14ac:dyDescent="0.25">
      <c r="B7" s="17"/>
      <c r="C7" s="10"/>
      <c r="D7" s="10" t="s">
        <v>12</v>
      </c>
      <c r="E7" s="17"/>
      <c r="F7" s="17"/>
      <c r="G7" s="17"/>
      <c r="H7" s="172" t="s">
        <v>16</v>
      </c>
      <c r="I7" s="10" t="s">
        <v>28</v>
      </c>
    </row>
    <row r="8" spans="1:22" ht="17.25" x14ac:dyDescent="0.25">
      <c r="A8" s="7" t="s">
        <v>40</v>
      </c>
      <c r="B8" s="17"/>
      <c r="C8" s="10"/>
      <c r="D8" s="10" t="s">
        <v>13</v>
      </c>
      <c r="E8" s="139" t="s">
        <v>48</v>
      </c>
      <c r="F8" s="139"/>
      <c r="G8" s="139"/>
      <c r="H8" s="172" t="s">
        <v>17</v>
      </c>
      <c r="I8" s="10" t="s">
        <v>29</v>
      </c>
    </row>
    <row r="9" spans="1:22" x14ac:dyDescent="0.25">
      <c r="A9" s="9" t="s">
        <v>59</v>
      </c>
      <c r="B9" s="14" t="s">
        <v>4</v>
      </c>
      <c r="C9" s="14" t="s">
        <v>6</v>
      </c>
      <c r="D9" s="178" t="str">
        <f>TEXT('Forecasted Volume'!$B$6,"Mmm YYYY - ")&amp;TEXT('Forecasted Volume'!$M$6,"Mmm YYYY")</f>
        <v>May 2025 - Apr 2026</v>
      </c>
      <c r="E9" s="14" t="s">
        <v>14</v>
      </c>
      <c r="F9" s="14" t="s">
        <v>15</v>
      </c>
      <c r="G9" s="14" t="s">
        <v>3</v>
      </c>
      <c r="H9" s="14" t="s">
        <v>18</v>
      </c>
      <c r="I9" s="14" t="s">
        <v>18</v>
      </c>
    </row>
    <row r="10" spans="1:22" x14ac:dyDescent="0.25">
      <c r="B10" s="172" t="s">
        <v>53</v>
      </c>
      <c r="C10" s="172" t="s">
        <v>54</v>
      </c>
      <c r="D10" s="10" t="s">
        <v>55</v>
      </c>
      <c r="E10" s="172" t="s">
        <v>56</v>
      </c>
      <c r="F10" s="172" t="s">
        <v>57</v>
      </c>
      <c r="G10" s="172" t="s">
        <v>60</v>
      </c>
      <c r="H10" s="10" t="s">
        <v>61</v>
      </c>
      <c r="I10" s="10" t="s">
        <v>62</v>
      </c>
    </row>
    <row r="11" spans="1:22" x14ac:dyDescent="0.25">
      <c r="A11" s="7">
        <v>1</v>
      </c>
      <c r="B11" s="91">
        <v>23</v>
      </c>
      <c r="C11" s="17" t="s">
        <v>21</v>
      </c>
      <c r="D11" s="132">
        <f>'Forecasted Volume'!N8</f>
        <v>560218048</v>
      </c>
      <c r="E11" s="6">
        <v>0.13902</v>
      </c>
      <c r="F11" s="6">
        <v>0.38799</v>
      </c>
      <c r="G11" s="16">
        <f>SUM(E11:F11)</f>
        <v>0.52700999999999998</v>
      </c>
      <c r="H11" s="18">
        <f>D11*G11</f>
        <v>295240513.47648001</v>
      </c>
      <c r="I11" s="17"/>
      <c r="V11" s="107"/>
    </row>
    <row r="12" spans="1:22" x14ac:dyDescent="0.25">
      <c r="A12" s="7">
        <v>2</v>
      </c>
      <c r="B12" s="91">
        <v>16</v>
      </c>
      <c r="C12" s="91" t="s">
        <v>52</v>
      </c>
      <c r="D12" s="132">
        <f>'Forecasted Volume'!N7</f>
        <v>6156</v>
      </c>
      <c r="E12" s="6">
        <v>0.13902</v>
      </c>
      <c r="F12" s="6">
        <v>0.38799</v>
      </c>
      <c r="G12" s="16">
        <f>SUM(E12:F12)</f>
        <v>0.52700999999999998</v>
      </c>
      <c r="H12" s="18">
        <f>D12*G12</f>
        <v>3244.2735600000001</v>
      </c>
      <c r="I12" s="17"/>
    </row>
    <row r="13" spans="1:22" x14ac:dyDescent="0.25">
      <c r="A13" s="7">
        <v>3</v>
      </c>
      <c r="B13" s="91">
        <v>53</v>
      </c>
      <c r="C13" s="17" t="s">
        <v>22</v>
      </c>
      <c r="D13" s="132">
        <f>'Forecasted Volume'!N9</f>
        <v>0</v>
      </c>
      <c r="E13" s="6">
        <v>0</v>
      </c>
      <c r="F13" s="6">
        <v>0.38799</v>
      </c>
      <c r="G13" s="16">
        <f>SUM(E13:F13)</f>
        <v>0.38799</v>
      </c>
      <c r="H13" s="18">
        <f>D13*G13</f>
        <v>0</v>
      </c>
      <c r="I13" s="17"/>
    </row>
    <row r="14" spans="1:22" x14ac:dyDescent="0.25">
      <c r="A14" s="7">
        <v>4</v>
      </c>
      <c r="B14" s="91">
        <v>31</v>
      </c>
      <c r="C14" s="17" t="s">
        <v>23</v>
      </c>
      <c r="D14" s="132">
        <f>'Forecasted Volume'!N10</f>
        <v>229684257</v>
      </c>
      <c r="E14" s="6">
        <v>0.13289999999999999</v>
      </c>
      <c r="F14" s="6">
        <v>0.38799</v>
      </c>
      <c r="G14" s="16">
        <f>SUM(E14:F14)</f>
        <v>0.52088999999999996</v>
      </c>
      <c r="H14" s="18">
        <f>D14*G14</f>
        <v>119640232.62873</v>
      </c>
      <c r="I14" s="17"/>
    </row>
    <row r="15" spans="1:22" x14ac:dyDescent="0.25">
      <c r="A15" s="7">
        <v>5</v>
      </c>
      <c r="B15" s="91">
        <v>41</v>
      </c>
      <c r="C15" s="17" t="s">
        <v>42</v>
      </c>
      <c r="D15" s="132">
        <f>'Forecasted Volume'!N11</f>
        <v>62597683</v>
      </c>
      <c r="E15" s="6">
        <v>3.4200000000000001E-2</v>
      </c>
      <c r="F15" s="6">
        <v>0.38799</v>
      </c>
      <c r="G15" s="16">
        <f>SUM(E15:F15)</f>
        <v>0.42219000000000001</v>
      </c>
      <c r="H15" s="18">
        <f>D15*G15</f>
        <v>26428115.785769999</v>
      </c>
      <c r="I15" s="17"/>
      <c r="K15" s="17"/>
      <c r="L15" s="17"/>
      <c r="M15" s="17"/>
      <c r="N15" s="17"/>
      <c r="O15" s="17"/>
      <c r="P15" s="17"/>
      <c r="Q15" s="17"/>
      <c r="R15" s="17"/>
    </row>
    <row r="16" spans="1:22" x14ac:dyDescent="0.25">
      <c r="A16" s="7">
        <v>6</v>
      </c>
      <c r="B16" s="91" t="s">
        <v>19</v>
      </c>
      <c r="C16" s="17"/>
      <c r="D16" s="135">
        <f>SUM(D11:D15)</f>
        <v>852506144</v>
      </c>
      <c r="E16" s="6"/>
      <c r="F16" s="6"/>
      <c r="G16" s="16"/>
      <c r="H16" s="148">
        <f>SUM(H11:H15)</f>
        <v>441312106.16453999</v>
      </c>
      <c r="I16" s="144">
        <f>H16/H$22</f>
        <v>0.95934700798273831</v>
      </c>
      <c r="K16" s="180"/>
      <c r="L16" s="17"/>
      <c r="M16" s="17"/>
      <c r="N16" s="17"/>
      <c r="O16" s="17"/>
      <c r="P16" s="17"/>
      <c r="Q16" s="17"/>
      <c r="R16" s="17"/>
    </row>
    <row r="17" spans="1:9" x14ac:dyDescent="0.25">
      <c r="A17" s="7">
        <v>7</v>
      </c>
      <c r="B17" s="91"/>
      <c r="C17" s="17"/>
      <c r="D17" s="17"/>
      <c r="E17" s="6"/>
      <c r="F17" s="6"/>
      <c r="G17" s="16"/>
      <c r="H17" s="18"/>
      <c r="I17" s="17"/>
    </row>
    <row r="18" spans="1:9" x14ac:dyDescent="0.25">
      <c r="A18" s="7">
        <v>8</v>
      </c>
      <c r="B18" s="91">
        <v>85</v>
      </c>
      <c r="C18" s="17" t="s">
        <v>24</v>
      </c>
      <c r="D18" s="132">
        <f>'Forecasted Volume'!N12</f>
        <v>17172836</v>
      </c>
      <c r="E18" s="6">
        <v>7.6679999999999998E-2</v>
      </c>
      <c r="F18" s="6">
        <v>0.38799</v>
      </c>
      <c r="G18" s="16">
        <f>SUM(E18:F18)</f>
        <v>0.46467000000000003</v>
      </c>
      <c r="H18" s="18">
        <f>D18*G18</f>
        <v>7979701.7041200008</v>
      </c>
      <c r="I18" s="17"/>
    </row>
    <row r="19" spans="1:9" x14ac:dyDescent="0.25">
      <c r="A19" s="7">
        <v>9</v>
      </c>
      <c r="B19" s="91">
        <v>86</v>
      </c>
      <c r="C19" s="17" t="s">
        <v>25</v>
      </c>
      <c r="D19" s="132">
        <f>'Forecasted Volume'!N13</f>
        <v>4967299</v>
      </c>
      <c r="E19" s="6">
        <v>8.5470000000000004E-2</v>
      </c>
      <c r="F19" s="6">
        <v>0.38799</v>
      </c>
      <c r="G19" s="16">
        <f>SUM(E19:F19)</f>
        <v>0.47345999999999999</v>
      </c>
      <c r="H19" s="18">
        <f>D19*G19</f>
        <v>2351817.38454</v>
      </c>
      <c r="I19" s="17"/>
    </row>
    <row r="20" spans="1:9" x14ac:dyDescent="0.25">
      <c r="A20" s="7">
        <v>10</v>
      </c>
      <c r="B20" s="91">
        <v>87</v>
      </c>
      <c r="C20" s="17" t="s">
        <v>26</v>
      </c>
      <c r="D20" s="132">
        <f>'Forecasted Volume'!N14</f>
        <v>17910859</v>
      </c>
      <c r="E20" s="6">
        <v>7.9289999999999999E-2</v>
      </c>
      <c r="F20" s="6">
        <v>0.38799</v>
      </c>
      <c r="G20" s="16">
        <f>SUM(E20:F20)</f>
        <v>0.46728000000000003</v>
      </c>
      <c r="H20" s="18">
        <f>D20*G20</f>
        <v>8369386.1935200002</v>
      </c>
      <c r="I20" s="17"/>
    </row>
    <row r="21" spans="1:9" x14ac:dyDescent="0.25">
      <c r="A21" s="7">
        <v>11</v>
      </c>
      <c r="B21" s="91" t="s">
        <v>20</v>
      </c>
      <c r="C21" s="17"/>
      <c r="D21" s="135">
        <f>SUM(D18:D20)</f>
        <v>40050994</v>
      </c>
      <c r="E21" s="19"/>
      <c r="F21" s="16"/>
      <c r="G21" s="16"/>
      <c r="H21" s="148">
        <f>SUM(H18:H20)</f>
        <v>18700905.282180004</v>
      </c>
      <c r="I21" s="144">
        <f>H21/H$22</f>
        <v>4.0652992017261656E-2</v>
      </c>
    </row>
    <row r="22" spans="1:9" x14ac:dyDescent="0.25">
      <c r="A22" s="7">
        <v>12</v>
      </c>
      <c r="B22" s="91" t="s">
        <v>3</v>
      </c>
      <c r="C22" s="17"/>
      <c r="D22" s="90">
        <f>D16+D21</f>
        <v>892557138</v>
      </c>
      <c r="E22" s="19"/>
      <c r="F22" s="16"/>
      <c r="G22" s="16"/>
      <c r="H22" s="148">
        <f>H16+H21</f>
        <v>460013011.44672</v>
      </c>
      <c r="I22" s="144">
        <f>I16+I21</f>
        <v>1</v>
      </c>
    </row>
    <row r="23" spans="1:9" x14ac:dyDescent="0.25">
      <c r="A23" s="7">
        <v>13</v>
      </c>
      <c r="B23" s="17" t="s">
        <v>27</v>
      </c>
      <c r="C23" s="17"/>
      <c r="D23" s="149">
        <f>D22-'Forecasted Volume'!N24-'Forecasted Volume'!N25</f>
        <v>0</v>
      </c>
      <c r="E23" s="19"/>
      <c r="F23" s="16"/>
      <c r="G23" s="16"/>
      <c r="H23" s="18"/>
      <c r="I23" s="17"/>
    </row>
    <row r="24" spans="1:9" x14ac:dyDescent="0.25">
      <c r="B24" s="17"/>
      <c r="C24" s="17"/>
      <c r="D24" s="17"/>
      <c r="E24" s="17"/>
      <c r="F24" s="17"/>
      <c r="G24" s="17"/>
      <c r="H24" s="18"/>
      <c r="I24" s="17"/>
    </row>
    <row r="25" spans="1:9" s="17" customFormat="1" ht="15.75" x14ac:dyDescent="0.25">
      <c r="B25" s="179" t="s">
        <v>178</v>
      </c>
      <c r="H25" s="18"/>
    </row>
    <row r="26" spans="1:9" x14ac:dyDescent="0.25">
      <c r="B26" s="17"/>
      <c r="C26" s="17"/>
      <c r="D26" s="17"/>
      <c r="E26" s="17"/>
      <c r="F26" s="17"/>
      <c r="G26" s="17"/>
      <c r="H26" s="17"/>
      <c r="I26" s="17"/>
    </row>
    <row r="27" spans="1:9" x14ac:dyDescent="0.25">
      <c r="B27" s="17"/>
      <c r="C27" s="17"/>
      <c r="D27" s="17"/>
      <c r="E27" s="17"/>
      <c r="F27" s="17"/>
      <c r="G27" s="17"/>
      <c r="H27" s="17"/>
      <c r="I27" s="17"/>
    </row>
  </sheetData>
  <mergeCells count="4">
    <mergeCell ref="B1:I1"/>
    <mergeCell ref="B2:I2"/>
    <mergeCell ref="B3:I3"/>
    <mergeCell ref="B4:I4"/>
  </mergeCells>
  <printOptions horizontalCentered="1"/>
  <pageMargins left="0.7" right="0.7" top="0.75" bottom="0.75" header="0.3" footer="0.3"/>
  <pageSetup scale="99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5" zoomScaleNormal="85" workbookViewId="0">
      <pane xSplit="3" ySplit="9" topLeftCell="H10" activePane="bottomRight" state="frozenSplit"/>
      <selection activeCell="I41" sqref="I41"/>
      <selection pane="topRight" activeCell="I41" sqref="I41"/>
      <selection pane="bottomLeft" activeCell="I41" sqref="I41"/>
      <selection pane="bottomRight" activeCell="O39" sqref="O39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customWidth="1"/>
    <col min="6" max="6" width="10" bestFit="1" customWidth="1"/>
    <col min="7" max="7" width="14.28515625" bestFit="1" customWidth="1"/>
    <col min="8" max="8" width="14.7109375" customWidth="1"/>
    <col min="9" max="9" width="13.7109375" bestFit="1" customWidth="1"/>
    <col min="10" max="10" width="14.42578125" bestFit="1" customWidth="1"/>
    <col min="11" max="13" width="12.5703125" bestFit="1" customWidth="1"/>
    <col min="14" max="14" width="9.5703125" bestFit="1" customWidth="1"/>
    <col min="15" max="15" width="12.5703125" bestFit="1" customWidth="1"/>
    <col min="16" max="16" width="12.28515625" bestFit="1" customWidth="1"/>
    <col min="17" max="17" width="12.5703125" bestFit="1" customWidth="1"/>
    <col min="18" max="18" width="11.5703125" bestFit="1" customWidth="1"/>
    <col min="19" max="19" width="9.42578125" bestFit="1" customWidth="1"/>
    <col min="20" max="20" width="12.5703125" bestFit="1" customWidth="1"/>
    <col min="21" max="21" width="16.5703125" bestFit="1" customWidth="1"/>
    <col min="22" max="22" width="14.140625" bestFit="1" customWidth="1"/>
    <col min="23" max="23" width="16.5703125" bestFit="1" customWidth="1"/>
    <col min="24" max="24" width="7.85546875" bestFit="1" customWidth="1"/>
  </cols>
  <sheetData>
    <row r="1" spans="1:24" x14ac:dyDescent="0.25">
      <c r="A1" s="20" t="s">
        <v>11</v>
      </c>
      <c r="B1" s="146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x14ac:dyDescent="0.25">
      <c r="A2" s="20" t="s">
        <v>185</v>
      </c>
      <c r="B2" s="146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x14ac:dyDescent="0.25">
      <c r="A3" s="146" t="s">
        <v>65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4" x14ac:dyDescent="0.25">
      <c r="A4" s="146" t="s">
        <v>175</v>
      </c>
      <c r="B4" s="146"/>
      <c r="C4" s="146"/>
      <c r="D4" s="146"/>
      <c r="E4" s="146"/>
      <c r="F4" s="146"/>
      <c r="G4" s="146"/>
      <c r="H4" s="146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</row>
    <row r="5" spans="1:24" x14ac:dyDescent="0.25">
      <c r="F5" s="125"/>
      <c r="I5" s="182"/>
      <c r="J5" s="182"/>
      <c r="K5" s="182"/>
      <c r="L5" s="182"/>
      <c r="M5" s="182"/>
      <c r="N5" s="182"/>
      <c r="O5" s="182"/>
      <c r="P5" s="183"/>
      <c r="Q5" s="183"/>
      <c r="R5" s="183"/>
      <c r="S5" s="183"/>
      <c r="T5" s="182"/>
      <c r="U5" s="182"/>
      <c r="V5" s="182"/>
      <c r="W5" s="182"/>
      <c r="X5" s="182"/>
    </row>
    <row r="6" spans="1:24" x14ac:dyDescent="0.25">
      <c r="F6" s="125"/>
      <c r="G6" s="21" t="s">
        <v>12</v>
      </c>
      <c r="I6" s="182"/>
      <c r="J6" s="182"/>
      <c r="K6" s="182"/>
      <c r="L6" s="182"/>
      <c r="M6" s="182"/>
      <c r="N6" s="182"/>
      <c r="O6" s="182"/>
      <c r="P6" s="183"/>
      <c r="Q6" s="183"/>
      <c r="R6" s="183"/>
      <c r="S6" s="183"/>
      <c r="T6" s="182"/>
      <c r="U6" s="184" t="s">
        <v>186</v>
      </c>
      <c r="V6" s="182"/>
      <c r="W6" s="10" t="str">
        <f>U6</f>
        <v>12ME Apr. 2026</v>
      </c>
      <c r="X6" s="182"/>
    </row>
    <row r="7" spans="1:24" x14ac:dyDescent="0.25">
      <c r="B7" s="21"/>
      <c r="C7" s="21"/>
      <c r="D7" s="21" t="s">
        <v>187</v>
      </c>
      <c r="E7" s="21" t="str">
        <f>D7</f>
        <v>UG-240005</v>
      </c>
      <c r="F7" s="21" t="s">
        <v>66</v>
      </c>
      <c r="G7" s="21" t="s">
        <v>67</v>
      </c>
      <c r="H7" s="12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0" t="s">
        <v>76</v>
      </c>
      <c r="V7" s="184" t="s">
        <v>68</v>
      </c>
      <c r="W7" s="10" t="s">
        <v>76</v>
      </c>
      <c r="X7" s="185"/>
    </row>
    <row r="8" spans="1:24" x14ac:dyDescent="0.25">
      <c r="A8" t="s">
        <v>40</v>
      </c>
      <c r="B8" s="21"/>
      <c r="C8" s="21" t="s">
        <v>69</v>
      </c>
      <c r="D8" s="21" t="s">
        <v>13</v>
      </c>
      <c r="E8" s="21" t="s">
        <v>70</v>
      </c>
      <c r="F8" s="21" t="s">
        <v>69</v>
      </c>
      <c r="G8" s="22" t="s">
        <v>188</v>
      </c>
      <c r="H8" s="125" t="s">
        <v>70</v>
      </c>
      <c r="I8" s="185" t="s">
        <v>71</v>
      </c>
      <c r="J8" s="185" t="s">
        <v>72</v>
      </c>
      <c r="K8" s="185" t="s">
        <v>164</v>
      </c>
      <c r="L8" s="185" t="s">
        <v>68</v>
      </c>
      <c r="M8" s="185" t="s">
        <v>73</v>
      </c>
      <c r="N8" s="185" t="s">
        <v>173</v>
      </c>
      <c r="O8" s="185" t="s">
        <v>74</v>
      </c>
      <c r="P8" s="185" t="s">
        <v>157</v>
      </c>
      <c r="Q8" s="185" t="s">
        <v>189</v>
      </c>
      <c r="R8" s="185" t="s">
        <v>190</v>
      </c>
      <c r="S8" s="185" t="s">
        <v>158</v>
      </c>
      <c r="T8" s="185" t="s">
        <v>75</v>
      </c>
      <c r="U8" s="185" t="s">
        <v>191</v>
      </c>
      <c r="V8" s="185" t="s">
        <v>77</v>
      </c>
      <c r="W8" s="185" t="s">
        <v>191</v>
      </c>
      <c r="X8" s="185" t="s">
        <v>28</v>
      </c>
    </row>
    <row r="9" spans="1:24" ht="17.25" x14ac:dyDescent="0.25">
      <c r="A9" t="s">
        <v>59</v>
      </c>
      <c r="B9" s="23" t="s">
        <v>78</v>
      </c>
      <c r="C9" s="23" t="s">
        <v>4</v>
      </c>
      <c r="D9" s="23" t="s">
        <v>79</v>
      </c>
      <c r="E9" s="23" t="s">
        <v>80</v>
      </c>
      <c r="F9" s="23" t="s">
        <v>81</v>
      </c>
      <c r="G9" s="24" t="s">
        <v>192</v>
      </c>
      <c r="H9" s="23" t="s">
        <v>77</v>
      </c>
      <c r="I9" s="186" t="s">
        <v>77</v>
      </c>
      <c r="J9" s="186" t="s">
        <v>77</v>
      </c>
      <c r="K9" s="186" t="s">
        <v>77</v>
      </c>
      <c r="L9" s="186" t="s">
        <v>77</v>
      </c>
      <c r="M9" s="186" t="s">
        <v>77</v>
      </c>
      <c r="N9" s="186" t="s">
        <v>77</v>
      </c>
      <c r="O9" s="186" t="s">
        <v>77</v>
      </c>
      <c r="P9" s="186" t="s">
        <v>77</v>
      </c>
      <c r="Q9" s="186" t="s">
        <v>77</v>
      </c>
      <c r="R9" s="186" t="s">
        <v>77</v>
      </c>
      <c r="S9" s="186" t="s">
        <v>77</v>
      </c>
      <c r="T9" s="186" t="s">
        <v>77</v>
      </c>
      <c r="U9" s="185" t="s">
        <v>193</v>
      </c>
      <c r="V9" s="186" t="s">
        <v>82</v>
      </c>
      <c r="W9" s="185" t="s">
        <v>46</v>
      </c>
      <c r="X9" s="186" t="s">
        <v>82</v>
      </c>
    </row>
    <row r="10" spans="1:24" x14ac:dyDescent="0.25">
      <c r="B10" s="21" t="s">
        <v>83</v>
      </c>
      <c r="C10" s="21" t="s">
        <v>84</v>
      </c>
      <c r="D10" s="25" t="s">
        <v>85</v>
      </c>
      <c r="E10" s="26" t="s">
        <v>86</v>
      </c>
      <c r="F10" s="21" t="s">
        <v>87</v>
      </c>
      <c r="G10" s="21" t="s">
        <v>88</v>
      </c>
      <c r="H10" s="21" t="s">
        <v>89</v>
      </c>
      <c r="I10" s="185" t="s">
        <v>90</v>
      </c>
      <c r="J10" s="185" t="s">
        <v>91</v>
      </c>
      <c r="K10" s="185" t="s">
        <v>92</v>
      </c>
      <c r="L10" s="185" t="s">
        <v>93</v>
      </c>
      <c r="M10" s="187" t="s">
        <v>94</v>
      </c>
      <c r="N10" s="187" t="s">
        <v>95</v>
      </c>
      <c r="O10" s="187" t="s">
        <v>96</v>
      </c>
      <c r="P10" s="187" t="s">
        <v>97</v>
      </c>
      <c r="Q10" s="187" t="s">
        <v>98</v>
      </c>
      <c r="R10" s="187" t="s">
        <v>159</v>
      </c>
      <c r="S10" s="187" t="s">
        <v>165</v>
      </c>
      <c r="T10" s="187" t="s">
        <v>194</v>
      </c>
      <c r="U10" s="188" t="s">
        <v>195</v>
      </c>
      <c r="V10" s="185" t="s">
        <v>196</v>
      </c>
      <c r="W10" s="185" t="s">
        <v>197</v>
      </c>
      <c r="X10" s="185" t="s">
        <v>198</v>
      </c>
    </row>
    <row r="11" spans="1:24" x14ac:dyDescent="0.25">
      <c r="A11" s="125">
        <v>1</v>
      </c>
      <c r="B11" t="s">
        <v>21</v>
      </c>
      <c r="C11" s="125" t="s">
        <v>99</v>
      </c>
      <c r="D11" s="173">
        <v>539959592</v>
      </c>
      <c r="E11" s="27">
        <v>473120415.12787223</v>
      </c>
      <c r="F11" s="28">
        <f t="shared" ref="F11:F16" si="0">(E11)/D11</f>
        <v>0.8762144837087591</v>
      </c>
      <c r="G11" s="198">
        <v>560218048</v>
      </c>
      <c r="H11" s="29">
        <f>F11*G11</f>
        <v>490871167.69264883</v>
      </c>
      <c r="I11" s="191">
        <v>309979850.31999999</v>
      </c>
      <c r="J11" s="191">
        <v>-32957627.760000002</v>
      </c>
      <c r="K11" s="191">
        <v>4363591.6951616537</v>
      </c>
      <c r="L11" s="189">
        <f>'Sch. 120'!F9</f>
        <v>20481571.834880002</v>
      </c>
      <c r="M11" s="191">
        <v>7333254.2483199993</v>
      </c>
      <c r="N11" s="191">
        <v>0</v>
      </c>
      <c r="O11" s="191">
        <v>9383652.3039999995</v>
      </c>
      <c r="P11" s="191">
        <v>-1232479.7055999998</v>
      </c>
      <c r="Q11" s="191">
        <v>26184591.563519999</v>
      </c>
      <c r="R11" s="191">
        <v>50419.624320000003</v>
      </c>
      <c r="S11" s="191">
        <v>0</v>
      </c>
      <c r="T11" s="191">
        <v>24044558.620000001</v>
      </c>
      <c r="U11" s="190">
        <f t="shared" ref="U11:U24" si="1">SUM(H11:T11)</f>
        <v>858502550.43725049</v>
      </c>
      <c r="V11" s="189">
        <f>'Sch. 120'!H9</f>
        <v>3585395.5071999989</v>
      </c>
      <c r="W11" s="18">
        <f>U11+V11</f>
        <v>862087945.9444505</v>
      </c>
      <c r="X11" s="144">
        <f>V11/U11</f>
        <v>4.1763364655980273E-3</v>
      </c>
    </row>
    <row r="12" spans="1:24" x14ac:dyDescent="0.25">
      <c r="A12" s="125">
        <f>A11+1</f>
        <v>2</v>
      </c>
      <c r="B12" t="s">
        <v>100</v>
      </c>
      <c r="C12" s="125">
        <v>16</v>
      </c>
      <c r="D12" s="173">
        <v>6995.9999999999991</v>
      </c>
      <c r="E12" s="27">
        <v>5715.6238899497412</v>
      </c>
      <c r="F12" s="28">
        <f t="shared" si="0"/>
        <v>0.81698454687674982</v>
      </c>
      <c r="G12" s="198">
        <v>6156</v>
      </c>
      <c r="H12" s="29">
        <f t="shared" ref="H12:H24" si="2">F12*G12</f>
        <v>5029.3568705732723</v>
      </c>
      <c r="I12" s="191">
        <v>3406.24</v>
      </c>
      <c r="J12" s="191">
        <v>-362.16</v>
      </c>
      <c r="K12" s="191">
        <v>-177.60059999999999</v>
      </c>
      <c r="L12" s="189">
        <f>'Sch. 120'!F10</f>
        <v>225.06336000000002</v>
      </c>
      <c r="M12" s="191"/>
      <c r="N12" s="191"/>
      <c r="O12" s="191">
        <v>103.11299999999999</v>
      </c>
      <c r="P12" s="191">
        <v>-13.543199999999999</v>
      </c>
      <c r="Q12" s="191">
        <v>287.73143999999996</v>
      </c>
      <c r="R12" s="191">
        <v>0.55404000000000009</v>
      </c>
      <c r="S12" s="191">
        <v>0</v>
      </c>
      <c r="T12" s="191"/>
      <c r="U12" s="190">
        <f t="shared" si="1"/>
        <v>8498.7549105732724</v>
      </c>
      <c r="V12" s="189">
        <f>'Sch. 120'!H10</f>
        <v>39.398399999999953</v>
      </c>
      <c r="W12" s="18">
        <f t="shared" ref="W12:W24" si="3">U12+V12</f>
        <v>8538.1533105732724</v>
      </c>
      <c r="X12" s="144">
        <f t="shared" ref="X12:X25" si="4">V12/U12</f>
        <v>4.6357849372717572E-3</v>
      </c>
    </row>
    <row r="13" spans="1:24" x14ac:dyDescent="0.25">
      <c r="A13" s="125">
        <f t="shared" ref="A13:A36" si="5">A12+1</f>
        <v>3</v>
      </c>
      <c r="B13" t="s">
        <v>23</v>
      </c>
      <c r="C13" s="125">
        <v>31</v>
      </c>
      <c r="D13" s="173">
        <v>228527070</v>
      </c>
      <c r="E13" s="27">
        <v>173926777.33942217</v>
      </c>
      <c r="F13" s="28">
        <f t="shared" si="0"/>
        <v>0.76107735219036488</v>
      </c>
      <c r="G13" s="198">
        <v>229684257</v>
      </c>
      <c r="H13" s="29">
        <f t="shared" si="2"/>
        <v>174807486.15737128</v>
      </c>
      <c r="I13" s="191">
        <v>125614320.15000001</v>
      </c>
      <c r="J13" s="191">
        <v>-13510028</v>
      </c>
      <c r="K13" s="191">
        <v>-584381.31732458621</v>
      </c>
      <c r="L13" s="189">
        <f>'Sch. 120'!F11</f>
        <v>8397256.4359200001</v>
      </c>
      <c r="M13" s="191">
        <v>2542604.72499</v>
      </c>
      <c r="N13" s="191">
        <v>0</v>
      </c>
      <c r="O13" s="191">
        <v>4109051.3577299998</v>
      </c>
      <c r="P13" s="191">
        <v>-463962.19914000004</v>
      </c>
      <c r="Q13" s="191">
        <v>9113871.31776</v>
      </c>
      <c r="R13" s="191">
        <v>13781.055420000001</v>
      </c>
      <c r="S13" s="191">
        <v>0</v>
      </c>
      <c r="T13" s="191">
        <v>1022094.9500000001</v>
      </c>
      <c r="U13" s="190">
        <f t="shared" si="1"/>
        <v>311062094.63272661</v>
      </c>
      <c r="V13" s="189">
        <f>'Sch. 120'!H11</f>
        <v>1469979.2447999995</v>
      </c>
      <c r="W13" s="18">
        <f t="shared" si="3"/>
        <v>312532073.87752658</v>
      </c>
      <c r="X13" s="144">
        <f t="shared" si="4"/>
        <v>4.7256778314169563E-3</v>
      </c>
    </row>
    <row r="14" spans="1:24" x14ac:dyDescent="0.25">
      <c r="A14" s="125">
        <f t="shared" si="5"/>
        <v>4</v>
      </c>
      <c r="B14" t="s">
        <v>42</v>
      </c>
      <c r="C14" s="125">
        <v>41</v>
      </c>
      <c r="D14" s="173">
        <v>60329188.999999985</v>
      </c>
      <c r="E14" s="27">
        <v>23891172.867297288</v>
      </c>
      <c r="F14" s="28">
        <f t="shared" si="0"/>
        <v>0.39601349302569433</v>
      </c>
      <c r="G14" s="198">
        <v>62597683</v>
      </c>
      <c r="H14" s="29">
        <f t="shared" si="2"/>
        <v>24789527.100145124</v>
      </c>
      <c r="I14" s="191">
        <v>33219149.340000004</v>
      </c>
      <c r="J14" s="191">
        <v>-3679491.81</v>
      </c>
      <c r="K14" s="191">
        <v>-1869345.426796779</v>
      </c>
      <c r="L14" s="189">
        <f>'Sch. 120'!F12</f>
        <v>2288571.29048</v>
      </c>
      <c r="M14" s="191">
        <v>342409.32601000002</v>
      </c>
      <c r="N14" s="191">
        <v>0</v>
      </c>
      <c r="O14" s="191">
        <v>460092.97005000006</v>
      </c>
      <c r="P14" s="191">
        <v>-96400.431820000013</v>
      </c>
      <c r="Q14" s="191">
        <v>1736626.0162722105</v>
      </c>
      <c r="R14" s="191">
        <v>4381.83781</v>
      </c>
      <c r="S14" s="191">
        <v>0</v>
      </c>
      <c r="T14" s="191">
        <v>-712874.94000000006</v>
      </c>
      <c r="U14" s="190">
        <f t="shared" si="1"/>
        <v>56482645.272150569</v>
      </c>
      <c r="V14" s="189">
        <f>'Sch. 120'!H12</f>
        <v>400625.17119999975</v>
      </c>
      <c r="W14" s="18">
        <f t="shared" si="3"/>
        <v>56883270.443350568</v>
      </c>
      <c r="X14" s="144">
        <f t="shared" si="4"/>
        <v>7.092889670263597E-3</v>
      </c>
    </row>
    <row r="15" spans="1:24" x14ac:dyDescent="0.25">
      <c r="A15" s="125">
        <f t="shared" si="5"/>
        <v>5</v>
      </c>
      <c r="B15" t="s">
        <v>24</v>
      </c>
      <c r="C15" s="125">
        <v>85</v>
      </c>
      <c r="D15" s="173">
        <v>16668227</v>
      </c>
      <c r="E15" s="27">
        <v>2837821.1504219277</v>
      </c>
      <c r="F15" s="28">
        <f t="shared" si="0"/>
        <v>0.17025332990856962</v>
      </c>
      <c r="G15" s="198">
        <v>17172836</v>
      </c>
      <c r="H15" s="29">
        <f t="shared" si="2"/>
        <v>2923732.5129737612</v>
      </c>
      <c r="I15" s="191">
        <v>8526602.5</v>
      </c>
      <c r="J15" s="191">
        <v>-1007873.74</v>
      </c>
      <c r="K15" s="191">
        <v>-563626.60058325389</v>
      </c>
      <c r="L15" s="189">
        <f>'Sch. 120'!F13</f>
        <v>565501.48947999999</v>
      </c>
      <c r="M15" s="191">
        <v>44173.263335510615</v>
      </c>
      <c r="N15" s="191">
        <v>0</v>
      </c>
      <c r="O15" s="191">
        <v>66287.146960000013</v>
      </c>
      <c r="P15" s="191">
        <v>-22152.958439999999</v>
      </c>
      <c r="Q15" s="191">
        <v>837932.99987853633</v>
      </c>
      <c r="R15" s="191">
        <v>1373.8268800000001</v>
      </c>
      <c r="S15" s="191">
        <v>0</v>
      </c>
      <c r="T15" s="191"/>
      <c r="U15" s="190">
        <f t="shared" si="1"/>
        <v>11371950.440484555</v>
      </c>
      <c r="V15" s="189">
        <f>'Sch. 120'!H13</f>
        <v>99945.905520000029</v>
      </c>
      <c r="W15" s="18">
        <f t="shared" si="3"/>
        <v>11471896.346004555</v>
      </c>
      <c r="X15" s="144">
        <f t="shared" si="4"/>
        <v>8.7888094520873917E-3</v>
      </c>
    </row>
    <row r="16" spans="1:24" x14ac:dyDescent="0.25">
      <c r="A16" s="125">
        <f t="shared" si="5"/>
        <v>6</v>
      </c>
      <c r="B16" t="s">
        <v>25</v>
      </c>
      <c r="C16" s="125">
        <v>86</v>
      </c>
      <c r="D16" s="173">
        <v>4684519.0000000009</v>
      </c>
      <c r="E16" s="27">
        <v>1197487.6867841617</v>
      </c>
      <c r="F16" s="28">
        <f t="shared" si="0"/>
        <v>0.25562660473448001</v>
      </c>
      <c r="G16" s="198">
        <v>4967299</v>
      </c>
      <c r="H16" s="29">
        <f t="shared" si="2"/>
        <v>1269773.7780709779</v>
      </c>
      <c r="I16" s="191">
        <v>2502722.5300000003</v>
      </c>
      <c r="J16" s="191">
        <v>-291630.12</v>
      </c>
      <c r="K16" s="191">
        <v>-258884.69173943333</v>
      </c>
      <c r="L16" s="189">
        <f>'Sch. 120'!F14</f>
        <v>163573.15607</v>
      </c>
      <c r="M16" s="191">
        <v>20812.982810000001</v>
      </c>
      <c r="N16" s="191">
        <v>0</v>
      </c>
      <c r="O16" s="191">
        <v>25382.89789</v>
      </c>
      <c r="P16" s="191">
        <v>-1738.5546500000003</v>
      </c>
      <c r="Q16" s="191">
        <v>206132.51311855286</v>
      </c>
      <c r="R16" s="191">
        <v>298.03793999999999</v>
      </c>
      <c r="S16" s="191">
        <v>0</v>
      </c>
      <c r="T16" s="191">
        <v>-40967.54</v>
      </c>
      <c r="U16" s="190">
        <f t="shared" si="1"/>
        <v>3595474.989510098</v>
      </c>
      <c r="V16" s="189">
        <f>'Sch. 120'!H14</f>
        <v>28909.680179999996</v>
      </c>
      <c r="W16" s="18">
        <f t="shared" si="3"/>
        <v>3624384.6696900981</v>
      </c>
      <c r="X16" s="144">
        <f t="shared" si="4"/>
        <v>8.0405732940278599E-3</v>
      </c>
    </row>
    <row r="17" spans="1:24" x14ac:dyDescent="0.25">
      <c r="A17" s="125">
        <f t="shared" si="5"/>
        <v>7</v>
      </c>
      <c r="B17" t="s">
        <v>26</v>
      </c>
      <c r="C17" s="125">
        <v>87</v>
      </c>
      <c r="D17" s="173">
        <v>20007657</v>
      </c>
      <c r="E17" s="27">
        <v>1963352.1562075664</v>
      </c>
      <c r="F17" s="28">
        <f>(E17)/D17</f>
        <v>9.8130038725052438E-2</v>
      </c>
      <c r="G17" s="198">
        <v>17910859</v>
      </c>
      <c r="H17" s="29">
        <f t="shared" si="2"/>
        <v>1757593.2872689539</v>
      </c>
      <c r="I17" s="191">
        <v>8787246.5299999993</v>
      </c>
      <c r="J17" s="191">
        <v>-1051009.21</v>
      </c>
      <c r="K17" s="191">
        <v>-86797.53685458313</v>
      </c>
      <c r="L17" s="189">
        <f>'Sch. 120'!F15</f>
        <v>589804.58687</v>
      </c>
      <c r="M17" s="191">
        <v>18200.172527676525</v>
      </c>
      <c r="N17" s="191">
        <v>0</v>
      </c>
      <c r="O17" s="191">
        <v>37971.021079999999</v>
      </c>
      <c r="P17" s="191">
        <v>-9652.4729599172788</v>
      </c>
      <c r="Q17" s="191">
        <v>336883.09677627438</v>
      </c>
      <c r="R17" s="191">
        <v>1611.97731</v>
      </c>
      <c r="S17" s="191">
        <v>0</v>
      </c>
      <c r="T17" s="191"/>
      <c r="U17" s="190">
        <f t="shared" si="1"/>
        <v>10381851.452018403</v>
      </c>
      <c r="V17" s="189">
        <f>'Sch. 120'!H15</f>
        <v>104241.19938000001</v>
      </c>
      <c r="W17" s="18">
        <f t="shared" si="3"/>
        <v>10486092.651398402</v>
      </c>
      <c r="X17" s="144">
        <f>V17/U17</f>
        <v>1.0040713822748234E-2</v>
      </c>
    </row>
    <row r="18" spans="1:24" x14ac:dyDescent="0.25">
      <c r="A18" s="125">
        <f t="shared" si="5"/>
        <v>8</v>
      </c>
      <c r="B18" t="s">
        <v>101</v>
      </c>
      <c r="C18" s="125" t="s">
        <v>49</v>
      </c>
      <c r="D18" s="173">
        <v>0</v>
      </c>
      <c r="E18" s="27">
        <v>0</v>
      </c>
      <c r="F18" s="28">
        <f>F13</f>
        <v>0.76107735219036488</v>
      </c>
      <c r="G18" s="198">
        <v>0</v>
      </c>
      <c r="H18" s="29">
        <f t="shared" si="2"/>
        <v>0</v>
      </c>
      <c r="I18" s="191"/>
      <c r="J18" s="191"/>
      <c r="K18" s="191">
        <v>0</v>
      </c>
      <c r="L18" s="189"/>
      <c r="M18" s="191">
        <v>0</v>
      </c>
      <c r="N18" s="191">
        <v>0</v>
      </c>
      <c r="O18" s="191">
        <v>0</v>
      </c>
      <c r="P18" s="191"/>
      <c r="Q18" s="191"/>
      <c r="R18" s="191">
        <v>0</v>
      </c>
      <c r="S18" s="191">
        <v>0</v>
      </c>
      <c r="T18" s="191">
        <v>0</v>
      </c>
      <c r="U18" s="190">
        <f t="shared" si="1"/>
        <v>0</v>
      </c>
      <c r="V18" s="189">
        <f>'Sch. 120'!H16</f>
        <v>0</v>
      </c>
      <c r="W18" s="18">
        <f t="shared" si="3"/>
        <v>0</v>
      </c>
      <c r="X18" s="144">
        <f>IF(U18=0,0,V18/U18)</f>
        <v>0</v>
      </c>
    </row>
    <row r="19" spans="1:24" x14ac:dyDescent="0.25">
      <c r="A19" s="125">
        <f t="shared" si="5"/>
        <v>9</v>
      </c>
      <c r="B19" t="s">
        <v>102</v>
      </c>
      <c r="C19" s="125" t="s">
        <v>0</v>
      </c>
      <c r="D19" s="173">
        <v>21757669</v>
      </c>
      <c r="E19" s="27">
        <v>6238567.0116822571</v>
      </c>
      <c r="F19" s="28">
        <f t="shared" ref="F19:F25" si="6">(E19)/D19</f>
        <v>0.28672956701759994</v>
      </c>
      <c r="G19" s="198">
        <v>21005724</v>
      </c>
      <c r="H19" s="29">
        <f>F19*G19</f>
        <v>6022962.1474112077</v>
      </c>
      <c r="I19" s="191"/>
      <c r="J19" s="191"/>
      <c r="K19" s="191">
        <v>-835177.48675000062</v>
      </c>
      <c r="L19" s="189"/>
      <c r="M19" s="191">
        <v>114901.31028000001</v>
      </c>
      <c r="N19" s="191">
        <v>0</v>
      </c>
      <c r="O19" s="191">
        <v>154392.07140000002</v>
      </c>
      <c r="P19" s="191"/>
      <c r="Q19" s="191"/>
      <c r="R19" s="191">
        <v>1470.40068</v>
      </c>
      <c r="S19" s="191">
        <v>0</v>
      </c>
      <c r="T19" s="191">
        <v>-209286.42</v>
      </c>
      <c r="U19" s="190">
        <f t="shared" si="1"/>
        <v>5249262.0230212072</v>
      </c>
      <c r="V19" s="189">
        <f>'Sch. 120'!H17</f>
        <v>0</v>
      </c>
      <c r="W19" s="18">
        <f t="shared" si="3"/>
        <v>5249262.0230212072</v>
      </c>
      <c r="X19" s="144">
        <f t="shared" si="4"/>
        <v>0</v>
      </c>
    </row>
    <row r="20" spans="1:24" x14ac:dyDescent="0.25">
      <c r="A20" s="125">
        <f t="shared" si="5"/>
        <v>10</v>
      </c>
      <c r="B20" t="s">
        <v>103</v>
      </c>
      <c r="C20" s="125" t="s">
        <v>1</v>
      </c>
      <c r="D20" s="173">
        <v>62744436</v>
      </c>
      <c r="E20" s="27">
        <v>9522385.7939065918</v>
      </c>
      <c r="F20" s="28">
        <f t="shared" si="6"/>
        <v>0.15176462489688475</v>
      </c>
      <c r="G20" s="198">
        <v>55801323</v>
      </c>
      <c r="H20" s="29">
        <f t="shared" si="2"/>
        <v>8468666.8538449071</v>
      </c>
      <c r="I20" s="191"/>
      <c r="J20" s="191"/>
      <c r="K20" s="191">
        <v>-1606483.4364500009</v>
      </c>
      <c r="L20" s="189"/>
      <c r="M20" s="191">
        <v>140072.50820179228</v>
      </c>
      <c r="N20" s="191">
        <v>0</v>
      </c>
      <c r="O20" s="191">
        <v>215393.10678000003</v>
      </c>
      <c r="P20" s="191"/>
      <c r="Q20" s="191"/>
      <c r="R20" s="191">
        <v>4464.1058400000002</v>
      </c>
      <c r="S20" s="191">
        <v>0</v>
      </c>
      <c r="T20" s="191"/>
      <c r="U20" s="190">
        <f t="shared" si="1"/>
        <v>7222113.1382166985</v>
      </c>
      <c r="V20" s="189">
        <f>'Sch. 120'!H18</f>
        <v>0</v>
      </c>
      <c r="W20" s="18">
        <f t="shared" si="3"/>
        <v>7222113.1382166985</v>
      </c>
      <c r="X20" s="144">
        <f t="shared" si="4"/>
        <v>0</v>
      </c>
    </row>
    <row r="21" spans="1:24" x14ac:dyDescent="0.25">
      <c r="A21" s="125">
        <f t="shared" si="5"/>
        <v>11</v>
      </c>
      <c r="B21" t="s">
        <v>104</v>
      </c>
      <c r="C21" s="125" t="s">
        <v>43</v>
      </c>
      <c r="D21" s="173">
        <v>1176527</v>
      </c>
      <c r="E21" s="27">
        <v>251480.2343800581</v>
      </c>
      <c r="F21" s="28">
        <f t="shared" si="6"/>
        <v>0.21374795000884647</v>
      </c>
      <c r="G21" s="198">
        <v>1369337</v>
      </c>
      <c r="H21" s="29">
        <f t="shared" si="2"/>
        <v>292692.97662126378</v>
      </c>
      <c r="I21" s="191"/>
      <c r="J21" s="191"/>
      <c r="K21" s="191">
        <v>-108969.26825000005</v>
      </c>
      <c r="L21" s="189"/>
      <c r="M21" s="191">
        <v>5737.5220300000001</v>
      </c>
      <c r="N21" s="191">
        <v>0</v>
      </c>
      <c r="O21" s="191">
        <v>6997.3120699999999</v>
      </c>
      <c r="P21" s="191"/>
      <c r="Q21" s="191"/>
      <c r="R21" s="191">
        <v>82.160219999999995</v>
      </c>
      <c r="S21" s="191">
        <v>0</v>
      </c>
      <c r="T21" s="191">
        <v>-10044.429999999998</v>
      </c>
      <c r="U21" s="190">
        <f t="shared" si="1"/>
        <v>186496.27269126373</v>
      </c>
      <c r="V21" s="189">
        <f>'Sch. 120'!H19</f>
        <v>0</v>
      </c>
      <c r="W21" s="18">
        <f t="shared" si="3"/>
        <v>186496.27269126373</v>
      </c>
      <c r="X21" s="144">
        <f t="shared" si="4"/>
        <v>0</v>
      </c>
    </row>
    <row r="22" spans="1:24" x14ac:dyDescent="0.25">
      <c r="A22" s="125">
        <f t="shared" si="5"/>
        <v>12</v>
      </c>
      <c r="B22" t="s">
        <v>105</v>
      </c>
      <c r="C22" s="125" t="s">
        <v>2</v>
      </c>
      <c r="D22" s="173">
        <v>66693986.720000006</v>
      </c>
      <c r="E22" s="27">
        <v>5573975.0268660607</v>
      </c>
      <c r="F22" s="28">
        <f>(E22)/D22</f>
        <v>8.3575376146985569E-2</v>
      </c>
      <c r="G22" s="198">
        <v>73968273</v>
      </c>
      <c r="H22" s="29">
        <f t="shared" si="2"/>
        <v>6181926.238917917</v>
      </c>
      <c r="I22" s="191"/>
      <c r="J22" s="191"/>
      <c r="K22" s="191">
        <v>-27923.296600499423</v>
      </c>
      <c r="L22" s="189"/>
      <c r="M22" s="191">
        <v>58620.098145493699</v>
      </c>
      <c r="N22" s="191">
        <v>0</v>
      </c>
      <c r="O22" s="191">
        <v>156812.73876000001</v>
      </c>
      <c r="P22" s="191"/>
      <c r="Q22" s="191"/>
      <c r="R22" s="191">
        <v>6657.1445700000004</v>
      </c>
      <c r="S22" s="191">
        <v>0</v>
      </c>
      <c r="T22" s="191"/>
      <c r="U22" s="190">
        <f t="shared" si="1"/>
        <v>6376092.9237929108</v>
      </c>
      <c r="V22" s="189">
        <f>'Sch. 120'!H20</f>
        <v>0</v>
      </c>
      <c r="W22" s="18">
        <f t="shared" si="3"/>
        <v>6376092.9237929108</v>
      </c>
      <c r="X22" s="144">
        <f t="shared" si="4"/>
        <v>0</v>
      </c>
    </row>
    <row r="23" spans="1:24" x14ac:dyDescent="0.25">
      <c r="A23" s="125">
        <f t="shared" si="5"/>
        <v>13</v>
      </c>
      <c r="B23" t="s">
        <v>199</v>
      </c>
      <c r="C23" s="125" t="s">
        <v>177</v>
      </c>
      <c r="D23" s="173">
        <v>39295144</v>
      </c>
      <c r="E23" s="27">
        <v>1209312</v>
      </c>
      <c r="F23" s="28">
        <f>(E23)/D23</f>
        <v>3.0775100353366818E-2</v>
      </c>
      <c r="G23" s="198">
        <v>39545056</v>
      </c>
      <c r="H23" s="29">
        <f t="shared" si="2"/>
        <v>1217003.0668795106</v>
      </c>
      <c r="I23" s="191"/>
      <c r="J23" s="191"/>
      <c r="K23" s="191">
        <v>47867.806325999962</v>
      </c>
      <c r="L23" s="189"/>
      <c r="M23" s="191">
        <v>21757.725760000001</v>
      </c>
      <c r="N23" s="191">
        <v>0</v>
      </c>
      <c r="O23" s="191">
        <v>83835.518719999993</v>
      </c>
      <c r="P23" s="191">
        <v>4280007.2163199997</v>
      </c>
      <c r="Q23" s="191"/>
      <c r="R23" s="191">
        <v>3559.0550400000002</v>
      </c>
      <c r="S23" s="191">
        <v>0</v>
      </c>
      <c r="T23" s="191"/>
      <c r="U23" s="190">
        <f t="shared" si="1"/>
        <v>5654030.3890455104</v>
      </c>
      <c r="V23" s="189">
        <f>'Sch. 120'!H21</f>
        <v>0</v>
      </c>
      <c r="W23" s="18">
        <f t="shared" si="3"/>
        <v>5654030.3890455104</v>
      </c>
      <c r="X23" s="144">
        <f t="shared" si="4"/>
        <v>0</v>
      </c>
    </row>
    <row r="24" spans="1:24" x14ac:dyDescent="0.25">
      <c r="A24" s="125">
        <f t="shared" si="5"/>
        <v>14</v>
      </c>
      <c r="B24" t="s">
        <v>44</v>
      </c>
      <c r="D24" s="173">
        <v>32030387</v>
      </c>
      <c r="E24" s="27">
        <v>1689958.6180424246</v>
      </c>
      <c r="F24" s="31">
        <f t="shared" si="6"/>
        <v>5.2761105198086571E-2</v>
      </c>
      <c r="G24" s="198">
        <v>34037220</v>
      </c>
      <c r="H24" s="29">
        <f t="shared" si="2"/>
        <v>1795841.3450704161</v>
      </c>
      <c r="I24" s="191"/>
      <c r="J24" s="191"/>
      <c r="K24" s="191">
        <v>-473802.02529700054</v>
      </c>
      <c r="L24" s="189"/>
      <c r="M24" s="191"/>
      <c r="N24" s="191"/>
      <c r="O24" s="191">
        <v>24847.170600000001</v>
      </c>
      <c r="P24" s="191"/>
      <c r="Q24" s="191"/>
      <c r="R24" s="191">
        <v>3403.7220000000002</v>
      </c>
      <c r="S24" s="191">
        <v>0</v>
      </c>
      <c r="T24" s="191"/>
      <c r="U24" s="190">
        <f t="shared" si="1"/>
        <v>1350290.2123734157</v>
      </c>
      <c r="V24" s="189">
        <f>'Sch. 120'!H22</f>
        <v>0</v>
      </c>
      <c r="W24" s="18">
        <f t="shared" si="3"/>
        <v>1350290.2123734157</v>
      </c>
      <c r="X24" s="144">
        <f t="shared" si="4"/>
        <v>0</v>
      </c>
    </row>
    <row r="25" spans="1:24" x14ac:dyDescent="0.25">
      <c r="A25" s="125">
        <f t="shared" si="5"/>
        <v>15</v>
      </c>
      <c r="B25" t="s">
        <v>3</v>
      </c>
      <c r="D25" s="32">
        <f>SUM(D11:D24)</f>
        <v>1093881399.72</v>
      </c>
      <c r="E25" s="33">
        <f>SUM(E11:E24)</f>
        <v>701428420.63677275</v>
      </c>
      <c r="F25" s="28">
        <f t="shared" si="6"/>
        <v>0.64122894933245678</v>
      </c>
      <c r="G25" s="32">
        <f>SUM(G11:G24)</f>
        <v>1118284071</v>
      </c>
      <c r="H25" s="33">
        <f>SUM(H11:H24)</f>
        <v>720403402.51409471</v>
      </c>
      <c r="I25" s="192">
        <f t="shared" ref="I25:L25" si="7">SUM(I11:I24)</f>
        <v>488633297.61000001</v>
      </c>
      <c r="J25" s="192">
        <f t="shared" si="7"/>
        <v>-52498022.800000004</v>
      </c>
      <c r="K25" s="192">
        <f t="shared" si="7"/>
        <v>-2004109.1857584829</v>
      </c>
      <c r="L25" s="192">
        <f t="shared" si="7"/>
        <v>32486503.85706</v>
      </c>
      <c r="M25" s="192">
        <f>SUM(M11:M24)</f>
        <v>10642543.882410474</v>
      </c>
      <c r="N25" s="192">
        <f>SUM(N11:N24)</f>
        <v>0</v>
      </c>
      <c r="O25" s="192">
        <f>SUM(O11:O24)</f>
        <v>14724818.729039999</v>
      </c>
      <c r="P25" s="192">
        <f>SUM(P11:P24)</f>
        <v>2453607.3505100822</v>
      </c>
      <c r="Q25" s="192">
        <f>SUM(Q11:Q24)</f>
        <v>38416325.238765568</v>
      </c>
      <c r="R25" s="192">
        <f t="shared" ref="R25:U25" si="8">SUM(R11:R24)</f>
        <v>91503.502070000017</v>
      </c>
      <c r="S25" s="192">
        <f t="shared" si="8"/>
        <v>0</v>
      </c>
      <c r="T25" s="192">
        <f t="shared" si="8"/>
        <v>24093480.239999998</v>
      </c>
      <c r="U25" s="193">
        <f t="shared" si="8"/>
        <v>1277443350.9381924</v>
      </c>
      <c r="V25" s="192">
        <f>SUM(V11:V24)</f>
        <v>5689136.1066799974</v>
      </c>
      <c r="W25" s="192">
        <f>SUM(W11:W24)</f>
        <v>1283132487.0448723</v>
      </c>
      <c r="X25" s="145">
        <f t="shared" si="4"/>
        <v>4.4535329903292592E-3</v>
      </c>
    </row>
    <row r="26" spans="1:24" x14ac:dyDescent="0.25">
      <c r="A26" s="125"/>
      <c r="D26" s="35"/>
      <c r="E26" s="29"/>
      <c r="G26" s="35"/>
      <c r="I26" s="182"/>
      <c r="J26" s="182"/>
      <c r="K26" s="182"/>
      <c r="L26" s="182"/>
      <c r="M26" s="194"/>
      <c r="N26" s="194"/>
      <c r="O26" s="182"/>
      <c r="P26" s="182"/>
      <c r="Q26" s="182"/>
      <c r="R26" s="182"/>
      <c r="S26" s="182"/>
      <c r="T26" s="194"/>
      <c r="U26" s="194"/>
      <c r="V26" s="182"/>
      <c r="W26" s="182"/>
      <c r="X26" s="195"/>
    </row>
    <row r="27" spans="1:24" s="40" customFormat="1" x14ac:dyDescent="0.25">
      <c r="A27" s="125"/>
      <c r="B27" s="36" t="s">
        <v>106</v>
      </c>
      <c r="C27" s="37"/>
      <c r="D27" s="38"/>
      <c r="E27" s="39"/>
      <c r="V27" s="41"/>
      <c r="W27" s="41"/>
      <c r="X27" s="42"/>
    </row>
    <row r="28" spans="1:24" s="40" customFormat="1" x14ac:dyDescent="0.25">
      <c r="A28" s="125">
        <f>A25+1</f>
        <v>16</v>
      </c>
      <c r="B28" s="43" t="s">
        <v>21</v>
      </c>
      <c r="C28" s="44" t="s">
        <v>107</v>
      </c>
      <c r="D28" s="46">
        <f>D11+D12</f>
        <v>539966588</v>
      </c>
      <c r="E28" s="45">
        <f>E11+E12</f>
        <v>473126130.75176215</v>
      </c>
      <c r="F28" s="28">
        <f t="shared" ref="F28:F36" si="9">(E28)/D28</f>
        <v>0.87621371630453948</v>
      </c>
      <c r="G28" s="46">
        <f>G11+G12</f>
        <v>560224204</v>
      </c>
      <c r="H28" s="45">
        <f>H11+H12</f>
        <v>490876197.04951942</v>
      </c>
      <c r="I28" s="45">
        <f t="shared" ref="I28:T28" si="10">I11+I12</f>
        <v>309983256.56</v>
      </c>
      <c r="J28" s="45">
        <f t="shared" si="10"/>
        <v>-32957989.920000002</v>
      </c>
      <c r="K28" s="45">
        <f t="shared" si="10"/>
        <v>4363414.0945616541</v>
      </c>
      <c r="L28" s="45">
        <f t="shared" si="10"/>
        <v>20481796.89824</v>
      </c>
      <c r="M28" s="45">
        <f t="shared" si="10"/>
        <v>7333254.2483199993</v>
      </c>
      <c r="N28" s="45">
        <f t="shared" si="10"/>
        <v>0</v>
      </c>
      <c r="O28" s="45">
        <f t="shared" si="10"/>
        <v>9383755.4169999994</v>
      </c>
      <c r="P28" s="45">
        <f t="shared" si="10"/>
        <v>-1232493.2487999997</v>
      </c>
      <c r="Q28" s="45">
        <f t="shared" si="10"/>
        <v>26184879.29496</v>
      </c>
      <c r="R28" s="45">
        <f t="shared" si="10"/>
        <v>50420.178360000005</v>
      </c>
      <c r="S28" s="45">
        <f t="shared" si="10"/>
        <v>0</v>
      </c>
      <c r="T28" s="45">
        <f t="shared" si="10"/>
        <v>24044558.620000001</v>
      </c>
      <c r="U28" s="45">
        <f>U11+U12</f>
        <v>858511049.19216108</v>
      </c>
      <c r="V28" s="29">
        <f>SUM(V11:V12)</f>
        <v>3585434.9055999988</v>
      </c>
      <c r="W28" s="29">
        <f>SUM(W11:W12)</f>
        <v>862096484.09776103</v>
      </c>
      <c r="X28" s="1">
        <f>V28/U28</f>
        <v>4.1763410138679164E-3</v>
      </c>
    </row>
    <row r="29" spans="1:24" s="40" customFormat="1" x14ac:dyDescent="0.25">
      <c r="A29" s="125">
        <f t="shared" si="5"/>
        <v>17</v>
      </c>
      <c r="B29" s="47" t="s">
        <v>108</v>
      </c>
      <c r="C29" s="44" t="s">
        <v>109</v>
      </c>
      <c r="D29" s="46">
        <f t="shared" ref="D29:E33" si="11">D13+D18</f>
        <v>228527070</v>
      </c>
      <c r="E29" s="45">
        <f t="shared" si="11"/>
        <v>173926777.33942217</v>
      </c>
      <c r="F29" s="28">
        <f t="shared" si="9"/>
        <v>0.76107735219036488</v>
      </c>
      <c r="G29" s="46">
        <f t="shared" ref="G29:U33" si="12">G13+G18</f>
        <v>229684257</v>
      </c>
      <c r="H29" s="45">
        <f t="shared" si="12"/>
        <v>174807486.15737128</v>
      </c>
      <c r="I29" s="45">
        <f t="shared" si="12"/>
        <v>125614320.15000001</v>
      </c>
      <c r="J29" s="45">
        <f t="shared" si="12"/>
        <v>-13510028</v>
      </c>
      <c r="K29" s="45">
        <f t="shared" si="12"/>
        <v>-584381.31732458621</v>
      </c>
      <c r="L29" s="45">
        <f t="shared" si="12"/>
        <v>8397256.4359200001</v>
      </c>
      <c r="M29" s="45">
        <f t="shared" si="12"/>
        <v>2542604.72499</v>
      </c>
      <c r="N29" s="45">
        <f t="shared" si="12"/>
        <v>0</v>
      </c>
      <c r="O29" s="45">
        <f t="shared" si="12"/>
        <v>4109051.3577299998</v>
      </c>
      <c r="P29" s="45">
        <f t="shared" si="12"/>
        <v>-463962.19914000004</v>
      </c>
      <c r="Q29" s="45">
        <f t="shared" si="12"/>
        <v>9113871.31776</v>
      </c>
      <c r="R29" s="45">
        <f t="shared" si="12"/>
        <v>13781.055420000001</v>
      </c>
      <c r="S29" s="45">
        <f t="shared" si="12"/>
        <v>0</v>
      </c>
      <c r="T29" s="45">
        <f t="shared" si="12"/>
        <v>1022094.9500000001</v>
      </c>
      <c r="U29" s="45">
        <f t="shared" si="12"/>
        <v>311062094.63272661</v>
      </c>
      <c r="V29" s="29">
        <f>SUM(V13,V18)</f>
        <v>1469979.2447999995</v>
      </c>
      <c r="W29" s="29">
        <f t="shared" ref="V29:W33" si="13">SUM(W13,W18)</f>
        <v>312532073.87752658</v>
      </c>
      <c r="X29" s="1">
        <f>V29/U29</f>
        <v>4.7256778314169563E-3</v>
      </c>
    </row>
    <row r="30" spans="1:24" s="40" customFormat="1" x14ac:dyDescent="0.25">
      <c r="A30" s="125">
        <f t="shared" si="5"/>
        <v>18</v>
      </c>
      <c r="B30" s="43" t="s">
        <v>110</v>
      </c>
      <c r="C30" s="44" t="s">
        <v>111</v>
      </c>
      <c r="D30" s="46">
        <f t="shared" si="11"/>
        <v>82086857.999999985</v>
      </c>
      <c r="E30" s="45">
        <f t="shared" si="11"/>
        <v>30129739.878979545</v>
      </c>
      <c r="F30" s="28">
        <f t="shared" si="9"/>
        <v>0.36704705982265212</v>
      </c>
      <c r="G30" s="46">
        <f t="shared" si="12"/>
        <v>83603407</v>
      </c>
      <c r="H30" s="45">
        <f t="shared" si="12"/>
        <v>30812489.247556332</v>
      </c>
      <c r="I30" s="45">
        <f t="shared" si="12"/>
        <v>33219149.340000004</v>
      </c>
      <c r="J30" s="45">
        <f t="shared" si="12"/>
        <v>-3679491.81</v>
      </c>
      <c r="K30" s="45">
        <f t="shared" si="12"/>
        <v>-2704522.9135467797</v>
      </c>
      <c r="L30" s="45">
        <f t="shared" si="12"/>
        <v>2288571.29048</v>
      </c>
      <c r="M30" s="45">
        <f t="shared" si="12"/>
        <v>457310.63629000005</v>
      </c>
      <c r="N30" s="45">
        <f t="shared" si="12"/>
        <v>0</v>
      </c>
      <c r="O30" s="45">
        <f t="shared" si="12"/>
        <v>614485.04145000014</v>
      </c>
      <c r="P30" s="45">
        <f t="shared" si="12"/>
        <v>-96400.431820000013</v>
      </c>
      <c r="Q30" s="45">
        <f t="shared" si="12"/>
        <v>1736626.0162722105</v>
      </c>
      <c r="R30" s="45">
        <f t="shared" si="12"/>
        <v>5852.2384899999997</v>
      </c>
      <c r="S30" s="45">
        <f t="shared" si="12"/>
        <v>0</v>
      </c>
      <c r="T30" s="45">
        <f t="shared" si="12"/>
        <v>-922161.3600000001</v>
      </c>
      <c r="U30" s="45">
        <f t="shared" si="12"/>
        <v>61731907.295171775</v>
      </c>
      <c r="V30" s="29">
        <f t="shared" si="13"/>
        <v>400625.17119999975</v>
      </c>
      <c r="W30" s="29">
        <f t="shared" si="13"/>
        <v>62132532.466371775</v>
      </c>
      <c r="X30" s="1">
        <f t="shared" ref="X29:X36" si="14">V30/U30</f>
        <v>6.4897585179801136E-3</v>
      </c>
    </row>
    <row r="31" spans="1:24" s="40" customFormat="1" x14ac:dyDescent="0.25">
      <c r="A31" s="125">
        <f t="shared" si="5"/>
        <v>19</v>
      </c>
      <c r="B31" s="43" t="s">
        <v>24</v>
      </c>
      <c r="C31" s="44" t="s">
        <v>112</v>
      </c>
      <c r="D31" s="46">
        <f t="shared" si="11"/>
        <v>79412663</v>
      </c>
      <c r="E31" s="45">
        <f t="shared" si="11"/>
        <v>12360206.94432852</v>
      </c>
      <c r="F31" s="28">
        <f t="shared" si="9"/>
        <v>0.15564528977360348</v>
      </c>
      <c r="G31" s="46">
        <f t="shared" si="12"/>
        <v>72974159</v>
      </c>
      <c r="H31" s="45">
        <f t="shared" si="12"/>
        <v>11392399.366818668</v>
      </c>
      <c r="I31" s="45">
        <f t="shared" si="12"/>
        <v>8526602.5</v>
      </c>
      <c r="J31" s="45">
        <f t="shared" si="12"/>
        <v>-1007873.74</v>
      </c>
      <c r="K31" s="45">
        <f t="shared" si="12"/>
        <v>-2170110.0370332547</v>
      </c>
      <c r="L31" s="45">
        <f t="shared" si="12"/>
        <v>565501.48947999999</v>
      </c>
      <c r="M31" s="45">
        <f t="shared" si="12"/>
        <v>184245.77153730291</v>
      </c>
      <c r="N31" s="45">
        <f t="shared" si="12"/>
        <v>0</v>
      </c>
      <c r="O31" s="45">
        <f t="shared" si="12"/>
        <v>281680.25374000007</v>
      </c>
      <c r="P31" s="45">
        <f t="shared" si="12"/>
        <v>-22152.958439999999</v>
      </c>
      <c r="Q31" s="45">
        <f t="shared" si="12"/>
        <v>837932.99987853633</v>
      </c>
      <c r="R31" s="45">
        <f t="shared" si="12"/>
        <v>5837.9327200000007</v>
      </c>
      <c r="S31" s="45">
        <f t="shared" si="12"/>
        <v>0</v>
      </c>
      <c r="T31" s="45">
        <f t="shared" si="12"/>
        <v>0</v>
      </c>
      <c r="U31" s="45">
        <f t="shared" si="12"/>
        <v>18594063.578701254</v>
      </c>
      <c r="V31" s="29">
        <f t="shared" si="13"/>
        <v>99945.905520000029</v>
      </c>
      <c r="W31" s="29">
        <f t="shared" si="13"/>
        <v>18694009.484221254</v>
      </c>
      <c r="X31" s="1">
        <f t="shared" si="14"/>
        <v>5.3751513270334306E-3</v>
      </c>
    </row>
    <row r="32" spans="1:24" s="40" customFormat="1" x14ac:dyDescent="0.25">
      <c r="A32" s="125">
        <f t="shared" si="5"/>
        <v>20</v>
      </c>
      <c r="B32" s="43" t="s">
        <v>113</v>
      </c>
      <c r="C32" s="44" t="s">
        <v>114</v>
      </c>
      <c r="D32" s="46">
        <f t="shared" si="11"/>
        <v>5861046.0000000009</v>
      </c>
      <c r="E32" s="45">
        <f t="shared" si="11"/>
        <v>1448967.9211642197</v>
      </c>
      <c r="F32" s="28">
        <f t="shared" si="9"/>
        <v>0.24722002201726781</v>
      </c>
      <c r="G32" s="46">
        <f t="shared" si="12"/>
        <v>6336636</v>
      </c>
      <c r="H32" s="45">
        <f t="shared" si="12"/>
        <v>1562466.7546922415</v>
      </c>
      <c r="I32" s="45">
        <f t="shared" si="12"/>
        <v>2502722.5300000003</v>
      </c>
      <c r="J32" s="45">
        <f t="shared" si="12"/>
        <v>-291630.12</v>
      </c>
      <c r="K32" s="45">
        <f t="shared" si="12"/>
        <v>-367853.95998943341</v>
      </c>
      <c r="L32" s="45">
        <f t="shared" si="12"/>
        <v>163573.15607</v>
      </c>
      <c r="M32" s="45">
        <f t="shared" si="12"/>
        <v>26550.504840000001</v>
      </c>
      <c r="N32" s="45">
        <f t="shared" si="12"/>
        <v>0</v>
      </c>
      <c r="O32" s="45">
        <f t="shared" si="12"/>
        <v>32380.20996</v>
      </c>
      <c r="P32" s="45">
        <f t="shared" si="12"/>
        <v>-1738.5546500000003</v>
      </c>
      <c r="Q32" s="45">
        <f t="shared" si="12"/>
        <v>206132.51311855286</v>
      </c>
      <c r="R32" s="45">
        <f t="shared" si="12"/>
        <v>380.19815999999997</v>
      </c>
      <c r="S32" s="45">
        <f t="shared" si="12"/>
        <v>0</v>
      </c>
      <c r="T32" s="45">
        <f t="shared" si="12"/>
        <v>-51011.97</v>
      </c>
      <c r="U32" s="45">
        <f t="shared" si="12"/>
        <v>3781971.2622013618</v>
      </c>
      <c r="V32" s="29">
        <f t="shared" si="13"/>
        <v>28909.680179999996</v>
      </c>
      <c r="W32" s="29">
        <f t="shared" si="13"/>
        <v>3810880.942381362</v>
      </c>
      <c r="X32" s="1">
        <f t="shared" si="14"/>
        <v>7.6440771692095344E-3</v>
      </c>
    </row>
    <row r="33" spans="1:24" s="40" customFormat="1" x14ac:dyDescent="0.25">
      <c r="A33" s="125">
        <f t="shared" si="5"/>
        <v>21</v>
      </c>
      <c r="B33" s="48" t="s">
        <v>115</v>
      </c>
      <c r="C33" s="44" t="s">
        <v>116</v>
      </c>
      <c r="D33" s="46">
        <f t="shared" si="11"/>
        <v>86701643.719999999</v>
      </c>
      <c r="E33" s="45">
        <f t="shared" si="11"/>
        <v>7537327.1830736268</v>
      </c>
      <c r="F33" s="28">
        <f t="shared" si="9"/>
        <v>8.6934074830405383E-2</v>
      </c>
      <c r="G33" s="46">
        <f t="shared" si="12"/>
        <v>91879132</v>
      </c>
      <c r="H33" s="45">
        <f t="shared" si="12"/>
        <v>7939519.5261868704</v>
      </c>
      <c r="I33" s="45">
        <f t="shared" si="12"/>
        <v>8787246.5299999993</v>
      </c>
      <c r="J33" s="45">
        <f t="shared" si="12"/>
        <v>-1051009.21</v>
      </c>
      <c r="K33" s="45">
        <f t="shared" si="12"/>
        <v>-114720.83345508255</v>
      </c>
      <c r="L33" s="45">
        <f t="shared" si="12"/>
        <v>589804.58687</v>
      </c>
      <c r="M33" s="45">
        <f t="shared" si="12"/>
        <v>76820.27067317022</v>
      </c>
      <c r="N33" s="45">
        <f t="shared" si="12"/>
        <v>0</v>
      </c>
      <c r="O33" s="45">
        <f t="shared" si="12"/>
        <v>194783.75984000001</v>
      </c>
      <c r="P33" s="45">
        <f t="shared" si="12"/>
        <v>-9652.4729599172788</v>
      </c>
      <c r="Q33" s="45">
        <f t="shared" si="12"/>
        <v>336883.09677627438</v>
      </c>
      <c r="R33" s="45">
        <f t="shared" si="12"/>
        <v>8269.1218800000006</v>
      </c>
      <c r="S33" s="45">
        <f t="shared" si="12"/>
        <v>0</v>
      </c>
      <c r="T33" s="45">
        <f t="shared" si="12"/>
        <v>0</v>
      </c>
      <c r="U33" s="45">
        <f t="shared" si="12"/>
        <v>16757944.375811312</v>
      </c>
      <c r="V33" s="29">
        <f t="shared" si="13"/>
        <v>104241.19938000001</v>
      </c>
      <c r="W33" s="29">
        <f t="shared" si="13"/>
        <v>16862185.575191312</v>
      </c>
      <c r="X33" s="1">
        <f t="shared" si="14"/>
        <v>6.2204049042234224E-3</v>
      </c>
    </row>
    <row r="34" spans="1:24" s="40" customFormat="1" x14ac:dyDescent="0.25">
      <c r="A34" s="125">
        <f t="shared" si="5"/>
        <v>22</v>
      </c>
      <c r="B34" s="48" t="s">
        <v>200</v>
      </c>
      <c r="C34" s="44" t="s">
        <v>177</v>
      </c>
      <c r="D34" s="46">
        <f>D23</f>
        <v>39295144</v>
      </c>
      <c r="E34" s="45">
        <f>E23</f>
        <v>1209312</v>
      </c>
      <c r="F34" s="28">
        <f t="shared" si="9"/>
        <v>3.0775100353366818E-2</v>
      </c>
      <c r="G34" s="46">
        <f>G23</f>
        <v>39545056</v>
      </c>
      <c r="H34" s="45">
        <f>H23</f>
        <v>1217003.0668795106</v>
      </c>
      <c r="I34" s="45">
        <f t="shared" ref="I34:W35" si="15">I23</f>
        <v>0</v>
      </c>
      <c r="J34" s="45">
        <f t="shared" si="15"/>
        <v>0</v>
      </c>
      <c r="K34" s="45">
        <f t="shared" si="15"/>
        <v>47867.806325999962</v>
      </c>
      <c r="L34" s="45">
        <f t="shared" si="15"/>
        <v>0</v>
      </c>
      <c r="M34" s="45">
        <f t="shared" si="15"/>
        <v>21757.725760000001</v>
      </c>
      <c r="N34" s="45">
        <f t="shared" si="15"/>
        <v>0</v>
      </c>
      <c r="O34" s="45">
        <f t="shared" si="15"/>
        <v>83835.518719999993</v>
      </c>
      <c r="P34" s="45">
        <f t="shared" si="15"/>
        <v>4280007.2163199997</v>
      </c>
      <c r="Q34" s="45">
        <f t="shared" si="15"/>
        <v>0</v>
      </c>
      <c r="R34" s="45">
        <f t="shared" si="15"/>
        <v>3559.0550400000002</v>
      </c>
      <c r="S34" s="45">
        <f t="shared" si="15"/>
        <v>0</v>
      </c>
      <c r="T34" s="45">
        <f t="shared" si="15"/>
        <v>0</v>
      </c>
      <c r="U34" s="45">
        <f t="shared" si="15"/>
        <v>5654030.3890455104</v>
      </c>
      <c r="V34" s="29">
        <f t="shared" si="15"/>
        <v>0</v>
      </c>
      <c r="W34" s="29">
        <f t="shared" si="15"/>
        <v>5654030.3890455104</v>
      </c>
      <c r="X34" s="1">
        <f t="shared" si="14"/>
        <v>0</v>
      </c>
    </row>
    <row r="35" spans="1:24" s="40" customFormat="1" x14ac:dyDescent="0.25">
      <c r="A35" s="125">
        <f t="shared" si="5"/>
        <v>23</v>
      </c>
      <c r="B35" s="48" t="s">
        <v>44</v>
      </c>
      <c r="C35" s="43"/>
      <c r="D35" s="46">
        <f>D24</f>
        <v>32030387</v>
      </c>
      <c r="E35" s="45">
        <f>E24</f>
        <v>1689958.6180424246</v>
      </c>
      <c r="F35" s="28">
        <f t="shared" si="9"/>
        <v>5.2761105198086571E-2</v>
      </c>
      <c r="G35" s="46">
        <f>G24</f>
        <v>34037220</v>
      </c>
      <c r="H35" s="45">
        <f>H24</f>
        <v>1795841.3450704161</v>
      </c>
      <c r="I35" s="45">
        <f t="shared" si="15"/>
        <v>0</v>
      </c>
      <c r="J35" s="45">
        <f t="shared" si="15"/>
        <v>0</v>
      </c>
      <c r="K35" s="45">
        <f t="shared" si="15"/>
        <v>-473802.02529700054</v>
      </c>
      <c r="L35" s="45">
        <f t="shared" si="15"/>
        <v>0</v>
      </c>
      <c r="M35" s="45">
        <f t="shared" si="15"/>
        <v>0</v>
      </c>
      <c r="N35" s="45">
        <f t="shared" si="15"/>
        <v>0</v>
      </c>
      <c r="O35" s="45">
        <f t="shared" si="15"/>
        <v>24847.170600000001</v>
      </c>
      <c r="P35" s="45">
        <f t="shared" si="15"/>
        <v>0</v>
      </c>
      <c r="Q35" s="45">
        <f t="shared" si="15"/>
        <v>0</v>
      </c>
      <c r="R35" s="45">
        <f t="shared" si="15"/>
        <v>3403.7220000000002</v>
      </c>
      <c r="S35" s="45">
        <f t="shared" si="15"/>
        <v>0</v>
      </c>
      <c r="T35" s="45">
        <f t="shared" si="15"/>
        <v>0</v>
      </c>
      <c r="U35" s="45">
        <f>U24</f>
        <v>1350290.2123734157</v>
      </c>
      <c r="V35" s="29">
        <f>V24</f>
        <v>0</v>
      </c>
      <c r="W35" s="29">
        <f>W24</f>
        <v>1350290.2123734157</v>
      </c>
      <c r="X35" s="1">
        <f t="shared" si="14"/>
        <v>0</v>
      </c>
    </row>
    <row r="36" spans="1:24" s="40" customFormat="1" x14ac:dyDescent="0.25">
      <c r="A36" s="125">
        <f t="shared" si="5"/>
        <v>24</v>
      </c>
      <c r="B36" s="48" t="s">
        <v>3</v>
      </c>
      <c r="C36" s="48"/>
      <c r="D36" s="51">
        <f>SUM(D28:D35)</f>
        <v>1093881399.72</v>
      </c>
      <c r="E36" s="49">
        <f>SUM(E28:E35)</f>
        <v>701428420.63677287</v>
      </c>
      <c r="F36" s="50">
        <f t="shared" si="9"/>
        <v>0.64122894933245689</v>
      </c>
      <c r="G36" s="51">
        <f>SUM(G28:G35)</f>
        <v>1118284071</v>
      </c>
      <c r="H36" s="49">
        <f>SUM(H28:H35)</f>
        <v>720403402.51409459</v>
      </c>
      <c r="I36" s="49">
        <f t="shared" ref="I36:T36" si="16">SUM(I28:I35)</f>
        <v>488633297.61000001</v>
      </c>
      <c r="J36" s="49">
        <f t="shared" si="16"/>
        <v>-52498022.800000004</v>
      </c>
      <c r="K36" s="49">
        <f t="shared" si="16"/>
        <v>-2004109.1857584829</v>
      </c>
      <c r="L36" s="49">
        <f t="shared" si="16"/>
        <v>32486503.85706</v>
      </c>
      <c r="M36" s="49">
        <f t="shared" si="16"/>
        <v>10642543.882410472</v>
      </c>
      <c r="N36" s="49">
        <f t="shared" si="16"/>
        <v>0</v>
      </c>
      <c r="O36" s="49">
        <f t="shared" si="16"/>
        <v>14724818.729039999</v>
      </c>
      <c r="P36" s="49">
        <f t="shared" si="16"/>
        <v>2453607.3505100822</v>
      </c>
      <c r="Q36" s="49">
        <f t="shared" si="16"/>
        <v>38416325.238765568</v>
      </c>
      <c r="R36" s="49">
        <f t="shared" si="16"/>
        <v>91503.502070000017</v>
      </c>
      <c r="S36" s="49">
        <f t="shared" si="16"/>
        <v>0</v>
      </c>
      <c r="T36" s="49">
        <f t="shared" si="16"/>
        <v>24093480.240000002</v>
      </c>
      <c r="U36" s="49">
        <f>SUM(U28:U35)</f>
        <v>1277443350.9381924</v>
      </c>
      <c r="V36" s="33">
        <f>SUM(V28:V35)</f>
        <v>5689136.1066799974</v>
      </c>
      <c r="W36" s="33">
        <f>SUM(W28:W35)</f>
        <v>1283132487.0448723</v>
      </c>
      <c r="X36" s="4">
        <f t="shared" si="14"/>
        <v>4.4535329903292592E-3</v>
      </c>
    </row>
    <row r="37" spans="1:24" s="40" customFormat="1" x14ac:dyDescent="0.25">
      <c r="B37" s="52"/>
      <c r="C37" s="52"/>
      <c r="D37" s="52"/>
      <c r="E37" s="52"/>
      <c r="F37" s="52"/>
      <c r="I37" s="53"/>
      <c r="M37" s="52"/>
      <c r="N37" s="52"/>
      <c r="P37" s="52"/>
      <c r="Q37" s="52"/>
      <c r="R37" s="52"/>
      <c r="S37" s="52"/>
      <c r="T37" s="52"/>
      <c r="U37" s="52"/>
      <c r="V37" s="54"/>
      <c r="W37" s="54"/>
    </row>
    <row r="38" spans="1:24" ht="17.25" x14ac:dyDescent="0.25">
      <c r="B38" t="s">
        <v>201</v>
      </c>
    </row>
    <row r="39" spans="1:24" ht="17.25" x14ac:dyDescent="0.25">
      <c r="B39" t="s">
        <v>202</v>
      </c>
    </row>
    <row r="41" spans="1:24" x14ac:dyDescent="0.25">
      <c r="B41" s="152" t="s">
        <v>203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74">
        <v>8.9406967163085938E-8</v>
      </c>
    </row>
  </sheetData>
  <printOptions horizontalCentered="1"/>
  <pageMargins left="0.45" right="0.45" top="0.75" bottom="0.75" header="0.3" footer="0.3"/>
  <pageSetup paperSize="5" scale="49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zoomScale="85" zoomScaleNormal="85" workbookViewId="0">
      <selection activeCell="K31" sqref="K31"/>
    </sheetView>
  </sheetViews>
  <sheetFormatPr defaultColWidth="9.140625" defaultRowHeight="15" x14ac:dyDescent="0.25"/>
  <cols>
    <col min="1" max="1" width="2.140625" style="56" customWidth="1"/>
    <col min="2" max="2" width="2.42578125" style="56" customWidth="1"/>
    <col min="3" max="3" width="34.85546875" style="56" customWidth="1"/>
    <col min="4" max="5" width="11.85546875" style="56" customWidth="1"/>
    <col min="6" max="6" width="2.7109375" style="57" customWidth="1"/>
    <col min="7" max="8" width="11.85546875" style="56" customWidth="1"/>
    <col min="9" max="16384" width="9.140625" style="56"/>
  </cols>
  <sheetData>
    <row r="1" spans="2:8" x14ac:dyDescent="0.25">
      <c r="B1" s="55" t="s">
        <v>11</v>
      </c>
      <c r="C1" s="55"/>
      <c r="D1" s="55"/>
      <c r="E1" s="55"/>
      <c r="F1" s="55"/>
      <c r="G1" s="55"/>
      <c r="H1" s="55"/>
    </row>
    <row r="2" spans="2:8" x14ac:dyDescent="0.25">
      <c r="B2" s="55" t="str">
        <f>'Rate Impacts Sch 120'!A2</f>
        <v>2025 Gas Schedule 120 Conservation</v>
      </c>
      <c r="C2" s="55"/>
      <c r="D2" s="55"/>
      <c r="E2" s="55"/>
      <c r="F2" s="55"/>
      <c r="G2" s="55"/>
      <c r="H2" s="55"/>
    </row>
    <row r="3" spans="2:8" x14ac:dyDescent="0.25">
      <c r="B3" s="20" t="s">
        <v>117</v>
      </c>
      <c r="C3" s="20"/>
      <c r="D3" s="20"/>
      <c r="E3" s="20"/>
      <c r="F3" s="20"/>
      <c r="G3" s="20"/>
      <c r="H3" s="20"/>
    </row>
    <row r="4" spans="2:8" x14ac:dyDescent="0.25">
      <c r="B4" s="20" t="str">
        <f>'Rate Impacts Sch 120'!A4</f>
        <v>Proposed Rates Effective May 1, 2025</v>
      </c>
      <c r="C4" s="20"/>
      <c r="D4" s="20"/>
      <c r="E4" s="20"/>
      <c r="F4" s="20"/>
      <c r="G4" s="20"/>
      <c r="H4" s="20"/>
    </row>
    <row r="6" spans="2:8" x14ac:dyDescent="0.25">
      <c r="G6" s="58" t="s">
        <v>118</v>
      </c>
      <c r="H6" s="58"/>
    </row>
    <row r="7" spans="2:8" x14ac:dyDescent="0.25">
      <c r="D7" s="59" t="s">
        <v>119</v>
      </c>
      <c r="E7" s="59"/>
      <c r="F7" s="60"/>
      <c r="G7" s="59" t="s">
        <v>120</v>
      </c>
      <c r="H7" s="59"/>
    </row>
    <row r="8" spans="2:8" ht="17.25" x14ac:dyDescent="0.25">
      <c r="D8" s="61" t="s">
        <v>121</v>
      </c>
      <c r="E8" s="61" t="s">
        <v>122</v>
      </c>
      <c r="F8" s="62"/>
      <c r="G8" s="61" t="s">
        <v>123</v>
      </c>
      <c r="H8" s="61" t="s">
        <v>122</v>
      </c>
    </row>
    <row r="9" spans="2:8" x14ac:dyDescent="0.25">
      <c r="B9" s="56" t="s">
        <v>124</v>
      </c>
      <c r="D9" s="63">
        <v>64</v>
      </c>
      <c r="E9" s="64"/>
      <c r="F9" s="65"/>
      <c r="G9" s="63">
        <v>64</v>
      </c>
      <c r="H9" s="64"/>
    </row>
    <row r="10" spans="2:8" x14ac:dyDescent="0.25">
      <c r="D10" s="63"/>
      <c r="E10" s="64"/>
      <c r="F10" s="65"/>
      <c r="G10" s="63"/>
      <c r="H10" s="64"/>
    </row>
    <row r="11" spans="2:8" x14ac:dyDescent="0.25">
      <c r="B11" s="56" t="s">
        <v>125</v>
      </c>
      <c r="D11" s="63"/>
      <c r="E11" s="64"/>
      <c r="F11" s="65"/>
      <c r="G11" s="63"/>
      <c r="H11" s="64"/>
    </row>
    <row r="12" spans="2:8" x14ac:dyDescent="0.25">
      <c r="C12" s="56" t="s">
        <v>126</v>
      </c>
      <c r="D12" s="199">
        <v>14.000000000000002</v>
      </c>
      <c r="E12" s="64">
        <f>D12</f>
        <v>14.000000000000002</v>
      </c>
      <c r="F12" s="66"/>
      <c r="G12" s="67">
        <f>$D$12</f>
        <v>14.000000000000002</v>
      </c>
      <c r="H12" s="64">
        <f>G12</f>
        <v>14.000000000000002</v>
      </c>
    </row>
    <row r="13" spans="2:8" x14ac:dyDescent="0.25">
      <c r="C13" s="56" t="s">
        <v>127</v>
      </c>
      <c r="D13" s="126">
        <f>SUM(D12:D12)</f>
        <v>14.000000000000002</v>
      </c>
      <c r="E13" s="68">
        <f>SUM(E12:E12)</f>
        <v>14.000000000000002</v>
      </c>
      <c r="F13" s="66"/>
      <c r="G13" s="68">
        <f>SUM(G12:G12)</f>
        <v>14.000000000000002</v>
      </c>
      <c r="H13" s="68">
        <f>SUM(H12:H12)</f>
        <v>14.000000000000002</v>
      </c>
    </row>
    <row r="14" spans="2:8" x14ac:dyDescent="0.25">
      <c r="D14" s="127"/>
      <c r="E14" s="75"/>
      <c r="F14" s="66"/>
      <c r="G14" s="75"/>
      <c r="H14" s="75"/>
    </row>
    <row r="15" spans="2:8" x14ac:dyDescent="0.25">
      <c r="C15" s="56" t="s">
        <v>166</v>
      </c>
      <c r="D15" s="199">
        <v>-8.9499999999999993</v>
      </c>
      <c r="E15" s="64">
        <f>D15</f>
        <v>-8.9499999999999993</v>
      </c>
      <c r="F15" s="66"/>
      <c r="G15" s="107">
        <f>$D$15</f>
        <v>-8.9499999999999993</v>
      </c>
      <c r="H15" s="64">
        <f>G15</f>
        <v>-8.9499999999999993</v>
      </c>
    </row>
    <row r="16" spans="2:8" x14ac:dyDescent="0.25">
      <c r="D16" s="128"/>
      <c r="E16" s="64"/>
      <c r="F16" s="66"/>
      <c r="G16" s="67"/>
      <c r="H16" s="64"/>
    </row>
    <row r="17" spans="2:8" x14ac:dyDescent="0.25">
      <c r="B17" s="56" t="s">
        <v>128</v>
      </c>
      <c r="D17" s="129"/>
      <c r="E17" s="64"/>
      <c r="H17" s="64"/>
    </row>
    <row r="18" spans="2:8" x14ac:dyDescent="0.25">
      <c r="C18" s="56" t="s">
        <v>129</v>
      </c>
      <c r="D18" s="6">
        <v>0.61957776856730451</v>
      </c>
      <c r="E18" s="64"/>
      <c r="F18" s="69"/>
      <c r="G18" s="70">
        <f>$D$18</f>
        <v>0.61957776856730451</v>
      </c>
      <c r="H18" s="64"/>
    </row>
    <row r="19" spans="2:8" x14ac:dyDescent="0.25">
      <c r="C19" s="56" t="s">
        <v>131</v>
      </c>
      <c r="D19" s="6">
        <f>'Sch. 120'!$D$9</f>
        <v>3.6560000000000002E-2</v>
      </c>
      <c r="E19" s="64"/>
      <c r="F19" s="69"/>
      <c r="G19" s="71">
        <f>'Sch. 120'!$E$9</f>
        <v>4.2959999999999998E-2</v>
      </c>
      <c r="H19" s="64"/>
    </row>
    <row r="20" spans="2:8" x14ac:dyDescent="0.25">
      <c r="C20" s="56" t="s">
        <v>167</v>
      </c>
      <c r="D20" s="6">
        <v>1.3089999999999999E-2</v>
      </c>
      <c r="E20" s="64"/>
      <c r="F20" s="69"/>
      <c r="G20" s="5">
        <f>D20</f>
        <v>1.3089999999999999E-2</v>
      </c>
      <c r="H20" s="64"/>
    </row>
    <row r="21" spans="2:8" x14ac:dyDescent="0.25">
      <c r="C21" s="56" t="s">
        <v>168</v>
      </c>
      <c r="D21" s="6">
        <v>0</v>
      </c>
      <c r="E21" s="64"/>
      <c r="F21" s="69"/>
      <c r="G21" s="5">
        <f>D21</f>
        <v>0</v>
      </c>
      <c r="H21" s="64"/>
    </row>
    <row r="22" spans="2:8" x14ac:dyDescent="0.25">
      <c r="C22" s="56" t="s">
        <v>169</v>
      </c>
      <c r="D22" s="6">
        <v>1.6749999999999998E-2</v>
      </c>
      <c r="E22" s="64"/>
      <c r="F22" s="69"/>
      <c r="G22" s="5">
        <f>$D$22</f>
        <v>1.6749999999999998E-2</v>
      </c>
      <c r="H22" s="64"/>
    </row>
    <row r="23" spans="2:8" x14ac:dyDescent="0.25">
      <c r="C23" s="56" t="s">
        <v>160</v>
      </c>
      <c r="D23" s="6">
        <v>-2.1999999999999997E-3</v>
      </c>
      <c r="E23" s="64"/>
      <c r="F23" s="69"/>
      <c r="G23" s="5">
        <f>$D$23</f>
        <v>-2.1999999999999997E-3</v>
      </c>
      <c r="H23" s="64"/>
    </row>
    <row r="24" spans="2:8" x14ac:dyDescent="0.25">
      <c r="C24" s="56" t="s">
        <v>204</v>
      </c>
      <c r="D24" s="6">
        <v>4.6739999999999997E-2</v>
      </c>
      <c r="E24" s="64"/>
      <c r="F24" s="69"/>
      <c r="G24" s="5">
        <f>$D$24</f>
        <v>4.6739999999999997E-2</v>
      </c>
      <c r="H24" s="64"/>
    </row>
    <row r="25" spans="2:8" x14ac:dyDescent="0.25">
      <c r="C25" s="56" t="s">
        <v>205</v>
      </c>
      <c r="D25" s="6">
        <v>9.0000000000000006E-5</v>
      </c>
      <c r="E25" s="64"/>
      <c r="F25" s="69"/>
      <c r="G25" s="5">
        <f>$D$25</f>
        <v>9.0000000000000006E-5</v>
      </c>
      <c r="H25" s="64"/>
    </row>
    <row r="26" spans="2:8" x14ac:dyDescent="0.25">
      <c r="C26" s="56" t="s">
        <v>161</v>
      </c>
      <c r="D26" s="6">
        <v>0</v>
      </c>
      <c r="E26" s="64"/>
      <c r="F26" s="69"/>
      <c r="G26" s="5">
        <f>$D$26</f>
        <v>0</v>
      </c>
      <c r="H26" s="64"/>
    </row>
    <row r="27" spans="2:8" x14ac:dyDescent="0.25">
      <c r="C27" s="56" t="s">
        <v>130</v>
      </c>
      <c r="D27" s="6">
        <v>4.292E-2</v>
      </c>
      <c r="E27" s="64"/>
      <c r="F27" s="69"/>
      <c r="G27" s="5">
        <f>$D$27</f>
        <v>4.292E-2</v>
      </c>
      <c r="H27" s="64"/>
    </row>
    <row r="28" spans="2:8" x14ac:dyDescent="0.25">
      <c r="C28" s="56" t="s">
        <v>127</v>
      </c>
      <c r="D28" s="130">
        <f>SUM(D18:D27)</f>
        <v>0.77352776856730465</v>
      </c>
      <c r="E28" s="64">
        <f>ROUND(D28*D$9,2)</f>
        <v>49.51</v>
      </c>
      <c r="F28" s="69"/>
      <c r="G28" s="72">
        <f>SUM(G18:G27)</f>
        <v>0.77992776856730461</v>
      </c>
      <c r="H28" s="64">
        <f>ROUND(G28*G$9,2)</f>
        <v>49.92</v>
      </c>
    </row>
    <row r="29" spans="2:8" x14ac:dyDescent="0.25">
      <c r="D29" s="129"/>
    </row>
    <row r="30" spans="2:8" x14ac:dyDescent="0.25">
      <c r="C30" s="56" t="s">
        <v>170</v>
      </c>
      <c r="D30" s="6">
        <v>0.16114999999999999</v>
      </c>
      <c r="E30" s="64">
        <f>ROUND(D30*D$9,2)</f>
        <v>10.31</v>
      </c>
      <c r="F30" s="69"/>
      <c r="G30" s="16">
        <f>$D$30</f>
        <v>0.16114999999999999</v>
      </c>
      <c r="H30" s="64">
        <f>ROUND(G30*G$9,2)</f>
        <v>10.31</v>
      </c>
    </row>
    <row r="31" spans="2:8" x14ac:dyDescent="0.25">
      <c r="D31" s="6"/>
      <c r="E31" s="64"/>
      <c r="F31" s="69"/>
      <c r="G31" s="70"/>
      <c r="H31" s="64"/>
    </row>
    <row r="32" spans="2:8" x14ac:dyDescent="0.25">
      <c r="C32" s="56" t="s">
        <v>132</v>
      </c>
      <c r="D32" s="6">
        <v>0.55332000000000003</v>
      </c>
      <c r="E32" s="64"/>
      <c r="F32" s="69"/>
      <c r="G32" s="5">
        <f>$D$32</f>
        <v>0.55332000000000003</v>
      </c>
      <c r="H32" s="64"/>
    </row>
    <row r="33" spans="2:8" x14ac:dyDescent="0.25">
      <c r="C33" s="56" t="s">
        <v>133</v>
      </c>
      <c r="D33" s="6">
        <v>-5.883E-2</v>
      </c>
      <c r="E33" s="64"/>
      <c r="F33" s="69"/>
      <c r="G33" s="5">
        <f>$D$33</f>
        <v>-5.883E-2</v>
      </c>
      <c r="H33" s="64"/>
    </row>
    <row r="34" spans="2:8" x14ac:dyDescent="0.25">
      <c r="C34" s="56" t="s">
        <v>127</v>
      </c>
      <c r="D34" s="130">
        <f>SUM(D32:D33)</f>
        <v>0.49449000000000004</v>
      </c>
      <c r="E34" s="64">
        <f>ROUND(D34*D$9,2)</f>
        <v>31.65</v>
      </c>
      <c r="F34" s="69"/>
      <c r="G34" s="72">
        <f>SUM(G32:G33)</f>
        <v>0.49449000000000004</v>
      </c>
      <c r="H34" s="64">
        <f>ROUND(G34*G$9,2)</f>
        <v>31.65</v>
      </c>
    </row>
    <row r="35" spans="2:8" x14ac:dyDescent="0.25">
      <c r="C35" s="56" t="s">
        <v>134</v>
      </c>
      <c r="D35" s="130">
        <f>D28+D30+D34</f>
        <v>1.4291677685673048</v>
      </c>
      <c r="E35" s="73">
        <f>SUM(E28,E30,E34)</f>
        <v>91.47</v>
      </c>
      <c r="F35" s="74"/>
      <c r="G35" s="72">
        <f>G28+G30+G34</f>
        <v>1.4355677685673047</v>
      </c>
      <c r="H35" s="73">
        <f>SUM(H28,H30,H34)</f>
        <v>91.88</v>
      </c>
    </row>
    <row r="36" spans="2:8" x14ac:dyDescent="0.25">
      <c r="E36" s="64"/>
      <c r="H36" s="64"/>
    </row>
    <row r="37" spans="2:8" x14ac:dyDescent="0.25">
      <c r="B37" s="56" t="s">
        <v>135</v>
      </c>
      <c r="D37" s="67"/>
      <c r="E37" s="64">
        <f>E13+E15+E35</f>
        <v>96.52</v>
      </c>
      <c r="F37" s="75"/>
      <c r="G37" s="67"/>
      <c r="H37" s="64">
        <f>H13+H15+H35</f>
        <v>96.929999999999993</v>
      </c>
    </row>
    <row r="38" spans="2:8" x14ac:dyDescent="0.25">
      <c r="B38" s="56" t="s">
        <v>136</v>
      </c>
      <c r="D38" s="67"/>
      <c r="E38" s="64"/>
      <c r="F38" s="75"/>
      <c r="G38" s="67"/>
      <c r="H38" s="64">
        <f>H37-$E37</f>
        <v>0.40999999999999659</v>
      </c>
    </row>
    <row r="39" spans="2:8" x14ac:dyDescent="0.25">
      <c r="B39" s="56" t="s">
        <v>137</v>
      </c>
      <c r="D39" s="76"/>
      <c r="E39" s="76"/>
      <c r="F39" s="77"/>
      <c r="G39" s="76"/>
      <c r="H39" s="78">
        <f>H38/$E37</f>
        <v>4.2478242851222191E-3</v>
      </c>
    </row>
    <row r="40" spans="2:8" x14ac:dyDescent="0.25">
      <c r="E40" s="64"/>
    </row>
    <row r="41" spans="2:8" x14ac:dyDescent="0.25">
      <c r="B41" s="56" t="s">
        <v>138</v>
      </c>
      <c r="D41" s="70">
        <f>D28+D30</f>
        <v>0.93467776856730467</v>
      </c>
      <c r="E41" s="64"/>
      <c r="F41" s="74"/>
      <c r="G41" s="70">
        <f>G28+G30</f>
        <v>0.94107776856730463</v>
      </c>
    </row>
    <row r="43" spans="2:8" ht="17.25" x14ac:dyDescent="0.25">
      <c r="B43" s="79" t="s">
        <v>206</v>
      </c>
      <c r="D43" s="79"/>
      <c r="E43" s="79"/>
      <c r="F43" s="80"/>
      <c r="G43" s="80"/>
      <c r="H43" s="80"/>
    </row>
    <row r="48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="90" zoomScaleNormal="90" workbookViewId="0">
      <selection activeCell="K20" sqref="K20"/>
    </sheetView>
  </sheetViews>
  <sheetFormatPr defaultColWidth="8.7109375" defaultRowHeight="15" x14ac:dyDescent="0.25"/>
  <cols>
    <col min="1" max="1" width="38.85546875" style="2" customWidth="1"/>
    <col min="2" max="2" width="8.7109375" style="2"/>
    <col min="3" max="3" width="18.5703125" style="2" bestFit="1" customWidth="1"/>
    <col min="4" max="5" width="13.7109375" style="2" customWidth="1"/>
    <col min="6" max="8" width="14.42578125" style="2" customWidth="1"/>
    <col min="9" max="9" width="8.28515625" style="2" customWidth="1"/>
    <col min="10" max="16384" width="8.7109375" style="2"/>
  </cols>
  <sheetData>
    <row r="1" spans="1:9" x14ac:dyDescent="0.25">
      <c r="A1" s="202" t="s">
        <v>11</v>
      </c>
      <c r="B1" s="202"/>
      <c r="C1" s="202"/>
      <c r="D1" s="202"/>
      <c r="E1" s="202"/>
      <c r="F1" s="202"/>
      <c r="G1" s="202"/>
      <c r="H1" s="202"/>
      <c r="I1" s="202"/>
    </row>
    <row r="2" spans="1:9" x14ac:dyDescent="0.25">
      <c r="A2" s="202" t="s">
        <v>139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25">
      <c r="A3" s="202" t="s">
        <v>140</v>
      </c>
      <c r="B3" s="202"/>
      <c r="C3" s="202"/>
      <c r="D3" s="202"/>
      <c r="E3" s="202"/>
      <c r="F3" s="202"/>
      <c r="G3" s="202"/>
      <c r="H3" s="202"/>
      <c r="I3" s="202"/>
    </row>
    <row r="4" spans="1:9" x14ac:dyDescent="0.25">
      <c r="A4" s="202" t="s">
        <v>175</v>
      </c>
      <c r="B4" s="202"/>
      <c r="C4" s="202"/>
      <c r="D4" s="202"/>
      <c r="E4" s="202"/>
      <c r="F4" s="202"/>
      <c r="G4" s="202"/>
      <c r="H4" s="202"/>
      <c r="I4" s="202"/>
    </row>
    <row r="5" spans="1:9" x14ac:dyDescent="0.25">
      <c r="D5" s="164"/>
      <c r="E5" s="164"/>
    </row>
    <row r="6" spans="1:9" x14ac:dyDescent="0.25">
      <c r="A6" s="8"/>
      <c r="B6" s="8"/>
      <c r="C6" s="8" t="s">
        <v>12</v>
      </c>
      <c r="D6" s="8" t="s">
        <v>141</v>
      </c>
      <c r="E6" s="8" t="s">
        <v>142</v>
      </c>
      <c r="F6" s="124" t="s">
        <v>12</v>
      </c>
      <c r="G6" s="124" t="s">
        <v>12</v>
      </c>
      <c r="H6" s="8" t="s">
        <v>143</v>
      </c>
      <c r="I6" s="8"/>
    </row>
    <row r="7" spans="1:9" x14ac:dyDescent="0.25">
      <c r="A7" s="8"/>
      <c r="B7" s="8" t="s">
        <v>69</v>
      </c>
      <c r="C7" s="8" t="s">
        <v>144</v>
      </c>
      <c r="D7" s="8" t="s">
        <v>143</v>
      </c>
      <c r="E7" s="8" t="s">
        <v>143</v>
      </c>
      <c r="F7" s="124" t="s">
        <v>77</v>
      </c>
      <c r="G7" s="124" t="s">
        <v>77</v>
      </c>
      <c r="H7" s="8" t="s">
        <v>77</v>
      </c>
      <c r="I7" s="8" t="s">
        <v>28</v>
      </c>
    </row>
    <row r="8" spans="1:9" x14ac:dyDescent="0.25">
      <c r="A8" s="9" t="s">
        <v>78</v>
      </c>
      <c r="B8" s="9" t="s">
        <v>4</v>
      </c>
      <c r="C8" s="175" t="str">
        <f>'Rate Impacts Sch 120'!$U$6</f>
        <v>12ME Apr. 2026</v>
      </c>
      <c r="D8" s="9" t="s">
        <v>123</v>
      </c>
      <c r="E8" s="9" t="s">
        <v>123</v>
      </c>
      <c r="F8" s="61" t="s">
        <v>119</v>
      </c>
      <c r="G8" s="61" t="s">
        <v>46</v>
      </c>
      <c r="H8" s="9" t="s">
        <v>82</v>
      </c>
      <c r="I8" s="9" t="s">
        <v>82</v>
      </c>
    </row>
    <row r="9" spans="1:9" x14ac:dyDescent="0.25">
      <c r="A9" s="2" t="s">
        <v>21</v>
      </c>
      <c r="B9" s="164" t="s">
        <v>99</v>
      </c>
      <c r="C9" s="173">
        <f>'Forecasted Volume'!N8</f>
        <v>560218048</v>
      </c>
      <c r="D9" s="131">
        <v>3.6560000000000002E-2</v>
      </c>
      <c r="E9" s="196">
        <f>Rates!G21</f>
        <v>4.2959999999999998E-2</v>
      </c>
      <c r="F9" s="30">
        <f>C9*D9</f>
        <v>20481571.834880002</v>
      </c>
      <c r="G9" s="30">
        <f>C9*E9</f>
        <v>24066967.342080001</v>
      </c>
      <c r="H9" s="11">
        <f>G9-F9</f>
        <v>3585395.5071999989</v>
      </c>
      <c r="I9" s="81">
        <f>IF(F9=0,0,H9/F9)</f>
        <v>0.17505470459518593</v>
      </c>
    </row>
    <row r="10" spans="1:9" x14ac:dyDescent="0.25">
      <c r="A10" s="2" t="s">
        <v>100</v>
      </c>
      <c r="B10" s="164">
        <v>16</v>
      </c>
      <c r="C10" s="132">
        <f>'Forecasted Volume'!N7</f>
        <v>6156</v>
      </c>
      <c r="D10" s="131">
        <v>3.6560000000000002E-2</v>
      </c>
      <c r="E10" s="196">
        <f>Rates!G21</f>
        <v>4.2959999999999998E-2</v>
      </c>
      <c r="F10" s="30">
        <f t="shared" ref="F10:F22" si="0">C10*D10</f>
        <v>225.06336000000002</v>
      </c>
      <c r="G10" s="30">
        <f t="shared" ref="G10:G22" si="1">C10*E10</f>
        <v>264.46175999999997</v>
      </c>
      <c r="H10" s="11">
        <f t="shared" ref="H10:H22" si="2">G10-F10</f>
        <v>39.398399999999953</v>
      </c>
      <c r="I10" s="81">
        <f t="shared" ref="I10:I23" si="3">IF(F10=0,0,H10/F10)</f>
        <v>0.17505470459518577</v>
      </c>
    </row>
    <row r="11" spans="1:9" x14ac:dyDescent="0.25">
      <c r="A11" s="2" t="s">
        <v>23</v>
      </c>
      <c r="B11" s="164">
        <v>31</v>
      </c>
      <c r="C11" s="173">
        <f>'Forecasted Volume'!N10</f>
        <v>229684257</v>
      </c>
      <c r="D11" s="131">
        <v>3.6560000000000002E-2</v>
      </c>
      <c r="E11" s="196">
        <f>Rates!G21</f>
        <v>4.2959999999999998E-2</v>
      </c>
      <c r="F11" s="30">
        <f t="shared" si="0"/>
        <v>8397256.4359200001</v>
      </c>
      <c r="G11" s="30">
        <f t="shared" si="1"/>
        <v>9867235.6807199996</v>
      </c>
      <c r="H11" s="11">
        <f t="shared" si="2"/>
        <v>1469979.2447999995</v>
      </c>
      <c r="I11" s="81">
        <f t="shared" si="3"/>
        <v>0.17505470459518593</v>
      </c>
    </row>
    <row r="12" spans="1:9" x14ac:dyDescent="0.25">
      <c r="A12" s="2" t="s">
        <v>42</v>
      </c>
      <c r="B12" s="164">
        <v>41</v>
      </c>
      <c r="C12" s="173">
        <f>'Forecasted Volume'!N11</f>
        <v>62597683</v>
      </c>
      <c r="D12" s="131">
        <v>3.6560000000000002E-2</v>
      </c>
      <c r="E12" s="196">
        <f>Rates!G21</f>
        <v>4.2959999999999998E-2</v>
      </c>
      <c r="F12" s="30">
        <f t="shared" si="0"/>
        <v>2288571.29048</v>
      </c>
      <c r="G12" s="30">
        <f t="shared" si="1"/>
        <v>2689196.4616799997</v>
      </c>
      <c r="H12" s="11">
        <f t="shared" si="2"/>
        <v>400625.17119999975</v>
      </c>
      <c r="I12" s="81">
        <f t="shared" si="3"/>
        <v>0.17505470459518588</v>
      </c>
    </row>
    <row r="13" spans="1:9" x14ac:dyDescent="0.25">
      <c r="A13" s="2" t="s">
        <v>24</v>
      </c>
      <c r="B13" s="164">
        <v>85</v>
      </c>
      <c r="C13" s="173">
        <f>'Forecasted Volume'!N12</f>
        <v>17172836</v>
      </c>
      <c r="D13" s="131">
        <v>3.2930000000000001E-2</v>
      </c>
      <c r="E13" s="196">
        <f>Rates!G22</f>
        <v>3.875E-2</v>
      </c>
      <c r="F13" s="30">
        <f t="shared" si="0"/>
        <v>565501.48947999999</v>
      </c>
      <c r="G13" s="30">
        <f t="shared" si="1"/>
        <v>665447.39500000002</v>
      </c>
      <c r="H13" s="11">
        <f t="shared" si="2"/>
        <v>99945.905520000029</v>
      </c>
      <c r="I13" s="81">
        <f t="shared" si="3"/>
        <v>0.17673853628909814</v>
      </c>
    </row>
    <row r="14" spans="1:9" x14ac:dyDescent="0.25">
      <c r="A14" s="2" t="s">
        <v>25</v>
      </c>
      <c r="B14" s="164">
        <v>86</v>
      </c>
      <c r="C14" s="173">
        <f>'Forecasted Volume'!N13</f>
        <v>4967299</v>
      </c>
      <c r="D14" s="131">
        <v>3.2930000000000001E-2</v>
      </c>
      <c r="E14" s="196">
        <f>Rates!G22</f>
        <v>3.875E-2</v>
      </c>
      <c r="F14" s="30">
        <f t="shared" si="0"/>
        <v>163573.15607</v>
      </c>
      <c r="G14" s="30">
        <f t="shared" si="1"/>
        <v>192482.83624999999</v>
      </c>
      <c r="H14" s="11">
        <f t="shared" si="2"/>
        <v>28909.680179999996</v>
      </c>
      <c r="I14" s="81">
        <f t="shared" si="3"/>
        <v>0.17673853628909805</v>
      </c>
    </row>
    <row r="15" spans="1:9" x14ac:dyDescent="0.25">
      <c r="A15" s="2" t="s">
        <v>26</v>
      </c>
      <c r="B15" s="164">
        <v>87</v>
      </c>
      <c r="C15" s="173">
        <f>'Forecasted Volume'!N14</f>
        <v>17910859</v>
      </c>
      <c r="D15" s="131">
        <v>3.2930000000000001E-2</v>
      </c>
      <c r="E15" s="196">
        <f>Rates!G22</f>
        <v>3.875E-2</v>
      </c>
      <c r="F15" s="30">
        <f t="shared" si="0"/>
        <v>589804.58687</v>
      </c>
      <c r="G15" s="30">
        <f t="shared" si="1"/>
        <v>694045.78625</v>
      </c>
      <c r="H15" s="11">
        <f t="shared" si="2"/>
        <v>104241.19938000001</v>
      </c>
      <c r="I15" s="81">
        <f t="shared" si="3"/>
        <v>0.17673853628909811</v>
      </c>
    </row>
    <row r="16" spans="1:9" x14ac:dyDescent="0.25">
      <c r="A16" s="2" t="s">
        <v>101</v>
      </c>
      <c r="B16" s="164" t="s">
        <v>49</v>
      </c>
      <c r="C16" s="173">
        <f>'Forecasted Volume'!N15</f>
        <v>0</v>
      </c>
      <c r="D16" s="82">
        <v>0</v>
      </c>
      <c r="E16" s="131">
        <v>0</v>
      </c>
      <c r="F16" s="30">
        <f t="shared" si="0"/>
        <v>0</v>
      </c>
      <c r="G16" s="30">
        <f t="shared" si="1"/>
        <v>0</v>
      </c>
      <c r="H16" s="11">
        <f t="shared" si="2"/>
        <v>0</v>
      </c>
      <c r="I16" s="81">
        <f>IF(F16=0,0,H16/F16)</f>
        <v>0</v>
      </c>
    </row>
    <row r="17" spans="1:9" x14ac:dyDescent="0.25">
      <c r="A17" s="2" t="s">
        <v>102</v>
      </c>
      <c r="B17" s="164" t="s">
        <v>0</v>
      </c>
      <c r="C17" s="173">
        <f>'Forecasted Volume'!N16</f>
        <v>21005724</v>
      </c>
      <c r="D17" s="82">
        <v>0</v>
      </c>
      <c r="E17" s="131">
        <v>0</v>
      </c>
      <c r="F17" s="30">
        <f t="shared" si="0"/>
        <v>0</v>
      </c>
      <c r="G17" s="30">
        <f t="shared" si="1"/>
        <v>0</v>
      </c>
      <c r="H17" s="11">
        <f t="shared" si="2"/>
        <v>0</v>
      </c>
      <c r="I17" s="81">
        <f t="shared" si="3"/>
        <v>0</v>
      </c>
    </row>
    <row r="18" spans="1:9" x14ac:dyDescent="0.25">
      <c r="A18" s="2" t="s">
        <v>103</v>
      </c>
      <c r="B18" s="164" t="s">
        <v>1</v>
      </c>
      <c r="C18" s="173">
        <f>'Forecasted Volume'!N17</f>
        <v>55801323</v>
      </c>
      <c r="D18" s="82">
        <v>0</v>
      </c>
      <c r="E18" s="131">
        <v>0</v>
      </c>
      <c r="F18" s="30">
        <f t="shared" si="0"/>
        <v>0</v>
      </c>
      <c r="G18" s="30">
        <f t="shared" si="1"/>
        <v>0</v>
      </c>
      <c r="H18" s="11">
        <f t="shared" si="2"/>
        <v>0</v>
      </c>
      <c r="I18" s="81">
        <f t="shared" si="3"/>
        <v>0</v>
      </c>
    </row>
    <row r="19" spans="1:9" x14ac:dyDescent="0.25">
      <c r="A19" s="2" t="s">
        <v>104</v>
      </c>
      <c r="B19" s="164" t="s">
        <v>43</v>
      </c>
      <c r="C19" s="173">
        <f>'Forecasted Volume'!N18</f>
        <v>1369337</v>
      </c>
      <c r="D19" s="82">
        <v>0</v>
      </c>
      <c r="E19" s="131">
        <v>0</v>
      </c>
      <c r="F19" s="30">
        <f t="shared" si="0"/>
        <v>0</v>
      </c>
      <c r="G19" s="30">
        <f t="shared" si="1"/>
        <v>0</v>
      </c>
      <c r="H19" s="11">
        <f t="shared" si="2"/>
        <v>0</v>
      </c>
      <c r="I19" s="81">
        <f t="shared" si="3"/>
        <v>0</v>
      </c>
    </row>
    <row r="20" spans="1:9" x14ac:dyDescent="0.25">
      <c r="A20" s="2" t="s">
        <v>105</v>
      </c>
      <c r="B20" s="164" t="s">
        <v>2</v>
      </c>
      <c r="C20" s="173">
        <f>'Forecasted Volume'!N19</f>
        <v>73968273</v>
      </c>
      <c r="D20" s="82">
        <v>0</v>
      </c>
      <c r="E20" s="131">
        <v>0</v>
      </c>
      <c r="F20" s="30">
        <f t="shared" si="0"/>
        <v>0</v>
      </c>
      <c r="G20" s="30">
        <f t="shared" si="1"/>
        <v>0</v>
      </c>
      <c r="H20" s="11">
        <f t="shared" si="2"/>
        <v>0</v>
      </c>
      <c r="I20" s="81">
        <f t="shared" si="3"/>
        <v>0</v>
      </c>
    </row>
    <row r="21" spans="1:9" x14ac:dyDescent="0.25">
      <c r="A21" s="2" t="s">
        <v>199</v>
      </c>
      <c r="B21" s="164" t="s">
        <v>177</v>
      </c>
      <c r="C21" s="173">
        <f>'Forecasted Volume'!N20</f>
        <v>39545056</v>
      </c>
      <c r="D21" s="82">
        <v>0</v>
      </c>
      <c r="E21" s="131">
        <v>0</v>
      </c>
      <c r="F21" s="30">
        <f t="shared" si="0"/>
        <v>0</v>
      </c>
      <c r="G21" s="30">
        <f t="shared" si="1"/>
        <v>0</v>
      </c>
      <c r="H21" s="11">
        <f t="shared" si="2"/>
        <v>0</v>
      </c>
      <c r="I21" s="81">
        <f t="shared" si="3"/>
        <v>0</v>
      </c>
    </row>
    <row r="22" spans="1:9" x14ac:dyDescent="0.25">
      <c r="A22" s="2" t="s">
        <v>44</v>
      </c>
      <c r="B22" s="164"/>
      <c r="C22" s="173">
        <f>'Forecasted Volume'!N21</f>
        <v>34037220</v>
      </c>
      <c r="D22" s="83">
        <v>0</v>
      </c>
      <c r="E22" s="131">
        <v>0</v>
      </c>
      <c r="F22" s="30">
        <f t="shared" si="0"/>
        <v>0</v>
      </c>
      <c r="G22" s="30">
        <f t="shared" si="1"/>
        <v>0</v>
      </c>
      <c r="H22" s="11">
        <f t="shared" si="2"/>
        <v>0</v>
      </c>
      <c r="I22" s="147">
        <f t="shared" si="3"/>
        <v>0</v>
      </c>
    </row>
    <row r="23" spans="1:9" x14ac:dyDescent="0.25">
      <c r="A23" s="2" t="s">
        <v>3</v>
      </c>
      <c r="C23" s="3">
        <f>SUM(C9:C22)</f>
        <v>1118284071</v>
      </c>
      <c r="D23" s="84"/>
      <c r="E23" s="85"/>
      <c r="F23" s="34">
        <f>SUM(F9:F22)</f>
        <v>32486503.85706</v>
      </c>
      <c r="G23" s="34">
        <f>SUM(G9:G22)</f>
        <v>38175639.963740006</v>
      </c>
      <c r="H23" s="15">
        <f>SUM(H9:H22)</f>
        <v>5689136.1066799974</v>
      </c>
      <c r="I23" s="81">
        <f t="shared" si="3"/>
        <v>0.1751230643873557</v>
      </c>
    </row>
    <row r="24" spans="1:9" x14ac:dyDescent="0.25">
      <c r="A24" s="60"/>
      <c r="B24" s="86"/>
      <c r="C24" s="153">
        <f>'Forecasted Volume'!N22-'Sch. 120'!C23</f>
        <v>0</v>
      </c>
      <c r="D24" s="87"/>
      <c r="E24" s="87"/>
      <c r="F24" s="87"/>
      <c r="G24" s="87"/>
      <c r="H24" s="76"/>
      <c r="I24" s="56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pane ySplit="6" topLeftCell="A7" activePane="bottomLeft" state="frozen"/>
      <selection activeCell="I23" sqref="I23"/>
      <selection pane="bottomLeft" activeCell="E12" sqref="E12"/>
    </sheetView>
  </sheetViews>
  <sheetFormatPr defaultColWidth="9.140625" defaultRowHeight="12.75" x14ac:dyDescent="0.2"/>
  <cols>
    <col min="1" max="1" width="4.5703125" style="114" bestFit="1" customWidth="1"/>
    <col min="2" max="2" width="66" style="114" customWidth="1"/>
    <col min="3" max="3" width="14.5703125" style="114" bestFit="1" customWidth="1"/>
    <col min="4" max="4" width="10.85546875" style="114" bestFit="1" customWidth="1"/>
    <col min="5" max="5" width="14.42578125" style="114" bestFit="1" customWidth="1"/>
    <col min="6" max="6" width="2.42578125" style="114" customWidth="1"/>
    <col min="7" max="16384" width="9.140625" style="114"/>
  </cols>
  <sheetData>
    <row r="1" spans="1:9" ht="15" x14ac:dyDescent="0.25">
      <c r="A1" s="108" t="s">
        <v>162</v>
      </c>
      <c r="B1" s="109"/>
      <c r="C1" s="109"/>
      <c r="D1" s="109"/>
      <c r="E1" s="109"/>
      <c r="I1"/>
    </row>
    <row r="2" spans="1:9" x14ac:dyDescent="0.2">
      <c r="A2" s="109" t="s">
        <v>163</v>
      </c>
      <c r="B2" s="109"/>
      <c r="C2" s="109"/>
      <c r="D2" s="109"/>
      <c r="E2" s="109"/>
    </row>
    <row r="3" spans="1:9" x14ac:dyDescent="0.2">
      <c r="A3" s="110" t="s">
        <v>183</v>
      </c>
      <c r="B3" s="109"/>
      <c r="C3" s="109"/>
      <c r="D3" s="109"/>
      <c r="E3" s="109"/>
    </row>
    <row r="4" spans="1:9" x14ac:dyDescent="0.2">
      <c r="A4" s="203"/>
      <c r="B4" s="203"/>
      <c r="C4" s="203"/>
      <c r="D4" s="203"/>
      <c r="E4" s="203"/>
    </row>
    <row r="5" spans="1:9" x14ac:dyDescent="0.2">
      <c r="A5" s="163"/>
      <c r="B5" s="163"/>
      <c r="C5" s="111"/>
      <c r="D5" s="111"/>
      <c r="E5" s="111"/>
    </row>
    <row r="6" spans="1:9" s="165" customFormat="1" ht="25.5" x14ac:dyDescent="0.2">
      <c r="A6" s="112" t="s">
        <v>5</v>
      </c>
      <c r="B6" s="112" t="s">
        <v>6</v>
      </c>
      <c r="C6" s="112" t="s">
        <v>7</v>
      </c>
      <c r="D6" s="112" t="s">
        <v>8</v>
      </c>
      <c r="E6" s="112" t="s">
        <v>9</v>
      </c>
    </row>
    <row r="7" spans="1:9" x14ac:dyDescent="0.2">
      <c r="A7" s="113"/>
      <c r="B7" s="113"/>
      <c r="C7" s="113"/>
      <c r="D7" s="109"/>
    </row>
    <row r="8" spans="1:9" x14ac:dyDescent="0.2">
      <c r="A8" s="113">
        <v>1</v>
      </c>
      <c r="B8" s="115" t="s">
        <v>184</v>
      </c>
      <c r="C8" s="116">
        <v>35574178.5</v>
      </c>
      <c r="D8" s="117">
        <v>0.95369999999999999</v>
      </c>
      <c r="E8" s="116">
        <f>+C8/D8</f>
        <v>37301225.228059135</v>
      </c>
    </row>
    <row r="9" spans="1:9" x14ac:dyDescent="0.2">
      <c r="A9" s="113"/>
      <c r="B9" s="115"/>
      <c r="C9" s="116"/>
      <c r="D9" s="117"/>
    </row>
    <row r="10" spans="1:9" x14ac:dyDescent="0.2">
      <c r="A10" s="113">
        <v>2</v>
      </c>
      <c r="B10" s="115" t="s">
        <v>64</v>
      </c>
      <c r="C10" s="116">
        <v>835635.33689000644</v>
      </c>
      <c r="D10" s="117">
        <f>+$D$8</f>
        <v>0.95369999999999999</v>
      </c>
      <c r="E10" s="116">
        <f>+C10/D10</f>
        <v>876203.56180141179</v>
      </c>
    </row>
    <row r="11" spans="1:9" ht="13.5" thickBot="1" x14ac:dyDescent="0.25">
      <c r="A11" s="113"/>
      <c r="B11" s="113"/>
      <c r="C11" s="118"/>
      <c r="D11" s="117"/>
      <c r="E11" s="119"/>
    </row>
    <row r="12" spans="1:9" ht="13.5" thickBot="1" x14ac:dyDescent="0.25">
      <c r="A12" s="113">
        <v>3</v>
      </c>
      <c r="B12" s="120" t="s">
        <v>10</v>
      </c>
      <c r="C12" s="121">
        <f>SUM(C8:C11)</f>
        <v>36409813.836890005</v>
      </c>
      <c r="D12" s="122"/>
      <c r="E12" s="166">
        <f>SUM(E8:E11)</f>
        <v>38177428.789860547</v>
      </c>
      <c r="F12" s="167"/>
    </row>
    <row r="13" spans="1:9" ht="15.75" thickTop="1" x14ac:dyDescent="0.25">
      <c r="A13" s="113"/>
      <c r="B13" s="113"/>
      <c r="C13" s="113"/>
      <c r="D13" s="117"/>
      <c r="E13" s="123">
        <v>0</v>
      </c>
    </row>
    <row r="14" spans="1:9" ht="15" x14ac:dyDescent="0.25">
      <c r="B14" s="168"/>
      <c r="C14" s="169"/>
      <c r="D14" s="170"/>
      <c r="E14" s="171"/>
    </row>
  </sheetData>
  <mergeCells count="1">
    <mergeCell ref="A4:E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zoomScale="90" zoomScaleNormal="90" workbookViewId="0">
      <pane xSplit="1" ySplit="4" topLeftCell="B5" activePane="bottomRight" state="frozen"/>
      <selection activeCell="I23" sqref="I23"/>
      <selection pane="topRight" activeCell="I23" sqref="I23"/>
      <selection pane="bottomLeft" activeCell="I23" sqref="I23"/>
      <selection pane="bottomRight" activeCell="N42" sqref="N42"/>
    </sheetView>
  </sheetViews>
  <sheetFormatPr defaultColWidth="9.140625" defaultRowHeight="15" x14ac:dyDescent="0.25"/>
  <cols>
    <col min="1" max="1" width="19.85546875" style="17" customWidth="1"/>
    <col min="2" max="13" width="12.42578125" style="17" customWidth="1"/>
    <col min="14" max="14" width="13.5703125" style="17" customWidth="1"/>
    <col min="15" max="16384" width="9.140625" style="17"/>
  </cols>
  <sheetData>
    <row r="1" spans="1:18" x14ac:dyDescent="0.25">
      <c r="A1" s="201" t="s">
        <v>11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8" x14ac:dyDescent="0.25">
      <c r="A2" s="201" t="str">
        <f>Rates!A2</f>
        <v>2025 Gas Schedule 120 Conservation Filing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8" x14ac:dyDescent="0.25">
      <c r="A3" s="201" t="s">
        <v>63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8" x14ac:dyDescent="0.25">
      <c r="A4" s="204" t="str">
        <f>TEXT(B6,"Mmm YYYY - ")&amp;TEXT(M6,"Mmmm YYYY")</f>
        <v>May 2025 - April 2026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18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8" x14ac:dyDescent="0.25">
      <c r="A6" s="134" t="s">
        <v>4</v>
      </c>
      <c r="B6" s="197">
        <v>45778</v>
      </c>
      <c r="C6" s="178">
        <f>EDATE(B6,1)</f>
        <v>45809</v>
      </c>
      <c r="D6" s="178">
        <f t="shared" ref="D6:M6" si="0">EDATE(C6,1)</f>
        <v>45839</v>
      </c>
      <c r="E6" s="178">
        <f t="shared" si="0"/>
        <v>45870</v>
      </c>
      <c r="F6" s="178">
        <f t="shared" si="0"/>
        <v>45901</v>
      </c>
      <c r="G6" s="178">
        <f t="shared" si="0"/>
        <v>45931</v>
      </c>
      <c r="H6" s="178">
        <f t="shared" si="0"/>
        <v>45962</v>
      </c>
      <c r="I6" s="178">
        <f t="shared" si="0"/>
        <v>45992</v>
      </c>
      <c r="J6" s="178">
        <f t="shared" si="0"/>
        <v>46023</v>
      </c>
      <c r="K6" s="178">
        <f t="shared" si="0"/>
        <v>46054</v>
      </c>
      <c r="L6" s="178">
        <f t="shared" si="0"/>
        <v>46082</v>
      </c>
      <c r="M6" s="178">
        <f t="shared" si="0"/>
        <v>46113</v>
      </c>
      <c r="N6" s="14" t="s">
        <v>3</v>
      </c>
    </row>
    <row r="7" spans="1:18" x14ac:dyDescent="0.25">
      <c r="A7" s="91">
        <v>16</v>
      </c>
      <c r="B7" s="200">
        <v>513</v>
      </c>
      <c r="C7" s="200">
        <v>513</v>
      </c>
      <c r="D7" s="200">
        <v>513</v>
      </c>
      <c r="E7" s="200">
        <v>513</v>
      </c>
      <c r="F7" s="200">
        <v>513</v>
      </c>
      <c r="G7" s="200">
        <v>513</v>
      </c>
      <c r="H7" s="200">
        <v>513</v>
      </c>
      <c r="I7" s="200">
        <v>513</v>
      </c>
      <c r="J7" s="200">
        <v>513</v>
      </c>
      <c r="K7" s="200">
        <v>513</v>
      </c>
      <c r="L7" s="200">
        <v>513</v>
      </c>
      <c r="M7" s="200">
        <v>513</v>
      </c>
      <c r="N7" s="90">
        <f t="shared" ref="N7:N21" si="1">SUM(B7:M7)</f>
        <v>6156</v>
      </c>
      <c r="R7" s="90"/>
    </row>
    <row r="8" spans="1:18" x14ac:dyDescent="0.25">
      <c r="A8" s="91">
        <v>23</v>
      </c>
      <c r="B8" s="200">
        <v>27871265</v>
      </c>
      <c r="C8" s="200">
        <v>19273637</v>
      </c>
      <c r="D8" s="200">
        <v>14492879</v>
      </c>
      <c r="E8" s="200">
        <v>14574848</v>
      </c>
      <c r="F8" s="200">
        <v>19979616</v>
      </c>
      <c r="G8" s="200">
        <v>42276981</v>
      </c>
      <c r="H8" s="200">
        <v>67463742</v>
      </c>
      <c r="I8" s="200">
        <v>87179749</v>
      </c>
      <c r="J8" s="200">
        <v>84088299</v>
      </c>
      <c r="K8" s="200">
        <v>72700008</v>
      </c>
      <c r="L8" s="200">
        <v>65210104</v>
      </c>
      <c r="M8" s="200">
        <v>45106920</v>
      </c>
      <c r="N8" s="90">
        <f t="shared" si="1"/>
        <v>560218048</v>
      </c>
      <c r="R8" s="90"/>
    </row>
    <row r="9" spans="1:18" x14ac:dyDescent="0.25">
      <c r="A9" s="91">
        <v>53</v>
      </c>
      <c r="B9" s="200">
        <v>0</v>
      </c>
      <c r="C9" s="200">
        <v>0</v>
      </c>
      <c r="D9" s="200">
        <v>0</v>
      </c>
      <c r="E9" s="200">
        <v>0</v>
      </c>
      <c r="F9" s="200">
        <v>0</v>
      </c>
      <c r="G9" s="200">
        <v>0</v>
      </c>
      <c r="H9" s="200">
        <v>0</v>
      </c>
      <c r="I9" s="200">
        <v>0</v>
      </c>
      <c r="J9" s="200">
        <v>0</v>
      </c>
      <c r="K9" s="200">
        <v>0</v>
      </c>
      <c r="L9" s="200">
        <v>0</v>
      </c>
      <c r="M9" s="200">
        <v>0</v>
      </c>
      <c r="N9" s="90">
        <f t="shared" si="1"/>
        <v>0</v>
      </c>
      <c r="R9" s="90"/>
    </row>
    <row r="10" spans="1:18" x14ac:dyDescent="0.25">
      <c r="A10" s="91">
        <v>31</v>
      </c>
      <c r="B10" s="200">
        <v>12050268</v>
      </c>
      <c r="C10" s="200">
        <v>9905036</v>
      </c>
      <c r="D10" s="200">
        <v>8713537</v>
      </c>
      <c r="E10" s="200">
        <v>9689232</v>
      </c>
      <c r="F10" s="200">
        <v>11580729</v>
      </c>
      <c r="G10" s="200">
        <v>19315268</v>
      </c>
      <c r="H10" s="200">
        <v>27775687</v>
      </c>
      <c r="I10" s="200">
        <v>34075567</v>
      </c>
      <c r="J10" s="200">
        <v>29791928</v>
      </c>
      <c r="K10" s="200">
        <v>26304426</v>
      </c>
      <c r="L10" s="200">
        <v>23537062</v>
      </c>
      <c r="M10" s="200">
        <v>16945517</v>
      </c>
      <c r="N10" s="90">
        <f t="shared" si="1"/>
        <v>229684257</v>
      </c>
      <c r="R10" s="90"/>
    </row>
    <row r="11" spans="1:18" x14ac:dyDescent="0.25">
      <c r="A11" s="91">
        <v>41</v>
      </c>
      <c r="B11" s="200">
        <v>3787419</v>
      </c>
      <c r="C11" s="200">
        <v>3273804</v>
      </c>
      <c r="D11" s="200">
        <v>2790751</v>
      </c>
      <c r="E11" s="200">
        <v>3064107</v>
      </c>
      <c r="F11" s="200">
        <v>3691483</v>
      </c>
      <c r="G11" s="200">
        <v>5652301</v>
      </c>
      <c r="H11" s="200">
        <v>7486386</v>
      </c>
      <c r="I11" s="200">
        <v>8238591</v>
      </c>
      <c r="J11" s="200">
        <v>7101406</v>
      </c>
      <c r="K11" s="200">
        <v>6611232</v>
      </c>
      <c r="L11" s="200">
        <v>6137670</v>
      </c>
      <c r="M11" s="200">
        <v>4762533</v>
      </c>
      <c r="N11" s="90">
        <f t="shared" si="1"/>
        <v>62597683</v>
      </c>
      <c r="R11" s="90"/>
    </row>
    <row r="12" spans="1:18" x14ac:dyDescent="0.25">
      <c r="A12" s="91">
        <v>85</v>
      </c>
      <c r="B12" s="200">
        <v>1422984</v>
      </c>
      <c r="C12" s="200">
        <v>1209166</v>
      </c>
      <c r="D12" s="200">
        <v>1112660</v>
      </c>
      <c r="E12" s="200">
        <v>1070071</v>
      </c>
      <c r="F12" s="200">
        <v>1005779</v>
      </c>
      <c r="G12" s="200">
        <v>1463922</v>
      </c>
      <c r="H12" s="200">
        <v>1455079</v>
      </c>
      <c r="I12" s="200">
        <v>1821391</v>
      </c>
      <c r="J12" s="200">
        <v>1848407</v>
      </c>
      <c r="K12" s="200">
        <v>1598249</v>
      </c>
      <c r="L12" s="200">
        <v>1663521</v>
      </c>
      <c r="M12" s="200">
        <v>1501607</v>
      </c>
      <c r="N12" s="90">
        <f t="shared" si="1"/>
        <v>17172836</v>
      </c>
      <c r="R12" s="90"/>
    </row>
    <row r="13" spans="1:18" x14ac:dyDescent="0.25">
      <c r="A13" s="91">
        <v>86</v>
      </c>
      <c r="B13" s="200">
        <v>381780</v>
      </c>
      <c r="C13" s="200">
        <v>224267</v>
      </c>
      <c r="D13" s="200">
        <v>109878</v>
      </c>
      <c r="E13" s="200">
        <v>44384</v>
      </c>
      <c r="F13" s="200">
        <v>69259</v>
      </c>
      <c r="G13" s="200">
        <v>294326</v>
      </c>
      <c r="H13" s="200">
        <v>477731</v>
      </c>
      <c r="I13" s="200">
        <v>745018</v>
      </c>
      <c r="J13" s="200">
        <v>791924</v>
      </c>
      <c r="K13" s="200">
        <v>660701</v>
      </c>
      <c r="L13" s="200">
        <v>663439</v>
      </c>
      <c r="M13" s="200">
        <v>504592</v>
      </c>
      <c r="N13" s="90">
        <f t="shared" si="1"/>
        <v>4967299</v>
      </c>
      <c r="R13" s="90"/>
    </row>
    <row r="14" spans="1:18" x14ac:dyDescent="0.25">
      <c r="A14" s="91">
        <v>87</v>
      </c>
      <c r="B14" s="200">
        <v>1346088</v>
      </c>
      <c r="C14" s="200">
        <v>1193038</v>
      </c>
      <c r="D14" s="200">
        <v>1170945</v>
      </c>
      <c r="E14" s="200">
        <v>1098169</v>
      </c>
      <c r="F14" s="200">
        <v>1005515</v>
      </c>
      <c r="G14" s="200">
        <v>1783820</v>
      </c>
      <c r="H14" s="200">
        <v>1650516</v>
      </c>
      <c r="I14" s="200">
        <v>2067159</v>
      </c>
      <c r="J14" s="200">
        <v>1964001</v>
      </c>
      <c r="K14" s="200">
        <v>1628246</v>
      </c>
      <c r="L14" s="200">
        <v>1627367</v>
      </c>
      <c r="M14" s="200">
        <v>1375995</v>
      </c>
      <c r="N14" s="90">
        <f t="shared" si="1"/>
        <v>17910859</v>
      </c>
      <c r="R14" s="90"/>
    </row>
    <row r="15" spans="1:18" x14ac:dyDescent="0.25">
      <c r="A15" s="91" t="s">
        <v>49</v>
      </c>
      <c r="B15" s="200">
        <v>0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90">
        <f t="shared" si="1"/>
        <v>0</v>
      </c>
      <c r="R15" s="90"/>
    </row>
    <row r="16" spans="1:18" x14ac:dyDescent="0.25">
      <c r="A16" s="91" t="s">
        <v>0</v>
      </c>
      <c r="B16" s="200">
        <v>1715751</v>
      </c>
      <c r="C16" s="200">
        <v>1834118</v>
      </c>
      <c r="D16" s="200">
        <v>1639656</v>
      </c>
      <c r="E16" s="200">
        <v>1657073</v>
      </c>
      <c r="F16" s="200">
        <v>1664657</v>
      </c>
      <c r="G16" s="200">
        <v>1620165</v>
      </c>
      <c r="H16" s="200">
        <v>1867820</v>
      </c>
      <c r="I16" s="200">
        <v>1853820</v>
      </c>
      <c r="J16" s="200">
        <v>1760137</v>
      </c>
      <c r="K16" s="200">
        <v>1922524</v>
      </c>
      <c r="L16" s="200">
        <v>1682572</v>
      </c>
      <c r="M16" s="200">
        <v>1787431</v>
      </c>
      <c r="N16" s="90">
        <f t="shared" si="1"/>
        <v>21005724</v>
      </c>
      <c r="R16" s="90"/>
    </row>
    <row r="17" spans="1:18" x14ac:dyDescent="0.25">
      <c r="A17" s="91" t="s">
        <v>1</v>
      </c>
      <c r="B17" s="200">
        <v>4556924</v>
      </c>
      <c r="C17" s="200">
        <v>4680219</v>
      </c>
      <c r="D17" s="200">
        <v>4330088</v>
      </c>
      <c r="E17" s="200">
        <v>4365135</v>
      </c>
      <c r="F17" s="200">
        <v>4729457</v>
      </c>
      <c r="G17" s="200">
        <v>4625269</v>
      </c>
      <c r="H17" s="200">
        <v>4807079</v>
      </c>
      <c r="I17" s="200">
        <v>5096644</v>
      </c>
      <c r="J17" s="200">
        <v>4292838</v>
      </c>
      <c r="K17" s="200">
        <v>5036300</v>
      </c>
      <c r="L17" s="200">
        <v>4399159</v>
      </c>
      <c r="M17" s="200">
        <v>4882211</v>
      </c>
      <c r="N17" s="90">
        <f t="shared" si="1"/>
        <v>55801323</v>
      </c>
      <c r="R17" s="90"/>
    </row>
    <row r="18" spans="1:18" x14ac:dyDescent="0.25">
      <c r="A18" s="91" t="s">
        <v>43</v>
      </c>
      <c r="B18" s="200">
        <v>113495</v>
      </c>
      <c r="C18" s="200">
        <v>121199</v>
      </c>
      <c r="D18" s="200">
        <v>106268</v>
      </c>
      <c r="E18" s="200">
        <v>102961</v>
      </c>
      <c r="F18" s="200">
        <v>115379</v>
      </c>
      <c r="G18" s="200">
        <v>107961</v>
      </c>
      <c r="H18" s="200">
        <v>120350</v>
      </c>
      <c r="I18" s="200">
        <v>118522</v>
      </c>
      <c r="J18" s="200">
        <v>105353</v>
      </c>
      <c r="K18" s="200">
        <v>123375</v>
      </c>
      <c r="L18" s="200">
        <v>109458</v>
      </c>
      <c r="M18" s="200">
        <v>125016</v>
      </c>
      <c r="N18" s="90">
        <f t="shared" si="1"/>
        <v>1369337</v>
      </c>
      <c r="R18" s="90"/>
    </row>
    <row r="19" spans="1:18" x14ac:dyDescent="0.25">
      <c r="A19" s="91" t="s">
        <v>2</v>
      </c>
      <c r="B19" s="200">
        <v>6072939</v>
      </c>
      <c r="C19" s="200">
        <v>6159153</v>
      </c>
      <c r="D19" s="200">
        <v>6412814</v>
      </c>
      <c r="E19" s="200">
        <v>6009451</v>
      </c>
      <c r="F19" s="200">
        <v>6460599</v>
      </c>
      <c r="G19" s="200">
        <v>5693897</v>
      </c>
      <c r="H19" s="200">
        <v>5928224</v>
      </c>
      <c r="I19" s="200">
        <v>6961545</v>
      </c>
      <c r="J19" s="200">
        <v>5317831</v>
      </c>
      <c r="K19" s="200">
        <v>7132693</v>
      </c>
      <c r="L19" s="200">
        <v>5535129</v>
      </c>
      <c r="M19" s="200">
        <v>6283998</v>
      </c>
      <c r="N19" s="90">
        <f t="shared" si="1"/>
        <v>73968273</v>
      </c>
      <c r="R19" s="90"/>
    </row>
    <row r="20" spans="1:18" x14ac:dyDescent="0.25">
      <c r="A20" s="91" t="s">
        <v>177</v>
      </c>
      <c r="B20" s="200">
        <v>2799650</v>
      </c>
      <c r="C20" s="200">
        <v>2799650</v>
      </c>
      <c r="D20" s="200">
        <v>2799650</v>
      </c>
      <c r="E20" s="200">
        <v>2799650</v>
      </c>
      <c r="F20" s="200">
        <v>2799650</v>
      </c>
      <c r="G20" s="200">
        <v>2799650</v>
      </c>
      <c r="H20" s="200">
        <v>2799650</v>
      </c>
      <c r="I20" s="200">
        <v>2799650</v>
      </c>
      <c r="J20" s="200">
        <v>4286964</v>
      </c>
      <c r="K20" s="200">
        <v>4286964</v>
      </c>
      <c r="L20" s="200">
        <v>4286964</v>
      </c>
      <c r="M20" s="200">
        <v>4286964</v>
      </c>
      <c r="N20" s="90">
        <f t="shared" si="1"/>
        <v>39545056</v>
      </c>
      <c r="R20" s="90"/>
    </row>
    <row r="21" spans="1:18" x14ac:dyDescent="0.25">
      <c r="A21" s="91" t="s">
        <v>44</v>
      </c>
      <c r="B21" s="200">
        <v>2280034</v>
      </c>
      <c r="C21" s="200">
        <v>2083748</v>
      </c>
      <c r="D21" s="200">
        <v>1865291</v>
      </c>
      <c r="E21" s="200">
        <v>1746292</v>
      </c>
      <c r="F21" s="200">
        <v>2093490</v>
      </c>
      <c r="G21" s="200">
        <v>2578594</v>
      </c>
      <c r="H21" s="200">
        <v>3487417</v>
      </c>
      <c r="I21" s="200">
        <v>4215409</v>
      </c>
      <c r="J21" s="200">
        <v>3472600</v>
      </c>
      <c r="K21" s="200">
        <v>4222568</v>
      </c>
      <c r="L21" s="200">
        <v>3027183</v>
      </c>
      <c r="M21" s="200">
        <v>2964594</v>
      </c>
      <c r="N21" s="90">
        <f t="shared" si="1"/>
        <v>34037220</v>
      </c>
      <c r="R21" s="90"/>
    </row>
    <row r="22" spans="1:18" x14ac:dyDescent="0.25">
      <c r="A22" s="91" t="s">
        <v>3</v>
      </c>
      <c r="B22" s="135">
        <f>SUM(B7:B21)</f>
        <v>64399110</v>
      </c>
      <c r="C22" s="135">
        <f t="shared" ref="C22:M22" si="2">SUM(C7:C21)</f>
        <v>52757548</v>
      </c>
      <c r="D22" s="135">
        <f t="shared" si="2"/>
        <v>45544930</v>
      </c>
      <c r="E22" s="135">
        <f t="shared" si="2"/>
        <v>46221886</v>
      </c>
      <c r="F22" s="135">
        <f t="shared" si="2"/>
        <v>55196126</v>
      </c>
      <c r="G22" s="135">
        <f t="shared" si="2"/>
        <v>88212667</v>
      </c>
      <c r="H22" s="135">
        <f t="shared" si="2"/>
        <v>125320194</v>
      </c>
      <c r="I22" s="135">
        <f t="shared" si="2"/>
        <v>155173578</v>
      </c>
      <c r="J22" s="135">
        <f t="shared" si="2"/>
        <v>144822201</v>
      </c>
      <c r="K22" s="135">
        <f t="shared" si="2"/>
        <v>132227799</v>
      </c>
      <c r="L22" s="135">
        <f t="shared" si="2"/>
        <v>117880141</v>
      </c>
      <c r="M22" s="135">
        <f t="shared" si="2"/>
        <v>90527891</v>
      </c>
      <c r="N22" s="135">
        <f>SUM(N7:N21)</f>
        <v>1118284071</v>
      </c>
    </row>
    <row r="23" spans="1:18" x14ac:dyDescent="0.25">
      <c r="A23" s="91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153">
        <v>0</v>
      </c>
    </row>
    <row r="24" spans="1:18" x14ac:dyDescent="0.25">
      <c r="A24" s="91" t="s">
        <v>19</v>
      </c>
      <c r="B24" s="90">
        <f>SUM(B7:B11)</f>
        <v>43709465</v>
      </c>
      <c r="C24" s="90">
        <f t="shared" ref="C24:M24" si="3">SUM(C7:C11)</f>
        <v>32452990</v>
      </c>
      <c r="D24" s="90">
        <f t="shared" si="3"/>
        <v>25997680</v>
      </c>
      <c r="E24" s="90">
        <f t="shared" si="3"/>
        <v>27328700</v>
      </c>
      <c r="F24" s="90">
        <f t="shared" si="3"/>
        <v>35252341</v>
      </c>
      <c r="G24" s="90">
        <f t="shared" si="3"/>
        <v>67245063</v>
      </c>
      <c r="H24" s="90">
        <f t="shared" si="3"/>
        <v>102726328</v>
      </c>
      <c r="I24" s="90">
        <f t="shared" si="3"/>
        <v>129494420</v>
      </c>
      <c r="J24" s="90">
        <f t="shared" si="3"/>
        <v>120982146</v>
      </c>
      <c r="K24" s="90">
        <f t="shared" si="3"/>
        <v>105616179</v>
      </c>
      <c r="L24" s="90">
        <f t="shared" si="3"/>
        <v>94885349</v>
      </c>
      <c r="M24" s="90">
        <f t="shared" si="3"/>
        <v>66815483</v>
      </c>
      <c r="N24" s="90">
        <f>SUM(B24:M24)</f>
        <v>852506144</v>
      </c>
    </row>
    <row r="25" spans="1:18" x14ac:dyDescent="0.25">
      <c r="A25" s="91" t="s">
        <v>20</v>
      </c>
      <c r="B25" s="90">
        <f>SUM(B12:B14)</f>
        <v>3150852</v>
      </c>
      <c r="C25" s="90">
        <f t="shared" ref="C25:M25" si="4">SUM(C12:C14)</f>
        <v>2626471</v>
      </c>
      <c r="D25" s="90">
        <f t="shared" si="4"/>
        <v>2393483</v>
      </c>
      <c r="E25" s="90">
        <f t="shared" si="4"/>
        <v>2212624</v>
      </c>
      <c r="F25" s="90">
        <f t="shared" si="4"/>
        <v>2080553</v>
      </c>
      <c r="G25" s="90">
        <f t="shared" si="4"/>
        <v>3542068</v>
      </c>
      <c r="H25" s="90">
        <f t="shared" si="4"/>
        <v>3583326</v>
      </c>
      <c r="I25" s="90">
        <f t="shared" si="4"/>
        <v>4633568</v>
      </c>
      <c r="J25" s="90">
        <f t="shared" si="4"/>
        <v>4604332</v>
      </c>
      <c r="K25" s="90">
        <f t="shared" si="4"/>
        <v>3887196</v>
      </c>
      <c r="L25" s="90">
        <f t="shared" si="4"/>
        <v>3954327</v>
      </c>
      <c r="M25" s="90">
        <f t="shared" si="4"/>
        <v>3382194</v>
      </c>
      <c r="N25" s="90">
        <f>SUM(B25:M25)</f>
        <v>40050994</v>
      </c>
    </row>
    <row r="26" spans="1:18" x14ac:dyDescent="0.25">
      <c r="A26" s="91" t="s">
        <v>50</v>
      </c>
      <c r="B26" s="136">
        <f>SUM(B15:B21)</f>
        <v>17538793</v>
      </c>
      <c r="C26" s="136">
        <f t="shared" ref="C26:M26" si="5">SUM(C15:C21)</f>
        <v>17678087</v>
      </c>
      <c r="D26" s="136">
        <f t="shared" si="5"/>
        <v>17153767</v>
      </c>
      <c r="E26" s="136">
        <f t="shared" si="5"/>
        <v>16680562</v>
      </c>
      <c r="F26" s="136">
        <f t="shared" si="5"/>
        <v>17863232</v>
      </c>
      <c r="G26" s="136">
        <f t="shared" si="5"/>
        <v>17425536</v>
      </c>
      <c r="H26" s="136">
        <f t="shared" si="5"/>
        <v>19010540</v>
      </c>
      <c r="I26" s="136">
        <f t="shared" si="5"/>
        <v>21045590</v>
      </c>
      <c r="J26" s="136">
        <f t="shared" si="5"/>
        <v>19235723</v>
      </c>
      <c r="K26" s="136">
        <f t="shared" si="5"/>
        <v>22724424</v>
      </c>
      <c r="L26" s="136">
        <f t="shared" si="5"/>
        <v>19040465</v>
      </c>
      <c r="M26" s="136">
        <f t="shared" si="5"/>
        <v>20330214</v>
      </c>
      <c r="N26" s="136">
        <f>SUM(B26:M26)</f>
        <v>225726933</v>
      </c>
    </row>
    <row r="27" spans="1:18" x14ac:dyDescent="0.25">
      <c r="A27" s="91" t="s">
        <v>51</v>
      </c>
      <c r="B27" s="90">
        <f t="shared" ref="B27:M27" si="6">SUM(B24:B26)</f>
        <v>64399110</v>
      </c>
      <c r="C27" s="90">
        <f t="shared" si="6"/>
        <v>52757548</v>
      </c>
      <c r="D27" s="90">
        <f t="shared" si="6"/>
        <v>45544930</v>
      </c>
      <c r="E27" s="90">
        <f t="shared" si="6"/>
        <v>46221886</v>
      </c>
      <c r="F27" s="90">
        <f t="shared" si="6"/>
        <v>55196126</v>
      </c>
      <c r="G27" s="90">
        <f t="shared" si="6"/>
        <v>88212667</v>
      </c>
      <c r="H27" s="90">
        <f t="shared" si="6"/>
        <v>125320194</v>
      </c>
      <c r="I27" s="90">
        <f t="shared" si="6"/>
        <v>155173578</v>
      </c>
      <c r="J27" s="90">
        <f t="shared" si="6"/>
        <v>144822201</v>
      </c>
      <c r="K27" s="90">
        <f t="shared" si="6"/>
        <v>132227799</v>
      </c>
      <c r="L27" s="90">
        <f t="shared" si="6"/>
        <v>117880141</v>
      </c>
      <c r="M27" s="90">
        <f t="shared" si="6"/>
        <v>90527891</v>
      </c>
      <c r="N27" s="90">
        <f>SUM(B27:M27)</f>
        <v>1118284071</v>
      </c>
    </row>
    <row r="28" spans="1:18" x14ac:dyDescent="0.25">
      <c r="A28" s="137" t="s">
        <v>27</v>
      </c>
      <c r="B28" s="138">
        <f>B22-B27</f>
        <v>0</v>
      </c>
      <c r="C28" s="138">
        <f t="shared" ref="C28:N28" si="7">C22-C27</f>
        <v>0</v>
      </c>
      <c r="D28" s="138">
        <f t="shared" si="7"/>
        <v>0</v>
      </c>
      <c r="E28" s="138">
        <f t="shared" si="7"/>
        <v>0</v>
      </c>
      <c r="F28" s="138">
        <f t="shared" si="7"/>
        <v>0</v>
      </c>
      <c r="G28" s="138">
        <f t="shared" si="7"/>
        <v>0</v>
      </c>
      <c r="H28" s="138">
        <f t="shared" si="7"/>
        <v>0</v>
      </c>
      <c r="I28" s="138">
        <f t="shared" si="7"/>
        <v>0</v>
      </c>
      <c r="J28" s="138">
        <f t="shared" si="7"/>
        <v>0</v>
      </c>
      <c r="K28" s="138">
        <f t="shared" si="7"/>
        <v>0</v>
      </c>
      <c r="L28" s="138">
        <f t="shared" si="7"/>
        <v>0</v>
      </c>
      <c r="M28" s="138">
        <f t="shared" si="7"/>
        <v>0</v>
      </c>
      <c r="N28" s="138">
        <f t="shared" si="7"/>
        <v>0</v>
      </c>
    </row>
    <row r="30" spans="1:18" x14ac:dyDescent="0.25">
      <c r="A30" s="17" t="s">
        <v>176</v>
      </c>
    </row>
  </sheetData>
  <mergeCells count="4">
    <mergeCell ref="A1:N1"/>
    <mergeCell ref="A3:N3"/>
    <mergeCell ref="A4:N4"/>
    <mergeCell ref="A2:N2"/>
  </mergeCells>
  <printOptions horizontalCentered="1"/>
  <pageMargins left="0.7" right="0.7" top="0.75" bottom="0.75" header="0.3" footer="0.3"/>
  <pageSetup scale="67" orientation="landscape" blackAndWhite="1" r:id="rId1"/>
  <headerFooter>
    <oddFooter>&amp;L&amp;F 
&amp;A&amp;C&amp;P&amp;R&amp;D</oddFooter>
  </headerFooter>
  <customProperties>
    <customPr name="EpmWorksheetKeyString_GUID" r:id="rId2"/>
  </customProperties>
  <ignoredErrors>
    <ignoredError sqref="N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D94C480C9FA8B4681C6202B40735DDC" ma:contentTypeVersion="19" ma:contentTypeDescription="" ma:contentTypeScope="" ma:versionID="a007273b517b690df245bec50eff83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2025-02-28T08:00:00+00:00</OpenedDate>
    <SignificantOrder xmlns="dc463f71-b30c-4ab2-9473-d307f9d35888">false</SignificantOrder>
    <Date1 xmlns="dc463f71-b30c-4ab2-9473-d307f9d35888">2025-02-28T08:00:00+00:00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250124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49CEA4-094C-4ADF-A6AB-650B190C2226}"/>
</file>

<file path=customXml/itemProps2.xml><?xml version="1.0" encoding="utf-8"?>
<ds:datastoreItem xmlns:ds="http://schemas.openxmlformats.org/officeDocument/2006/customXml" ds:itemID="{8C8B469F-AF2D-47B7-B188-BE8F1E968E87}"/>
</file>

<file path=customXml/itemProps3.xml><?xml version="1.0" encoding="utf-8"?>
<ds:datastoreItem xmlns:ds="http://schemas.openxmlformats.org/officeDocument/2006/customXml" ds:itemID="{28B8F79F-019B-4151-98ED-D6BF14F8F975}"/>
</file>

<file path=customXml/itemProps4.xml><?xml version="1.0" encoding="utf-8"?>
<ds:datastoreItem xmlns:ds="http://schemas.openxmlformats.org/officeDocument/2006/customXml" ds:itemID="{32BE20F3-14CA-41B9-B21A-AE6352ACF2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Rates</vt:lpstr>
      <vt:lpstr>Allocation</vt:lpstr>
      <vt:lpstr>Rate Impacts--&gt;</vt:lpstr>
      <vt:lpstr>Rate Impacts Sch 120</vt:lpstr>
      <vt:lpstr>Typical Res Bill Sch 120</vt:lpstr>
      <vt:lpstr>Sch. 120</vt:lpstr>
      <vt:lpstr>Workpapers--&gt;</vt:lpstr>
      <vt:lpstr>Rev Requirement</vt:lpstr>
      <vt:lpstr>Forecasted Volume</vt:lpstr>
      <vt:lpstr>Conversion Factor</vt:lpstr>
      <vt:lpstr>Allocation!Print_Area</vt:lpstr>
      <vt:lpstr>'Forecasted Volume'!Print_Area</vt:lpstr>
      <vt:lpstr>'Rate Impacts Sch 120'!Print_Area</vt:lpstr>
      <vt:lpstr>Rates!Print_Area</vt:lpstr>
      <vt:lpstr>'Typical Res Bill Sch 120'!Print_Area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Schmidt, Paul</cp:lastModifiedBy>
  <cp:lastPrinted>2023-02-21T22:33:33Z</cp:lastPrinted>
  <dcterms:created xsi:type="dcterms:W3CDTF">2013-02-25T17:53:58Z</dcterms:created>
  <dcterms:modified xsi:type="dcterms:W3CDTF">2025-02-25T23:30:42Z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0x0101006E56B4D1795A2E4DB2F0B01679ED314A006D94C480C9FA8B4681C6202B40735DDC</vt:lpwstr>
  </property>
</Properties>
</file>